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zhuangyuhao/VSCodeProjects/IDC_3/预提表/"/>
    </mc:Choice>
  </mc:AlternateContent>
  <xr:revisionPtr revIDLastSave="0" documentId="13_ncr:1_{71C2F7C7-0463-844C-9835-68B0B4D37258}" xr6:coauthVersionLast="47" xr6:coauthVersionMax="47" xr10:uidLastSave="{00000000-0000-0000-0000-000000000000}"/>
  <bookViews>
    <workbookView xWindow="0" yWindow="500" windowWidth="46080" windowHeight="24480" xr2:uid="{C0BD5D9E-9F9B-43B7-B900-990461A57F26}"/>
  </bookViews>
  <sheets>
    <sheet name="202310带宽" sheetId="3" r:id="rId1"/>
    <sheet name="202310" sheetId="1" r:id="rId2"/>
    <sheet name="更新" sheetId="4" r:id="rId3"/>
    <sheet name="合同高级查询数据-10月新返回合同" sheetId="5" r:id="rId4"/>
    <sheet name="线上线下核对" sheetId="8" r:id="rId5"/>
  </sheets>
  <externalReferences>
    <externalReference r:id="rId6"/>
    <externalReference r:id="rId7"/>
  </externalReferences>
  <definedNames>
    <definedName name="_xlnm._FilterDatabase" localSheetId="1" hidden="1">'202310'!$A$1:$AS$2996</definedName>
    <definedName name="_xlnm._FilterDatabase" localSheetId="2" hidden="1">更新!$A$1:$AE$10</definedName>
    <definedName name="_xlnm._FilterDatabase" localSheetId="3" hidden="1">'合同高级查询数据-10月新返回合同'!$A$1:$AJ$1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 i="8" l="1"/>
  <c r="R94" i="3" l="1"/>
  <c r="R410" i="3"/>
  <c r="I3" i="3" l="1"/>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2" i="3"/>
  <c r="AC1124" i="3" l="1"/>
  <c r="R1124" i="3"/>
  <c r="AC1123" i="3"/>
  <c r="R1123" i="3"/>
  <c r="AC1122" i="3"/>
  <c r="R1122" i="3"/>
  <c r="AC1121" i="3"/>
  <c r="R1121" i="3"/>
  <c r="AC1120" i="3"/>
  <c r="R1120" i="3"/>
  <c r="AC1119" i="3"/>
  <c r="R1119" i="3"/>
  <c r="AC1118" i="3"/>
  <c r="R1118" i="3"/>
  <c r="AC1117" i="3"/>
  <c r="R1117" i="3"/>
  <c r="AC1116" i="3"/>
  <c r="R1116" i="3"/>
  <c r="AC1115" i="3"/>
  <c r="R1115" i="3"/>
  <c r="AC1114" i="3"/>
  <c r="R1114" i="3"/>
  <c r="AC1113" i="3"/>
  <c r="R1113" i="3"/>
  <c r="R1112" i="3"/>
  <c r="AC1111" i="3"/>
  <c r="R1111" i="3"/>
  <c r="AC1110" i="3"/>
  <c r="R1110" i="3"/>
  <c r="AC1109" i="3"/>
  <c r="R1109" i="3"/>
  <c r="AC1108" i="3"/>
  <c r="R1108" i="3"/>
  <c r="AC1107" i="3"/>
  <c r="R1107" i="3"/>
  <c r="AC1106" i="3"/>
  <c r="R1106" i="3"/>
  <c r="R1105" i="3"/>
  <c r="AC1104" i="3"/>
  <c r="R1104" i="3"/>
  <c r="AC1103" i="3"/>
  <c r="R1103" i="3"/>
  <c r="AC1102" i="3"/>
  <c r="R1102" i="3"/>
  <c r="AC1101" i="3"/>
  <c r="R1101" i="3"/>
  <c r="AC1100" i="3"/>
  <c r="R1100" i="3"/>
  <c r="AC1099" i="3"/>
  <c r="R1099" i="3"/>
  <c r="AC1098" i="3"/>
  <c r="R1098" i="3"/>
  <c r="AC1097" i="3"/>
  <c r="R1097" i="3"/>
  <c r="AC1096" i="3"/>
  <c r="R1096" i="3"/>
  <c r="AC1095" i="3"/>
  <c r="R1095" i="3"/>
  <c r="AC1094" i="3"/>
  <c r="R1094" i="3"/>
  <c r="AC1093" i="3"/>
  <c r="R1093" i="3"/>
  <c r="AC1092" i="3"/>
  <c r="R1092" i="3"/>
  <c r="AC1091" i="3"/>
  <c r="R1091" i="3"/>
  <c r="AC1090" i="3"/>
  <c r="R1090" i="3"/>
  <c r="AC1089" i="3"/>
  <c r="R1089" i="3"/>
  <c r="R1088" i="3"/>
  <c r="AC1087" i="3"/>
  <c r="R1087" i="3"/>
  <c r="AC1086" i="3"/>
  <c r="R1086" i="3"/>
  <c r="AC1085" i="3"/>
  <c r="R1085" i="3"/>
  <c r="AC1084" i="3"/>
  <c r="R1084" i="3"/>
  <c r="AC1083" i="3"/>
  <c r="R1083" i="3"/>
  <c r="AC1082" i="3"/>
  <c r="R1082" i="3"/>
  <c r="AC1081" i="3"/>
  <c r="R1081" i="3"/>
  <c r="AC1080" i="3"/>
  <c r="R1080" i="3"/>
  <c r="AC1079" i="3"/>
  <c r="R1079" i="3"/>
  <c r="AC1078" i="3"/>
  <c r="R1078" i="3"/>
  <c r="AC1077" i="3"/>
  <c r="R1077" i="3"/>
  <c r="AC1076" i="3"/>
  <c r="R1076" i="3"/>
  <c r="AC1075" i="3"/>
  <c r="R1075" i="3"/>
  <c r="AC1074" i="3"/>
  <c r="R1074" i="3"/>
  <c r="AC1073" i="3"/>
  <c r="R1073" i="3"/>
  <c r="AC1072" i="3"/>
  <c r="R1072" i="3"/>
  <c r="AC1071" i="3"/>
  <c r="R1071" i="3"/>
  <c r="AC1070" i="3"/>
  <c r="R1070" i="3"/>
  <c r="AC1069" i="3"/>
  <c r="R1069" i="3"/>
  <c r="AC1068" i="3"/>
  <c r="R1068" i="3"/>
  <c r="AC1067" i="3"/>
  <c r="R1067" i="3"/>
  <c r="AC1066" i="3"/>
  <c r="R1066" i="3"/>
  <c r="AC1065" i="3"/>
  <c r="R1065" i="3"/>
  <c r="AC1064" i="3"/>
  <c r="R1064" i="3"/>
  <c r="AC1063" i="3"/>
  <c r="R1063" i="3"/>
  <c r="AC1062" i="3"/>
  <c r="R1062" i="3"/>
  <c r="AC1061" i="3"/>
  <c r="R1061" i="3"/>
  <c r="AC1060" i="3"/>
  <c r="R1060" i="3"/>
  <c r="AC1059" i="3"/>
  <c r="R1059" i="3"/>
  <c r="AC1058" i="3"/>
  <c r="R1058" i="3"/>
  <c r="AC1057" i="3"/>
  <c r="R1057" i="3"/>
  <c r="AC1056" i="3"/>
  <c r="R1056" i="3"/>
  <c r="AC1055" i="3"/>
  <c r="R1055" i="3"/>
  <c r="R1054" i="3"/>
  <c r="AC1053" i="3"/>
  <c r="R1053" i="3"/>
  <c r="AC1052" i="3"/>
  <c r="R1052" i="3"/>
  <c r="AC1051" i="3"/>
  <c r="R1051" i="3"/>
  <c r="AC1050" i="3"/>
  <c r="R1050" i="3"/>
  <c r="AC1049" i="3"/>
  <c r="R1049" i="3"/>
  <c r="AC1048" i="3"/>
  <c r="R1048" i="3"/>
  <c r="AC1047" i="3"/>
  <c r="R1047" i="3"/>
  <c r="AC1046" i="3"/>
  <c r="R1046" i="3"/>
  <c r="AC1045" i="3"/>
  <c r="R1045" i="3"/>
  <c r="AC1044" i="3"/>
  <c r="R1044" i="3"/>
  <c r="AC1043" i="3"/>
  <c r="R1043" i="3"/>
  <c r="AC1042" i="3"/>
  <c r="R1042" i="3"/>
  <c r="AC1041" i="3"/>
  <c r="R1041" i="3"/>
  <c r="AC1040" i="3"/>
  <c r="R1040" i="3"/>
  <c r="AC1039" i="3"/>
  <c r="R1039" i="3"/>
  <c r="AC1038" i="3"/>
  <c r="R1038" i="3"/>
  <c r="AC1037" i="3"/>
  <c r="R1037" i="3"/>
  <c r="AC1036" i="3"/>
  <c r="R1036" i="3"/>
  <c r="AC1035" i="3"/>
  <c r="R1035" i="3"/>
  <c r="R1034" i="3"/>
  <c r="R1033" i="3"/>
  <c r="R1032" i="3"/>
  <c r="AC1031" i="3"/>
  <c r="R1031" i="3"/>
  <c r="AC1030" i="3"/>
  <c r="R1030" i="3"/>
  <c r="AC1029" i="3"/>
  <c r="R1029" i="3"/>
  <c r="AC1028" i="3"/>
  <c r="R1028" i="3"/>
  <c r="AC1027" i="3"/>
  <c r="R1027" i="3"/>
  <c r="AC1026" i="3"/>
  <c r="R1026" i="3"/>
  <c r="AC1025" i="3"/>
  <c r="R1025" i="3"/>
  <c r="AC1024" i="3"/>
  <c r="R1024" i="3"/>
  <c r="AC1023" i="3"/>
  <c r="R1023" i="3"/>
  <c r="AC1022" i="3"/>
  <c r="R1022" i="3"/>
  <c r="AC1021" i="3"/>
  <c r="R1021" i="3"/>
  <c r="AC1020" i="3"/>
  <c r="R1020" i="3"/>
  <c r="AC1019" i="3"/>
  <c r="R1019" i="3"/>
  <c r="AC1018" i="3"/>
  <c r="R1018" i="3"/>
  <c r="AC1017" i="3"/>
  <c r="R1017" i="3"/>
  <c r="AC1016" i="3"/>
  <c r="R1016" i="3"/>
  <c r="AC1015" i="3"/>
  <c r="R1015" i="3"/>
  <c r="AC1014" i="3"/>
  <c r="R1014" i="3"/>
  <c r="AC1013" i="3"/>
  <c r="R1013" i="3"/>
  <c r="R1012" i="3"/>
  <c r="AC1011" i="3"/>
  <c r="R1011" i="3"/>
  <c r="AC1010" i="3"/>
  <c r="R1010" i="3"/>
  <c r="R1009" i="3"/>
  <c r="AC1008" i="3"/>
  <c r="R1008" i="3"/>
  <c r="AC1007" i="3"/>
  <c r="R1007" i="3"/>
  <c r="AC1006" i="3"/>
  <c r="R1006" i="3"/>
  <c r="AC1005" i="3"/>
  <c r="R1005" i="3"/>
  <c r="AC1004" i="3"/>
  <c r="R1004" i="3"/>
  <c r="AC1003" i="3"/>
  <c r="R1003" i="3"/>
  <c r="AC1002" i="3"/>
  <c r="R1002" i="3"/>
  <c r="AC1001" i="3"/>
  <c r="R1001" i="3"/>
  <c r="AC1000" i="3"/>
  <c r="R1000" i="3"/>
  <c r="AC999" i="3"/>
  <c r="R999" i="3"/>
  <c r="AC998" i="3"/>
  <c r="R998" i="3"/>
  <c r="AC997" i="3"/>
  <c r="R997" i="3"/>
  <c r="AC996" i="3"/>
  <c r="R996" i="3"/>
  <c r="AC995" i="3"/>
  <c r="R995" i="3"/>
  <c r="AC994" i="3"/>
  <c r="R994" i="3"/>
  <c r="AC993" i="3"/>
  <c r="R993" i="3"/>
  <c r="AC992" i="3"/>
  <c r="R992" i="3"/>
  <c r="AC991" i="3"/>
  <c r="R991" i="3"/>
  <c r="AC990" i="3"/>
  <c r="R990" i="3"/>
  <c r="AC989" i="3"/>
  <c r="R989" i="3"/>
  <c r="AC988" i="3"/>
  <c r="R988" i="3"/>
  <c r="AC987" i="3"/>
  <c r="R987" i="3"/>
  <c r="AC986" i="3"/>
  <c r="R986" i="3"/>
  <c r="AC985" i="3"/>
  <c r="R985" i="3"/>
  <c r="AC984" i="3"/>
  <c r="R984" i="3"/>
  <c r="AC983" i="3"/>
  <c r="R983" i="3"/>
  <c r="AC982" i="3"/>
  <c r="R982" i="3"/>
  <c r="AC981" i="3"/>
  <c r="R981" i="3"/>
  <c r="AC980" i="3"/>
  <c r="R980" i="3"/>
  <c r="AC979" i="3"/>
  <c r="R979" i="3"/>
  <c r="AC978" i="3"/>
  <c r="R978" i="3"/>
  <c r="AC977" i="3"/>
  <c r="R977" i="3"/>
  <c r="AC976" i="3"/>
  <c r="R976" i="3"/>
  <c r="AC975" i="3"/>
  <c r="R975" i="3"/>
  <c r="AC974" i="3"/>
  <c r="R974" i="3"/>
  <c r="AC973" i="3"/>
  <c r="R973" i="3"/>
  <c r="AC972" i="3"/>
  <c r="R972" i="3"/>
  <c r="AC971" i="3"/>
  <c r="R971" i="3"/>
  <c r="AC970" i="3"/>
  <c r="R970" i="3"/>
  <c r="AC969" i="3"/>
  <c r="R969" i="3"/>
  <c r="AC968" i="3"/>
  <c r="R968" i="3"/>
  <c r="AC967" i="3"/>
  <c r="R967" i="3"/>
  <c r="AC966" i="3"/>
  <c r="R966" i="3"/>
  <c r="AC965" i="3"/>
  <c r="R965" i="3"/>
  <c r="AC964" i="3"/>
  <c r="R964" i="3"/>
  <c r="AC963" i="3"/>
  <c r="R963" i="3"/>
  <c r="AC962" i="3"/>
  <c r="R962" i="3"/>
  <c r="AC961" i="3"/>
  <c r="R961" i="3"/>
  <c r="AC960" i="3"/>
  <c r="R960" i="3"/>
  <c r="AC959" i="3"/>
  <c r="R959" i="3"/>
  <c r="AC958" i="3"/>
  <c r="R958" i="3"/>
  <c r="AC957" i="3"/>
  <c r="R957" i="3"/>
  <c r="AC956" i="3"/>
  <c r="R956" i="3"/>
  <c r="AC955" i="3"/>
  <c r="R955" i="3"/>
  <c r="AC954" i="3"/>
  <c r="R954" i="3"/>
  <c r="AC953" i="3"/>
  <c r="R953" i="3"/>
  <c r="AC952" i="3"/>
  <c r="R952" i="3"/>
  <c r="AC951" i="3"/>
  <c r="R951" i="3"/>
  <c r="AC950" i="3"/>
  <c r="R950" i="3"/>
  <c r="AC949" i="3"/>
  <c r="R949" i="3"/>
  <c r="AC948" i="3"/>
  <c r="R948" i="3"/>
  <c r="AC947" i="3"/>
  <c r="R947" i="3"/>
  <c r="AC946" i="3"/>
  <c r="R946" i="3"/>
  <c r="AC945" i="3"/>
  <c r="R945" i="3"/>
  <c r="AC944" i="3"/>
  <c r="R944" i="3"/>
  <c r="AC943" i="3"/>
  <c r="R943" i="3"/>
  <c r="AC942" i="3"/>
  <c r="R942" i="3"/>
  <c r="AC941" i="3"/>
  <c r="R941" i="3"/>
  <c r="AC940" i="3"/>
  <c r="R940" i="3"/>
  <c r="AC939" i="3"/>
  <c r="R939" i="3"/>
  <c r="AC938" i="3"/>
  <c r="R938" i="3"/>
  <c r="AC937" i="3"/>
  <c r="R937" i="3"/>
  <c r="AC936" i="3"/>
  <c r="R936" i="3"/>
  <c r="AC935" i="3"/>
  <c r="R935" i="3"/>
  <c r="AC934" i="3"/>
  <c r="R934" i="3"/>
  <c r="AC933" i="3"/>
  <c r="R933" i="3"/>
  <c r="AC932" i="3"/>
  <c r="R932" i="3"/>
  <c r="AC931" i="3"/>
  <c r="R931" i="3"/>
  <c r="AC930" i="3"/>
  <c r="R930" i="3"/>
  <c r="AC929" i="3"/>
  <c r="R929" i="3"/>
  <c r="AC928" i="3"/>
  <c r="R928" i="3"/>
  <c r="AC927" i="3"/>
  <c r="R927" i="3"/>
  <c r="AC926" i="3"/>
  <c r="R926" i="3"/>
  <c r="AC925" i="3"/>
  <c r="R925" i="3"/>
  <c r="AC924" i="3"/>
  <c r="R924" i="3"/>
  <c r="AC923" i="3"/>
  <c r="R923" i="3"/>
  <c r="AC922" i="3"/>
  <c r="R922" i="3"/>
  <c r="AC921" i="3"/>
  <c r="R921" i="3"/>
  <c r="AC920" i="3"/>
  <c r="R920" i="3"/>
  <c r="AC919" i="3"/>
  <c r="R919" i="3"/>
  <c r="AC918" i="3"/>
  <c r="R918" i="3"/>
  <c r="AC917" i="3"/>
  <c r="R917" i="3"/>
  <c r="AC916" i="3"/>
  <c r="R916" i="3"/>
  <c r="AC915" i="3"/>
  <c r="R915" i="3"/>
  <c r="AC914" i="3"/>
  <c r="R914" i="3"/>
  <c r="AC913" i="3"/>
  <c r="R913" i="3"/>
  <c r="AC912" i="3"/>
  <c r="R912" i="3"/>
  <c r="AC911" i="3"/>
  <c r="R911" i="3"/>
  <c r="AC910" i="3"/>
  <c r="R910" i="3"/>
  <c r="AC909" i="3"/>
  <c r="R909" i="3"/>
  <c r="AC908" i="3"/>
  <c r="R908" i="3"/>
  <c r="AC907" i="3"/>
  <c r="R907" i="3"/>
  <c r="AC906" i="3"/>
  <c r="R906" i="3"/>
  <c r="AC905" i="3"/>
  <c r="R905" i="3"/>
  <c r="AC904" i="3"/>
  <c r="R904" i="3"/>
  <c r="AC903" i="3"/>
  <c r="R903" i="3"/>
  <c r="AC902" i="3"/>
  <c r="R902" i="3"/>
  <c r="AC901" i="3"/>
  <c r="R901" i="3"/>
  <c r="AC900" i="3"/>
  <c r="R900" i="3"/>
  <c r="AC899" i="3"/>
  <c r="R899" i="3"/>
  <c r="AC898" i="3"/>
  <c r="R898" i="3"/>
  <c r="AC897" i="3"/>
  <c r="R897" i="3"/>
  <c r="AC896" i="3"/>
  <c r="R896" i="3"/>
  <c r="AC895" i="3"/>
  <c r="R895" i="3"/>
  <c r="AC894" i="3"/>
  <c r="R894" i="3"/>
  <c r="AC893" i="3"/>
  <c r="R893" i="3"/>
  <c r="AC892" i="3"/>
  <c r="R892" i="3"/>
  <c r="AC891" i="3"/>
  <c r="R891" i="3"/>
  <c r="AC890" i="3"/>
  <c r="R890" i="3"/>
  <c r="AC889" i="3"/>
  <c r="R889" i="3"/>
  <c r="AC888" i="3"/>
  <c r="R888" i="3"/>
  <c r="AC887" i="3"/>
  <c r="R887" i="3"/>
  <c r="AC886" i="3"/>
  <c r="R886" i="3"/>
  <c r="AC885" i="3"/>
  <c r="R885" i="3"/>
  <c r="AC884" i="3"/>
  <c r="R884" i="3"/>
  <c r="AC883" i="3"/>
  <c r="R883" i="3"/>
  <c r="AC882" i="3"/>
  <c r="R882" i="3"/>
  <c r="AC881" i="3"/>
  <c r="R881" i="3"/>
  <c r="AC880" i="3"/>
  <c r="R880" i="3"/>
  <c r="AC879" i="3"/>
  <c r="R879" i="3"/>
  <c r="AC878" i="3"/>
  <c r="R878" i="3"/>
  <c r="AC877" i="3"/>
  <c r="R877" i="3"/>
  <c r="AC876" i="3"/>
  <c r="R876" i="3"/>
  <c r="AC875" i="3"/>
  <c r="R875" i="3"/>
  <c r="AC874" i="3"/>
  <c r="R874" i="3"/>
  <c r="AC873" i="3"/>
  <c r="R873" i="3"/>
  <c r="AC872" i="3"/>
  <c r="R872" i="3"/>
  <c r="AC871" i="3"/>
  <c r="R871" i="3"/>
  <c r="AC870" i="3"/>
  <c r="R870" i="3"/>
  <c r="AC869" i="3"/>
  <c r="R869" i="3"/>
  <c r="AC868" i="3"/>
  <c r="R868" i="3"/>
  <c r="AC867" i="3"/>
  <c r="R867" i="3"/>
  <c r="AC866" i="3"/>
  <c r="R866" i="3"/>
  <c r="AC865" i="3"/>
  <c r="R865" i="3"/>
  <c r="AC864" i="3"/>
  <c r="R864" i="3"/>
  <c r="AC863" i="3"/>
  <c r="R863" i="3"/>
  <c r="AC862" i="3"/>
  <c r="R862" i="3"/>
  <c r="AC861" i="3"/>
  <c r="R861" i="3"/>
  <c r="AC860" i="3"/>
  <c r="R860" i="3"/>
  <c r="AC859" i="3"/>
  <c r="R859" i="3"/>
  <c r="AC858" i="3"/>
  <c r="R858" i="3"/>
  <c r="AC857" i="3"/>
  <c r="R857" i="3"/>
  <c r="AC856" i="3"/>
  <c r="R856" i="3"/>
  <c r="AC855" i="3"/>
  <c r="R855" i="3"/>
  <c r="AC854" i="3"/>
  <c r="R854" i="3"/>
  <c r="AC853" i="3"/>
  <c r="R853" i="3"/>
  <c r="AC852" i="3"/>
  <c r="R852" i="3"/>
  <c r="AC851" i="3"/>
  <c r="R851" i="3"/>
  <c r="AC850" i="3"/>
  <c r="R850" i="3"/>
  <c r="AC849" i="3"/>
  <c r="R849" i="3"/>
  <c r="AC848" i="3"/>
  <c r="R848" i="3"/>
  <c r="AC847" i="3"/>
  <c r="R847" i="3"/>
  <c r="AC846" i="3"/>
  <c r="R846" i="3"/>
  <c r="AC845" i="3"/>
  <c r="R845" i="3"/>
  <c r="AC844" i="3"/>
  <c r="R844" i="3"/>
  <c r="AC843" i="3"/>
  <c r="R843" i="3"/>
  <c r="AC842" i="3"/>
  <c r="R842" i="3"/>
  <c r="AC841" i="3"/>
  <c r="R841" i="3"/>
  <c r="AC840" i="3"/>
  <c r="R840" i="3"/>
  <c r="AC839" i="3"/>
  <c r="R839" i="3"/>
  <c r="AC838" i="3"/>
  <c r="R838" i="3"/>
  <c r="AC837" i="3"/>
  <c r="R837" i="3"/>
  <c r="AC836" i="3"/>
  <c r="R836" i="3"/>
  <c r="AC835" i="3"/>
  <c r="R835" i="3"/>
  <c r="AC834" i="3"/>
  <c r="R834" i="3"/>
  <c r="AC833" i="3"/>
  <c r="R833" i="3"/>
  <c r="AC832" i="3"/>
  <c r="R832" i="3"/>
  <c r="AC831" i="3"/>
  <c r="R831" i="3"/>
  <c r="AC830" i="3"/>
  <c r="R830" i="3"/>
  <c r="AC829" i="3"/>
  <c r="R829" i="3"/>
  <c r="AC828" i="3"/>
  <c r="R828" i="3"/>
  <c r="AC827" i="3"/>
  <c r="R827" i="3"/>
  <c r="AC826" i="3"/>
  <c r="R826" i="3"/>
  <c r="AC825" i="3"/>
  <c r="R825" i="3"/>
  <c r="AC824" i="3"/>
  <c r="R824" i="3"/>
  <c r="AC823" i="3"/>
  <c r="R823" i="3"/>
  <c r="AC822" i="3"/>
  <c r="R822" i="3"/>
  <c r="R821" i="3"/>
  <c r="R820" i="3"/>
  <c r="AC819" i="3"/>
  <c r="R819" i="3"/>
  <c r="AC818" i="3"/>
  <c r="R818" i="3"/>
  <c r="AC817" i="3"/>
  <c r="R817" i="3"/>
  <c r="AC816" i="3"/>
  <c r="R816" i="3"/>
  <c r="AC815" i="3"/>
  <c r="R815" i="3"/>
  <c r="AC814" i="3"/>
  <c r="R814" i="3"/>
  <c r="AC813" i="3"/>
  <c r="R813" i="3"/>
  <c r="AC812" i="3"/>
  <c r="R812" i="3"/>
  <c r="AC811" i="3"/>
  <c r="R811" i="3"/>
  <c r="AC810" i="3"/>
  <c r="R810" i="3"/>
  <c r="AC809" i="3"/>
  <c r="R809" i="3"/>
  <c r="AC808" i="3"/>
  <c r="R808" i="3"/>
  <c r="AC807" i="3"/>
  <c r="R807" i="3"/>
  <c r="AC806" i="3"/>
  <c r="R806" i="3"/>
  <c r="AC805" i="3"/>
  <c r="R805" i="3"/>
  <c r="AC804" i="3"/>
  <c r="R804" i="3"/>
  <c r="AC803" i="3"/>
  <c r="R803" i="3"/>
  <c r="AC802" i="3"/>
  <c r="R802" i="3"/>
  <c r="AC801" i="3"/>
  <c r="R801" i="3"/>
  <c r="AC800" i="3"/>
  <c r="R800" i="3"/>
  <c r="AC799" i="3"/>
  <c r="R799" i="3"/>
  <c r="AC798" i="3"/>
  <c r="R798" i="3"/>
  <c r="AC797" i="3"/>
  <c r="R797" i="3"/>
  <c r="AC796" i="3"/>
  <c r="R796" i="3"/>
  <c r="AC795" i="3"/>
  <c r="R795" i="3"/>
  <c r="AC794" i="3"/>
  <c r="R794" i="3"/>
  <c r="AC793" i="3"/>
  <c r="R793" i="3"/>
  <c r="AC792" i="3"/>
  <c r="R792" i="3"/>
  <c r="AC791" i="3"/>
  <c r="R791" i="3"/>
  <c r="AC790" i="3"/>
  <c r="R790" i="3"/>
  <c r="AC789" i="3"/>
  <c r="R789" i="3"/>
  <c r="AC788" i="3"/>
  <c r="R788" i="3"/>
  <c r="AC787" i="3"/>
  <c r="R787" i="3"/>
  <c r="AC786" i="3"/>
  <c r="R786" i="3"/>
  <c r="AC785" i="3"/>
  <c r="R785" i="3"/>
  <c r="AC784" i="3"/>
  <c r="R784" i="3"/>
  <c r="AC783" i="3"/>
  <c r="R783" i="3"/>
  <c r="AC782" i="3"/>
  <c r="R782" i="3"/>
  <c r="AC781" i="3"/>
  <c r="R781" i="3"/>
  <c r="AC780" i="3"/>
  <c r="R780" i="3"/>
  <c r="AC779" i="3"/>
  <c r="R779" i="3"/>
  <c r="AC778" i="3"/>
  <c r="R778" i="3"/>
  <c r="AC777" i="3"/>
  <c r="R777" i="3"/>
  <c r="AC776" i="3"/>
  <c r="R776" i="3"/>
  <c r="AC775" i="3"/>
  <c r="R775" i="3"/>
  <c r="AC774" i="3"/>
  <c r="R774" i="3"/>
  <c r="AC773" i="3"/>
  <c r="R773" i="3"/>
  <c r="AC772" i="3"/>
  <c r="R772" i="3"/>
  <c r="AC771" i="3"/>
  <c r="R771" i="3"/>
  <c r="AC770" i="3"/>
  <c r="R770" i="3"/>
  <c r="AC769" i="3"/>
  <c r="R769" i="3"/>
  <c r="AC768" i="3"/>
  <c r="R768" i="3"/>
  <c r="AC767" i="3"/>
  <c r="R767" i="3"/>
  <c r="AC766" i="3"/>
  <c r="R766" i="3"/>
  <c r="AC765" i="3"/>
  <c r="R765" i="3"/>
  <c r="AC764" i="3"/>
  <c r="R764" i="3"/>
  <c r="AC763" i="3"/>
  <c r="R763" i="3"/>
  <c r="AC762" i="3"/>
  <c r="R762" i="3"/>
  <c r="AC761" i="3"/>
  <c r="R761" i="3"/>
  <c r="AC760" i="3"/>
  <c r="R760" i="3"/>
  <c r="AC759" i="3"/>
  <c r="R759" i="3"/>
  <c r="AC758" i="3"/>
  <c r="R758" i="3"/>
  <c r="AC757" i="3"/>
  <c r="R757" i="3"/>
  <c r="AC756" i="3"/>
  <c r="R756" i="3"/>
  <c r="AC755" i="3"/>
  <c r="R755" i="3"/>
  <c r="AC754" i="3"/>
  <c r="R754" i="3"/>
  <c r="AC753" i="3"/>
  <c r="R753" i="3"/>
  <c r="AC752" i="3"/>
  <c r="R752" i="3"/>
  <c r="AC751" i="3"/>
  <c r="R751" i="3"/>
  <c r="AC750" i="3"/>
  <c r="R750" i="3"/>
  <c r="AC749" i="3"/>
  <c r="R749" i="3"/>
  <c r="AC748" i="3"/>
  <c r="R748" i="3"/>
  <c r="AC747" i="3"/>
  <c r="R747" i="3"/>
  <c r="AC746" i="3"/>
  <c r="R746" i="3"/>
  <c r="AC745" i="3"/>
  <c r="R745" i="3"/>
  <c r="AC744" i="3"/>
  <c r="R744" i="3"/>
  <c r="AC743" i="3"/>
  <c r="R743" i="3"/>
  <c r="AC742" i="3"/>
  <c r="R742" i="3"/>
  <c r="AC741" i="3"/>
  <c r="R741" i="3"/>
  <c r="AC740" i="3"/>
  <c r="R740" i="3"/>
  <c r="AC739" i="3"/>
  <c r="R739" i="3"/>
  <c r="AC738" i="3"/>
  <c r="R738" i="3"/>
  <c r="AC737" i="3"/>
  <c r="R737" i="3"/>
  <c r="AC736" i="3"/>
  <c r="R736" i="3"/>
  <c r="AC735" i="3"/>
  <c r="R735" i="3"/>
  <c r="AC734" i="3"/>
  <c r="R734" i="3"/>
  <c r="AC733" i="3"/>
  <c r="R733" i="3"/>
  <c r="AC732" i="3"/>
  <c r="R732" i="3"/>
  <c r="AC731" i="3"/>
  <c r="R731" i="3"/>
  <c r="AC730" i="3"/>
  <c r="R730" i="3"/>
  <c r="AC729" i="3"/>
  <c r="R729" i="3"/>
  <c r="AC728" i="3"/>
  <c r="R728" i="3"/>
  <c r="AC727" i="3"/>
  <c r="R727" i="3"/>
  <c r="AC726" i="3"/>
  <c r="R726" i="3"/>
  <c r="AC725" i="3"/>
  <c r="R725" i="3"/>
  <c r="AC724" i="3"/>
  <c r="R724" i="3"/>
  <c r="AC723" i="3"/>
  <c r="R723" i="3"/>
  <c r="AC722" i="3"/>
  <c r="R722" i="3"/>
  <c r="AC721" i="3"/>
  <c r="R721" i="3"/>
  <c r="AC720" i="3"/>
  <c r="R720" i="3"/>
  <c r="AC719" i="3"/>
  <c r="R719" i="3"/>
  <c r="AC718" i="3"/>
  <c r="R718" i="3"/>
  <c r="AC717" i="3"/>
  <c r="R717" i="3"/>
  <c r="AC716" i="3"/>
  <c r="R716" i="3"/>
  <c r="AC715" i="3"/>
  <c r="R715" i="3"/>
  <c r="AC714" i="3"/>
  <c r="R714" i="3"/>
  <c r="AC713" i="3"/>
  <c r="R713" i="3"/>
  <c r="AC712" i="3"/>
  <c r="R712" i="3"/>
  <c r="AC711" i="3"/>
  <c r="R711" i="3"/>
  <c r="AC710" i="3"/>
  <c r="R710" i="3"/>
  <c r="AC709" i="3"/>
  <c r="R709" i="3"/>
  <c r="AC708" i="3"/>
  <c r="R708" i="3"/>
  <c r="AC707" i="3"/>
  <c r="R707" i="3"/>
  <c r="AC706" i="3"/>
  <c r="R706" i="3"/>
  <c r="AC705" i="3"/>
  <c r="R705" i="3"/>
  <c r="AC704" i="3"/>
  <c r="R704" i="3"/>
  <c r="R703" i="3"/>
  <c r="AC702" i="3"/>
  <c r="R702" i="3"/>
  <c r="AC701" i="3"/>
  <c r="R701" i="3"/>
  <c r="AC700" i="3"/>
  <c r="R700" i="3"/>
  <c r="AC699" i="3"/>
  <c r="R699" i="3"/>
  <c r="AC698" i="3"/>
  <c r="R698" i="3"/>
  <c r="AC697" i="3"/>
  <c r="R697" i="3"/>
  <c r="AC696" i="3"/>
  <c r="R696" i="3"/>
  <c r="AC695" i="3"/>
  <c r="R695" i="3"/>
  <c r="AC694" i="3"/>
  <c r="R694" i="3"/>
  <c r="AC693" i="3"/>
  <c r="R693" i="3"/>
  <c r="R692" i="3"/>
  <c r="AC691" i="3"/>
  <c r="R691" i="3"/>
  <c r="R690" i="3"/>
  <c r="R689" i="3"/>
  <c r="R688" i="3"/>
  <c r="AC687" i="3"/>
  <c r="R687" i="3"/>
  <c r="AC686" i="3"/>
  <c r="R686" i="3"/>
  <c r="AC685" i="3"/>
  <c r="R685" i="3"/>
  <c r="AC684" i="3"/>
  <c r="R684" i="3"/>
  <c r="AC683" i="3"/>
  <c r="R683" i="3"/>
  <c r="AC682" i="3"/>
  <c r="R682" i="3"/>
  <c r="AC681" i="3"/>
  <c r="R681" i="3"/>
  <c r="AC680" i="3"/>
  <c r="R680" i="3"/>
  <c r="AC679" i="3"/>
  <c r="R679" i="3"/>
  <c r="AC678" i="3"/>
  <c r="R678" i="3"/>
  <c r="AC677" i="3"/>
  <c r="R677" i="3"/>
  <c r="R676" i="3"/>
  <c r="R675" i="3"/>
  <c r="AC674" i="3"/>
  <c r="R674" i="3"/>
  <c r="AC673" i="3"/>
  <c r="R673" i="3"/>
  <c r="AC672" i="3"/>
  <c r="R672" i="3"/>
  <c r="AC671" i="3"/>
  <c r="R671" i="3"/>
  <c r="AC670" i="3"/>
  <c r="R670" i="3"/>
  <c r="AC669" i="3"/>
  <c r="R669" i="3"/>
  <c r="R668" i="3"/>
  <c r="R667" i="3"/>
  <c r="R666" i="3"/>
  <c r="AC665" i="3"/>
  <c r="R665" i="3"/>
  <c r="AC664" i="3"/>
  <c r="R664" i="3"/>
  <c r="AC663" i="3"/>
  <c r="R663" i="3"/>
  <c r="AC662" i="3"/>
  <c r="R662" i="3"/>
  <c r="R661" i="3"/>
  <c r="AC660" i="3"/>
  <c r="R660" i="3"/>
  <c r="AC659" i="3"/>
  <c r="R659" i="3"/>
  <c r="AC658" i="3"/>
  <c r="R658" i="3"/>
  <c r="AC657" i="3"/>
  <c r="R657" i="3"/>
  <c r="AC656" i="3"/>
  <c r="R656" i="3"/>
  <c r="AC655" i="3"/>
  <c r="R655" i="3"/>
  <c r="AC654" i="3"/>
  <c r="R654" i="3"/>
  <c r="R653" i="3"/>
  <c r="R652" i="3"/>
  <c r="AC651" i="3"/>
  <c r="R651" i="3"/>
  <c r="AC650" i="3"/>
  <c r="R650" i="3"/>
  <c r="AC649" i="3"/>
  <c r="R649" i="3"/>
  <c r="AC648" i="3"/>
  <c r="R648" i="3"/>
  <c r="AC647" i="3"/>
  <c r="R647" i="3"/>
  <c r="AC646" i="3"/>
  <c r="R646" i="3"/>
  <c r="AC645" i="3"/>
  <c r="R645" i="3"/>
  <c r="AC644" i="3"/>
  <c r="R644" i="3"/>
  <c r="AC643" i="3"/>
  <c r="R643" i="3"/>
  <c r="AC642" i="3"/>
  <c r="R642" i="3"/>
  <c r="AC641" i="3"/>
  <c r="R641" i="3"/>
  <c r="AC640" i="3"/>
  <c r="R640" i="3"/>
  <c r="R639" i="3"/>
  <c r="R638" i="3"/>
  <c r="AC637" i="3"/>
  <c r="R637" i="3"/>
  <c r="AC636" i="3"/>
  <c r="R636" i="3"/>
  <c r="AC635" i="3"/>
  <c r="R635" i="3"/>
  <c r="AC634" i="3"/>
  <c r="R634" i="3"/>
  <c r="AC633" i="3"/>
  <c r="R633" i="3"/>
  <c r="AC632" i="3"/>
  <c r="R632" i="3"/>
  <c r="AC631" i="3"/>
  <c r="R631" i="3"/>
  <c r="AC630" i="3"/>
  <c r="R630" i="3"/>
  <c r="AC629" i="3"/>
  <c r="R629" i="3"/>
  <c r="AC628" i="3"/>
  <c r="R628" i="3"/>
  <c r="AC627" i="3"/>
  <c r="R627" i="3"/>
  <c r="AC626" i="3"/>
  <c r="R626" i="3"/>
  <c r="AC625" i="3"/>
  <c r="R625" i="3"/>
  <c r="AC624" i="3"/>
  <c r="R624" i="3"/>
  <c r="AC623" i="3"/>
  <c r="R623" i="3"/>
  <c r="AC622" i="3"/>
  <c r="R622" i="3"/>
  <c r="AC621" i="3"/>
  <c r="R621" i="3"/>
  <c r="AC620" i="3"/>
  <c r="R620" i="3"/>
  <c r="AC619" i="3"/>
  <c r="R619" i="3"/>
  <c r="AC618" i="3"/>
  <c r="R618" i="3"/>
  <c r="AC617" i="3"/>
  <c r="R617" i="3"/>
  <c r="AC616" i="3"/>
  <c r="R616" i="3"/>
  <c r="AC615" i="3"/>
  <c r="R615" i="3"/>
  <c r="AC614" i="3"/>
  <c r="R614" i="3"/>
  <c r="AC613" i="3"/>
  <c r="R613" i="3"/>
  <c r="AC612" i="3"/>
  <c r="R612" i="3"/>
  <c r="AC611" i="3"/>
  <c r="R611" i="3"/>
  <c r="AC610" i="3"/>
  <c r="R610" i="3"/>
  <c r="AC609" i="3"/>
  <c r="R609" i="3"/>
  <c r="AC608" i="3"/>
  <c r="R608" i="3"/>
  <c r="AC607" i="3"/>
  <c r="R607" i="3"/>
  <c r="AC606" i="3"/>
  <c r="R606" i="3"/>
  <c r="AC605" i="3"/>
  <c r="R605" i="3"/>
  <c r="R604" i="3"/>
  <c r="AC603" i="3"/>
  <c r="R603" i="3"/>
  <c r="AC602" i="3"/>
  <c r="R602" i="3"/>
  <c r="AC601" i="3"/>
  <c r="R601" i="3"/>
  <c r="AC600" i="3"/>
  <c r="R600" i="3"/>
  <c r="AC599" i="3" l="1"/>
  <c r="R599" i="3"/>
  <c r="AC598" i="3"/>
  <c r="R598" i="3"/>
  <c r="AC597" i="3"/>
  <c r="R597" i="3"/>
  <c r="AC596" i="3"/>
  <c r="R596" i="3"/>
  <c r="AC595" i="3"/>
  <c r="R595" i="3"/>
  <c r="AC594" i="3"/>
  <c r="R594" i="3"/>
  <c r="AC593" i="3"/>
  <c r="R593" i="3"/>
  <c r="AC592" i="3"/>
  <c r="R592" i="3"/>
  <c r="AC591" i="3"/>
  <c r="R591" i="3"/>
  <c r="AC590" i="3"/>
  <c r="R590" i="3"/>
  <c r="AC589" i="3"/>
  <c r="R589" i="3"/>
  <c r="AC588" i="3"/>
  <c r="R588" i="3"/>
  <c r="AC587" i="3"/>
  <c r="R587" i="3"/>
  <c r="AC586" i="3"/>
  <c r="R586" i="3"/>
  <c r="AC585" i="3"/>
  <c r="R585" i="3"/>
  <c r="AC584" i="3"/>
  <c r="R584" i="3"/>
  <c r="AC583" i="3"/>
  <c r="R583" i="3"/>
  <c r="AC582" i="3"/>
  <c r="R582" i="3"/>
  <c r="AC581" i="3"/>
  <c r="R581" i="3"/>
  <c r="AC580" i="3"/>
  <c r="R580" i="3"/>
  <c r="R579" i="3"/>
  <c r="AC578" i="3"/>
  <c r="R578" i="3"/>
  <c r="R577" i="3"/>
  <c r="AC576" i="3"/>
  <c r="R576" i="3"/>
  <c r="R575" i="3"/>
  <c r="AC574" i="3"/>
  <c r="R574" i="3"/>
  <c r="AC573" i="3"/>
  <c r="R573" i="3"/>
  <c r="AC572" i="3"/>
  <c r="R572" i="3"/>
  <c r="AC571" i="3"/>
  <c r="R571" i="3"/>
  <c r="AC570" i="3"/>
  <c r="R570" i="3"/>
  <c r="AC569" i="3"/>
  <c r="R569" i="3"/>
  <c r="R568" i="3"/>
  <c r="AC567" i="3"/>
  <c r="R567" i="3"/>
  <c r="AC566" i="3"/>
  <c r="R566" i="3"/>
  <c r="R565" i="3"/>
  <c r="AC564" i="3"/>
  <c r="R564" i="3"/>
  <c r="AC563" i="3"/>
  <c r="R563" i="3"/>
  <c r="AC562" i="3"/>
  <c r="R562" i="3"/>
  <c r="AC561" i="3"/>
  <c r="R561" i="3"/>
  <c r="AC560" i="3"/>
  <c r="R560" i="3"/>
  <c r="AC559" i="3"/>
  <c r="R559" i="3"/>
  <c r="AC558" i="3"/>
  <c r="R558" i="3"/>
  <c r="AC557" i="3"/>
  <c r="R557" i="3"/>
  <c r="AC556" i="3"/>
  <c r="R556" i="3"/>
  <c r="AC555" i="3"/>
  <c r="R555" i="3"/>
  <c r="AC554" i="3"/>
  <c r="R554" i="3"/>
  <c r="AC553" i="3"/>
  <c r="R553" i="3"/>
  <c r="AC552" i="3"/>
  <c r="R552" i="3"/>
  <c r="AC551" i="3"/>
  <c r="R551" i="3"/>
  <c r="AC550" i="3"/>
  <c r="R550" i="3"/>
  <c r="AC549" i="3"/>
  <c r="R549" i="3"/>
  <c r="AC548" i="3"/>
  <c r="R548" i="3"/>
  <c r="AC547" i="3"/>
  <c r="R547" i="3"/>
  <c r="AC546" i="3"/>
  <c r="R546" i="3"/>
  <c r="AC545" i="3"/>
  <c r="R545" i="3"/>
  <c r="AC544" i="3"/>
  <c r="R544" i="3"/>
  <c r="AC543" i="3"/>
  <c r="R543" i="3"/>
  <c r="AC542" i="3"/>
  <c r="R542" i="3"/>
  <c r="AC541" i="3"/>
  <c r="R541" i="3"/>
  <c r="AC540" i="3"/>
  <c r="R540" i="3"/>
  <c r="AC539" i="3"/>
  <c r="R539" i="3"/>
  <c r="AC538" i="3"/>
  <c r="R538" i="3"/>
  <c r="AC537" i="3"/>
  <c r="R537" i="3"/>
  <c r="R536" i="3"/>
  <c r="AC535" i="3"/>
  <c r="R535" i="3"/>
  <c r="AC534" i="3"/>
  <c r="R534" i="3"/>
  <c r="R533" i="3"/>
  <c r="AC532" i="3"/>
  <c r="R532" i="3"/>
  <c r="AC531" i="3"/>
  <c r="R531" i="3"/>
  <c r="AC530" i="3"/>
  <c r="R530" i="3"/>
  <c r="AC529" i="3"/>
  <c r="R529" i="3"/>
  <c r="R528" i="3"/>
  <c r="AC527" i="3"/>
  <c r="R527" i="3"/>
  <c r="AC526" i="3"/>
  <c r="R526" i="3"/>
  <c r="AC525" i="3"/>
  <c r="R525" i="3"/>
  <c r="AC524" i="3"/>
  <c r="R524" i="3"/>
  <c r="AC523" i="3"/>
  <c r="R523" i="3"/>
  <c r="R522" i="3"/>
  <c r="R521" i="3"/>
  <c r="AC520" i="3"/>
  <c r="R520" i="3"/>
  <c r="AC519" i="3"/>
  <c r="R519" i="3"/>
  <c r="AC518" i="3"/>
  <c r="R518" i="3"/>
  <c r="AC517" i="3"/>
  <c r="R517" i="3"/>
  <c r="R516" i="3"/>
  <c r="R515" i="3"/>
  <c r="AC514" i="3"/>
  <c r="R514" i="3"/>
  <c r="R513" i="3"/>
  <c r="AC512" i="3"/>
  <c r="R512" i="3"/>
  <c r="R511" i="3"/>
  <c r="AC510" i="3"/>
  <c r="R510" i="3"/>
  <c r="AC509" i="3"/>
  <c r="R509" i="3"/>
  <c r="R508" i="3"/>
  <c r="AC507" i="3"/>
  <c r="R507" i="3"/>
  <c r="AC506" i="3"/>
  <c r="R506" i="3"/>
  <c r="R505" i="3"/>
  <c r="AC504" i="3"/>
  <c r="R504" i="3"/>
  <c r="AC503" i="3"/>
  <c r="R503" i="3"/>
  <c r="R502" i="3"/>
  <c r="R501" i="3"/>
  <c r="AC500" i="3"/>
  <c r="R500" i="3"/>
  <c r="AC499" i="3"/>
  <c r="R499" i="3"/>
  <c r="AC498" i="3"/>
  <c r="R498" i="3"/>
  <c r="AC497" i="3"/>
  <c r="R497" i="3"/>
  <c r="AC496" i="3"/>
  <c r="R496" i="3"/>
  <c r="AC495" i="3"/>
  <c r="R495" i="3"/>
  <c r="AC494" i="3"/>
  <c r="R494" i="3"/>
  <c r="AC493" i="3"/>
  <c r="R493" i="3"/>
  <c r="AC492" i="3"/>
  <c r="R492" i="3"/>
  <c r="R491" i="3"/>
  <c r="AC490" i="3"/>
  <c r="R490" i="3"/>
  <c r="AC489" i="3"/>
  <c r="R489" i="3"/>
  <c r="AC488" i="3"/>
  <c r="R488" i="3"/>
  <c r="AC487" i="3"/>
  <c r="R487" i="3"/>
  <c r="R486" i="3"/>
  <c r="AC485" i="3"/>
  <c r="R485" i="3"/>
  <c r="AC484" i="3"/>
  <c r="R484" i="3"/>
  <c r="AC483" i="3"/>
  <c r="R483" i="3"/>
  <c r="R482" i="3"/>
  <c r="AC481" i="3"/>
  <c r="R481" i="3"/>
  <c r="AC480" i="3"/>
  <c r="R480" i="3"/>
  <c r="AC479" i="3"/>
  <c r="R479" i="3"/>
  <c r="AC478" i="3"/>
  <c r="R478" i="3"/>
  <c r="AC477" i="3"/>
  <c r="R477" i="3"/>
  <c r="AC476" i="3"/>
  <c r="R476" i="3"/>
  <c r="AC475" i="3"/>
  <c r="R475" i="3"/>
  <c r="AC474" i="3"/>
  <c r="R474" i="3"/>
  <c r="AC473" i="3"/>
  <c r="R473" i="3"/>
  <c r="AC472" i="3"/>
  <c r="R472" i="3"/>
  <c r="AC471" i="3"/>
  <c r="R471" i="3"/>
  <c r="R470" i="3"/>
  <c r="AC469" i="3"/>
  <c r="R469" i="3"/>
  <c r="AC468" i="3"/>
  <c r="R468" i="3"/>
  <c r="AC467" i="3"/>
  <c r="R467" i="3"/>
  <c r="R466" i="3"/>
  <c r="AC465" i="3"/>
  <c r="R465" i="3"/>
  <c r="AC464" i="3"/>
  <c r="R464" i="3"/>
  <c r="R463" i="3"/>
  <c r="AC462" i="3"/>
  <c r="R462" i="3"/>
  <c r="R461" i="3"/>
  <c r="AC460" i="3"/>
  <c r="R460" i="3"/>
  <c r="AC459" i="3"/>
  <c r="R459" i="3"/>
  <c r="AC458" i="3"/>
  <c r="R458" i="3"/>
  <c r="AC457" i="3"/>
  <c r="R457" i="3"/>
  <c r="AC456" i="3"/>
  <c r="R456" i="3"/>
  <c r="R455" i="3"/>
  <c r="AC454" i="3"/>
  <c r="R454" i="3"/>
  <c r="AC453" i="3"/>
  <c r="R453" i="3"/>
  <c r="R452" i="3"/>
  <c r="AC451" i="3"/>
  <c r="R451" i="3"/>
  <c r="R450" i="3"/>
  <c r="AC449" i="3"/>
  <c r="R449" i="3"/>
  <c r="AC448" i="3"/>
  <c r="R448" i="3"/>
  <c r="AC447" i="3"/>
  <c r="R447" i="3"/>
  <c r="AC446" i="3"/>
  <c r="R446" i="3"/>
  <c r="AC445" i="3"/>
  <c r="R445" i="3"/>
  <c r="AC444" i="3"/>
  <c r="R444" i="3"/>
  <c r="AC443" i="3"/>
  <c r="R443" i="3"/>
  <c r="AC442" i="3"/>
  <c r="R442" i="3"/>
  <c r="R441" i="3"/>
  <c r="AC440" i="3"/>
  <c r="R440" i="3"/>
  <c r="R439" i="3"/>
  <c r="AC438" i="3"/>
  <c r="R438" i="3"/>
  <c r="AC437" i="3"/>
  <c r="R437" i="3"/>
  <c r="AC436" i="3"/>
  <c r="R436" i="3"/>
  <c r="AC435" i="3"/>
  <c r="R435" i="3"/>
  <c r="AC434" i="3"/>
  <c r="R434" i="3"/>
  <c r="AC433" i="3"/>
  <c r="R433" i="3"/>
  <c r="AC432" i="3"/>
  <c r="R432" i="3"/>
  <c r="AC431" i="3"/>
  <c r="R431" i="3"/>
  <c r="AC430" i="3"/>
  <c r="R430" i="3"/>
  <c r="R429" i="3"/>
  <c r="R428" i="3"/>
  <c r="R427" i="3"/>
  <c r="R426" i="3"/>
  <c r="AC425" i="3"/>
  <c r="R425" i="3"/>
  <c r="AC424" i="3"/>
  <c r="R424" i="3"/>
  <c r="AC423" i="3"/>
  <c r="R423" i="3"/>
  <c r="AC422" i="3"/>
  <c r="R422" i="3"/>
  <c r="AC421" i="3"/>
  <c r="R421" i="3"/>
  <c r="AC420" i="3"/>
  <c r="R420" i="3"/>
  <c r="AC419" i="3"/>
  <c r="R419" i="3"/>
  <c r="AC418" i="3"/>
  <c r="R418" i="3"/>
  <c r="AC417" i="3"/>
  <c r="R417" i="3"/>
  <c r="AC416" i="3"/>
  <c r="R416" i="3"/>
  <c r="R415" i="3"/>
  <c r="AC414" i="3"/>
  <c r="R414" i="3"/>
  <c r="AC413" i="3"/>
  <c r="R413" i="3"/>
  <c r="AC412" i="3"/>
  <c r="R412" i="3"/>
  <c r="AC411" i="3"/>
  <c r="R411" i="3"/>
  <c r="AC410" i="3"/>
  <c r="AC409" i="3"/>
  <c r="R409" i="3"/>
  <c r="AC408" i="3"/>
  <c r="R408" i="3"/>
  <c r="AC407" i="3"/>
  <c r="R407" i="3"/>
  <c r="AC406" i="3"/>
  <c r="R406" i="3"/>
  <c r="AC405" i="3"/>
  <c r="R405" i="3"/>
  <c r="R404" i="3"/>
  <c r="AC403" i="3"/>
  <c r="R403" i="3"/>
  <c r="AC402" i="3"/>
  <c r="R402" i="3"/>
  <c r="AC401" i="3"/>
  <c r="R401" i="3"/>
  <c r="R400" i="3"/>
  <c r="AC399" i="3"/>
  <c r="R399" i="3"/>
  <c r="AC398" i="3"/>
  <c r="R398" i="3"/>
  <c r="AC397" i="3"/>
  <c r="R397" i="3"/>
  <c r="R396" i="3"/>
  <c r="AC395" i="3"/>
  <c r="R395" i="3"/>
  <c r="AC394" i="3"/>
  <c r="R394" i="3"/>
  <c r="AC393" i="3"/>
  <c r="R393" i="3"/>
  <c r="AC392" i="3"/>
  <c r="R392" i="3"/>
  <c r="AC391" i="3"/>
  <c r="R391" i="3"/>
  <c r="AC390" i="3"/>
  <c r="R390" i="3"/>
  <c r="AC389" i="3"/>
  <c r="R389" i="3"/>
  <c r="AC388" i="3"/>
  <c r="R388" i="3"/>
  <c r="AB387" i="3"/>
  <c r="AC387" i="3" s="1"/>
  <c r="R387" i="3"/>
  <c r="R386" i="3"/>
  <c r="AC385" i="3"/>
  <c r="R385" i="3"/>
  <c r="AC384" i="3"/>
  <c r="R384" i="3"/>
  <c r="AC383" i="3"/>
  <c r="R383" i="3"/>
  <c r="AC382" i="3"/>
  <c r="R382" i="3"/>
  <c r="R381" i="3"/>
  <c r="AC380" i="3"/>
  <c r="R380" i="3"/>
  <c r="AC379" i="3"/>
  <c r="R379" i="3"/>
  <c r="AC378" i="3"/>
  <c r="R378" i="3"/>
  <c r="AC377" i="3"/>
  <c r="R377" i="3"/>
  <c r="AC376" i="3"/>
  <c r="R376" i="3"/>
  <c r="AC375" i="3"/>
  <c r="R375" i="3"/>
  <c r="R374" i="3" l="1"/>
  <c r="AA373" i="3"/>
  <c r="R373" i="3"/>
  <c r="R372" i="3"/>
  <c r="R371" i="3"/>
  <c r="R370" i="3"/>
  <c r="R369" i="3"/>
  <c r="R368" i="3"/>
  <c r="R367" i="3"/>
  <c r="R366" i="3"/>
  <c r="R365" i="3"/>
  <c r="AC364" i="3"/>
  <c r="R364" i="3"/>
  <c r="R363" i="3"/>
  <c r="R362" i="3"/>
  <c r="AC361" i="3"/>
  <c r="Q361" i="3"/>
  <c r="R361" i="3" s="1"/>
  <c r="AC360" i="3"/>
  <c r="R360" i="3"/>
  <c r="AA359" i="3"/>
  <c r="R359" i="3"/>
  <c r="AA358" i="3"/>
  <c r="R358" i="3"/>
  <c r="AA357" i="3"/>
  <c r="R357" i="3"/>
  <c r="AA356" i="3"/>
  <c r="R356" i="3"/>
  <c r="AA355" i="3"/>
  <c r="Q355" i="3"/>
  <c r="R355" i="3" s="1"/>
  <c r="AA354" i="3"/>
  <c r="R354" i="3"/>
  <c r="AA353" i="3"/>
  <c r="R353" i="3"/>
  <c r="AA352" i="3"/>
  <c r="R352" i="3"/>
  <c r="R351" i="3"/>
  <c r="R350" i="3"/>
  <c r="R349" i="3"/>
  <c r="R348" i="3"/>
  <c r="R347" i="3"/>
  <c r="AC346" i="3"/>
  <c r="R346" i="3"/>
  <c r="R345" i="3"/>
  <c r="R344" i="3"/>
  <c r="R343" i="3"/>
  <c r="R342" i="3"/>
  <c r="R341" i="3"/>
  <c r="R340" i="3"/>
  <c r="R339" i="3"/>
  <c r="R338" i="3"/>
  <c r="R337" i="3"/>
  <c r="R336" i="3"/>
  <c r="Q335" i="3"/>
  <c r="R335" i="3" s="1"/>
  <c r="R334" i="3"/>
  <c r="R333" i="3"/>
  <c r="R332" i="3"/>
  <c r="AC331" i="3"/>
  <c r="Q331" i="3"/>
  <c r="R331" i="3" s="1"/>
  <c r="AC330" i="3"/>
  <c r="R330" i="3"/>
  <c r="R329" i="3"/>
  <c r="R328" i="3"/>
  <c r="R327" i="3"/>
  <c r="Q326" i="3"/>
  <c r="R326" i="3" s="1"/>
  <c r="R325" i="3"/>
  <c r="R324" i="3"/>
  <c r="R323" i="3"/>
  <c r="R322" i="3"/>
  <c r="R321" i="3"/>
  <c r="AA320" i="3"/>
  <c r="Q320" i="3"/>
  <c r="R320" i="3" s="1"/>
  <c r="AA319" i="3"/>
  <c r="R319" i="3"/>
  <c r="R318" i="3"/>
  <c r="Q317" i="3"/>
  <c r="R317" i="3" s="1"/>
  <c r="R316" i="3"/>
  <c r="R315" i="3"/>
  <c r="R314" i="3"/>
  <c r="Q313" i="3"/>
  <c r="R313" i="3" s="1"/>
  <c r="Q312" i="3"/>
  <c r="R312" i="3" s="1"/>
  <c r="R311" i="3"/>
  <c r="AC310" i="3"/>
  <c r="R310" i="3"/>
  <c r="AC309" i="3"/>
  <c r="R309" i="3"/>
  <c r="AC308" i="3"/>
  <c r="R308" i="3"/>
  <c r="AC307" i="3"/>
  <c r="R307" i="3"/>
  <c r="AC306" i="3"/>
  <c r="R306" i="3"/>
  <c r="AC305" i="3"/>
  <c r="R305" i="3"/>
  <c r="AC304" i="3"/>
  <c r="Q304" i="3"/>
  <c r="R304" i="3" s="1"/>
  <c r="AC303" i="3"/>
  <c r="R303" i="3"/>
  <c r="AC302" i="3"/>
  <c r="R302" i="3"/>
  <c r="AC301" i="3"/>
  <c r="Q301" i="3"/>
  <c r="R301" i="3" s="1"/>
  <c r="AC300" i="3"/>
  <c r="R300" i="3"/>
  <c r="AC299" i="3"/>
  <c r="Q299" i="3"/>
  <c r="R299" i="3" s="1"/>
  <c r="AC298" i="3"/>
  <c r="Q298" i="3"/>
  <c r="R298" i="3" s="1"/>
  <c r="AC297" i="3"/>
  <c r="Q297" i="3"/>
  <c r="R297" i="3" s="1"/>
  <c r="AC296" i="3"/>
  <c r="Q296" i="3"/>
  <c r="R296" i="3" s="1"/>
  <c r="AC295" i="3"/>
  <c r="Q295" i="3"/>
  <c r="R295" i="3" s="1"/>
  <c r="AC294" i="3"/>
  <c r="R294" i="3"/>
  <c r="R293" i="3"/>
  <c r="AC292" i="3"/>
  <c r="R292" i="3"/>
  <c r="AC291" i="3"/>
  <c r="R291" i="3"/>
  <c r="R290" i="3"/>
  <c r="AC289" i="3"/>
  <c r="R289" i="3"/>
  <c r="AC288" i="3"/>
  <c r="R288" i="3"/>
  <c r="AC287" i="3"/>
  <c r="R287" i="3"/>
  <c r="AC286" i="3"/>
  <c r="R286" i="3"/>
  <c r="AC285" i="3"/>
  <c r="P285" i="3"/>
  <c r="R285" i="3" s="1"/>
  <c r="R284" i="3"/>
  <c r="R283" i="3"/>
  <c r="R282" i="3"/>
  <c r="AC281" i="3"/>
  <c r="Q281" i="3"/>
  <c r="R281" i="3" s="1"/>
  <c r="AC280" i="3"/>
  <c r="R280" i="3"/>
  <c r="AC279" i="3"/>
  <c r="R279" i="3"/>
  <c r="AC278" i="3"/>
  <c r="R278" i="3"/>
  <c r="AC277" i="3"/>
  <c r="Q277" i="3"/>
  <c r="R277" i="3" s="1"/>
  <c r="AC276" i="3"/>
  <c r="R276" i="3"/>
  <c r="AC275" i="3"/>
  <c r="R275" i="3"/>
  <c r="AC274" i="3"/>
  <c r="R274" i="3"/>
  <c r="R273" i="3"/>
  <c r="R272" i="3"/>
  <c r="Q271" i="3"/>
  <c r="R271" i="3" s="1"/>
  <c r="R270" i="3"/>
  <c r="R269" i="3"/>
  <c r="Q268" i="3"/>
  <c r="R268" i="3" s="1"/>
  <c r="R267" i="3"/>
  <c r="Q266" i="3"/>
  <c r="R266" i="3" s="1"/>
  <c r="R265" i="3"/>
  <c r="R264" i="3"/>
  <c r="Q263" i="3"/>
  <c r="R263" i="3" s="1"/>
  <c r="R262" i="3"/>
  <c r="R261" i="3"/>
  <c r="Q260" i="3"/>
  <c r="R260" i="3" s="1"/>
  <c r="R259" i="3"/>
  <c r="R258" i="3"/>
  <c r="R257" i="3"/>
  <c r="R256" i="3"/>
  <c r="Q255" i="3"/>
  <c r="R255" i="3" s="1"/>
  <c r="R254" i="3"/>
  <c r="R253" i="3"/>
  <c r="R252" i="3"/>
  <c r="AC251" i="3"/>
  <c r="Q251" i="3"/>
  <c r="R251" i="3" s="1"/>
  <c r="AC250" i="3"/>
  <c r="R250" i="3"/>
  <c r="AC249" i="3"/>
  <c r="R249" i="3"/>
  <c r="AC248" i="3"/>
  <c r="R248" i="3"/>
  <c r="AC247" i="3"/>
  <c r="R247" i="3"/>
  <c r="AC246" i="3"/>
  <c r="R246" i="3"/>
  <c r="R245" i="3"/>
  <c r="R244" i="3"/>
  <c r="R243" i="3"/>
  <c r="R242" i="3"/>
  <c r="R241" i="3"/>
  <c r="R48" i="3" l="1"/>
  <c r="AC94" i="3" l="1"/>
  <c r="R184" i="3" l="1"/>
  <c r="Q18" i="4" l="1"/>
  <c r="Q17" i="4"/>
  <c r="Q14" i="4" l="1"/>
  <c r="Q13" i="4"/>
  <c r="Q12" i="4"/>
  <c r="Q11" i="4"/>
  <c r="R10" i="4"/>
  <c r="R9" i="4" l="1"/>
  <c r="R8" i="4"/>
  <c r="R7" i="4"/>
  <c r="R6" i="4"/>
  <c r="R185" i="3" l="1"/>
  <c r="R186" i="3"/>
  <c r="R183" i="3"/>
  <c r="R5" i="4" l="1"/>
  <c r="R4" i="4"/>
  <c r="R3" i="4"/>
  <c r="R2" i="4"/>
  <c r="Q240" i="3" l="1"/>
  <c r="R240" i="3" s="1"/>
  <c r="Q239" i="3"/>
  <c r="R239" i="3" s="1"/>
  <c r="Q238" i="3"/>
  <c r="R238" i="3" s="1"/>
  <c r="Q237" i="3"/>
  <c r="R237" i="3" s="1"/>
  <c r="Q236" i="3"/>
  <c r="R236" i="3" s="1"/>
  <c r="Q235" i="3"/>
  <c r="R235" i="3" s="1"/>
  <c r="Q234" i="3"/>
  <c r="R234" i="3" s="1"/>
  <c r="Q233" i="3"/>
  <c r="R233" i="3" s="1"/>
  <c r="V232" i="3"/>
  <c r="Q232" i="3"/>
  <c r="R232" i="3" s="1"/>
  <c r="Q231" i="3"/>
  <c r="R231" i="3" s="1"/>
  <c r="Q230" i="3"/>
  <c r="R230" i="3" s="1"/>
  <c r="Q229" i="3"/>
  <c r="R229" i="3" s="1"/>
  <c r="Q228" i="3"/>
  <c r="R228" i="3" s="1"/>
  <c r="Q227" i="3"/>
  <c r="R227" i="3" s="1"/>
  <c r="Q226" i="3"/>
  <c r="R226" i="3" s="1"/>
  <c r="Q225" i="3"/>
  <c r="R225" i="3" s="1"/>
  <c r="Q224" i="3"/>
  <c r="R224" i="3" s="1"/>
  <c r="Q223" i="3"/>
  <c r="R223" i="3" s="1"/>
  <c r="Q222" i="3"/>
  <c r="R222" i="3" s="1"/>
  <c r="Q221" i="3"/>
  <c r="R221" i="3" s="1"/>
  <c r="Q220" i="3"/>
  <c r="R220" i="3" s="1"/>
  <c r="Q219" i="3"/>
  <c r="R219" i="3" s="1"/>
  <c r="Q218" i="3"/>
  <c r="R218" i="3" s="1"/>
  <c r="Q217" i="3"/>
  <c r="R217" i="3" s="1"/>
  <c r="Q216" i="3"/>
  <c r="R216" i="3" s="1"/>
  <c r="Q215" i="3"/>
  <c r="R215" i="3" s="1"/>
  <c r="Q214" i="3"/>
  <c r="R214" i="3" s="1"/>
  <c r="R213" i="3"/>
  <c r="P213" i="3"/>
  <c r="Q212" i="3"/>
  <c r="R212" i="3" s="1"/>
  <c r="Q211" i="3"/>
  <c r="R211" i="3" s="1"/>
  <c r="Q210" i="3"/>
  <c r="R210" i="3" s="1"/>
  <c r="Q209" i="3"/>
  <c r="R209" i="3" s="1"/>
  <c r="Q208" i="3"/>
  <c r="R208" i="3" s="1"/>
  <c r="Q207" i="3"/>
  <c r="R207" i="3" s="1"/>
  <c r="Q206" i="3"/>
  <c r="R206" i="3" s="1"/>
  <c r="Q205" i="3"/>
  <c r="R205" i="3" s="1"/>
  <c r="Q204" i="3"/>
  <c r="R204" i="3" s="1"/>
  <c r="Q203" i="3"/>
  <c r="R203" i="3" s="1"/>
  <c r="Q202" i="3"/>
  <c r="R202" i="3" s="1"/>
  <c r="W201" i="3"/>
  <c r="Q201" i="3"/>
  <c r="R201" i="3" s="1"/>
  <c r="Q200" i="3"/>
  <c r="R200" i="3" s="1"/>
  <c r="Q199" i="3"/>
  <c r="R199" i="3" s="1"/>
  <c r="Q198" i="3"/>
  <c r="R198" i="3" s="1"/>
  <c r="Q197" i="3"/>
  <c r="R197" i="3" s="1"/>
  <c r="Q196" i="3"/>
  <c r="R196" i="3" s="1"/>
  <c r="Q195" i="3"/>
  <c r="R195" i="3" s="1"/>
  <c r="Q194" i="3"/>
  <c r="R194" i="3" s="1"/>
  <c r="Q193" i="3"/>
  <c r="R193" i="3" s="1"/>
  <c r="Q192" i="3"/>
  <c r="R192" i="3" s="1"/>
  <c r="Q191" i="3"/>
  <c r="R191" i="3" s="1"/>
  <c r="Q190" i="3"/>
  <c r="R190" i="3" s="1"/>
  <c r="Q189" i="3"/>
  <c r="R189" i="3" s="1"/>
  <c r="Q188" i="3"/>
  <c r="R188" i="3" s="1"/>
  <c r="Q187" i="3"/>
  <c r="R187" i="3" s="1"/>
  <c r="R182" i="3"/>
  <c r="AC181" i="3"/>
  <c r="R181" i="3"/>
  <c r="AC180" i="3"/>
  <c r="R180" i="3"/>
  <c r="R179" i="3"/>
  <c r="R178" i="3"/>
  <c r="R177" i="3"/>
  <c r="AC176" i="3"/>
  <c r="R176" i="3"/>
  <c r="AC175" i="3"/>
  <c r="R175" i="3"/>
  <c r="AC174" i="3"/>
  <c r="R174" i="3"/>
  <c r="AC173" i="3"/>
  <c r="R173" i="3"/>
  <c r="R172" i="3"/>
  <c r="AC171" i="3"/>
  <c r="R171" i="3"/>
  <c r="AC170" i="3"/>
  <c r="R170" i="3"/>
  <c r="AC169" i="3"/>
  <c r="R169" i="3"/>
  <c r="AC168" i="3"/>
  <c r="R168" i="3"/>
  <c r="AC167" i="3"/>
  <c r="R167" i="3"/>
  <c r="R166" i="3"/>
  <c r="R165" i="3"/>
  <c r="R164" i="3"/>
  <c r="R163" i="3"/>
  <c r="R162" i="3"/>
  <c r="AC161" i="3"/>
  <c r="R161" i="3"/>
  <c r="AC160" i="3"/>
  <c r="R160" i="3"/>
  <c r="AC159" i="3"/>
  <c r="R159" i="3"/>
  <c r="AC158" i="3"/>
  <c r="R158" i="3"/>
  <c r="AC157" i="3"/>
  <c r="R157" i="3"/>
  <c r="R156" i="3"/>
  <c r="R155" i="3"/>
  <c r="R154" i="3"/>
  <c r="R153" i="3"/>
  <c r="R152" i="3"/>
  <c r="R151" i="3"/>
  <c r="R150" i="3"/>
  <c r="AC149" i="3"/>
  <c r="R149" i="3"/>
  <c r="AC148" i="3"/>
  <c r="R148" i="3"/>
  <c r="AC147" i="3"/>
  <c r="R147" i="3"/>
  <c r="AC146" i="3"/>
  <c r="R146" i="3"/>
  <c r="AC145" i="3"/>
  <c r="R145" i="3"/>
  <c r="AC144" i="3"/>
  <c r="R144" i="3"/>
  <c r="R143" i="3"/>
  <c r="R142" i="3"/>
  <c r="R141" i="3"/>
  <c r="R140" i="3"/>
  <c r="AC139" i="3"/>
  <c r="R139" i="3"/>
  <c r="R138" i="3"/>
  <c r="R137" i="3"/>
  <c r="AC136" i="3"/>
  <c r="R136" i="3"/>
  <c r="AC135" i="3"/>
  <c r="R135" i="3"/>
  <c r="AC134" i="3"/>
  <c r="R134" i="3"/>
  <c r="AC133" i="3"/>
  <c r="R133" i="3"/>
  <c r="AC132" i="3"/>
  <c r="R132" i="3"/>
  <c r="AC131" i="3"/>
  <c r="R131" i="3"/>
  <c r="AC130" i="3"/>
  <c r="R130" i="3"/>
  <c r="AC129" i="3"/>
  <c r="R129" i="3"/>
  <c r="AC128" i="3"/>
  <c r="R128" i="3"/>
  <c r="AC127" i="3"/>
  <c r="R127" i="3"/>
  <c r="R126" i="3"/>
  <c r="R125" i="3"/>
  <c r="R124" i="3"/>
  <c r="AC123" i="3"/>
  <c r="R123" i="3"/>
  <c r="R122" i="3"/>
  <c r="AC121" i="3"/>
  <c r="R121" i="3"/>
  <c r="AC120" i="3"/>
  <c r="R120" i="3"/>
  <c r="AC119" i="3"/>
  <c r="R119" i="3"/>
  <c r="AC118" i="3"/>
  <c r="R118" i="3"/>
  <c r="AC117" i="3"/>
  <c r="R117" i="3"/>
  <c r="AC116" i="3"/>
  <c r="R116" i="3"/>
  <c r="R115" i="3"/>
  <c r="AC114" i="3"/>
  <c r="R114" i="3"/>
  <c r="AC113" i="3"/>
  <c r="R113" i="3"/>
  <c r="R112" i="3"/>
  <c r="AC111" i="3"/>
  <c r="R111" i="3"/>
  <c r="AC110" i="3"/>
  <c r="R110" i="3"/>
  <c r="R109" i="3"/>
  <c r="R108" i="3"/>
  <c r="R107" i="3"/>
  <c r="R106" i="3"/>
  <c r="R105" i="3"/>
  <c r="R104" i="3"/>
  <c r="R103" i="3"/>
  <c r="R102" i="3"/>
  <c r="R101" i="3"/>
  <c r="R100" i="3"/>
  <c r="R99" i="3"/>
  <c r="R98" i="3"/>
  <c r="R97" i="3"/>
  <c r="R96" i="3"/>
  <c r="AC95" i="3"/>
  <c r="R95" i="3"/>
  <c r="R93" i="3"/>
  <c r="R92" i="3"/>
  <c r="AC91" i="3"/>
  <c r="R91" i="3"/>
  <c r="R90" i="3"/>
  <c r="R89" i="3"/>
  <c r="R88" i="3"/>
  <c r="R87" i="3"/>
  <c r="R86" i="3"/>
  <c r="R85" i="3"/>
  <c r="R84" i="3"/>
  <c r="R83" i="3"/>
  <c r="R82" i="3"/>
  <c r="AC81" i="3"/>
  <c r="R81" i="3"/>
  <c r="R80" i="3"/>
  <c r="AC79" i="3"/>
  <c r="R79" i="3"/>
  <c r="R78" i="3"/>
  <c r="R77" i="3"/>
  <c r="R76" i="3"/>
  <c r="R75" i="3"/>
  <c r="R74" i="3"/>
  <c r="R73" i="3"/>
  <c r="AC72" i="3"/>
  <c r="R72" i="3"/>
  <c r="R71" i="3"/>
  <c r="R70" i="3"/>
  <c r="AC69" i="3"/>
  <c r="R69" i="3"/>
  <c r="R68" i="3"/>
  <c r="R67" i="3"/>
  <c r="AC66" i="3"/>
  <c r="R66" i="3"/>
  <c r="R65" i="3"/>
  <c r="R64" i="3"/>
  <c r="R63" i="3"/>
  <c r="AC62" i="3"/>
  <c r="R62" i="3"/>
  <c r="AC61" i="3"/>
  <c r="R61" i="3"/>
  <c r="AA60" i="3"/>
  <c r="R60" i="3"/>
  <c r="R59" i="3"/>
  <c r="AA58" i="3"/>
  <c r="R58" i="3"/>
  <c r="AA57" i="3"/>
  <c r="R57" i="3"/>
  <c r="AC56" i="3"/>
  <c r="R56" i="3"/>
  <c r="R55" i="3"/>
  <c r="R54" i="3"/>
  <c r="AC53" i="3"/>
  <c r="R53" i="3"/>
  <c r="R52" i="3"/>
  <c r="R51" i="3"/>
  <c r="R50" i="3"/>
  <c r="R49" i="3"/>
  <c r="R47" i="3"/>
  <c r="R46" i="3"/>
  <c r="R45" i="3"/>
  <c r="R44" i="3"/>
  <c r="R43" i="3"/>
  <c r="R42" i="3"/>
  <c r="R41" i="3"/>
  <c r="R40" i="3"/>
  <c r="R39" i="3"/>
  <c r="R38" i="3"/>
  <c r="R37" i="3"/>
  <c r="R36" i="3"/>
  <c r="R35" i="3"/>
  <c r="R34" i="3"/>
  <c r="R32" i="3"/>
  <c r="R31" i="3"/>
  <c r="AC30" i="3"/>
  <c r="R30" i="3"/>
  <c r="R29" i="3"/>
  <c r="R28" i="3"/>
  <c r="R27" i="3"/>
  <c r="R26" i="3"/>
  <c r="R25" i="3"/>
  <c r="R24" i="3"/>
  <c r="AC23" i="3"/>
  <c r="R23" i="3"/>
  <c r="R22" i="3"/>
  <c r="R21" i="3"/>
  <c r="R20" i="3"/>
  <c r="R19" i="3"/>
  <c r="R18" i="3"/>
  <c r="R17" i="3"/>
  <c r="R16" i="3"/>
  <c r="R15" i="3"/>
  <c r="R14" i="3"/>
  <c r="R13" i="3"/>
  <c r="R12" i="3"/>
  <c r="R11" i="3"/>
  <c r="R10" i="3"/>
  <c r="R9" i="3"/>
  <c r="R8" i="3"/>
  <c r="R7" i="3"/>
  <c r="R6" i="3"/>
  <c r="R5" i="3"/>
  <c r="R4" i="3"/>
  <c r="R3" i="3"/>
  <c r="AC2" i="3"/>
  <c r="R2" i="3"/>
  <c r="P2995" i="1"/>
  <c r="Q2995" i="1" s="1"/>
  <c r="P2994" i="1"/>
  <c r="Q2994" i="1" s="1"/>
  <c r="P2993" i="1"/>
  <c r="Q2993" i="1" s="1"/>
  <c r="P2992" i="1"/>
  <c r="Q2992" i="1" s="1"/>
  <c r="P2991" i="1"/>
  <c r="Q2991" i="1" s="1"/>
  <c r="P2990" i="1"/>
  <c r="Q2990" i="1" s="1"/>
  <c r="P2989" i="1"/>
  <c r="Q2989" i="1" s="1"/>
  <c r="P2988" i="1"/>
  <c r="Q2988" i="1" s="1"/>
  <c r="W2987" i="1"/>
  <c r="P2987" i="1"/>
  <c r="Q2987" i="1" s="1"/>
  <c r="P2986" i="1"/>
  <c r="Q2986" i="1" s="1"/>
  <c r="P2985" i="1"/>
  <c r="Q2985" i="1" s="1"/>
  <c r="Q2984" i="1"/>
  <c r="P2984" i="1"/>
  <c r="P2983" i="1"/>
  <c r="Q2983" i="1" s="1"/>
  <c r="P2982" i="1"/>
  <c r="Q2982" i="1" s="1"/>
  <c r="P2981" i="1"/>
  <c r="Q2981" i="1" s="1"/>
  <c r="P2980" i="1"/>
  <c r="Q2980" i="1" s="1"/>
  <c r="Q2979" i="1"/>
  <c r="P2978" i="1"/>
  <c r="Q2978" i="1" s="1"/>
  <c r="P2977" i="1"/>
  <c r="Q2977" i="1" s="1"/>
  <c r="P2976" i="1"/>
  <c r="Q2976" i="1" s="1"/>
  <c r="P2975" i="1"/>
  <c r="Q2975" i="1" s="1"/>
  <c r="P2974" i="1"/>
  <c r="Q2974" i="1" s="1"/>
  <c r="Q2973" i="1"/>
  <c r="P2973" i="1"/>
  <c r="P2972" i="1"/>
  <c r="Q2972" i="1" s="1"/>
  <c r="P2971" i="1"/>
  <c r="Q2971" i="1" s="1"/>
  <c r="P2970" i="1"/>
  <c r="Q2970" i="1" s="1"/>
  <c r="P2969" i="1"/>
  <c r="Q2969" i="1" s="1"/>
  <c r="P2968" i="1"/>
  <c r="Q2968" i="1" s="1"/>
  <c r="P2967" i="1"/>
  <c r="Q2967" i="1" s="1"/>
  <c r="Q2966" i="1"/>
  <c r="O2966" i="1"/>
  <c r="P2965" i="1"/>
  <c r="Q2965" i="1" s="1"/>
  <c r="P2964" i="1"/>
  <c r="Q2964" i="1" s="1"/>
  <c r="P2963" i="1"/>
  <c r="Q2963" i="1" s="1"/>
  <c r="Q2962" i="1"/>
  <c r="P2962" i="1"/>
  <c r="P2961" i="1"/>
  <c r="Q2961" i="1" s="1"/>
  <c r="P2960" i="1"/>
  <c r="Q2960" i="1" s="1"/>
  <c r="P2959" i="1"/>
  <c r="Q2959" i="1" s="1"/>
  <c r="P2958" i="1"/>
  <c r="Q2958" i="1" s="1"/>
  <c r="Q2957" i="1"/>
  <c r="P2957" i="1"/>
  <c r="P2956" i="1"/>
  <c r="Q2956" i="1" s="1"/>
  <c r="P2955" i="1"/>
  <c r="Q2955" i="1" s="1"/>
  <c r="X2954" i="1"/>
  <c r="P2954" i="1"/>
  <c r="Q2954" i="1" s="1"/>
  <c r="P2953" i="1"/>
  <c r="Q2953" i="1" s="1"/>
  <c r="P2952" i="1"/>
  <c r="Q2952" i="1" s="1"/>
  <c r="P2951" i="1"/>
  <c r="Q2951" i="1" s="1"/>
  <c r="P2950" i="1"/>
  <c r="Q2950" i="1" s="1"/>
  <c r="P2949" i="1"/>
  <c r="Q2949" i="1" s="1"/>
  <c r="P2948" i="1"/>
  <c r="Q2948" i="1" s="1"/>
  <c r="P2947" i="1"/>
  <c r="Q2947" i="1" s="1"/>
  <c r="P2946" i="1"/>
  <c r="Q2946" i="1" s="1"/>
  <c r="P2945" i="1"/>
  <c r="Q2945" i="1" s="1"/>
  <c r="Q2944" i="1"/>
  <c r="P2944" i="1"/>
  <c r="Q2943" i="1"/>
  <c r="P2942" i="1"/>
  <c r="Q2942" i="1" s="1"/>
  <c r="P2941" i="1"/>
  <c r="Q2941" i="1" s="1"/>
  <c r="P2940" i="1"/>
  <c r="Q2940" i="1" s="1"/>
  <c r="P2939" i="1"/>
  <c r="Q2939" i="1" s="1"/>
  <c r="Q2938" i="1"/>
  <c r="Q2937" i="1"/>
  <c r="Q2936" i="1"/>
  <c r="Q2935" i="1"/>
  <c r="Q2934" i="1"/>
  <c r="Q2933" i="1"/>
  <c r="Q2932" i="1"/>
  <c r="Q2931" i="1"/>
  <c r="Q2930" i="1"/>
  <c r="Q2929" i="1"/>
  <c r="Q2928" i="1"/>
  <c r="Q2927" i="1"/>
  <c r="Q2926" i="1"/>
  <c r="Q2925" i="1"/>
  <c r="Q2924" i="1"/>
  <c r="Q2923" i="1"/>
  <c r="Q2922" i="1"/>
  <c r="Q2921" i="1"/>
  <c r="Q2920" i="1"/>
  <c r="Q2919" i="1"/>
  <c r="AJ2918" i="1"/>
  <c r="AK2918" i="1" s="1"/>
  <c r="AD2918" i="1"/>
  <c r="Q2918" i="1"/>
  <c r="AJ2917" i="1"/>
  <c r="AK2917" i="1" s="1"/>
  <c r="AD2917" i="1"/>
  <c r="Q2917" i="1"/>
  <c r="AJ2916" i="1"/>
  <c r="AK2916" i="1" s="1"/>
  <c r="Q2916" i="1"/>
  <c r="AJ2915" i="1"/>
  <c r="AK2915" i="1" s="1"/>
  <c r="Q2915" i="1"/>
  <c r="AJ2914" i="1"/>
  <c r="AK2914" i="1" s="1"/>
  <c r="Q2914" i="1"/>
  <c r="AJ2913" i="1"/>
  <c r="AK2913" i="1" s="1"/>
  <c r="AD2913" i="1"/>
  <c r="Q2913" i="1"/>
  <c r="AJ2912" i="1"/>
  <c r="AK2912" i="1" s="1"/>
  <c r="AD2912" i="1"/>
  <c r="Q2912" i="1"/>
  <c r="AJ2911" i="1"/>
  <c r="AK2911" i="1" s="1"/>
  <c r="AD2911" i="1"/>
  <c r="Q2911" i="1"/>
  <c r="AJ2910" i="1"/>
  <c r="AK2910" i="1" s="1"/>
  <c r="AD2910" i="1"/>
  <c r="Q2910" i="1"/>
  <c r="AJ2909" i="1"/>
  <c r="AK2909" i="1" s="1"/>
  <c r="Q2909" i="1"/>
  <c r="AJ2908" i="1"/>
  <c r="AK2908" i="1" s="1"/>
  <c r="AD2908" i="1"/>
  <c r="Q2908" i="1"/>
  <c r="AJ2907" i="1"/>
  <c r="AK2907" i="1" s="1"/>
  <c r="AD2907" i="1"/>
  <c r="Q2907" i="1"/>
  <c r="AJ2906" i="1"/>
  <c r="AK2906" i="1" s="1"/>
  <c r="AD2906" i="1"/>
  <c r="Q2906" i="1"/>
  <c r="AJ2905" i="1"/>
  <c r="AK2905" i="1" s="1"/>
  <c r="AD2905" i="1"/>
  <c r="Q2905" i="1"/>
  <c r="AJ2904" i="1"/>
  <c r="AK2904" i="1" s="1"/>
  <c r="AD2904" i="1"/>
  <c r="Q2904" i="1"/>
  <c r="AJ2903" i="1"/>
  <c r="AK2903" i="1" s="1"/>
  <c r="Q2903" i="1"/>
  <c r="AJ2902" i="1"/>
  <c r="AK2902" i="1" s="1"/>
  <c r="Q2902" i="1"/>
  <c r="AJ2901" i="1"/>
  <c r="AK2901" i="1" s="1"/>
  <c r="Q2901" i="1"/>
  <c r="AJ2900" i="1"/>
  <c r="AK2900" i="1" s="1"/>
  <c r="Q2900" i="1"/>
  <c r="AJ2899" i="1"/>
  <c r="AK2899" i="1" s="1"/>
  <c r="Q2899" i="1"/>
  <c r="AJ2898" i="1"/>
  <c r="AK2898" i="1" s="1"/>
  <c r="AD2898" i="1"/>
  <c r="Q2898" i="1"/>
  <c r="AJ2897" i="1"/>
  <c r="AK2897" i="1" s="1"/>
  <c r="AD2897" i="1"/>
  <c r="Q2897" i="1"/>
  <c r="AJ2896" i="1"/>
  <c r="AK2896" i="1" s="1"/>
  <c r="AD2896" i="1"/>
  <c r="Q2896" i="1"/>
  <c r="AJ2895" i="1"/>
  <c r="AK2895" i="1" s="1"/>
  <c r="AD2895" i="1"/>
  <c r="Q2895" i="1"/>
  <c r="AJ2894" i="1"/>
  <c r="AK2894" i="1" s="1"/>
  <c r="AD2894" i="1"/>
  <c r="Q2894" i="1"/>
  <c r="AJ2893" i="1"/>
  <c r="AK2893" i="1" s="1"/>
  <c r="Q2893" i="1"/>
  <c r="AJ2892" i="1"/>
  <c r="AK2892" i="1" s="1"/>
  <c r="Q2892" i="1"/>
  <c r="AJ2891" i="1"/>
  <c r="AK2891" i="1" s="1"/>
  <c r="Q2891" i="1"/>
  <c r="AJ2890" i="1"/>
  <c r="AK2890" i="1" s="1"/>
  <c r="Q2890" i="1"/>
  <c r="AJ2889" i="1"/>
  <c r="AK2889" i="1" s="1"/>
  <c r="Q2889" i="1"/>
  <c r="AJ2888" i="1"/>
  <c r="AK2888" i="1" s="1"/>
  <c r="Q2888" i="1"/>
  <c r="AJ2887" i="1"/>
  <c r="AK2887" i="1" s="1"/>
  <c r="Q2887" i="1"/>
  <c r="AJ2886" i="1"/>
  <c r="AK2886" i="1" s="1"/>
  <c r="AD2886" i="1"/>
  <c r="Q2886" i="1"/>
  <c r="AJ2885" i="1"/>
  <c r="AK2885" i="1" s="1"/>
  <c r="AH2885" i="1"/>
  <c r="AD2885" i="1"/>
  <c r="Q2885" i="1"/>
  <c r="AJ2884" i="1"/>
  <c r="AK2884" i="1" s="1"/>
  <c r="AD2884" i="1"/>
  <c r="Q2884" i="1"/>
  <c r="AJ2883" i="1"/>
  <c r="AK2883" i="1" s="1"/>
  <c r="AH2883" i="1"/>
  <c r="AD2883" i="1"/>
  <c r="Q2883" i="1"/>
  <c r="AJ2882" i="1"/>
  <c r="AK2882" i="1" s="1"/>
  <c r="AD2882" i="1"/>
  <c r="Q2882" i="1"/>
  <c r="AJ2881" i="1"/>
  <c r="AK2881" i="1" s="1"/>
  <c r="AD2881" i="1"/>
  <c r="Q2881" i="1"/>
  <c r="AJ2880" i="1"/>
  <c r="AK2880" i="1" s="1"/>
  <c r="Q2880" i="1"/>
  <c r="AJ2879" i="1"/>
  <c r="AK2879" i="1" s="1"/>
  <c r="Q2879" i="1"/>
  <c r="AJ2878" i="1"/>
  <c r="AK2878" i="1" s="1"/>
  <c r="Q2878" i="1"/>
  <c r="AJ2877" i="1"/>
  <c r="AK2877" i="1" s="1"/>
  <c r="Q2877" i="1"/>
  <c r="AJ2876" i="1"/>
  <c r="AK2876" i="1" s="1"/>
  <c r="AH2876" i="1"/>
  <c r="AD2876" i="1"/>
  <c r="Q2876" i="1"/>
  <c r="AJ2875" i="1"/>
  <c r="AK2875" i="1" s="1"/>
  <c r="Q2875" i="1"/>
  <c r="AJ2874" i="1"/>
  <c r="AK2874" i="1" s="1"/>
  <c r="Q2874" i="1"/>
  <c r="AJ2873" i="1"/>
  <c r="AK2873" i="1" s="1"/>
  <c r="AD2873" i="1"/>
  <c r="Q2873" i="1"/>
  <c r="AJ2872" i="1"/>
  <c r="AK2872" i="1" s="1"/>
  <c r="AH2872" i="1"/>
  <c r="AD2872" i="1"/>
  <c r="Q2872" i="1"/>
  <c r="AJ2871" i="1"/>
  <c r="AK2871" i="1" s="1"/>
  <c r="AD2871" i="1"/>
  <c r="Q2871" i="1"/>
  <c r="AJ2870" i="1"/>
  <c r="AK2870" i="1" s="1"/>
  <c r="AD2870" i="1"/>
  <c r="Q2870" i="1"/>
  <c r="AJ2869" i="1"/>
  <c r="AK2869" i="1" s="1"/>
  <c r="AD2869" i="1"/>
  <c r="Q2869" i="1"/>
  <c r="AJ2868" i="1"/>
  <c r="AK2868" i="1" s="1"/>
  <c r="AD2868" i="1"/>
  <c r="Q2868" i="1"/>
  <c r="AJ2867" i="1"/>
  <c r="AK2867" i="1" s="1"/>
  <c r="AH2867" i="1"/>
  <c r="AD2867" i="1"/>
  <c r="Q2867" i="1"/>
  <c r="AJ2866" i="1"/>
  <c r="AK2866" i="1" s="1"/>
  <c r="AD2866" i="1"/>
  <c r="Q2866" i="1"/>
  <c r="AJ2865" i="1"/>
  <c r="AK2865" i="1" s="1"/>
  <c r="AD2865" i="1"/>
  <c r="Q2865" i="1"/>
  <c r="AJ2864" i="1"/>
  <c r="AK2864" i="1" s="1"/>
  <c r="AD2864" i="1"/>
  <c r="Q2864" i="1"/>
  <c r="AJ2863" i="1"/>
  <c r="AK2863" i="1" s="1"/>
  <c r="Q2863" i="1"/>
  <c r="AJ2862" i="1"/>
  <c r="AK2862" i="1" s="1"/>
  <c r="Q2862" i="1"/>
  <c r="AJ2861" i="1"/>
  <c r="AK2861" i="1" s="1"/>
  <c r="Q2861" i="1"/>
  <c r="AJ2860" i="1"/>
  <c r="AK2860" i="1" s="1"/>
  <c r="AH2860" i="1"/>
  <c r="AD2860" i="1"/>
  <c r="Q2860" i="1"/>
  <c r="AJ2859" i="1"/>
  <c r="AK2859" i="1" s="1"/>
  <c r="Q2859" i="1"/>
  <c r="AJ2858" i="1"/>
  <c r="AK2858" i="1" s="1"/>
  <c r="AD2858" i="1"/>
  <c r="Q2858" i="1"/>
  <c r="AJ2857" i="1"/>
  <c r="AK2857" i="1" s="1"/>
  <c r="AD2857" i="1"/>
  <c r="Q2857" i="1"/>
  <c r="AJ2856" i="1"/>
  <c r="AK2856" i="1" s="1"/>
  <c r="AD2856" i="1"/>
  <c r="Q2856" i="1"/>
  <c r="AJ2855" i="1"/>
  <c r="AK2855" i="1" s="1"/>
  <c r="AD2855" i="1"/>
  <c r="Q2855" i="1"/>
  <c r="AJ2854" i="1"/>
  <c r="AK2854" i="1" s="1"/>
  <c r="AD2854" i="1"/>
  <c r="Q2854" i="1"/>
  <c r="AJ2853" i="1"/>
  <c r="AK2853" i="1" s="1"/>
  <c r="AD2853" i="1"/>
  <c r="Q2853" i="1"/>
  <c r="AJ2852" i="1"/>
  <c r="AK2852" i="1" s="1"/>
  <c r="Q2852" i="1"/>
  <c r="AJ2851" i="1"/>
  <c r="AK2851" i="1" s="1"/>
  <c r="AD2851" i="1"/>
  <c r="Q2851" i="1"/>
  <c r="AJ2850" i="1"/>
  <c r="AK2850" i="1" s="1"/>
  <c r="AD2850" i="1"/>
  <c r="Q2850" i="1"/>
  <c r="AJ2849" i="1"/>
  <c r="AK2849" i="1" s="1"/>
  <c r="Q2849" i="1"/>
  <c r="AJ2848" i="1"/>
  <c r="AK2848" i="1" s="1"/>
  <c r="AD2848" i="1"/>
  <c r="Q2848" i="1"/>
  <c r="AJ2847" i="1"/>
  <c r="AK2847" i="1" s="1"/>
  <c r="AD2847" i="1"/>
  <c r="Q2847" i="1"/>
  <c r="AJ2846" i="1"/>
  <c r="AK2846" i="1" s="1"/>
  <c r="Q2846" i="1"/>
  <c r="AJ2845" i="1"/>
  <c r="AK2845" i="1" s="1"/>
  <c r="Q2845" i="1"/>
  <c r="AJ2844" i="1"/>
  <c r="AK2844" i="1" s="1"/>
  <c r="Q2844" i="1"/>
  <c r="AJ2843" i="1"/>
  <c r="AK2843" i="1" s="1"/>
  <c r="Q2843" i="1"/>
  <c r="AJ2842" i="1"/>
  <c r="AK2842" i="1" s="1"/>
  <c r="Q2842" i="1"/>
  <c r="AJ2841" i="1"/>
  <c r="AK2841" i="1" s="1"/>
  <c r="Q2841" i="1"/>
  <c r="AJ2840" i="1"/>
  <c r="AK2840" i="1" s="1"/>
  <c r="Q2840" i="1"/>
  <c r="AJ2839" i="1"/>
  <c r="AK2839" i="1" s="1"/>
  <c r="Q2839" i="1"/>
  <c r="AJ2838" i="1"/>
  <c r="AK2838" i="1" s="1"/>
  <c r="Q2838" i="1"/>
  <c r="AJ2837" i="1"/>
  <c r="AK2837" i="1" s="1"/>
  <c r="Q2837" i="1"/>
  <c r="AJ2836" i="1"/>
  <c r="AK2836" i="1" s="1"/>
  <c r="Q2836" i="1"/>
  <c r="AJ2835" i="1"/>
  <c r="AK2835" i="1" s="1"/>
  <c r="Q2835" i="1"/>
  <c r="AJ2834" i="1"/>
  <c r="AK2834" i="1" s="1"/>
  <c r="Q2834" i="1"/>
  <c r="AJ2833" i="1"/>
  <c r="AK2833" i="1" s="1"/>
  <c r="Q2833" i="1"/>
  <c r="AJ2832" i="1"/>
  <c r="AK2832" i="1" s="1"/>
  <c r="AD2832" i="1"/>
  <c r="Q2832" i="1"/>
  <c r="AJ2831" i="1"/>
  <c r="AK2831" i="1" s="1"/>
  <c r="Q2831" i="1"/>
  <c r="AJ2830" i="1"/>
  <c r="AK2830" i="1" s="1"/>
  <c r="Q2830" i="1"/>
  <c r="AJ2829" i="1"/>
  <c r="AK2829" i="1" s="1"/>
  <c r="AD2829" i="1"/>
  <c r="Q2829" i="1"/>
  <c r="AJ2828" i="1"/>
  <c r="AK2828" i="1" s="1"/>
  <c r="Q2828" i="1"/>
  <c r="AJ2827" i="1"/>
  <c r="AK2827" i="1" s="1"/>
  <c r="Q2827" i="1"/>
  <c r="AJ2826" i="1"/>
  <c r="AK2826" i="1" s="1"/>
  <c r="Q2826" i="1"/>
  <c r="AJ2825" i="1"/>
  <c r="AK2825" i="1" s="1"/>
  <c r="Q2825" i="1"/>
  <c r="AJ2824" i="1"/>
  <c r="AK2824" i="1" s="1"/>
  <c r="Q2824" i="1"/>
  <c r="AJ2823" i="1"/>
  <c r="AK2823" i="1" s="1"/>
  <c r="Q2823" i="1"/>
  <c r="AJ2822" i="1"/>
  <c r="AK2822" i="1" s="1"/>
  <c r="Q2822" i="1"/>
  <c r="AJ2821" i="1"/>
  <c r="AK2821" i="1" s="1"/>
  <c r="Q2821" i="1"/>
  <c r="AJ2820" i="1"/>
  <c r="AK2820" i="1" s="1"/>
  <c r="Q2820" i="1"/>
  <c r="AJ2819" i="1"/>
  <c r="AK2819" i="1" s="1"/>
  <c r="AD2819" i="1"/>
  <c r="Q2819" i="1"/>
  <c r="AJ2818" i="1"/>
  <c r="AK2818" i="1" s="1"/>
  <c r="Q2818" i="1"/>
  <c r="AJ2817" i="1"/>
  <c r="AK2817" i="1" s="1"/>
  <c r="AD2817" i="1"/>
  <c r="Q2817" i="1"/>
  <c r="AJ2816" i="1"/>
  <c r="AK2816" i="1" s="1"/>
  <c r="Q2816" i="1"/>
  <c r="AJ2815" i="1"/>
  <c r="AK2815" i="1" s="1"/>
  <c r="Q2815" i="1"/>
  <c r="AJ2814" i="1"/>
  <c r="AK2814" i="1" s="1"/>
  <c r="Q2814" i="1"/>
  <c r="AJ2813" i="1"/>
  <c r="AK2813" i="1" s="1"/>
  <c r="Q2813" i="1"/>
  <c r="AJ2812" i="1"/>
  <c r="AK2812" i="1" s="1"/>
  <c r="Q2812" i="1"/>
  <c r="AJ2811" i="1"/>
  <c r="AK2811" i="1" s="1"/>
  <c r="Q2811" i="1"/>
  <c r="AJ2810" i="1"/>
  <c r="AK2810" i="1" s="1"/>
  <c r="AD2810" i="1"/>
  <c r="Q2810" i="1"/>
  <c r="AJ2809" i="1"/>
  <c r="Q2809" i="1"/>
  <c r="AJ2808" i="1"/>
  <c r="AK2808" i="1" s="1"/>
  <c r="Q2808" i="1"/>
  <c r="AJ2807" i="1"/>
  <c r="AK2807" i="1" s="1"/>
  <c r="AD2807" i="1"/>
  <c r="Q2807" i="1"/>
  <c r="AJ2806" i="1"/>
  <c r="AK2806" i="1" s="1"/>
  <c r="Q2806" i="1"/>
  <c r="AJ2805" i="1"/>
  <c r="AK2805" i="1" s="1"/>
  <c r="Q2805" i="1"/>
  <c r="AJ2804" i="1"/>
  <c r="AK2804" i="1" s="1"/>
  <c r="AD2804" i="1"/>
  <c r="Q2804" i="1"/>
  <c r="AJ2803" i="1"/>
  <c r="AK2803" i="1" s="1"/>
  <c r="Q2803" i="1"/>
  <c r="AJ2802" i="1"/>
  <c r="AK2802" i="1" s="1"/>
  <c r="Q2802" i="1"/>
  <c r="AJ2801" i="1"/>
  <c r="AK2801" i="1" s="1"/>
  <c r="Q2801" i="1"/>
  <c r="AJ2800" i="1"/>
  <c r="AK2800" i="1" s="1"/>
  <c r="AD2800" i="1"/>
  <c r="Q2800" i="1"/>
  <c r="AJ2799" i="1"/>
  <c r="AK2799" i="1" s="1"/>
  <c r="AD2799" i="1"/>
  <c r="Q2799" i="1"/>
  <c r="AJ2798" i="1"/>
  <c r="AB2798" i="1"/>
  <c r="Q2798" i="1"/>
  <c r="AJ2797" i="1"/>
  <c r="AK2797" i="1" s="1"/>
  <c r="Q2797" i="1"/>
  <c r="AJ2796" i="1"/>
  <c r="AB2796" i="1"/>
  <c r="Q2796" i="1"/>
  <c r="AJ2795" i="1"/>
  <c r="AB2795" i="1"/>
  <c r="Q2795" i="1"/>
  <c r="AJ2794" i="1"/>
  <c r="AK2794" i="1" s="1"/>
  <c r="AD2794" i="1"/>
  <c r="Q2794" i="1"/>
  <c r="AJ2793" i="1"/>
  <c r="AK2793" i="1" s="1"/>
  <c r="Q2793" i="1"/>
  <c r="AJ2792" i="1"/>
  <c r="AK2792" i="1" s="1"/>
  <c r="Q2792" i="1"/>
  <c r="AJ2791" i="1"/>
  <c r="AK2791" i="1" s="1"/>
  <c r="AD2791" i="1"/>
  <c r="Q2791" i="1"/>
  <c r="Q2790" i="1"/>
  <c r="Q2789" i="1"/>
  <c r="AJ2788" i="1"/>
  <c r="AK2788" i="1" s="1"/>
  <c r="Q2788" i="1"/>
  <c r="AJ2787" i="1"/>
  <c r="AK2787" i="1" s="1"/>
  <c r="Q2787" i="1"/>
  <c r="AJ2786" i="1"/>
  <c r="AK2786" i="1" s="1"/>
  <c r="Q2786" i="1"/>
  <c r="AJ2785" i="1"/>
  <c r="AK2785" i="1" s="1"/>
  <c r="Q2785" i="1"/>
  <c r="AJ2784" i="1"/>
  <c r="AK2784" i="1" s="1"/>
  <c r="Q2784" i="1"/>
  <c r="AJ2783" i="1"/>
  <c r="AK2783" i="1" s="1"/>
  <c r="Q2783" i="1"/>
  <c r="AJ2782" i="1"/>
  <c r="AK2782" i="1" s="1"/>
  <c r="Q2782" i="1"/>
  <c r="AJ2781" i="1"/>
  <c r="AK2781" i="1" s="1"/>
  <c r="Q2781" i="1"/>
  <c r="AJ2780" i="1"/>
  <c r="AK2780" i="1" s="1"/>
  <c r="Q2780" i="1"/>
  <c r="AJ2779" i="1"/>
  <c r="AK2779" i="1" s="1"/>
  <c r="Q2779" i="1"/>
  <c r="AJ2778" i="1"/>
  <c r="AK2778" i="1" s="1"/>
  <c r="Q2778" i="1"/>
  <c r="AJ2777" i="1"/>
  <c r="AK2777" i="1" s="1"/>
  <c r="Q2777" i="1"/>
  <c r="AJ2776" i="1"/>
  <c r="AK2776" i="1" s="1"/>
  <c r="Q2776" i="1"/>
  <c r="AJ2775" i="1"/>
  <c r="AK2775" i="1" s="1"/>
  <c r="Q2775" i="1"/>
  <c r="AJ2774" i="1"/>
  <c r="AK2774" i="1" s="1"/>
  <c r="Q2774" i="1"/>
  <c r="AJ2773" i="1"/>
  <c r="Q2773" i="1"/>
  <c r="AJ2772" i="1"/>
  <c r="AK2772" i="1" s="1"/>
  <c r="Q2772" i="1"/>
  <c r="AJ2771" i="1"/>
  <c r="AJ2770" i="1"/>
  <c r="AK2770" i="1" s="1"/>
  <c r="Q2770" i="1"/>
  <c r="AJ2769" i="1"/>
  <c r="AK2769" i="1" s="1"/>
  <c r="Q2769" i="1"/>
  <c r="AJ2768" i="1"/>
  <c r="AK2768" i="1" s="1"/>
  <c r="AD2768" i="1"/>
  <c r="Q2768" i="1"/>
  <c r="AJ2767" i="1"/>
  <c r="AK2767" i="1" s="1"/>
  <c r="Q2767" i="1"/>
  <c r="AJ2766" i="1"/>
  <c r="AK2766" i="1" s="1"/>
  <c r="Q2766" i="1"/>
  <c r="AJ2765" i="1"/>
  <c r="AK2765" i="1" s="1"/>
  <c r="Q2765" i="1"/>
  <c r="AJ2764" i="1"/>
  <c r="AK2764" i="1" s="1"/>
  <c r="Q2764" i="1"/>
  <c r="AJ2763" i="1"/>
  <c r="AK2763" i="1" s="1"/>
  <c r="Q2763" i="1"/>
  <c r="AJ2762" i="1"/>
  <c r="AK2762" i="1" s="1"/>
  <c r="Q2762" i="1"/>
  <c r="AJ2761" i="1"/>
  <c r="AK2761" i="1" s="1"/>
  <c r="AD2761" i="1"/>
  <c r="Q2761" i="1"/>
  <c r="AJ2760" i="1"/>
  <c r="AK2760" i="1" s="1"/>
  <c r="Q2760" i="1"/>
  <c r="AJ2759" i="1"/>
  <c r="AK2759" i="1" s="1"/>
  <c r="Q2759" i="1"/>
  <c r="AJ2758" i="1"/>
  <c r="AK2758" i="1" s="1"/>
  <c r="Q2758" i="1"/>
  <c r="AJ2757" i="1"/>
  <c r="AK2757" i="1" s="1"/>
  <c r="Q2757" i="1"/>
  <c r="AJ2756" i="1"/>
  <c r="AK2756" i="1" s="1"/>
  <c r="Q2756" i="1"/>
  <c r="AJ2755" i="1"/>
  <c r="AK2755" i="1" s="1"/>
  <c r="Q2755" i="1"/>
  <c r="AJ2754" i="1"/>
  <c r="Q2754" i="1"/>
  <c r="AJ2753" i="1"/>
  <c r="AK2753" i="1" s="1"/>
  <c r="Q2753" i="1"/>
  <c r="AJ2752" i="1"/>
  <c r="AK2752" i="1" s="1"/>
  <c r="Q2752" i="1"/>
  <c r="AJ2751" i="1"/>
  <c r="AK2751" i="1" s="1"/>
  <c r="Q2751" i="1"/>
  <c r="AJ2750" i="1"/>
  <c r="AK2750" i="1" s="1"/>
  <c r="Q2750" i="1"/>
  <c r="AJ2749" i="1"/>
  <c r="AK2749" i="1" s="1"/>
  <c r="Q2749" i="1"/>
  <c r="AJ2748" i="1"/>
  <c r="AK2748" i="1" s="1"/>
  <c r="Q2748" i="1"/>
  <c r="AJ2747" i="1"/>
  <c r="AK2747" i="1" s="1"/>
  <c r="Q2747" i="1"/>
  <c r="AJ2746" i="1"/>
  <c r="AK2746" i="1" s="1"/>
  <c r="Q2746" i="1"/>
  <c r="AJ2745" i="1"/>
  <c r="AK2745" i="1" s="1"/>
  <c r="Q2745" i="1"/>
  <c r="AJ2744" i="1"/>
  <c r="AK2744" i="1" s="1"/>
  <c r="Q2744" i="1"/>
  <c r="AJ2743" i="1"/>
  <c r="AK2743" i="1" s="1"/>
  <c r="Q2743" i="1"/>
  <c r="AJ2742" i="1"/>
  <c r="AK2742" i="1" s="1"/>
  <c r="Q2742" i="1"/>
  <c r="AJ2741" i="1"/>
  <c r="AK2741" i="1" s="1"/>
  <c r="Q2741" i="1"/>
  <c r="AD2740" i="1"/>
  <c r="Q2740" i="1"/>
  <c r="Q2739" i="1"/>
  <c r="Q2738" i="1"/>
  <c r="Q2737" i="1"/>
  <c r="Q2736" i="1"/>
  <c r="Q2735" i="1"/>
  <c r="Q2734" i="1"/>
  <c r="Q2733" i="1"/>
  <c r="Q2732" i="1"/>
  <c r="P2731" i="1"/>
  <c r="Q2730" i="1"/>
  <c r="Q2729" i="1"/>
  <c r="Q2728" i="1"/>
  <c r="P2727" i="1"/>
  <c r="Q2726" i="1"/>
  <c r="Q2725" i="1"/>
  <c r="Q2724" i="1"/>
  <c r="Q2723" i="1"/>
  <c r="Q2722" i="1"/>
  <c r="Q2721" i="1"/>
  <c r="Q2720" i="1"/>
  <c r="Q2719" i="1"/>
  <c r="Q2718" i="1"/>
  <c r="Q2717" i="1"/>
  <c r="Q2716" i="1"/>
  <c r="Q2715" i="1"/>
  <c r="P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O2601" i="1"/>
  <c r="Q2601" i="1" s="1"/>
  <c r="Q2600" i="1"/>
  <c r="Q2599" i="1"/>
  <c r="O2599" i="1"/>
  <c r="Q2598" i="1"/>
  <c r="O2597" i="1"/>
  <c r="Q2597" i="1" s="1"/>
  <c r="Q2596" i="1"/>
  <c r="O2595" i="1"/>
  <c r="Q2595" i="1" s="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O2570" i="1"/>
  <c r="Q2570" i="1" s="1"/>
  <c r="Q2569" i="1"/>
  <c r="Q2568" i="1"/>
  <c r="Q2567" i="1"/>
  <c r="Q2566" i="1"/>
  <c r="Q2565" i="1"/>
  <c r="Q2564" i="1"/>
  <c r="Q2563" i="1"/>
  <c r="Q2562" i="1"/>
  <c r="Q2561" i="1"/>
  <c r="Q2560" i="1"/>
  <c r="Q2559" i="1"/>
  <c r="Q2558" i="1"/>
  <c r="Q2557" i="1"/>
  <c r="Q2556" i="1"/>
  <c r="Q2555" i="1"/>
  <c r="Q2554" i="1"/>
  <c r="Q2553" i="1"/>
  <c r="Q2552" i="1"/>
  <c r="Q2551" i="1"/>
  <c r="Q2550" i="1"/>
  <c r="Q2549" i="1"/>
  <c r="Q2548" i="1"/>
  <c r="O2547" i="1"/>
  <c r="Q2546" i="1"/>
  <c r="Q2545" i="1"/>
  <c r="Q2544" i="1"/>
  <c r="Q2543" i="1"/>
  <c r="O2542" i="1"/>
  <c r="O2541" i="1"/>
  <c r="O2540" i="1"/>
  <c r="O2539" i="1"/>
  <c r="O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O2492" i="1"/>
  <c r="Q2492" i="1" s="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P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P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O2248" i="1"/>
  <c r="Q2248" i="1" s="1"/>
  <c r="Q2247" i="1"/>
  <c r="Q2246" i="1"/>
  <c r="Q2245" i="1"/>
  <c r="Q2244" i="1"/>
  <c r="Q2243" i="1"/>
  <c r="Q2242" i="1"/>
  <c r="Q2241" i="1"/>
  <c r="Q2240" i="1"/>
  <c r="Q2239" i="1"/>
  <c r="Q2238" i="1"/>
  <c r="Q2237" i="1"/>
  <c r="Q2236" i="1"/>
  <c r="Q2235" i="1"/>
  <c r="Q2234" i="1"/>
  <c r="Q2233" i="1"/>
  <c r="Q2232" i="1"/>
  <c r="P2231" i="1"/>
  <c r="Q2231" i="1" s="1"/>
  <c r="Q2230" i="1"/>
  <c r="Q2229" i="1"/>
  <c r="Q2228" i="1"/>
  <c r="Q2227" i="1"/>
  <c r="Q2226" i="1"/>
  <c r="P2225" i="1"/>
  <c r="Q2225" i="1" s="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P2187" i="1"/>
  <c r="Q2187" i="1" s="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P2160" i="1"/>
  <c r="Q2160" i="1" s="1"/>
  <c r="P2159" i="1"/>
  <c r="Q2159" i="1" s="1"/>
  <c r="Q2158" i="1"/>
  <c r="Q2157" i="1"/>
  <c r="Q2156" i="1"/>
  <c r="Q2155" i="1"/>
  <c r="Q2154" i="1"/>
  <c r="Q2153" i="1"/>
  <c r="Q2152" i="1"/>
  <c r="Q2151" i="1"/>
  <c r="Q2150" i="1"/>
  <c r="Q2149" i="1"/>
  <c r="Q2148" i="1"/>
  <c r="Q2147" i="1"/>
  <c r="Q2146" i="1"/>
  <c r="Q2145" i="1"/>
  <c r="Q2144" i="1"/>
  <c r="Q2143" i="1"/>
  <c r="Q2142"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P1936" i="1"/>
  <c r="Q1936" i="1" s="1"/>
  <c r="P1935" i="1"/>
  <c r="Q1935" i="1" s="1"/>
  <c r="Q1934" i="1"/>
  <c r="Q1933" i="1"/>
  <c r="Q1932" i="1"/>
  <c r="Q1931" i="1"/>
  <c r="Q1930" i="1"/>
  <c r="Q1929" i="1"/>
  <c r="Q1928" i="1"/>
  <c r="Q1927" i="1"/>
  <c r="Q1926" i="1"/>
  <c r="Q1925" i="1"/>
  <c r="Q1924" i="1"/>
  <c r="Q1923" i="1"/>
  <c r="Q1922" i="1"/>
  <c r="Q1921" i="1"/>
  <c r="Q1920" i="1"/>
  <c r="Q1919"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P1847" i="1"/>
  <c r="Q1847" i="1" s="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P1807" i="1"/>
  <c r="Q1807" i="1" s="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P1673" i="1"/>
  <c r="Q1673" i="1" s="1"/>
  <c r="Q1672" i="1"/>
  <c r="P1671" i="1"/>
  <c r="Q1671" i="1" s="1"/>
  <c r="Q1670" i="1"/>
  <c r="Q1669" i="1"/>
  <c r="Q1668"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O1606" i="1"/>
  <c r="Q1606" i="1" s="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P1251" i="1"/>
  <c r="Q1251" i="1" s="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P1060" i="1"/>
  <c r="Q1060" i="1" s="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P949" i="1"/>
  <c r="Q949" i="1" s="1"/>
  <c r="Q948" i="1"/>
  <c r="Q947" i="1"/>
  <c r="Q946" i="1"/>
  <c r="Q945" i="1"/>
  <c r="Q944" i="1"/>
  <c r="Q943" i="1"/>
  <c r="Q942" i="1"/>
  <c r="Q941" i="1"/>
  <c r="Q940" i="1"/>
  <c r="Q939" i="1"/>
  <c r="Q938" i="1"/>
  <c r="Q937" i="1"/>
  <c r="Q936" i="1"/>
  <c r="Q935" i="1"/>
  <c r="P934" i="1"/>
  <c r="Q934" i="1" s="1"/>
  <c r="P933" i="1"/>
  <c r="Q933" i="1" s="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O686" i="1"/>
  <c r="Q686" i="1" s="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O631" i="1"/>
  <c r="Q631" i="1" s="1"/>
  <c r="O630" i="1"/>
  <c r="Q630" i="1" s="1"/>
  <c r="O629" i="1"/>
  <c r="Q629" i="1" s="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P415" i="1"/>
  <c r="Q415" i="1" s="1"/>
  <c r="P414" i="1"/>
  <c r="Q414" i="1" s="1"/>
  <c r="Q413" i="1"/>
  <c r="Q412" i="1"/>
  <c r="Q411" i="1"/>
  <c r="P410" i="1"/>
  <c r="Q410" i="1" s="1"/>
  <c r="P409" i="1"/>
  <c r="Q409" i="1" s="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P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P173" i="1"/>
  <c r="Q173" i="1" s="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O65" i="1"/>
  <c r="Q65" i="1" s="1"/>
  <c r="Q64" i="1"/>
  <c r="Q63" i="1"/>
  <c r="Q62" i="1"/>
  <c r="Q61" i="1"/>
  <c r="Q60" i="1"/>
  <c r="Q59" i="1"/>
  <c r="Q58" i="1"/>
  <c r="Q56" i="1"/>
  <c r="Q55" i="1"/>
  <c r="Q45" i="1"/>
  <c r="Q26" i="1"/>
  <c r="Q25" i="1"/>
  <c r="Q24" i="1"/>
  <c r="Q23" i="1"/>
  <c r="Q22" i="1"/>
  <c r="Q21" i="1"/>
  <c r="Q20" i="1"/>
  <c r="Q19" i="1"/>
  <c r="Q18" i="1"/>
  <c r="Q17" i="1"/>
  <c r="Q16" i="1"/>
  <c r="Q15" i="1"/>
  <c r="Q14" i="1"/>
  <c r="Q13" i="1"/>
  <c r="Q12" i="1"/>
  <c r="Q11" i="1"/>
  <c r="Q10" i="1"/>
  <c r="Q9" i="1"/>
  <c r="Q8" i="1"/>
  <c r="Q7" i="1"/>
  <c r="Q6" i="1"/>
  <c r="Q5" i="1"/>
  <c r="Q4" i="1"/>
  <c r="Q3" i="1"/>
  <c r="Q2" i="1"/>
  <c r="Q2999" i="1" l="1"/>
  <c r="Q2996" i="1"/>
  <c r="Q3002" i="1" l="1"/>
</calcChain>
</file>

<file path=xl/sharedStrings.xml><?xml version="1.0" encoding="utf-8"?>
<sst xmlns="http://schemas.openxmlformats.org/spreadsheetml/2006/main" count="62726" uniqueCount="9559">
  <si>
    <t>体系</t>
  </si>
  <si>
    <t>地区</t>
  </si>
  <si>
    <t>省份</t>
  </si>
  <si>
    <t>BD</t>
  </si>
  <si>
    <t>供应商</t>
    <phoneticPr fontId="3" type="noConversion"/>
  </si>
  <si>
    <t>合作单位</t>
  </si>
  <si>
    <t>机架/带宽/裸光纤/电路/工位&amp;库房/其他</t>
    <phoneticPr fontId="3" type="noConversion"/>
  </si>
  <si>
    <t>当前计提合同</t>
  </si>
  <si>
    <t>费用类型（机架、带宽、光纤/电路、其他）</t>
    <phoneticPr fontId="3" type="noConversion"/>
  </si>
  <si>
    <t>地点</t>
  </si>
  <si>
    <t>TCO机房名称（带宽）</t>
  </si>
  <si>
    <t>机房（机架）</t>
  </si>
  <si>
    <t>起始日期</t>
  </si>
  <si>
    <t>规格</t>
  </si>
  <si>
    <t>计费单位</t>
  </si>
  <si>
    <t>数量/长度</t>
  </si>
  <si>
    <t>金额</t>
    <phoneticPr fontId="3" type="noConversion"/>
  </si>
  <si>
    <t>费用期间</t>
  </si>
  <si>
    <t>业务备注</t>
    <phoneticPr fontId="3" type="noConversion"/>
  </si>
  <si>
    <t>正负预提</t>
  </si>
  <si>
    <t>问题</t>
    <phoneticPr fontId="3" type="noConversion"/>
  </si>
  <si>
    <t>财务备注</t>
    <phoneticPr fontId="3" type="noConversion"/>
  </si>
  <si>
    <t>SYS统计</t>
  </si>
  <si>
    <t>运营商统计</t>
    <phoneticPr fontId="3" type="noConversion"/>
  </si>
  <si>
    <t>合同开始日期</t>
  </si>
  <si>
    <t>合同结束时间</t>
  </si>
  <si>
    <t>TCO机房英文</t>
  </si>
  <si>
    <t>保底率</t>
    <phoneticPr fontId="3" type="noConversion"/>
  </si>
  <si>
    <t>带宽量</t>
  </si>
  <si>
    <t>保底量</t>
    <phoneticPr fontId="3" type="noConversion"/>
  </si>
  <si>
    <t>颗粒度</t>
  </si>
  <si>
    <t>第三方分类</t>
    <phoneticPr fontId="3" type="noConversion"/>
  </si>
  <si>
    <t>BEC带宽量</t>
  </si>
  <si>
    <t>CDN带宽量</t>
  </si>
  <si>
    <t>对账流量</t>
  </si>
  <si>
    <t>运营商流量</t>
  </si>
  <si>
    <t>运营商金额</t>
  </si>
  <si>
    <t>结算流量</t>
  </si>
  <si>
    <t>结算金额</t>
  </si>
  <si>
    <t>结算逻辑</t>
  </si>
  <si>
    <t>争议解决条款</t>
  </si>
  <si>
    <t>备注</t>
  </si>
  <si>
    <t>支付方式（月付/季付）</t>
    <phoneticPr fontId="3" type="noConversion"/>
  </si>
  <si>
    <t>是否先收后付</t>
    <phoneticPr fontId="3" type="noConversion"/>
  </si>
  <si>
    <t>是否有合同</t>
    <phoneticPr fontId="3" type="noConversion"/>
  </si>
  <si>
    <t>移动</t>
  </si>
  <si>
    <t>华东-吴蕊</t>
  </si>
  <si>
    <t>上海</t>
  </si>
  <si>
    <t>王阳</t>
  </si>
  <si>
    <t>中国移动通信集团上海有限公司</t>
  </si>
  <si>
    <t>上海移动</t>
  </si>
  <si>
    <t>电路</t>
    <phoneticPr fontId="3" type="noConversion"/>
  </si>
  <si>
    <t>182315IDC00381</t>
  </si>
  <si>
    <t>上海市嘉定区马陆镇澄浏中路1000号一楼机房-上海市外高桥保税区华京路6号万国数据3号楼</t>
    <phoneticPr fontId="3" type="noConversion"/>
  </si>
  <si>
    <t>100M</t>
    <phoneticPr fontId="3" type="noConversion"/>
  </si>
  <si>
    <t>新增仓储线网络专线100M本地电路，上海市嘉定区马陆镇澄浏中路1000号一楼机房-上海市外高桥保税区华京路6号万国数据3号楼</t>
    <phoneticPr fontId="3" type="noConversion"/>
  </si>
  <si>
    <t>IDC</t>
  </si>
  <si>
    <t>第三方</t>
  </si>
  <si>
    <t>北京</t>
  </si>
  <si>
    <t>陈思旭</t>
  </si>
  <si>
    <t>北京博升拓网络技术有限责任公司</t>
  </si>
  <si>
    <t>博升拓</t>
  </si>
  <si>
    <t>裸光纤</t>
  </si>
  <si>
    <t>182115IDC00323</t>
  </si>
  <si>
    <t>光纤</t>
  </si>
  <si>
    <t>华京路6号87号楼403模块港交所隔笼B02机柜 RJ45-上海外高桥保税区华京路6号90号楼404房间 LC</t>
  </si>
  <si>
    <t>2芯</t>
  </si>
  <si>
    <t>2条华京路6号87号楼403模块港交所隔笼B02机柜 RJ45-上海外高桥保税区华京路6号90号楼404房间 LC光纤</t>
  </si>
  <si>
    <t>IDC</t>
    <phoneticPr fontId="3" type="noConversion"/>
  </si>
  <si>
    <t>杨浦区隆昌路619号9号楼3楼港交所机柜SH5:3:00200:0101RJ45-杨浦区隆昌路619号运营商MMR机柜</t>
  </si>
  <si>
    <t>杨浦区隆昌路619号9号楼3楼港交所机柜SH5:3:00200:0101RJ45-杨浦区隆昌路619号运营商MMR机柜光纤</t>
  </si>
  <si>
    <t>崔益泽</t>
  </si>
  <si>
    <t>北京共建恒业通信技术有限责任公司</t>
  </si>
  <si>
    <t>共建</t>
  </si>
  <si>
    <t>182315IDC00218</t>
  </si>
  <si>
    <t>云专线 同程跳纤</t>
  </si>
  <si>
    <t>云专线 同程跳纤，跳纤一对1000元/月，共两对，月租1000*2=2000元/月</t>
  </si>
  <si>
    <t>机架</t>
  </si>
  <si>
    <t>IDC机架</t>
  </si>
  <si>
    <t>云专线 同程机架</t>
  </si>
  <si>
    <t>LXSM</t>
  </si>
  <si>
    <t>32A</t>
  </si>
  <si>
    <t>云专线 同程机柜：LXSM501-G-08</t>
  </si>
  <si>
    <t>华北-吴蕊</t>
  </si>
  <si>
    <t>全国</t>
  </si>
  <si>
    <t>纪博宇</t>
  </si>
  <si>
    <t>北京皓宽网络科技有限公司</t>
  </si>
  <si>
    <t>皓宽</t>
  </si>
  <si>
    <t>182015IDC00230</t>
  </si>
  <si>
    <t>BJDHMPOP</t>
  </si>
  <si>
    <t>13A</t>
  </si>
  <si>
    <t>BJDHMPOP1F-B-13、BJDHMPOP1F-B-14</t>
  </si>
  <si>
    <t>月付</t>
  </si>
  <si>
    <t>皓宽-金山云</t>
  </si>
  <si>
    <t>知乎项目其中楼内线部分</t>
  </si>
  <si>
    <t>跳纤，爱奇艺互联使用：1楼机房 B14机柜5126-BJDHMPOP-0-12-DCP-TI1-RO1至2楼机房M03-B11机柜5126-BJDHMPOP-2-9-LSC-OUT-IN</t>
  </si>
  <si>
    <t>跳纤，爱奇艺互联使用：1楼机房 B14机柜5126-BJDHMPOP-0-12-DCP-TI2-RO2至2楼机房M03-B11机柜5126-BJDHMPOP-2-10-LSC-OUT-IN</t>
  </si>
  <si>
    <t>跳纤，爱奇艺互联使用：1楼机房 B14机柜5126-BJDHMPOP-1-12-DCP-TI1-RO1跳2楼机房M03-B11机柜5126-BJDHMPOP-2-3-LSC-OUT-IN</t>
  </si>
  <si>
    <t>跳纤，爱奇艺互联使用：新增1对芯，1楼机房 B14机柜5126-BJDHMPOP-1-12-DCP-TI2-RO2跳2楼机房M03-B11机柜5126-BJDHMPOP-2-4-LSC-OUT-IN</t>
  </si>
  <si>
    <t>跳纤，爱奇艺互联使用：1楼机房 B14机柜5126-BJDHMPOP-1-11-QCP-TI2-RO2跳2楼机房M03-B11机柜5126-BJDHMPOP-2-5-LTX-OUT-IN</t>
  </si>
  <si>
    <t>跳纤，爱奇艺互联使用：1楼机房 B14机柜5126-BJDHMPOP-2-11-QCP-TI3--RO3至2楼机房M03-B11机柜5126-BJDHMPOP-2-7-LTX-OUT-IN</t>
  </si>
  <si>
    <t>引接缆，外线光缆成端费用：南苑路3-1-10(太和桥百度东进楼井)</t>
  </si>
  <si>
    <t>引接缆，外线光缆成端费用：南苑路3-1-9（百度6号门）</t>
  </si>
  <si>
    <t>跳纤，接入间-设备机柜跳纤费：光环新网1-13（太和桥西交接箱）跳至M03-B12机柜</t>
  </si>
  <si>
    <t>跳纤，接入间-设备机柜跳纤费：南苑路3-1-10(太和桥百度东进楼井)至M03-B12机柜</t>
  </si>
  <si>
    <t>跳纤，接入间-设备机柜跳纤费：南苑路3-1-9（百度6号门）至M03-B11机柜</t>
  </si>
  <si>
    <t>跳纤，接入间-设备机柜跳纤费：光环新网1-14（百度科技园1号门）至M03-B11机柜</t>
  </si>
  <si>
    <t>B2网络均分改造，传输BJDHMPOP-BJKJY系统进行板卡扩容，需要在皓宽机房内增加互联光缆2条。
爱奇艺跳纤，业务编号20230208021：百度M01-B14机柜-百度华为DC908-5567-BJDHMPOP-子架0-1-MD02A至爱奇艺M03-B11机柜-百度华为DC908-5497-BJDHMPOP-子架0-1-EMD60-M12/D12；业务编号20230208022：百度M01-B14机柜-百度华为DC908-5567-BJDHMPOP-子架0-1-MD02A至爱奇艺M03-B11机柜-百度华为DC908-5497-BJDHMPOP-子架0-1-EMD60-M13/D13</t>
    <phoneticPr fontId="3" type="noConversion"/>
  </si>
  <si>
    <t>百度-爱奇艺跳纤2条：20230408060、20230408061</t>
    <phoneticPr fontId="3" type="noConversion"/>
  </si>
  <si>
    <t>百度-金山云跳纤1条：20230408059</t>
  </si>
  <si>
    <t>百度-阿里云跳纤1条：20230508010</t>
  </si>
  <si>
    <t>百度-阿里云跳纤： 1、业务编号：20230808031
       付费方端口信息：百度M01-B14机柜-1-5126-BJDHMPOP-LTX-0-9-C4
       授权方端口信息：阿里云接入设备信息 ad-cn-beijing-ft-A-ad11 接入接口信息 Twenty-FiveGigE1/0/11 接入设备位置 CXP32-A1-1-A01-38
     2、业务编号：20230808032
       付费方端口信息：百度M01-B14机柜-3-5567-BJDHMPOP-MD02A-1-3-C15
       授权方端口信息：阿里云接入设备信息 ad-cn-beijing-ft-A-ad12 接入接口信息 Twenty-FiveGigE1/0/11 接入设备位置 CXP32-A1-1-A02-38</t>
    <phoneticPr fontId="3" type="noConversion"/>
  </si>
  <si>
    <t>北京中金云网科技有限公司</t>
  </si>
  <si>
    <t>中金云网</t>
  </si>
  <si>
    <t>电路</t>
  </si>
  <si>
    <t>L20200325001</t>
  </si>
  <si>
    <t>400M三线BGP服务
(电信、联通、移动）专线2</t>
  </si>
  <si>
    <t xml:space="preserve"> </t>
  </si>
  <si>
    <t>生产区</t>
  </si>
  <si>
    <t>8月1日补充协议生效，按所有互联网带宽整合计算统一费用</t>
  </si>
  <si>
    <t>联通10M本地点对点专线</t>
  </si>
  <si>
    <t>2020-2-3降速</t>
  </si>
  <si>
    <t>10M-6M</t>
  </si>
  <si>
    <t xml:space="preserve">2020.4.14转签至北京联通
2020年2月3日降速为6M:业务编号：28726821 ， 本端：743机房B03隔笼E02机柜
对端：朝阳门北大街21号电信大厦二层机房 中信银行 </t>
  </si>
  <si>
    <t>电信10M本地点对点专线</t>
  </si>
  <si>
    <t>2020-1-21降速</t>
  </si>
  <si>
    <t>2020.5.1转签至北京电信
电信10M本地点对点专线
2020年1月21日降速为6M:业务编号：B17553231 ， 本端：743机房B03隔笼E01机柜
对端：朝阳门北大街21号电信大厦二层机房中信银行</t>
  </si>
  <si>
    <t>电信2M长途点对点专线</t>
  </si>
  <si>
    <t>2M</t>
  </si>
  <si>
    <t>2020.5.1转签至北京电信
业务编号：B18637943 ， 本端：743机房B03隔笼E01机柜
对端：南京市下关区张王庙88号M2-A南京凤凰机房百度李皓琦18516551024</t>
  </si>
  <si>
    <t>10M</t>
  </si>
  <si>
    <t xml:space="preserve">2020.4.14转签至北京联通
业务编号：28727771 ， 本端：743机房B03隔笼E02机柜
对端：北京南六环太和桥南瑞合西二路和瑞和东一街交口百度亦庄数据中心百度 李皓琦18516551024 </t>
  </si>
  <si>
    <t>2020.4.14转签至北京联通
业务编号：28727767 ， 本端：743机房B03隔笼E02机柜
对端：北京市西城区月坛南街79号三层东侧科技处机房 人行孙昊68559622/13466521412</t>
  </si>
  <si>
    <t>2020.5.1转签至北京电信
业务编号：B17553353 ， 本端：743机房B03隔笼E01机柜
对端：北京海淀区巨山东路99号人民银行办公区办公楼二层网络机房人行孙昊68559622/13466521412</t>
  </si>
  <si>
    <t>2020.4.14转签至北京联通
业务编号：28730815 ， 本端：743机房B03隔笼E02机柜。3月21日降速至10M，
对端：北京市西城区德胜门外大街79号德胜国际C座三层机房人行周密15901017884</t>
  </si>
  <si>
    <t>联通2M长途点对点专线</t>
  </si>
  <si>
    <t>2020.4.14转签至北京联通
业务编号：28733395 ， 上海宝付</t>
  </si>
  <si>
    <t>联通2M本地点对点专线</t>
  </si>
  <si>
    <t xml:space="preserve">2020.4.14转签至北京联通
业务编号：28733572 ， 百悟科技 </t>
  </si>
  <si>
    <t>2020.4.15转签至北京联通
业务编号：28734505 ， 银监会</t>
  </si>
  <si>
    <t>2020.5.1转签至北京电信
业务编号：B18638940 ， 上海宝付</t>
  </si>
  <si>
    <t>联通8M本地点对点专线</t>
  </si>
  <si>
    <t>8M</t>
  </si>
  <si>
    <t>2020.4.14转签至北京联通
业务编号：28742883 ， 银联</t>
  </si>
  <si>
    <t>电信2M本地点对点专线</t>
  </si>
  <si>
    <t>2020.5.1转签至北京电信
业务编号：B17554529 ， 信诚人寿</t>
  </si>
  <si>
    <t>电信8M长途点对点专线</t>
  </si>
  <si>
    <t>2020.5.1转签至北京电信
业务编号：B18639302,  5月8日升级至8M，按8M收费24天</t>
  </si>
  <si>
    <t>2020.5.7转签至北京联通
业务编号：28759395 ， 中债登</t>
  </si>
  <si>
    <t>2020.5.1转签至北京电信
业务编号：B17555135 ， 中债登</t>
  </si>
  <si>
    <t>2020.5.7转签至北京联通
业务编号：28762319 ， 人行</t>
  </si>
  <si>
    <t>2020.5.1转签至北京电信
业务编号：B17555277 ， 银监会</t>
  </si>
  <si>
    <t>2019-11-1撤销线路，停止计费：业务编号：B18639334 ， 信城基金</t>
  </si>
  <si>
    <t>2020.5.7转签至北京联通
业务编号：28776179 ， 中国外汇交易中心</t>
  </si>
  <si>
    <t>2020.5.7转签至北京联通，并于5.19撤租.5月多计提在付款时冲销
业务编号：32437284 ， 中航信南昌</t>
  </si>
  <si>
    <t>2020.5.7转签至北京联通
业务编号：28776500 ， 上清所</t>
  </si>
  <si>
    <t>2020.5.7转签至北京联通
业务编号：32437191 ， 中债登</t>
  </si>
  <si>
    <t>联通4M长途点对点专线</t>
  </si>
  <si>
    <t>4M</t>
  </si>
  <si>
    <t>2020.5.7转签至北京联通
业务编号：32436855 ， 天津</t>
  </si>
  <si>
    <t>2020.5.7转签至北京联通
业务编号：37967171，百度汇天机房</t>
  </si>
  <si>
    <t>2020.5.7转签至北京联通
5月8日新开通，业务编号：37976297
4M长途线路</t>
  </si>
  <si>
    <t>电信4M长途点对点专线</t>
  </si>
  <si>
    <t>2020.5.1转签至北京电信
5月23日新开通，业务编号：B18644350</t>
  </si>
  <si>
    <t>2020.5.1转签至北京电信
B17554529</t>
  </si>
  <si>
    <t>带宽</t>
  </si>
  <si>
    <t>L20200325002</t>
  </si>
  <si>
    <t>IDC IP</t>
  </si>
  <si>
    <t>个</t>
  </si>
  <si>
    <t>测试区100M互联网专线</t>
  </si>
  <si>
    <t>测试区</t>
  </si>
  <si>
    <t>测试区100M互联网专线
8月1日补充协议生效，按所有互联网带宽整合计算统一费用</t>
  </si>
  <si>
    <t>2020.5.1转签至北京电信
业务编号：B17553605 ， 本端：743机房B03隔笼E01机柜   对端：北京市西城区右安门内大街新安南里甲一号人行周密15901017884</t>
  </si>
  <si>
    <t>182315IDC00379</t>
  </si>
  <si>
    <t>IDC 机架</t>
  </si>
  <si>
    <t>二期404机房</t>
    <phoneticPr fontId="3" type="noConversion"/>
  </si>
  <si>
    <t>BJBX</t>
  </si>
  <si>
    <t>20A</t>
  </si>
  <si>
    <t>2022.11更新计提单价。BJBX7F404-A-02、BJBX7F404-A-03、BJBX7F404-A-05、BJBX7F404-A-06、BJBX7F404-B-02、BJBX7F404-B-03、BJBX7F404-B-05、BJBX7F404-B-06、BJBX7F404-C-02、BJBX7F404-C-03、BJBX7F404-E-01、BJBX7F404-I-05、BJBX7F404-I-06、BJBX7F404-J-05、BJBX7F404-J-06</t>
  </si>
  <si>
    <t>二期404机房</t>
  </si>
  <si>
    <t>BJBX</t>
    <phoneticPr fontId="3" type="noConversion"/>
  </si>
  <si>
    <t>2023.8与托管组核对，不属于托管机架，更新机房名称。BJBX7F404-A-01、BJBX7F404-A-04、BJBX7F404-B-01、BJBX7F404-B-04</t>
    <phoneticPr fontId="3" type="noConversion"/>
  </si>
  <si>
    <t>40A</t>
  </si>
  <si>
    <t>2022.11更新计提单价。BJBX7F404-G-08、BJBX7F404-H-08、BJBX7F404-I-07、BJBX7F404-I-08、BJBX7F404-J-07、BJBX7F404-J-08</t>
  </si>
  <si>
    <t>2023.8与托管组核对，不属于托管机架，更新机房名称。</t>
  </si>
  <si>
    <t>2022.11更新计提单价。BJBX7F404-C-02、BJBX7F404-C-03</t>
  </si>
  <si>
    <t>BJBX7F404-C-05、BJBX7F404-C-06</t>
  </si>
  <si>
    <t>BJBX7F404-C-07</t>
  </si>
  <si>
    <t>江苏</t>
  </si>
  <si>
    <t>L20230311025</t>
  </si>
  <si>
    <t>400M三线BGP服务
(电信、联通、移动）专线1</t>
  </si>
  <si>
    <t>2017/10/26
2023/3/17
2023/3/28</t>
  </si>
  <si>
    <t>1010M
-120M
-680M</t>
  </si>
  <si>
    <t>3月17日测试区两条100M降速至40M，3月28日生产区两条400M降速至60M ，办公区10M合计，210M，按照合同约定，带宽200M月租36080元，超过后167.20元/M；
存量生产区2条400M、测试区两条100M、办公区10M，合计1010M，传输资源编号：TS-OT20170325002</t>
  </si>
  <si>
    <t>季付</t>
  </si>
  <si>
    <t>移动2M本地点对点专线</t>
  </si>
  <si>
    <t>2020.9.1转签至北京移动
2020.5.1转签至北京移动
业务编号：26001947965 ， 百度科技</t>
  </si>
  <si>
    <t>移动10M本地点对点专线</t>
  </si>
  <si>
    <t>业务编号：L1709004 ， 同辉永联 
备注：联通，专线号：28731758；100M-&gt;①70M；中金--北京市朝阳区安定路5号院3号楼8层</t>
  </si>
  <si>
    <t>业务编号：L1709022 ， 万国数据（2019年1月9日提出撤销申请，3个工作日后，1月15日停止计费。）L1905011汇天机房移动10M</t>
  </si>
  <si>
    <t>业务编号：L1712001 ， 万国数据
备注：移动，专线号：26001949827；100M-&gt;①70M；中金--北京市朝阳区安定路5号院3号楼8层</t>
  </si>
  <si>
    <t>业务编号：L1711016 ， 同辉永联（2019年1月9日提出撤销申请，3个工作日后，1月15日停止计费。）L1905009汇天机房电信10M（B17558954）</t>
    <phoneticPr fontId="3" type="noConversion"/>
  </si>
  <si>
    <t>业务编号：L1801001 ， 深圳通</t>
  </si>
  <si>
    <t>业务编号：L1709013 ，深证通业务专线。长途专线号：ANE0046NP
28734084(L1709013)</t>
  </si>
  <si>
    <t>业务编号：L1805010</t>
  </si>
  <si>
    <t>业务编号：L1805004</t>
  </si>
  <si>
    <t>业务编号：L1805003</t>
  </si>
  <si>
    <t>业务编号：L1808013</t>
  </si>
  <si>
    <t>业务编号：L1808014</t>
  </si>
  <si>
    <t>业务编号：L1808015</t>
  </si>
  <si>
    <t>业务编号：L1808016</t>
  </si>
  <si>
    <t>业务编号：L1809011。中航信托：119机房电信A3-1 7-8口  ---743机房B03隔笼机柜E-01机柜</t>
  </si>
  <si>
    <t>2022/11/3退租。业务编号：L1809011。中航信托：119机房电信A3-1 7-8口  ---743机房B03隔笼机柜E-01机柜</t>
  </si>
  <si>
    <t>华胜天成 L1905028 新开通</t>
  </si>
  <si>
    <t>L1908017 B17559886</t>
  </si>
  <si>
    <t>2019/8/29开通
2021/8/31退租</t>
  </si>
  <si>
    <t xml:space="preserve">L1908009 </t>
  </si>
  <si>
    <t>L1908010</t>
  </si>
  <si>
    <t>L1908011</t>
  </si>
  <si>
    <t>L1908012</t>
  </si>
  <si>
    <t>L1908014（26009954397）</t>
  </si>
  <si>
    <t>L1911002，（B46680431 58703700） 11月新增7118-2机房 电信大猫框1 12/13槽至743机房 E12-1 电信大光猫</t>
  </si>
  <si>
    <t>L1911003，（B46680430 58703700 ）11月新增7118-2机房 电信大猫框1 12/13槽至743机房 E12-1 电信大光猫</t>
  </si>
  <si>
    <t>L1912006，西侧光交箱-腾讯747机房</t>
  </si>
  <si>
    <t>L1912005，北侧光交箱-腾讯746机房</t>
  </si>
  <si>
    <t>2020/1/7开通
2021/8/31退租</t>
  </si>
  <si>
    <t>L1912036，北辰世纪中心 A座16层机房-743 H03机柜</t>
  </si>
  <si>
    <t>L1912037，北辰世纪中心 A座16层机房-743 J04机柜</t>
  </si>
  <si>
    <t>原L1912037，更新为L2003002</t>
  </si>
  <si>
    <t>2021/6/21退租，冲销9天费用。L2003002 7118-2机房  ODF4-3  63/64芯至743机房  E02-1机柜</t>
  </si>
  <si>
    <t>原：联通10M本地点对点专线</t>
  </si>
  <si>
    <t>原：电信10M本地点对点专线</t>
  </si>
  <si>
    <t>原：电信2M长途点对点专线</t>
  </si>
  <si>
    <t>线路2020.10.23退租，11月整月不计费。 2020.5.1转签至北京电信
业务编号：B17553353</t>
  </si>
  <si>
    <t>原：联通2M长途点对点专线</t>
  </si>
  <si>
    <t>线路退租，2020/9/28停止收取光纤费用。
2020.4.14转签至北京联通
业务编号：28733395 ， 上海宝付</t>
  </si>
  <si>
    <t>原：联通2M本地点对点专线</t>
  </si>
  <si>
    <t xml:space="preserve">2020.4.14转签至北京联通
业务编号：28733572（L2006010） ， 百悟科技 </t>
  </si>
  <si>
    <t>百信银行到北京百悟科技有限公司专线号：28733572，同步撤销中金机房局内布线一条 线路号为：L2006010</t>
  </si>
  <si>
    <t>2022/8/25退租：银监会，联通业务编号：28734505，局内裸光纤编号：L2006011</t>
  </si>
  <si>
    <t>线路2020.10.12退租.2020.5.1转签至北京电信
业务编号：B18638940 ， 上海宝付</t>
  </si>
  <si>
    <t>原：联通8M本地点对点专线</t>
  </si>
  <si>
    <t>原：电信2M本地点对点专线</t>
  </si>
  <si>
    <t>线路2020.10.23退租，11月整月不收费。2020.5.1转签至北京电信
业务编号：B17554529 ， 信诚人寿</t>
  </si>
  <si>
    <t>原：移动2M本地点对点专线</t>
  </si>
  <si>
    <t>运营商反馈2020.5.1转签至北京移动的流程未完成，线路费用仍然支付中金，不用支付局内裸光纤费用
2020.5.1转签至北京移动
业务编号：26001947965 ， 百度科技
TS-ADD20200620001</t>
  </si>
  <si>
    <t>原：电信8M长途点对点专线</t>
  </si>
  <si>
    <t>2022.3.24退租。2020.5.7转签至北京联通
业务编号：28759395 ， 中债登</t>
  </si>
  <si>
    <t>原：移动10M本地点对点专线</t>
  </si>
  <si>
    <t>运营商反馈2020.5.1转签至北京移动的流程未完成，线路费用仍然支付中金，不用支付局内裸光纤费用
2020.5.1转签至北京移动
业务编号：26001962470 ， 人行-人行
TS-ADD20200620001</t>
  </si>
  <si>
    <t>线路2020.10.23退租，11月整月不收费。2020.5.7转签至北京联通
业务编号：28762319 ， 人行</t>
  </si>
  <si>
    <t>原：联通4M长途点对点专线</t>
  </si>
  <si>
    <t>原：电信4M长途点对点专线</t>
  </si>
  <si>
    <t>2020.5.1转签至北京电信
5月23日新开通，业务编号：B18644350，上海票交所：L2006030</t>
  </si>
  <si>
    <t>2022/11/3退租。
2020.5.1转签至北京电信
5月23日新开通，业务编号：B18644350，上海票交所：L2006030：7119机房 A5机柜 电信大猫框 0槽  ---743机房 B03隔笼 E01机柜 电信小光猫</t>
  </si>
  <si>
    <t>2020.5.1转签至北京电信
B131003140</t>
  </si>
  <si>
    <t>2022/8/25退租：银监会，电信业务编号：B131003140，局内裸光纤编号：L2006028</t>
  </si>
  <si>
    <t>1、百信银行主动发起，移动专线号L2006048：7119机房 A1机柜 移动CTN6150 2-3至743机房 HB-BJBX-B-R4431-14
2、百信银行主动发起，移动专线号L2006049：7119机房 A1机柜 移动CTN6150 2-4至743机房 HB-BJBX-B-R4431-15</t>
  </si>
  <si>
    <t>联通</t>
  </si>
  <si>
    <t>中金到美团联通专线局内裸光纤费用
L2004027（45704715）
7118-2机房 联通ODF4-3 69/70芯至743机房 E02-1机柜 联通小光猫</t>
  </si>
  <si>
    <t>电信</t>
  </si>
  <si>
    <t>中金到中信银行仲裁机房电信专线局内裸光纤费用
L2005004（B17572848)
7118-2机房 电信OSN2500 5-1口至743机房 G4-1 用户设备</t>
  </si>
  <si>
    <t>联通20M专线</t>
  </si>
  <si>
    <t>中金到中信银行仲裁机房联通专线局内裸光纤费用，2020/6/9开通，6月计费22天
L2006034（45708009）
7118-2机房 联通ODF4-4 19/20芯至743机房 H03-01机柜 用户设备</t>
  </si>
  <si>
    <t>2020.9.1转签至北京移动
业务编号：26001962470</t>
  </si>
  <si>
    <t xml:space="preserve">2020.9.1转签至北京移动
业务编号：26001947965 </t>
  </si>
  <si>
    <t xml:space="preserve">线路2020.10.23退租，11月整月不收费。2020.9.1转签至北京移动
业务编号：26001947965 </t>
  </si>
  <si>
    <t>第三方公司智博天下主动发起，联通专线号L2010001（45733354）：7118-2机房 联通MSAP 11-1口至743机房 D04机柜 ODF3 35/36芯E-12-1 联通小光猫</t>
  </si>
  <si>
    <t>百信至北京亿美软通的点对点专线对应的中金园区内的局内裸光纤已于2月26日开通，专线号：L2102007（B17560224)：4107机房 电信A1机柜 ATN950B 1-1口至743机房 H03-1 电信小光猫</t>
  </si>
  <si>
    <t>L2108020（110YTW004328)：7118-2机房 联通ODF4-3 11/12芯至743机房E-02-01机柜 用户设备</t>
  </si>
  <si>
    <t>7118-2机房 ODF4-4 39/40芯至 743机房 E02-01 用户设备
L2110003（110YTW005212)
百信银行与第三方公司（中央国债登记结算有限公司）新增1条联通专线（该专线由中央国债登记结算有限公司主动发起）接入百信中金机房</t>
  </si>
  <si>
    <t>7118-2机房 ODF4-4 47/48芯至 743机房 E02-01 用户设备
L2110001（110YTW005211)
百信银行与第三方公司（中央国债登记结算有限公司）新增1条联通专线（该专线由中央国债登记结算有限公司主动发起）接入百信中金机房</t>
  </si>
  <si>
    <t>7118-2机房 MSTP 10-2口 至 743机房 I04-01 用户设备：L2203004</t>
  </si>
  <si>
    <t>7118-2机房 ODF4-6 49/50芯 至743机房 E02-01 联通小光猫
L2204001（110YTW10850924)
百信银行与第三方公司（中国农业银行）新增1条联通（运营商）专线（该专线由中国农业银行主动发起）接入百信中金机房</t>
  </si>
  <si>
    <t>7118-2 ODF4-6 51/52至 743 I04-01机柜。L2204015</t>
  </si>
  <si>
    <t>联通10M。L2204012，
110BLZ10785856。中金-惠通职场，朝阳区姚家园南路1号。7118-2 1800 7-10至 743 J04-01。</t>
  </si>
  <si>
    <t>惠通职场。L2207003（MSTPBJ1001662535）AZ端：7F403-A-09-05-联通7118机房</t>
  </si>
  <si>
    <t>联通。增加95短号。L2208003。联通7118机房 联通传输 至7F403-A09-05</t>
  </si>
  <si>
    <t>电信，A端：7#7119-A5机柜 电信OSN2500 5/1口；
Z端：7#743 K07-5机柜 S7800XP WGE1/0/7；L2305004</t>
  </si>
  <si>
    <t>L2306007。A端：7#7118-2 联通OSN1800V 14/7口
Z端：7#743 J04-01 机柜用户设备</t>
  </si>
  <si>
    <t>L2306005。A端：7#7118-2 联通1800V 7/6
Z端：7#743 E02机柜联通小光猫</t>
  </si>
  <si>
    <t>A端：7#7119 A5 电信OSN2500 8-2口；Z端：7#744 B01隔笼 I08机柜 用户设备。L2307006</t>
  </si>
  <si>
    <t>A端：7#7118-2 A5 联通1800V 1-1口；Z端：7#744 B01隔笼 J08机柜 用户设备。L2307005</t>
  </si>
  <si>
    <t>一期403机房</t>
  </si>
  <si>
    <t>7F403-A-01、7F403-A-02、7F403-A-03、7F403-A-04、7F403-A-05、7F403-A-06、7F403-A-07、7F403-A-08、7F403-A-09、7F403-A-10、7F403-A-11、7F403-A-12、7F403-A-13、7F403-A-14、7F403-A-15、7F403-B-01、7F403-B-02、7F403-B-03、7F403-B-04、7F403-B-05、7F403-B-06、7F403-B-07、7F403-B-08、7F403-B-09、7F403-B-10、7F403-B-11、7F403-B-12、7F403-B-13、7F403-C-01、7F403-C-02、7F403-C-03、7F403-C-05、7F403-C-06、7F403-C-07、7F403-C-08、7F403-C-09、7F403-C-10、7F403-C-11、7F403-C-12、7F403-C-13、7F403-C-14、7F403-D-01、7F403-D-02、7F403-D-03、7F403-D-05、7F403-D-06、7F403-D-07、7F403-D-08、7F403-D-09、7F403-D-10、7F403-D-11、7F403-D-12、7F403-D-13、7F403-D-14、7F403-E-01、7F403-E-02、7F403-E-04、7F403-E-05、7F403-E-06、7F403-E-07、7F403-E-08、7F403-E-09、7F403-E-10、7F403-E-11、7F403-E-12、7F403-F-01、7F403-F-02、7F403-F-03、7F403-F-05、7F403-F-06、7F403-F-07、7F403-F-08、7F403-F-09、7F403-F-10、7F403-F-11、7F403-F-12、7F403-F-13、7F403-F-14、7F403-G-01、7F403-G-02、7F403-G-03、7F403-G-05、7F403-G-06、7F403-G-07、7F403-G-08、7F403-G-09、7F403-G-10、7F403-G-11、7F403-G-12、7F403-G-13、7F403-H-01、7F403-H-02、7F403-H-04、7F403-H-05、7F403-H-06、7F403-H-07、7F403-H-08、7F403-H-09、7F403-H-10、7F403-H-11、7F403-I-01、7F403-I-02、7F403-I-03、7F403-I-05、7F403-I-06、7F403-I-07、7F403-I-08、7F403-I-09、7F403-I-10、7F403-I-11、7F403-I-12、7F403-I-13、7F403-I-14、7F403-J-01、7F403-J-02、7F403-J-03、7F403-J-05、7F403-J-06、7F403-J-07、7F403-J-08、7F403-J-09、7F403-J-10、7F403-J-11、7F403-J-12、7F403-J-13、7F403-J-14、7F403-K-01、7F403-K-02、7F403-K-04、7F403-K-05、7F403-K-06、7F403-K-07、7F403-K-08、7F403-K-09、7F403-K-10、7F403-K-11、7F403-K-12、7F403-K-13、7F403-L-01、7F403-L-02、7F403-L-03、7F403-L-05、7F403-L-06、7F403-L-07</t>
  </si>
  <si>
    <t>7F403-C-04、7F403-D-04、7F403-E-03、7F403-F-04、7F403-G-04、7F403-H-03、7F403-I-04、7F403-J-04、7F403-K-03、7F403-L-04</t>
  </si>
  <si>
    <t>汇天网络科技有限公司</t>
  </si>
  <si>
    <t>百信汇天</t>
  </si>
  <si>
    <t>L20230805005</t>
  </si>
  <si>
    <t>BXHT</t>
  </si>
  <si>
    <t>14A</t>
  </si>
  <si>
    <t>30A</t>
  </si>
  <si>
    <t>BXHT4D101-E-01、BXHT4D101-E-02、BXHT4D101-E-03</t>
  </si>
  <si>
    <t>2021/10/25开通，10月计费7天：BXHT4D101-E-04、BXHT4D101-E-05、BXHT4D101-E-06</t>
  </si>
  <si>
    <t>BXHT4D101-E-07，BXHT4D101-E-08，BXHT4D101-E-09</t>
  </si>
  <si>
    <t>需关注，每个机架享受免费5天临时加电期，超过5天转为正式加电开始计费</t>
    <phoneticPr fontId="3" type="noConversion"/>
  </si>
  <si>
    <t>BXHT4D101-E-10、BXHT4D101-E-11、BXHT4D101-E-12</t>
  </si>
  <si>
    <t>其他</t>
  </si>
  <si>
    <t>机架占用费</t>
  </si>
  <si>
    <t>汇天机架占用费，合同约定：第7个月起未起租机柜收取机架预占费1984元/月/架，总量72-已使用66=占用6架
月末根据实际机架开通数量重新计算占用数量</t>
  </si>
  <si>
    <t>系统可自动生成预提。未来每开通1个机架，要同步关闭1个占用费资源</t>
    <phoneticPr fontId="3" type="noConversion"/>
  </si>
  <si>
    <t>L20230805004</t>
  </si>
  <si>
    <t>端口占用费</t>
  </si>
  <si>
    <t>更新：由汇天4号楼5层A路电信间布设一条24芯光缆至百信客户4号楼101机房A06机柜，并进行熔接，ODF配线架类型采用LC接口
甲方开通22条线路，则其中12条按照416元/月/端口，剩余10条按照500元/月/端口计费。
甲方开通25条线路，则其中24条按照416元/月/端口，剩余1条按照500元/月/端口计费。
每月正预提</t>
    <phoneticPr fontId="3" type="noConversion"/>
  </si>
  <si>
    <t>ZYT202309250049</t>
  </si>
  <si>
    <t>恩牛 电信10M，专线号18644616
每月正预提</t>
  </si>
  <si>
    <t>百信汇天机房人行互联26009943422
本端：北京市通州区宋庄镇汇天云端产业园4号楼机房
对端：北京市经济技术开发区博兴8路1号中金云网公司7号楼4层743单元
每月正预提</t>
    <phoneticPr fontId="3" type="noConversion"/>
  </si>
  <si>
    <t>8月新增4个端口:
    1、B17553353 BXHT-4D101-A-07-09 HB-BXHT-C-NE40-164.Ext G3/0/0人行营业管理部
    2、B17554529 BXHT-4D101-A-07-01 HB-BXHT-C-NE40-160.Ext G3/0/5信诚人寿（中信保诚）
    3、B17555135 BXHT-4D101-A-07-01 HB-BXHT-C-NE40-160.Ext G3/0/3（中央国债登记结算中心）
    4、B17559886 BXHT-4D101-B-07-09 HB-BXHT-C-NE40-165.Ext G3/0/7（百信汇天人行互联）
每月正预提</t>
    <phoneticPr fontId="3" type="noConversion"/>
  </si>
  <si>
    <t>退租：B17555135 BXHT-4D101-A-07-01 HB-BXHT-C-NE40-160.Ext G3/0/3（中央国债登记结算中心）。合同约定端口占用费每满12个，前12个按416计费，其他按500，故本次退租减少月租500元
每月正预提</t>
    <phoneticPr fontId="3" type="noConversion"/>
  </si>
  <si>
    <t>8月新增1个端口:1、B18638940 BXHT-4D101-A-07-01 HB-BXHT-C-NE40-160.Ext G3/0/4宝付
每月正预提</t>
    <phoneticPr fontId="3" type="noConversion"/>
  </si>
  <si>
    <t xml:space="preserve">2020.10.31退租。
业务编号：B18638940 </t>
    <phoneticPr fontId="3" type="noConversion"/>
  </si>
  <si>
    <t>8月新增1个端口：45679941
本端：北京市通州区宋庄镇汇天云端产业园4号楼机房
对端：武汉市江汉经济开发区江旺路6号火凤凰云基地1层
每月正预提</t>
    <phoneticPr fontId="3" type="noConversion"/>
  </si>
  <si>
    <t>9月新增农信银 电信2M专线B18646486
本端：北京市通州区宋庄镇汇天云端产业园4号楼机房
对端：湖南省长沙市开福区湘春路260号星沙农村商业银行2楼长沙数据中心机房
每月正预提</t>
    <phoneticPr fontId="3" type="noConversion"/>
  </si>
  <si>
    <t>10月新增：百信移动浦发银行2M专线，FE0296KA/NP/P
本端：北京市通州区宋庄镇汇天云端产业园4号楼机房
对端：上海市莲花路1688号一楼机房
甲方开通端口数量每达到12个端口即可享受优惠，优惠后端口专线价格按416元/月/端口执行
每月正预提</t>
    <phoneticPr fontId="3" type="noConversion"/>
  </si>
  <si>
    <t>10月新增：百信联通人行营业管理部2 10M专线28762319
本端：北京市通州区宋庄镇汇天云端产业园4号楼机房
对端：北京市海淀区巨山东路99号中国人民银行营业管理部204室
甲方开通端口数量每达到12个端口即可享受优惠，优惠后端口专线价格按416元/月/端口执行
每月正预提</t>
    <phoneticPr fontId="3" type="noConversion"/>
  </si>
  <si>
    <t>11月1日新增：本端均为：汇天云端产业园4号楼机房
对端均为：酒仙桥百度云
每月正预提</t>
    <phoneticPr fontId="3" type="noConversion"/>
  </si>
  <si>
    <t>2020/6/19新增电信专线1条，专线号为：B46680635
本端：北京市通州区宋庄镇汇天云端产业园4号楼1-1机房
对端：15号楼B1电信机房
每月正预提</t>
    <phoneticPr fontId="3" type="noConversion"/>
  </si>
  <si>
    <t>本端：15号楼B1核心机房1、15#B1核心机房ODF 02柜第57盘9/10芯；2、15#B1核心机房ODF 03柜第33盘1/2芯。
对端：汇天网络云端产业园4号楼101机房的A07柜
每月正预提</t>
    <phoneticPr fontId="3" type="noConversion"/>
  </si>
  <si>
    <t>2021/8/2新增移动专线，专线号为：26010163191
本端：15号楼B1核心机房15#B1接入间R3-ZXCTN6150-2板4口
对端：汇天网络云端产业园4号楼101机房A04柜-3U-4板-42口</t>
    <phoneticPr fontId="3" type="noConversion"/>
  </si>
  <si>
    <t>联通50M。汇天-惠通职场。本端设备名称：HB-BXHT-C-CE12804-38.Int，本端设备接口：10GE4/0/45</t>
    <phoneticPr fontId="3" type="noConversion"/>
  </si>
  <si>
    <t>移动。百信银行从汇天园区18#楼移动机房至4号楼101机房的2对跳纤运营商于2022年6月22日布放完成
跳纤的端口占用信息如下：
跳纤1：18#B1移动机房ODF—18#B1传输ODF06柜-2盒-2盘-3/4芯—18#B1传输ODF04柜-5盒-2盘-5/6芯—4#b1接入间-2-10盒-2盘-5/6芯—4#b1接入间2-6盒-2盘-8/9芯—4#101百信机房
跳纤2：18#B1移动机房ODF—18#B1传输ODF06柜-2盒-2盘-5/6芯—18#B1传输ODF04柜-5盒-2盘-7/8芯—4#b1接入间-2-10盒-2盘-7/8芯—4#b1接入间2-6盒-2盘-10/12芯—4#101百信机房</t>
  </si>
  <si>
    <t>电信，50M，专线号：MSTPBJ1001663285。惠通职场</t>
  </si>
  <si>
    <t>百信95短号电信使用:15#B1核心ODF02柜-21盘-7/8芯—15#B1核心ODF05柜-9盘-11/12芯—4号楼B1接入间1-1-ODF09-3盘-11/12芯—4号楼B1接入间1-1-ODF6-2盘-5/6芯—4#百信1-1机房-A01柜-2盘-5/6芯—4#百信1-1机房-D7柜HB-BXHT-B-R4431-15.Int-G3/0/2——标签：BX-0022</t>
    <phoneticPr fontId="3" type="noConversion"/>
  </si>
  <si>
    <t>15#B1核心ODF02柜-23盘-9/10芯（联通机房ODF:A3-3-55/56芯，专线号110YTW12936729）——5#楼D202机房F-02-20柜。BXHT5D202-F-02-20CB-S7800XP-36.Mix设备-GE1/0/15</t>
    <phoneticPr fontId="3" type="noConversion"/>
  </si>
  <si>
    <t>ZYT202309250050</t>
  </si>
  <si>
    <t>15#B1核心ODF05柜-37盘-5/8芯（15532-云端产业园区汇天网络科技-A3-1-OSN3500-33板3口，电信专线号：MSTPBJ1002650441）——5#楼D202机房E-02-20柜BXHT5D202-E-02-20-CB-S7800XP-35.Mix25G1/0/9</t>
    <phoneticPr fontId="3" type="noConversion"/>
  </si>
  <si>
    <t>182315IDC00494</t>
  </si>
  <si>
    <t>二期5D</t>
  </si>
  <si>
    <t>BXHT5D202-A-01、BXHT5D202-A-02、BXHT5D202-A-03、BXHT5D202-A-04、BXHT5D202-A-05、BXHT5D202-A-06、BXHT5D202-A-07、BXHT5D202-B-01、BXHT5D202-B-02、BXHT5D202-B-03、BXHT5D202-B-04、BXHT5D202-B-05、BXHT5D202-B-06、BXHT5D202-B-07、BXHT5D202-B-08、BXHT5D202-E-01、BXHT5D202-E-02、BXHT5D202-E-03、BXHT5D202-E-04、BXHT5D202-E-05、BXHT5D202-F-01、BXHT5D202-F-02、BXHT5D202-F-03、BXHT5D202-F-04、BXHT5D202-F-05、BXHT5D202-F-06</t>
  </si>
  <si>
    <t>预计从2023.11.24开始可能产生空置费。机房自交付之日起，六个月内为免费预占期。合同生效后乙方根据甲方业务需求对机架进行加电，甲方租用但未加电机架自合同生效后的第7个月开始收取未开通机架的预占费。</t>
    <phoneticPr fontId="3" type="noConversion"/>
  </si>
  <si>
    <t>预计从2023.11.24开始可能产生空置费。</t>
  </si>
  <si>
    <t>182315IDC00393</t>
  </si>
  <si>
    <t>改造费</t>
    <phoneticPr fontId="3" type="noConversion"/>
  </si>
  <si>
    <t>汇天机房百信二期项目，客户（百信银行）要求汇天5号楼房间接入中金动环监控系统，与中金一二期，汇天一期一同进行管理。汇天机房经过与中金进行询价，确认系统建设费用为一次性费用</t>
  </si>
  <si>
    <t>+</t>
    <phoneticPr fontId="3" type="noConversion"/>
  </si>
  <si>
    <t>江苏凤凰数据有限公司</t>
  </si>
  <si>
    <t>凤凰数据</t>
  </si>
  <si>
    <t>L20230910009</t>
  </si>
  <si>
    <t>南京</t>
  </si>
  <si>
    <t>M2NJ</t>
  </si>
  <si>
    <t>历史开通累计</t>
  </si>
  <si>
    <t>73A</t>
  </si>
  <si>
    <t>M2-D-01</t>
  </si>
  <si>
    <t>27A</t>
  </si>
  <si>
    <t>M2-B-02、M2-B-03</t>
  </si>
  <si>
    <t>2017.5.25</t>
  </si>
  <si>
    <t>36A</t>
  </si>
  <si>
    <t>M2-C-02、M2-C-03</t>
  </si>
  <si>
    <t>40.9A</t>
  </si>
  <si>
    <t>M2-B-06、M2-C-06、M2-A-09</t>
  </si>
  <si>
    <t>95A</t>
  </si>
  <si>
    <t>M2-B-05、M2-C-05</t>
  </si>
  <si>
    <t>M2-B-04、M2-C-04、M2-D-02、M2-D-03、M2-D-04、M2-D-05、M2-D-06、M2-D-07</t>
  </si>
  <si>
    <t>IDC机架 网核机架</t>
  </si>
  <si>
    <t>M2-A-09</t>
  </si>
  <si>
    <t>M2-A-06 M2-A-07 
机柜单位价格为1700/kw/月，单价：8.8KW*1700=14960</t>
  </si>
  <si>
    <t>62.5A</t>
  </si>
  <si>
    <t>2020/7/10开通，M2-A-10
机柜单位价格为1700/kw/月，单价：13.75KW*1700=23375</t>
  </si>
  <si>
    <t>M2-A-01、M2-A-02、M2-A-03、M2-A-04</t>
  </si>
  <si>
    <t>2020/12/15开通，计费17天。M2-D-10</t>
  </si>
  <si>
    <t>M2-A-05。运营商从4.1开始计费</t>
  </si>
  <si>
    <t>M2-D-04、M2-D-05</t>
  </si>
  <si>
    <t>M2-D-01、M2-D-04、M2-D-05</t>
  </si>
  <si>
    <t>182215IDC00224</t>
  </si>
  <si>
    <t>NJ02</t>
  </si>
  <si>
    <t>2022/1/21 NJ02凤凰直签机房退租</t>
  </si>
  <si>
    <t>超电流费用结算(IDC机架)</t>
  </si>
  <si>
    <t>2022/1/21 凤凰数据NJ02退租</t>
  </si>
  <si>
    <t>L20220727001</t>
  </si>
  <si>
    <t>NJ021B-A-11、NJ021B-A-12、NJ021B-A-13、NJ021B-A-14</t>
  </si>
  <si>
    <t>NJ021B-D-15</t>
  </si>
  <si>
    <t>M2NJ1B-B-11、M2NJ1B-B-12（与商务确认，M2NJ与NJ021B为同一机房）</t>
  </si>
  <si>
    <t>江苏凤凰新云网络科技有限公司</t>
  </si>
  <si>
    <t>凤凰新云</t>
  </si>
  <si>
    <t>182215IDC00675</t>
  </si>
  <si>
    <t>南京新港二期（108超核）</t>
  </si>
  <si>
    <t>NJXG</t>
  </si>
  <si>
    <t>136A</t>
  </si>
  <si>
    <t>2021/10/15开通，10月计费17天：NJXG108-A-10、NJXG108-B-10</t>
  </si>
  <si>
    <t>2021/10/15开通，10月计费17天：NJXG108-E-01、NJXG108-E-02</t>
  </si>
  <si>
    <t>202111SYS反馈6个机架电流实际为40.9A，调整计提行：NJXG108-F-02、NJXG108-F-06、NJXG108-F-07、NJXG108-G-02、NJXG108-H-02、NJXG108-H-03</t>
  </si>
  <si>
    <t>202111SYS反馈6个机架电流实际为40.9A，调整计提行：NJXG108-G-09、NJXG108-G-10、NJXG108-G-12、NJXG108-G-13、NJXG108-H-12、NJXG108-H-13</t>
  </si>
  <si>
    <t>0A</t>
  </si>
  <si>
    <t>2021/10/15开通2个布线柜，10月计费17天：NJXG108-F-01、NJXG108-G-01</t>
  </si>
  <si>
    <t>NJXG108-G-08</t>
  </si>
  <si>
    <t>NJXG108-H-09
NJXG108-H-10</t>
  </si>
  <si>
    <t>NJXG108-H-04、NJXG108-H-05、NJXG108-H-06、NJXG108-H-07</t>
  </si>
  <si>
    <t>NJXG108-A-07</t>
  </si>
  <si>
    <t>109A</t>
  </si>
  <si>
    <t>NJXG108-C-07、NJXG108-C-09、NJXG108-D-11、NJXG108-D-13</t>
  </si>
  <si>
    <t>NJXG108-A-08、NJXG108-B-08</t>
  </si>
  <si>
    <t>NJXG108-C-04、NJXG108-C-05、NJXG108-D-08、NJXG108-D-09、NJXG108-E-03、NJXG108-E-04</t>
  </si>
  <si>
    <t>NJXG108-C-01、NJXG108-C-02、NJXG108-C-03、NJXG108-D-05、NJXG108-D-06、NJXG108-D-07</t>
  </si>
  <si>
    <t>NJXG108-E-05、NJXG108-E-06、NJXG108-E-07、NJXG108-E-08、NJXG108-E-09、NJXG108-E-10、NJXG108-E-11、NJXG108-E-12、NJXG108-F-03、NJXG108-F-04、NJXG108-I-02、NJXG108-I-03</t>
  </si>
  <si>
    <t>NJXG108-I-04、NJXG108-I-05、NJXG108-I-06、NJXG108-I-07、NJXG108-I-08、NJXG108-I-09</t>
  </si>
  <si>
    <t>NJXG108-D-04</t>
  </si>
  <si>
    <t>NJXG108-A-09、NJXG108-B-09、NJXG108-B-11、NJXG108-C-06、NJXG108-C-08、NJXG108-D-10、NJXG108-D-12、NJXG108-H-01、NJXG108-I-01</t>
  </si>
  <si>
    <t>昆山博迈数据服务有限公司</t>
  </si>
  <si>
    <t>昆山博迈</t>
  </si>
  <si>
    <t>L20221126002</t>
  </si>
  <si>
    <t>苏州陆家3/5层</t>
  </si>
  <si>
    <t>SZLJ</t>
  </si>
  <si>
    <t>2023.9与SYS确认4个机柜电流规格变更为20A，拆分计提行，原110个40A，拆分成97个40A，4个20A。SZLJ1D301-A-01、SZLJ1D301-A-02、SZLJ1D301-A-03、SZLJ1D301-A-04、SZLJ1D301-A-05、SZLJ1D301-A-06、SZLJ1D301-A-07、SZLJ1D301-A-08、SZLJ1D301-A-10、SZLJ1D301-B-05、SZLJ1D301-B-13、SZLJ1D301-C-01、SZLJ1D301-C-02、SZLJ1D301-H-02、SZLJ1D301-H-03、SZLJ1D301-N-01、SZLJ1D301-N-02、SZLJ1D302-A-01、SZLJ1D302-A-09、SZLJ1D302-B-06、SZLJ1D302-C-01、SZLJ1D302-C-02、SZLJ1D302-H-02、SZLJ1D302-H-03、SZLJ1D302-N-01、SZLJ1D302-N-02、SZLJ1D501-G-09、SZLJ1D501-H-11、SZLJ1D501-L-01、SZLJ1D501-L-02、SZLJ1D501-L-03、SZLJ1D501-L-04、SZLJ1D501-L-05、SZLJ1D501-L-06、SZLJ1D501-L-07、SZLJ1D501-M-01、SZLJ1D501-M-02、SZLJ1D501-M-03、SZLJ1D501-M-04、SZLJ1D501-M-05、SZLJ1D501-M-06、SZLJ1D501-M-07、SZLJ1D501-M-08、SZLJ1D501-M-09、SZLJ1D501-M-10、SZLJ1D501-M-11、SZLJ1D501-N-01、SZLJ1D501-N-02、SZLJ1D501-N-03、SZLJ1D501-N-04、SZLJ1D501-N-05、SZLJ1D501-N-06、SZLJ1D501-N-07、SZLJ1D501-N-08、SZLJ1D501-N-09、SZLJ1D501-N-10、SZLJ1D501-N-11、SZLJ1D502-A-01、SZLJ1D502-A-03、SZLJ1D502-B-03、SZLJ1D502-B-05、SZLJ1D502-C-10、SZLJ1D502-C-11、SZLJ1D502-D-03、SZLJ1D502-D-04、SZLJ1D502-D-05、SZLJ1D502-D-06、SZLJ1D502-D-08、SZLJ1D502-D-11、SZLJ1D502-E-03、SZLJ1D502-E-04、SZLJ1D502-E-05、SZLJ1D502-E-06、SZLJ1D502-E-08、SZLJ1D502-E-10、SZLJ1D502-F-05、SZLJ1D502-F-06、SZLJ1D502-F-07、SZLJ1D502-G-05、SZLJ1D502-G-06、SZLJ1D502-G-07、SZLJ1D502-H-02、SZLJ1D502-H-03、SZLJ1D502-H-04、SZLJ1D502-H-05、SZLJ1D502-H-06、SZLJ1D502-H-07、SZLJ1D502-J-02、SZLJ1D502-J-03、SZLJ1D502-J-04、SZLJ1D502-J-05、SZLJ1D502-J-06、SZLJ1D502-J-07、SZLJ1D502-K-02、SZLJ1D502-K-03、SZLJ1D502-K-04、SZLJ1D502-K-05</t>
    <phoneticPr fontId="3" type="noConversion"/>
  </si>
  <si>
    <t>苏州陆家4层</t>
  </si>
  <si>
    <t>20A</t>
    <phoneticPr fontId="3" type="noConversion"/>
  </si>
  <si>
    <t>2023.9拆分计提行，4个机柜电流规格变为20A。SZLJ1D301-G-13、SZLJ1D301-H-13、SZLJ1D302-G-13、SZLJ1D302-H-13</t>
    <phoneticPr fontId="3" type="noConversion"/>
  </si>
  <si>
    <t>SZLJ1D502-D-02、SZLJ1D502-E-02</t>
  </si>
  <si>
    <t>SZLJ1D502-F-01、SZLJ1D502-F-03、SZLJ1D502-G-01、SZLJ1D502-G-03</t>
  </si>
  <si>
    <t>SZLJ1D302-A-02、SZLJ1D302-A-10、SZLJ1D302-B-05、SZLJ1D302-B-13</t>
    <phoneticPr fontId="3" type="noConversion"/>
  </si>
  <si>
    <t>SZLJ1D302-B-05、SZLJ1D302-B-06、SZLJ1D302-B-13、SZLJ1D501-M-06、SZLJ1D501-M-07、SZLJ1D501-M-08、SZLJ1D501-M-11</t>
  </si>
  <si>
    <t>SZLJ1D302-A-03、SZLJ1D302-A-04</t>
  </si>
  <si>
    <t>SZLJ1D302-A-05、SZLJ1D302-A-06</t>
  </si>
  <si>
    <t>SZLJ1D302-A-07、SZLJ1D302-A-08</t>
  </si>
  <si>
    <t>SZLJ1D302-A-12</t>
  </si>
  <si>
    <t>SZLJ1D502-D-07、SZLJ1D502-D-09、SZLJ1D502-E-07、SZLJ1D502-E-09</t>
  </si>
  <si>
    <t>SZLJ1D302-A-11</t>
  </si>
  <si>
    <t>SZLJ1D501-A-02、SZLJ1D501-C-02、SZLJ1D501-C-03</t>
  </si>
  <si>
    <t>SZLJ1D402-B-01、SZLJ1D402-C-01、SZLJ1D402-E-01、SZLJ1D402-G-01、SZLJ1D402-J-01、SZLJ1D402-K-01、SZLJ1D402-M-01、SZLJ1D402-N-01</t>
  </si>
  <si>
    <t>SZLJ1D501-F-02、SZLJ1D501-G-02</t>
  </si>
  <si>
    <t>SZLJ1D302-C-03、SZLJ1D302-D-02、SZLJ1D302-F-01、SZLJ1D302-G-01、SZLJ1D302-J-01、SZLJ1D302-K-01、SZLJ1D302-M-01、SZLJ1D302-P-01、SZLJ1D501-H-02、SZLJ1D501-J-02、SZLJ1D501-H-01、SZLJ1D501-J-01、SZLJ1D501-F-01、SZLJ1D501-G-01、SZLJ1D502-F-08、SZLJ1D502-G-08、SZLJ1D502-H-08、SZLJ1D502-H-09、SZLJ1D502-J-08、SZLJ1D502-J-09、SZLJ1D502-K-06、SZLJ1D502-K-07、SZLJ1D502-K-08、SZLJ1D502-K-09、SZLJ1D502-K-10</t>
  </si>
  <si>
    <t>SZLJ1D501-F-06、SZLJ1D501-F-11、SZLJ1D501-J-04、SZLJ1D501-J-08</t>
  </si>
  <si>
    <t>SZLJ1D301-H-02、SZLJ1D301-H-03、SZLJ1D302-H-02、SZLJ1D302-H-03</t>
  </si>
  <si>
    <t>SZLJ1D402-G-13、SZLJ1D402-H-13</t>
    <phoneticPr fontId="3" type="noConversion"/>
  </si>
  <si>
    <t>SZLJ1D301-A-09</t>
  </si>
  <si>
    <t>SZLJ1D301-E-01、SZLJ1D301-F-01、SZLJ1D301-J-01、SZLJ1D301-K-01、SZLJ1D301-M-01、SZLJ1D301-P-01</t>
  </si>
  <si>
    <t>SZLJ1D402-B-02、SZLJ1D402-B-04、SZLJ1D402-B-07、SZLJ1D402-B-08、SZLJ1D402-B-09、SZLJ1D402-B-10、SZLJ1D402-B-11、SZLJ1D402-B-12、SZLJ1D402-B-13、SZLJ1D402-B-14、SZLJ1D402-C-02、SZLJ1D402-B-06</t>
  </si>
  <si>
    <t>SZLJ1D402-E-03、SZLJ1D402-E-05、SZLJ1D402-F-05、SZLJ1D402-F-07、SZLJ1D402-H-05、SZLJ1D402-H-09、SZLJ1D402-K-07、SZLJ1D402-K-11、SZLJ1D402-M-07、SZLJ1D402-M-11、SZLJ1D402-N-07、SZLJ1D402-N-11、SZLJ1D402-C-04、SZLJ1D402-C-06、SZLJ1D402-C-07、SZLJ1D402-C-08、SZLJ1D402-C-09、SZLJ1D402-C-10、SZLJ1D402-C-11、SZLJ1D402-C-12、SZLJ1D402-C-13、SZLJ1D402-C-14、SZLJ1D402-D-02、SZLJ1D402-D-03、SZLJ1D402-D-04、SZLJ1D402-D-05、SZLJ1D402-D-06、SZLJ1D402-D-07、SZLJ1D402-D-08、SZLJ1D402-D-09</t>
    <phoneticPr fontId="3" type="noConversion"/>
  </si>
  <si>
    <t>SZLJ1D402-D-01</t>
  </si>
  <si>
    <t>SZLJ1D301-D-07、SZLJ1D301-D-08、SZLJ1D301-D-09、SZLJ1D301-D-10、SZLJ1D301-D-11、SZLJ1D301-D-12、SZLJ1D301-E-03、SZLJ1D301-E-04、SZLJ1D301-E-05、SZLJ1D301-E-06、SZLJ1D301-E-07、SZLJ1D301-E-08、SZLJ1D301-E-09、SZLJ1D301-E-10、SZLJ1D301-E-11、SZLJ1D301-E-12、SZLJ1D301-E-13、SZLJ1D301-E-14、SZLJ1D301-F-03、SZLJ1D301-F-04、SZLJ1D301-F-05、SZLJ1D301-F-06、SZLJ1D301-F-07、SZLJ1D301-F-08、SZLJ1D301-F-09、SZLJ1D301-F-10、SZLJ1D301-F-11、SZLJ1D301-F-12、SZLJ1D301-F-13、SZLJ1D301-F-14、SZLJ1D301-G-01、SZLJ1D301-G-02、SZLJ1D301-G-03、SZLJ1D301-G-04、SZLJ1D301-G-05、SZLJ1D301-G-06、SZLJ1D301-G-07、SZLJ1D301-G-08、SZLJ1D301-G-09、SZLJ1D301-G-10、SZLJ1D301-G-11、SZLJ1D301-G-12、SZLJ1D301-H-02、SZLJ1D301-H-03、SZLJ1D301-H-04、SZLJ1D301-H-05、SZLJ1D301-H-06、SZLJ1D301-H-07、SZLJ1D301-H-08、SZLJ1D301-H-09、SZLJ1D301-H-10、SZLJ1D301-H-11、SZLJ1D301-H-12、SZLJ1D301-J-03、SZLJ1D301-J-04、SZLJ1D301-J-05、SZLJ1D301-J-06、SZLJ1D301-J-07、SZLJ1D301-J-08、SZLJ1D301-J-09、SZLJ1D301-J-10、SZLJ1D301-J-11、SZLJ1D301-J-12、SZLJ1D301-J-13、SZLJ1D301-J-14、SZLJ1D301-K-03、SZLJ1D301-K-04、SZLJ1D301-K-05、SZLJ1D301-K-06、SZLJ1D301-K-07、SZLJ1D301-K-08、SZLJ1D301-K-09、SZLJ1D301-K-10、SZLJ1D301-K-11、SZLJ1D301-K-12、SZLJ1D301-K-13、SZLJ1D301-K-14</t>
  </si>
  <si>
    <t>SZLJ1D301-L-02、SZLJ1D301-L-03、SZLJ1D301-L-04、SZLJ1D301-L-05、SZLJ1D301-L-06、SZLJ1D301-L-07、SZLJ1D301-L-08、SZLJ1D301-L-09、SZLJ1D301-L-10、SZLJ1D301-L-11、SZLJ1D301-L-12、SZLJ1D301-M-03、SZLJ1D301-M-04、SZLJ1D301-M-05、SZLJ1D301-M-06、SZLJ1D301-M-07、SZLJ1D301-M-08、SZLJ1D301-M-09、SZLJ1D301-M-10、SZLJ1D301-M-11、SZLJ1D301-M-12、SZLJ1D301-M-13、SZLJ1D301-M-14、SZLJ1D301-N-03、SZLJ1D301-N-04、SZLJ1D301-N-05、SZLJ1D301-N-06、SZLJ1D301-N-08、SZLJ1D301-N-09、SZLJ1D301-N-10、SZLJ1D301-N-12、SZLJ1D301-N-13、SZLJ1D301-N-14、SZLJ1D301-P-02、SZLJ1D301-P-03、SZLJ1D301-P-04、SZLJ1D301-P-05、SZLJ1D301-P-06、SZLJ1D301-P-07、SZLJ1D301-P-08、SZLJ1D301-P-09、SZLJ1D301-P-10</t>
  </si>
  <si>
    <t>SZLJ1D301-N-07、SZLJ1D301-N-11</t>
    <phoneticPr fontId="3" type="noConversion"/>
  </si>
  <si>
    <t>联通（江苏）产业互联网有限公司</t>
  </si>
  <si>
    <t>江苏联通</t>
  </si>
  <si>
    <t>182015IDC00341</t>
  </si>
  <si>
    <t>南京新港（1.1期）101、103-106</t>
  </si>
  <si>
    <t>NJXG106-C-12、NJXG103-C-05、NJXG103-C-06、NJXG103-E-05、NJXG103-E-06、NJXG103-E-07、NJXG103-E-08、NJXG103-E-09、NJXG103-E-10、NJXG103-E-11、NJXG103-E-12、NJXG103-E-13、NJXG103-F-05、NJXG103-F-06、NJXG103-F-07、NJXG103-F-08、NJXG103-F-09、NJXG103-F-10、NJXG103-F-11、NJXG103-F-12、NJXG103-F-13、NJXG104-E-01、NJXG104-E-02、NJXG104-H-14、NJXG103-B-05、NJXG103-B-06、NJXG103-B-07、NJXG103-B-08、NJXG104-B-01、NJXG104-B-02、NJXG101-B-01、NJXG101-B-02、NJXG101-D-01、NJXG101-D-02、NJXG105-D-11、NJXG105-D-12、NJXG106-C-11、NJXG106-E-15、NJXG106-E-16、NJXG101-H-14、NJXG105-F-01、NJXG106-H-01</t>
  </si>
  <si>
    <t>NJXG104-A-09、NJXG104-A-10、NJXG104-A-11、NJXG104-A-12、NJXG104-A-13、NJXG104-A-14、NJXG104-D-08、NJXG104-D-09、NJXG104-D-10、NJXG104-D-11、NJXG104-D-12、NJXG104-D-13、NJXG104-D-14、NJXG104-D-15、NJXG104-D-16、NJXG104-E-03、NJXG104-E-04、NJXG104-E-05、NJXG104-E-06、NJXG104-E-07、NJXG104-E-08、NJXG104-E-09、NJXG104-E-10、NJXG104-E-11、NJXG104-E-12、NJXG104-E-13、NJXG104-E-14、NJXG104-E-15、NJXG104-E-16、NJXG104-F-01、NJXG104-F-02、NJXG104-F-03、NJXG104-F-05、NJXG104-F-12、NJXG104-F-08、NJXG104-F-09、NJXG104-F-10、NJXG104-G-01、NJXG104-G-02、NJXG104-G-03、NJXG104-G-04、NJXG104-G-05、NJXG104-G-06、NJXG104-G-07、NJXG104-G-08、NJXG104-G-09、NJXG104-G-10、NJXG104-D-07、NJXG104-H-01、NJXG104-H-02、NJXG104-C-01、NJXG104-C-02、NJXG104-C-04、NJXG104-C-05、NJXG104-C-06、NJXG104-C-12、NJXG104-C-08、NJXG104-C-09、NJXG104-C-11、NJXG104-D-01、NJXG104-D-02、NJXG104-D-03、NJXG104-D-04、NJXG104-D-05、NJXG104-D-06、NJXG104-G-11、NJXG104-G-12、NJXG104-G-13、NJXG104-G-14、NJXG104-G-15、NJXG104-G-16、NJXG104-H-03、NJXG104-H-05、NJXG104-H-06、NJXG104-H-07、NJXG104-H-08、NJXG104-H-09、NJXG104-H-10、NJXG104-H-11、NJXG104-H-13、NJXG104-B-03</t>
  </si>
  <si>
    <t>NJXG103-A-02、NJXG103-A-03、NJXG103-B-02、NJXG103-B-03、NJXG103-B-04</t>
  </si>
  <si>
    <t>NJXG103-A-10、NJXG103-B-13、NJXG103-C-02、NJXG103-C-04、NJXG103-C-07、NJXG103-D-01、NJXG103-D-04、NJXG103-D-06、NJXG103-E-02、NJXG103-E-04、NJXG103-F-01、NJXG103-F-03</t>
  </si>
  <si>
    <t>NJXG103-A-01、NJXG103-A-09、NJXG103-B-01、NJXG103-B-14、NJXG103-C-01、NJXG103-C-03、NJXG103-C-08、NJXG103-C-10、NJXG103-D-02、NJXG103-D-03、NJXG103-D-05、NJXG103-D-08、NJXG103-E-01、NJXG103-E-03、NJXG103-F-02、NJXG103-F-04</t>
  </si>
  <si>
    <t>NJXG101-A-01、NJXG101-A-02、NJXG101-A-03、NJXG101-A-04、NJXG101-A-05、NJXG101-A-06、NJXG101-A-07、NJXG101-A-08、NJXG101-A-09、NJXG101-A-10、NJXG101-A-11、NJXG101-B-03、NJXG101-B-04、NJXG101-B-05、NJXG101-B-06、NJXG101-B-07、NJXG101-B-08、NJXG101-B-09、NJXG101-B-10、NJXG101-B-11、NJXG101-B-12、NJXG101-B-13、NJXG101-B-14</t>
  </si>
  <si>
    <t>182015IDC00341</t>
    <phoneticPr fontId="3" type="noConversion"/>
  </si>
  <si>
    <t>NJXG101-C-05、NJXG101-C-06、NJXG101-C-07、NJXG101-C-08、NJXG101-C-09、NJXG101-C-10、NJXG101-C-11、NJXG101-C-12、NJXG101-C-13、NJXG101-C-14、NJXG101-D-03、NJXG101-D-04、NJXG101-D-05、NJXG101-D-06、NJXG101-D-07、NJXG101-D-08、NJXG101-D-09、NJXG101-D-10、NJXG101-D-11</t>
  </si>
  <si>
    <t>NJXG101-E-01、NJXG101-E-02、NJXG101-E-03、NJXG101-E-04、NJXG101-E-05、NJXG101-E-06、NJXG101-E-07、NJXG101-E-08、NJXG101-E-09、NJXG101-E-10、NJXG101-E-11、NJXG101-E-12、NJXG101-E-13、NJXG101-E-14、NJXG101-F-01、NJXG101-F-02、NJXG101-F-03、NJXG101-F-04、NJXG101-F-05、NJXG101-F-06、NJXG101-F-07、NJXG101-F-08、NJXG101-F-09、NJXG101-F-10、NJXG101-F-11、NJXG101-F-12、NJXG101-F-13、NJXG101-F-14、NJXG101-G-02、NJXG101-G-03、NJXG101-G-04、NJXG101-G-05、NJXG101-G-06、NJXG101-G-07、NJXG101-G-08、NJXG101-G-09、NJXG101-G-10、NJXG101-G-11</t>
  </si>
  <si>
    <t>NJXG101-H-01、NJXG101-H-02、NJXG101-H-03、NJXG101-H-04、NJXG101-H-05、NJXG101-H-06、NJXG101-H-07、NJXG101-H-08、NJXG101-H-09、NJXG101-H-10、NJXG101-H-11、NJXG101-H-12、NJXG101-H-13</t>
  </si>
  <si>
    <t>NJXG105-C-09、NJXG105-C-10、NJXG105-C-11、NJXG105-C-12、NJXG105-C-13、NJXG105-C-14、NJXG105-D-08、NJXG105-D-09、NJXG105-E-01、NJXG105-E-02、NJXG105-E-03、NJXG105-E-04、NJXG105-E-05、NJXG105-E-06、NJXG105-E-07、NJXG105-E-08、NJXG105-E-09、NJXG105-E-10、NJXG105-E-11、NJXG105-E-12、NJXG105-D-07、NJXG101-C-01、NJXG101-C-02、NJXG101-C-03、NJXG101-C-04</t>
  </si>
  <si>
    <t>NJXG105-A-01、NJXG105-A-02、NJXG105-A-03、NJXG105-A-04、NJXG105-A-06、NJXG105-A-07、NJXG105-A-08、NJXG105-A-09、NJXG105-A-10、NJXG105-A-11、NJXG105-A-12、NJXG105-B-01、NJXG105-B-02</t>
  </si>
  <si>
    <t>NJXG105-B-03、NJXG105-B-04、NJXG105-B-05、NJXG105-B-06、NJXG105-B-07、NJXG105-B-08、NJXG105-B-09、NJXG105-B-10、NJXG105-B-11、NJXG105-B-12、NJXG105-B-13、NJXG105-B-14、NJXG105-B-15、NJXG105-B-16、NJXG105-C-04、NJXG105-C-05、NJXG105-C-06、NJXG105-C-07、NJXG105-C-08</t>
  </si>
  <si>
    <t>NJXG106-F-03、NJXG106-F-05、NJXG106-F-08、NJXG106-F-10、NJXG106-F-12、NJXG106-G-02、NJXG106-G-04、NJXG106-G-06、NJXG106-G-08、NJXG106-G-10、NJXG106-G-12、NJXG106-G-14、NJXG106-G-16、NJXG106-H-02、NJXG106-H-04、NJXG106-H-06、NJXG106-H-08、NJXG106-H-10、NJXG106-H-12、NJXG106-H-14</t>
  </si>
  <si>
    <t>NJXG106-E-09、NJXG106-E-10、NJXG106-E-11、NJXG106-E-12、NJXG106-E-13、NJXG106-E-14、NJXG106-F-09、NJXG106-F-11</t>
  </si>
  <si>
    <t>NJXG106-C-10、NJXG106-F-04</t>
  </si>
  <si>
    <t>NJXG104-A-01、NJXG104-A-02、NJXG104-A-03、NJXG104-A-04、NJXG104-A-05、NJXG104-A-06、NJXG104-B-04、NJXG104-B-05、NJXG104-B-06、NJXG105-C-01、NJXG105-C-02、NJXG105-C-03、NJXG105-D-01、NJXG105-D-02、NJXG105-D-03、NJXG105-D-04、NJXG105-D-05、NJXG105-D-06、NJXG104-B-07、NJXG104-B-08、NJXG104-B-09、NJXG104-B-10、NJXG104-B-11、NJXG104-B-12、NJXG104-B-13</t>
  </si>
  <si>
    <t>NJXG105-E-13、NJXG105-E-14、NJXG105-E-15、NJXG105-E-16、NJXG105-F-02、NJXG105-F-03、NJXG105-F-04、NJXG105-F-05、NJXG101-G-01、NJXG104-B-14、NJXG104-B-15、NJXG104-B-16</t>
  </si>
  <si>
    <t>2021/2/24开通，计费5天：NJXG104-A-15、NJXG104-A-16</t>
  </si>
  <si>
    <t>NJXG106-G-01
NJXG106-G-03
NJXG106-G-05
NJXG106-G-07
NJXG106-H-03
NJXG106-H-05</t>
  </si>
  <si>
    <t>2021/3/4开通机架，3月计费28天
NJXG106-D-01、NJXG106-D-02、NJXG106-D-03、NJXG106-D-04、NJXG106-D-05、NJXG106-D-06、NJXG106-D-07、NJXG106-D-08、NJXG106-D-09、NJXG106-D-10、NJXG106-D-11、NJXG106-D-12、NJXG106-D-13、NJXG106-D-14、NJXG106-D-15、NJXG106-D-16</t>
  </si>
  <si>
    <t>2021/3/30开通机架，3月计费2天
NJXG105-F-06、NJXG105-F-07、NJXG105-F-08、NJXG105-F-09、NJXG105-F-10、NJXG105-F-11、NJXG105-F-12、NJXG105-F-13、NJXG106-C-01、NJXG106-C-02、NJXG106-C-03、NJXG106-C-04、NJXG106-C-07、NJXG106-C-08、NJXG106-C-09</t>
  </si>
  <si>
    <t>2021/4/14关闭，4月冲销16天费用：NJXG106-G-10、NJXG106-G-12、NJXG106-G-14、NJXG106-G-16、NJXG106-H-08、NJXG106-H-10、NJXG106-H-12</t>
  </si>
  <si>
    <t>2021/4/26开通，4月计费5天：NJXG106-E-02</t>
  </si>
  <si>
    <t>2021/4/29开通，4月计费2天：NJXG106-H-08、NJXG106-H-09、NJXG106-H-10、NJXG106-H-11</t>
  </si>
  <si>
    <t>NJXG106-G-09、NJXG106-G-10</t>
  </si>
  <si>
    <t>NJXG106-B-01、NJXG106-B-02、NJXG106-B-03、NJXG106-B-04</t>
  </si>
  <si>
    <t>2021/6/8开通机架，6月计费23天：NJXG106-G-11、NJXG106-G-12、NJXG106-B-05</t>
  </si>
  <si>
    <t>2021/7/3开通，7月计费29天：NJXG104-F-11、NJXG104-H-12、NJXG106-A-15、NJXG106-A-16</t>
  </si>
  <si>
    <t>2021/7/30开通机架，7月计费2天：NJXG106-B-09、NJXG106-B-10、NJXG106-B-11、NJXG106-B-12</t>
  </si>
  <si>
    <t>2021/8/12开通，8月计费20天：NJXG106-G-16、NJXG106-H-12、NJXG106-H-13</t>
  </si>
  <si>
    <t>2021/8/23开通机架，8月计费9天：NJXG106-B-13、NJXG106-B-14、NJXG106-B-15、NJXG106-B-16</t>
  </si>
  <si>
    <t>2021/8/30开通机架，8月计费2天：NJXG106-G-14</t>
  </si>
  <si>
    <t>2021/9/17开通，9月计费14天：NJXG106-G-13、NJXG106-G-15</t>
  </si>
  <si>
    <t>2021/10/3开通，计费29天：NJXG106-B-06、NJXG106-B-07、NJXG106-B-08、NJXG106-E-01、NJXG106-E-03、NJXG106-E-04、NJXG106-E-05、NJXG106-E-06、NJXG106-E-07、NJXG106-E-08、NJXG106-F-01、NJXG106-F-02、NJXG106-H-07</t>
  </si>
  <si>
    <t>2021/11/19开通机架，11月计费12天：NJXG104-C-03、NJXG104-C-10、NJXG104-H-04、NJXG105-A-05、NJXG105-D-10、NJXG106-C-05、NJXG106-F-07</t>
  </si>
  <si>
    <t>NJXG103-F-08</t>
  </si>
  <si>
    <t>NJXG103-B-05、NJXG103-B-06、NJXG103-B-07、NJXG103-B-08</t>
  </si>
  <si>
    <t>NJXG103-B-05、NJXG103-B-06、NJXG103-B-07、NJXG103-B-08、NJXG103-B-09</t>
  </si>
  <si>
    <t>NJXG104-F-04、NJXG104-F-06</t>
  </si>
  <si>
    <t>2023.7经与SYS核对，更新关闭时间为2023/6/5。NJXG103-B-09</t>
  </si>
  <si>
    <t>NJXG103-C-09、NJXG103-D-07</t>
  </si>
  <si>
    <t>NJXG103-B-05</t>
  </si>
  <si>
    <t>L20230910008</t>
  </si>
  <si>
    <t>CDN机架</t>
  </si>
  <si>
    <t>常州软件园机房</t>
  </si>
  <si>
    <t>常州三级</t>
  </si>
  <si>
    <t>CDNCZIX</t>
  </si>
  <si>
    <t>【BEC扩容】常州三线扩容机柜：BECCZIX4F-F-201、BECCZIX4F-F-202、BECCZIX4F-F-203、BECCZIX4F-F-204、BECCZIX4F-F-205、BECCZIX4F-F-206、BECCZIX4F-F-207、BECCZIX4F-F-208、BECCZIX4F-F-209、BECCZIX4F-F-210、BECCZIX4F-F-211、BECCZIX4F-F-212、BECCZIX4F-F-213</t>
  </si>
  <si>
    <t>BEC</t>
  </si>
  <si>
    <t>【BEC退租】BEC常州三线退租：BECCZIX4F-F-207、BECCZIX4F-F-208、BECCZIX4F-F-209</t>
  </si>
  <si>
    <t>【BEC扩容】常州三线扩容：BECCZIX4F-F-101、BECCZIX4F-F-102、BECCZIX4F-F-103、BECCZIX4F-F-104、BECCZIX4F-F-105、BECCZIX4F-F-106、BECCZIX4F-F-107、BECCZIX4F-F-108、BECCZIX4F-F-111、BECCZIX4F-F-112、BECCZIX4F-F-113、BECCZIX4F-F-114、BECCZIX4F-F-301、BECCZIX4F-F-302、BECCZIX4F-F-303</t>
    <phoneticPr fontId="3" type="noConversion"/>
  </si>
  <si>
    <t>【BEC退租】BEC江苏常州三级退租2个机柜 (CZIX)：BECCZIX4F-F-104、BECCZIX4F-F-112</t>
    <phoneticPr fontId="3" type="noConversion"/>
  </si>
  <si>
    <t>CDNCZIX2</t>
  </si>
  <si>
    <t>【BEC扩容】常州三线扩容：BECCZIX2-B-01、BECCZIX2-B-02、BECCZIX2-B-03、BECCZIX2-B-04、BECCZIX2-B-05、BECCZIX2-B-06、BECCZIX2-B-07</t>
    <phoneticPr fontId="3" type="noConversion"/>
  </si>
  <si>
    <t>182015IDC00387</t>
  </si>
  <si>
    <t>CDN IP</t>
  </si>
  <si>
    <t>常州三级联通</t>
  </si>
  <si>
    <t>【BEC扩容】常州三线扩容新增IP：112.82.242.128/25</t>
  </si>
  <si>
    <t>常州三级电信</t>
  </si>
  <si>
    <t>【BEC扩容】常州三线扩容新增IP：61.160.243.128/25</t>
  </si>
  <si>
    <t>【BEC扩容】常州三线扩容：58.216.9.0/25</t>
  </si>
  <si>
    <t>182015IDC00387，有效期至2023-09-30</t>
    <phoneticPr fontId="3" type="noConversion"/>
  </si>
  <si>
    <t>【BEC退租】BEC江苏常州三级电信退租(CZIX)，退租IP：58.216.9.0/25</t>
    <phoneticPr fontId="3" type="noConversion"/>
  </si>
  <si>
    <t>常州三级移动</t>
  </si>
  <si>
    <t>【BEC扩容】常州三线扩容新增IP：223.109.66.0/24</t>
  </si>
  <si>
    <t>【BEC扩容】常州三线扩容：36.154.11.0/26</t>
  </si>
  <si>
    <t>CZIX4F-C-41、CZIX4F-C-44、CZIX4F-C-45、CZIX4F-C-46、CZIX4F-C-47、CZIX4F-C-48、CZIX4F-C-52、CZIX4F-C-53、CZIX4F-C-54、CZIX4F-C-57、CZIX4F-C-58、CZIX4F-C-59、CZIX4F-C-61、CZIX4F-C-62、CZIX4F-C-63、CZIX4F-C-64、CZIX4F-C-65</t>
  </si>
  <si>
    <t>CDN</t>
  </si>
  <si>
    <t>10A</t>
  </si>
  <si>
    <t>江苏常州三线边缘计算节点新增1个机柜 
BECCZIX4F-C-66</t>
  </si>
  <si>
    <t>4个机架免费机架：CZIX4F-C-56、CZIX4F-C-42、CZIX4F-C-43、CZIX4F-C-51</t>
  </si>
  <si>
    <t>边缘计算
BECCZIX4F-C-13、
BECCZIX4F-C-16、
BECCZIX4F-C-17</t>
  </si>
  <si>
    <t>共使用544个IP，免费256，收费288。后期新增每个35元：153.101.66.0/27、218.98.45.0/24</t>
  </si>
  <si>
    <t>共使用544个IP，免费256，收费288。后期新增每个35元：218.98.44.0/24</t>
  </si>
  <si>
    <t>江苏常州三线边缘计算节点新增32个IP，153.101.66.0/27</t>
  </si>
  <si>
    <t>BEC常州三线联通IP退租：153.101.66.0/27</t>
  </si>
  <si>
    <t xml:space="preserve">2020/8/6江苏常州三线边缘计算节点新增256个IP
联通IPv4：112.82.205.0/24
联通IPv6：2408:873C:3010:0008::/64
</t>
  </si>
  <si>
    <t>【BEC扩容】常州三线扩容32个联通IP：153.101.66.96/27</t>
  </si>
  <si>
    <t>【BEC退租】BEC江苏常州三级联通退租信息 (CZIX)：153.101.66.96/27</t>
  </si>
  <si>
    <t>2023.3与SYS核对后调整IP段。自9月21日正式起租：58.216.2.0/24、61.160.239.192/27</t>
  </si>
  <si>
    <t>江苏常州三线边缘计算节点新增32个IP，61.160.198.0/27</t>
  </si>
  <si>
    <t>BEC常州三线电信IP退租：61.160.198.0/27</t>
  </si>
  <si>
    <t xml:space="preserve">2020/8/5江苏常州三线边缘计算节点新增256个IP
电信IPv4：58.216.11.0/24 
电信IPv6：240e:978:301:5::/64
</t>
  </si>
  <si>
    <t>自9月21日正式起租：223.112.198.0/24、218.98.26.64/27</t>
  </si>
  <si>
    <t>江苏常州三线边缘计算节点新增32个IP，36.153.95.0/27</t>
  </si>
  <si>
    <t>BEC常州三线移动IP退租：36.153.95.0/27</t>
  </si>
  <si>
    <t>2020/8/5江苏常州三线边缘计算节点新增256个IP
移动IPv4：36.150.40.0/24
移动IPv6：2409:8720:4001:5::/64</t>
  </si>
  <si>
    <t>CZIX4F-C-55，CDN前期一直使用未计费，从2022/6/25开始计费</t>
  </si>
  <si>
    <t>新机房机架降价。【BEC扩容】常州三线(CZIX)扩容13个机柜：BECCZIX2-B-08、BECCZIX2-B-09、BECCZIX2-B-10、BECCZIX2-B-11、BECCZIX2-B-12、BECCZIX2-B-13、BECCZIX2-B-14、BECCZIX2-B-15、BECCZIX2-B-16、BECCZIX2-B-17、BECCZIX2-B-18、BECCZIX2-B-19、BECCZIX2-B-20</t>
  </si>
  <si>
    <t>新机房机架降价。【BEC扩容】常州三线(CZIX)扩容1个机柜：BECCZIX2-B-21</t>
  </si>
  <si>
    <t>【BEC退租】BEC常州三线退租：BECCZIX4F-F-205、BECCZIX4F-F-206、BECCZIX4F-F-210</t>
  </si>
  <si>
    <t>【BEC退租】BEC江苏常州三线退租信息 (CZIX)：BECCZIX4F-F-113、BECCZIX4F-F-114、BECCZIX4F-F-301、BECCZIX4F-F-302、BECCZIX4F-F-303</t>
    <phoneticPr fontId="3" type="noConversion"/>
  </si>
  <si>
    <t>【BEC扩容】常州三线电信(CZIX)扩容64个IP：58.216.9.192/26</t>
  </si>
  <si>
    <t>【BEC扩容】常州三线移动(CZIX)扩容128个IP：112.21.164.128/25</t>
  </si>
  <si>
    <t>【BEC新建】常州三线移动(CZIXCM)新增80个IP：36.154.11.64/26、36.153.95.112/28</t>
  </si>
  <si>
    <t>【BEC退租】BEC江苏常州三级移动退租信息 (CZIX)：36.154.11.64/26、36.153.95.112/28</t>
  </si>
  <si>
    <t>边缘计算托管节点下线/缩容需求-常州三线，退租5个机柜：BECCZIX4F-F-203、BECCZIX4F-F-204、BECCZIX4F-F-211、BECCZIX4F-F-212、BECCZIX4F-F-213</t>
  </si>
  <si>
    <t>L20230917002</t>
  </si>
  <si>
    <t>【BEC扩容】BEC江苏省常州三线联通扩容0G 2023-09-5节点正式上线 (BECCZIXUN)，新增1个机柜：BECCZIX4F-F-113</t>
    <phoneticPr fontId="3" type="noConversion"/>
  </si>
  <si>
    <t>需要出具计费确认单</t>
    <phoneticPr fontId="3" type="noConversion"/>
  </si>
  <si>
    <t>扩容资源，无计费确认单</t>
    <phoneticPr fontId="3" type="noConversion"/>
  </si>
  <si>
    <t>182115IDC00120</t>
  </si>
  <si>
    <t>南京新港（1.1期）102模块</t>
  </si>
  <si>
    <t>NJXG102-D-01、NJXG102-D-02、NJXG102-F-14</t>
  </si>
  <si>
    <t>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</si>
  <si>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4/14关闭，4月冲销16天费用：、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</si>
  <si>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2021/7/2开通机架，7月计费30天：NJXG102-B-04、NJXG102-B-05、NJXG102-B-06、NJXG102-B-07、NJXG102-B-08、NJXG102-B-09、NJXG102-B-10、NJXG102-B-11、NJXG102-B-12、NJXG102-B-13、NJXG102-B-14、NJXG102-C-01、NJXG102-C-02</t>
  </si>
  <si>
    <t>2021/7/3开通机架，7月计费29天：NJXG102-A-01、NJXG102-A-02、NJXG102-A-03、NJXG102-A-04、NJXG102-A-05、NJXG102-A-06、NJXG102-A-07、NJXG102-A-08、NJXG102-A-09、NJXG102-A-10、NJXG102-A-11、NJXG102-B-03</t>
  </si>
  <si>
    <t>2021/7/10开通机架，7月计费22天：NJXG102-F-01、NJXG102-F-02、NJXG102-F-03、NJXG102-F-04、NJXG102-F-05、NJXG102-F-06、NJXG102-F-07、NJXG102-F-08、NJXG102-F-09、NJXG102-F-10、NJXG102-F-11、NJXG102-F-12</t>
  </si>
  <si>
    <t>2021/8/17开通，8月计费15天：NJXG102-D-03、NJXG102-D-04、NJXG102-D-05、NJXG102-D-06、NJXG102-D-07、NJXG102-D-08、NJXG102-D-09、NJXG102-D-10、NJXG102-D-11、NJXG102-E-01、NJXG102-E-02、NJXG102-E-03、NJXG102-E-04</t>
  </si>
  <si>
    <t>2021/10/3开通，10月计费29天：NJXG102-C-03、NJXG102-C-04、NJXG102-C-05、NJXG102-C-06、NJXG102-C-07、NJXG102-C-08、NJXG102-C-09、NJXG102-C-10、NJXG102-C-11、NJXG102-C-12、NJXG102-C-13、NJXG102-C-14、NJXG102-E-05、NJXG102-E-06、NJXG102-E-07、NJXG102-E-08、NJXG102-E-09、NJXG102-E-10、NJXG102-E-11、NJXG102-E-12、NJXG102-E-13、NJXG102-E-14、NJXG102-F-13</t>
  </si>
  <si>
    <t>苏州太湖三线-江苏联通</t>
  </si>
  <si>
    <t>L20230805002</t>
  </si>
  <si>
    <t>苏州太湖三线-联通</t>
  </si>
  <si>
    <t>SZTH-CU-ST-1</t>
  </si>
  <si>
    <t>2021/9/14开通苏州太湖三线，免费512个，收费1792个
103.45.72.0/24
103.45.73.0/24
103.45.74.0/24
103.45.75.0/24
103.211.221.0/24
103.211.222.0/24
120.72.52.0/24</t>
  </si>
  <si>
    <t>准备发起预审</t>
    <phoneticPr fontId="3" type="noConversion"/>
  </si>
  <si>
    <t>2022/7/6 SZTH-联通CDN 新增512个IP：112.81.85.0/24、
153.37.233.0/24</t>
  </si>
  <si>
    <t>苏州三级联通</t>
  </si>
  <si>
    <t>2021/9/14开通苏州太湖三线，免费512个，收费1792个
IPV4已使用：43.226.164.0/24；预留段：43.226.167.0/24（预留段运营商也要收费）
IPV6：2408:873D:1200::/48</t>
  </si>
  <si>
    <t>CDN退租预留IP：43.226.167.0/24</t>
  </si>
  <si>
    <t>边缘计算，114.112.200.0/24</t>
  </si>
  <si>
    <t>边缘计算退租IP：114.112.200.0/24</t>
  </si>
  <si>
    <t>扩容2个CIP：114.112.200.0/24
114.112.201.0/24</t>
  </si>
  <si>
    <t>182115IDC00633</t>
  </si>
  <si>
    <t>南京新港二期（1.2期）（109-114房间）</t>
  </si>
  <si>
    <t>2021/9/26开通，计费5天：NJXG109-B-13、NJXG109-B-14、NJXG109-G-14、NJXG109-G-15、NJXG109-H-01、NJXG110-A-01、NJXG110-B-15、NJXG110-B-16、NJXG111-D-01、NJXG111-D-02、NJXG111-G-01、NJXG111-G-02、NJXG111-H-16</t>
  </si>
  <si>
    <t>2021/9/26开通，计费5天：NJXG111-C-10、NJXG111-C-11、NJXG111-C-12、NJXG111-C-13、NJXG111-C-14、NJXG111-C-15、NJXG111-C-16、NJXG111-C-17、NJXG111-C-18、NJXG111-D-03、NJXG111-D-04、NJXG111-D-05、NJXG111-D-06、NJXG111-D-07、NJXG111-D-08、NJXG111-D-09、NJXG111-D-10、NJXG111-D-11、NJXG111-D-12、NJXG111-D-13、NJXG111-D-14、NJXG111-E-01、NJXG111-E-02、NJXG111-E-03、NJXG111-E-04、NJXG111-E-05、NJXG111-E-06、NJXG111-E-07、NJXG111-E-08、NJXG111-E-09、NJXG111-E-10、NJXG111-E-11、NJXG111-E-12、NJXG111-E-13、NJXG111-E-14、NJXG111-E-15、NJXG111-E-16、NJXG111-F-01、NJXG111-F-02、NJXG111-F-03、NJXG111-F-04、NJXG111-F-05、NJXG111-F-06、NJXG110-B-01、NJXG110-B-02、NJXG110-B-03、NJXG110-B-04、NJXG110-B-05、NJXG110-B-06、NJXG110-C-02、NJXG110-C-03、NJXG110-C-04、NJXG110-C-05、NJXG110-C-06、NJXG110-D-02、NJXG110-D-03、NJXG110-D-04、NJXG110-D-05、NJXG110-D-06、NJXG110-D-07、NJXG110-D-08、NJXG110-D-09、NJXG110-D-10、NJXG110-D-11、NJXG110-D-12、NJXG110-D-13、NJXG111-B-09、NJXG111-B-10、NJXG110-C-01、NJXG109-A-01、NJXG109-A-02、NJXG109-A-03、NJXG109-A-04、NJXG109-A-05、NJXG109-A-06、NJXG109-A-09、NJXG109-A-10、NJXG109-A-11、NJXG109-A-12、NJXG109-A-13、NJXG109-A-14、NJXG109-A-15、NJXG109-A-16、NJXG109-A-17、NJXG109-A-18、NJXG109-B-01、NJXG109-B-02、NJXG109-B-03、NJXG109-B-04、NJXG109-B-05、NJXG109-B-06、NJXG109-B-07、NJXG109-B-08、NJXG109-E-01、NJXG109-E-02、NJXG109-E-03、NJXG109-E-04、NJXG109-E-05、NJXG109-E-06、NJXG109-E-07、NJXG109-E-08、NJXG109-E-09、NJXG109-E-10、NJXG109-E-11、NJXG109-E-12、NJXG109-E-13、NJXG109-E-14、NJXG109-E-15、NJXG109-E-16、NJXG109-F-01、NJXG109-F-02、NJXG109-F-03、NJXG109-F-04、NJXG109-F-05、NJXG109-F-06、NJXG109-F-07、NJXG109-F-08、NJXG109-F-09、NJXG109-F-10、NJXG109-F-11、NJXG109-F-12、NJXG109-F-13、NJXG109-F-14、NJXG109-F-15、NJXG109-F-16、NJXG109-F-17、NJXG109-F-18、NJXG109-G-01、NJXG109-G-02、NJXG109-G-03、NJXG109-G-04、NJXG109-A-07、NJXG109-A-08、NJXG109-B-09、NJXG109-B-10、NJXG109-B-11</t>
  </si>
  <si>
    <t>2021/9/26开通，9月计费5天：NJXG109-G-05、NJXG109-G-06、NJXG109-G-07、NJXG109-G-08、NJXG109-G-09、NJXG109-G-10、NJXG109-G-11、NJXG109-G-12、NJXG109-G-13、NJXG109-H-02、NJXG109-H-03、NJXG109-H-04、NJXG109-H-05、NJXG109-H-06、NJXG109-H-07、NJXG109-H-08、NJXG109-H-10、NJXG109-H-11、NJXG109-H-12、NJXG109-H-13、NJXG109-H-14、NJXG109-H-15、NJXG109-H-16、NJXG110-A-02、NJXG110-A-03、NJXG110-A-04、NJXG110-A-05、NJXG110-A-06、NJXG110-A-07、NJXG110-A-08、NJXG110-A-09、NJXG110-A-10、NJXG110-A-11、NJXG110-A-12、NJXG110-A-13、NJXG110-A-14、NJXG110-A-15、NJXG110-B-07、NJXG110-B-08、NJXG110-B-09、NJXG110-B-10、NJXG111-B-11、NJXG111-B-12、NJXG111-B-13、NJXG111-B-14、NJXG111-C-01、NJXG111-C-02、NJXG111-C-03、NJXG111-C-04、NJXG111-C-05、NJXG111-C-06、NJXG111-C-07、NJXG111-C-08、NJXG111-C-09</t>
  </si>
  <si>
    <t>2021/9/28开通，9月计费3天：NJXG109-H-09、NJXG110-B-11、NJXG110-B-12、NJXG110-B-13、NJXG110-B-14、NJXG111-A-01、NJXG111-A-02、NJXG111-A-03、NJXG111-A-04、NJXG111-A-05、NJXG111-A-06、NJXG111-A-07、NJXG111-A-08、NJXG111-A-09、NJXG111-A-10、NJXG111-A-11、NJXG111-A-12、NJXG111-A-13、NJXG111-A-14、NJXG111-A-15、NJXG111-A-16、NJXG111-A-17、NJXG111-A-18、NJXG111-B-03、NJXG111-B-05、NJXG111-B-06、NJXG111-B-07、NJXG111-B-08、NJXG111-F-16、NJXG111-F-17、NJXG111-F-18、NJXG111-G-03、NJXG111-G-04、NJXG111-G-05、NJXG111-G-06、NJXG111-G-07、NJXG111-G-08、NJXG111-G-09、NJXG111-G-10、NJXG111-G-11、NJXG111-G-12、NJXG111-G-13、NJXG111-G-14、NJXG111-G-15、NJXG111-H-01、NJXG111-H-02、NJXG111-H-03、NJXG111-H-04、NJXG111-H-05、NJXG111-H-06、NJXG111-H-07、NJXG111-H-08、NJXG111-H-09</t>
  </si>
  <si>
    <t>2021/9/26开通：NJXG111-F-07、
NJXG111-F-08、
NJXG111-F-09、
NJXG111-F-10、
NJXG111-F-11、
NJXG111-F-12、
NJXG111-F-13、
NJXG111-F-14、
NJXG111-F-15</t>
  </si>
  <si>
    <t>2021/10/2开通，计费30天：NJXG111-H-10</t>
  </si>
  <si>
    <t>2021/10/30开通，计费2天：NJXG111-H-11、NJXG111-H-12</t>
  </si>
  <si>
    <t>2021/11/19开通机架，11月计费12天：NJXG109-D-13、NJXG109-D-14、NJXG111-B-01、NJXG111-B-02</t>
  </si>
  <si>
    <t>2021/11/19开通机架，11月计费12天：NJXG111-B-04、NJXG111-H-13、NJXG111-H-14、NJXG111-H-15</t>
  </si>
  <si>
    <t>NJXG109-C-11
NJXG109-C-12
NJXG109-C-13
NJXG109-C-14
NJXG109-C-15
NJXG109-C-16
NJXG109-C-17
NJXG109-C-18
NJXG109-D-09
NJXG109-D-10
NJXG109-D-11
NJXG109-C-01
NJXG109-C-02
NJXG109-C-03
NJXG109-C-04
NJXG109-C-05
NJXG109-C-06
NJXG109-C-07
NJXG109-C-08
NJXG109-C-09
NJXG109-C-10</t>
  </si>
  <si>
    <t>NJXG109-D-01
NJXG109-D-02
NJXG109-D-03
NJXG109-D-04
NJXG109-D-05
NJXG109-D-06
NJXG109-D-07
NJXG109-D-08</t>
  </si>
  <si>
    <t>NJXG109-C-01、NJXG109-C-02、NJXG109-C-03、NJXG109-C-04、NJXG109-C-05、NJXG109-C-06、NJXG109-C-07、NJXG109-C-08、NJXG109-C-09、NJXG109-C-10、NJXG109-C-11、NJXG109-C-12、NJXG109-C-13、NJXG109-C-14、NJXG109-C-15、NJXG109-C-16、NJXG109-C-17、NJXG109-C-18、NJXG109-D-01、NJXG109-D-02、NJXG109-D-03、NJXG109-D-04、NJXG109-D-05、NJXG109-D-06、NJXG109-D-07、NJXG109-D-08、NJXG109-D-09、NJXG109-D-10、NJXG109-D-11</t>
  </si>
  <si>
    <t>NJXG112-A-15
NJXG113-G-01
NJXG114-H-01
NJXG112-D-01
NJXG112-D-02
NJXG113-C-13
NJXG113-C-14
NJXG114-A-13
NJXG114-A-14
NJXG114-D-13
NJXG114-D-14
NJXG113-E-13
NJXG113-E-14</t>
  </si>
  <si>
    <t>NJXG113-C-10
NJXG113-C-11
NJXG113-C-12
NJXG113-D-01
NJXG113-D-02
NJXG113-D-03
NJXG113-D-04
NJXG113-D-05
NJXG113-D-06
NJXG113-D-07
NJXG113-D-08
NJXG113-D-09
NJXG113-D-10
NJXG113-D-11
NJXG113-E-07
NJXG113-E-08
NJXG113-E-09
NJXG113-E-10
NJXG113-E-11
NJXG113-E-12
NJXG113-F-01
NJXG113-F-02
NJXG113-F-03
NJXG113-F-04
NJXG113-F-05
NJXG113-F-06
NJXG113-F-07
NJXG113-F-08
NJXG113-F-09
NJXG113-F-10
NJXG113-F-11
NJXG113-F-12
NJXG113-G-02
NJXG113-G-03
NJXG113-G-04
NJXG113-G-05
NJXG113-G-06
NJXG113-G-07
NJXG113-G-08
NJXG113-G-09
NJXG113-G-10
NJXG113-G-11
NJXG112-B-01
NJXG112-B-02
NJXG112-B-03
NJXG112-B-07
NJXG112-B-08
NJXG112-B-09
NJXG112-C-13
NJXG112-C-14
NJXG112-C-15
NJXG112-C-16
NJXG112-A-03
NJXG112-A-04
NJXG112-A-05
NJXG112-A-06
NJXG112-A-07
NJXG112-A-08
NJXG112-A-09
NJXG112-A-10
NJXG112-A-11
NJXG112-A-12
NJXG112-A-13
NJXG112-A-14
NJXG114-F-09
NJXG114-F-10
NJXG114-F-11
NJXG114-F-12
NJXG114-F-13
NJXG114-F-14
NJXG112-B-04
NJXG112-B-05
NJXG112-B-06
NJXG112-C-01
NJXG112-C-02
NJXG112-C-03
NJXG112-C-04
NJXG112-C-05
NJXG112-C-06
NJXG112-C-07
NJXG112-C-08
NJXG112-C-09
NJXG112-C-10
NJXG112-C-11
NJXG112-C-12
NJXG112-C-17
NJXG112-C-18
NJXG112-B-13
NJXG112-B-14
NJXG112-B-15
NJXG112-B-16
NJXG112-D-03
NJXG112-D-04
NJXG112-D-05
NJXG112-D-06
NJXG112-D-07
NJXG112-F-11
NJXG112-F-12
NJXG112-F-13
NJXG112-F-14
NJXG112-F-15
NJXG112-F-16
NJXG112-F-17
NJXG112-F-18</t>
  </si>
  <si>
    <t>NJXG112-B-10
NJXG112-B-11
NJXG112-B-12</t>
  </si>
  <si>
    <t>NJXG112-D-08、NJXG112-D-09</t>
  </si>
  <si>
    <t>NJXG114-F-07、NJXG114-F-08</t>
  </si>
  <si>
    <t>NJXG112-D-10、NJXG112-D-11、NJXG112-D-12、NJXG112-D-13、NJXG112-D-14</t>
  </si>
  <si>
    <t>NJXG112-E-15、NJXG112-E-16</t>
  </si>
  <si>
    <t>NJXG112-E-01、NJXG112-E-02、NJXG112-E-03、NJXG112-E-04、NJXG112-E-05、NJXG112-E-06、NJXG112-E-07、NJXG112-E-08、NJXG112-E-09、NJXG112-E-10、NJXG112-E-11、NJXG112-E-12</t>
  </si>
  <si>
    <t>NJXG112-F-01、NJXG112-F-02、NJXG112-F-03、NJXG112-F-04、NJXG112-F-05、NJXG112-F-06、NJXG112-F-07、NJXG112-F-08、NJXG112-F-09、NJXG112-F-10、NJXG114-A-01、NJXG114-A-02、NJXG114-A-03、NJXG114-A-04、NJXG114-A-05、NJXG114-A-06、NJXG114-A-07、NJXG114-A-08、NJXG114-A-09、NJXG114-A-10、NJXG114-A-11、NJXG114-A-12、NJXG114-B-01、NJXG114-B-02、NJXG114-B-03、NJXG114-B-04、NJXG114-B-05、NJXG114-B-06、NJXG114-B-07、NJXG114-B-08</t>
  </si>
  <si>
    <t>NJXG114-B-09、NJXG114-B-10</t>
  </si>
  <si>
    <t>NJXG114-G-01、NJXG114-G-02、NJXG114-G-03、NJXG114-G-04、NJXG114-G-05、NJXG114-G-06、NJXG114-G-07、NJXG114-G-08、NJXG114-G-09、NJXG114-G-10、NJXG114-G-11、NJXG114-G-12、NJXG114-H-02、NJXG114-H-03、NJXG114-H-04</t>
  </si>
  <si>
    <t>NJXG113-E-06</t>
  </si>
  <si>
    <t>NJXG111-B-01、NJXG111-B-02</t>
  </si>
  <si>
    <t>NJXG111-B-01、NJXG111-B-02、NJXG114-G-13、NJXG114-G-14</t>
  </si>
  <si>
    <t>NJXG113-C-02、NJXG113-C-03、NJXG113-C-04、NJXG113-C-05、NJXG113-C-06</t>
  </si>
  <si>
    <t>NJXG112-A-01</t>
  </si>
  <si>
    <t>NJXG112-D-15、NJXG113-C-01、NJXG113-C-07、NJXG113-C-08、NJXG113-C-09、NJXG113-E-01、NJXG113-E-02、NJXG113-E-03、NJXG113-E-04、NJXG113-E-05、NJXG113-F-13、NJXG113-F-14、NJXG114-B-11、NJXG114-F-03、NJXG114-F-04、NJXG114-F-05、NJXG114-F-06、NJXG114-H-05</t>
  </si>
  <si>
    <t>NJXG113-C-01、NJXG113-C-09、NJXG114-F-03、NJXG114-F-04、NJXG114-F-05、NJXG114-F-06</t>
  </si>
  <si>
    <t>NJXG110-C-13、NJXG110-C-11、NJXG110-C-12、NJXG110-C-17、NJXG110-C-18、NJXG110-C-16、NJXG110-C-15、NJXG110-C-07、NJXG110-C-08、NJXG110-C-09、NJXG110-C-10、NJXG110-C-14</t>
  </si>
  <si>
    <t>NJXG110-C-13、NJXG110-C-11、NJXG110-C-12、NJXG110-C-17、NJXG110-C-18、NJXG110-C-16、NJXG110-C-15</t>
  </si>
  <si>
    <t>NJXG109-C-01、NJXG109-C-02、NJXG109-C-05、NJXG109-C-06、NJXG109-C-07、NJXG109-C-08、NJXG109-C-11、NJXG109-C-12、NJXG109-C-13、NJXG109-C-17、NJXG109-C-18、NJXG109-D-01、NJXG109-D-02、NJXG109-D-03、NJXG109-D-04、NJXG109-D-05</t>
  </si>
  <si>
    <t>NJXG109-C-03、NJXG109-C-04、NJXG109-C-09、NJXG109-C-10、NJXG109-C-14、NJXG109-C-15、NJXG109-C-16、NJXG114-E-01、NJXG114-E-02、NJXG114-E-07、NJXG114-E-08、NJXG114-H-08、NJXG114-H-09、NJXG114-H-10、NJXG114-H-11</t>
  </si>
  <si>
    <t>NJXG114-D-01、NJXG114-D-02、NJXG114-D-03、NJXG114-D-04、NJXG114-D-05、NJXG114-D-06、NJXG114-D-07、NJXG114-D-08、NJXG114-D-09、NJXG114-D-10</t>
  </si>
  <si>
    <t>NJXG114-C-01、NJXG114-C-02、NJXG114-C-03、NJXG114-C-04、NJXG114-C-05、NJXG114-C-06、NJXG114-C-07、NJXG114-C-08、NJXG114-C-09、NJXG114-C-10、NJXG114-C-11、NJXG114-C-12、NJXG114-C-13、NJXG114-C-14、NJXG114-E-11、NJXG113-A-01、NJXG113-A-02、NJXG113-A-03、NJXG113-A-04、NJXG113-A-05、NJXG113-A-06、NJXG113-A-07、NJXG113-A-08、NJXG113-A-09、NJXG113-A-10、NJXG113-A-11、NJXG113-A-12、NJXG113-A-13、NJXG113-A-14、NJXG113-B-01、NJXG113-B-02、NJXG113-B-03、NJXG113-B-04、NJXG113-B-05、NJXG113-B-06、NJXG113-B-07、NJXG113-B-08、NJXG113-B-09、NJXG113-B-10、NJXG113-B-11</t>
  </si>
  <si>
    <t>2023.8 SYS更新开通时间，由2023/7/30更新为2023/7/1。
NJXG109-D-06、NJXG109-D-07、NJXG109-D-08、NJXG109-D-09、NJXG109-D-10、NJXG109-D-11、NJXG114-D-11、NJXG114-D-12、NJXG114-E-03、NJXG114-E-04、NJXG114-E-05、NJXG114-E-06、NJXG114-E-09、NJXG114-E-10、NJXG114-F-01、NJXG114-F-02、NJXG114-H-06、NJXG114-H-07</t>
    <phoneticPr fontId="3" type="noConversion"/>
  </si>
  <si>
    <t>南京新港二期</t>
  </si>
  <si>
    <t>自2021年8月26日起计算起租计划，2022年8月25日前起租达交付机柜数量的30%，2023年8月25日前起租达交付机柜数量的60%，2024年8月25日前起租达交付机柜数量的90%。预留机柜总数的10%不做起租要求。如果上述时间上架数量达不到承诺数量，则对未上电机架部分，按照5280元/月/机柜标准收取空置费。</t>
  </si>
  <si>
    <t>L20230910003</t>
  </si>
  <si>
    <t>南京凤凰(郭家山)NJ02</t>
  </si>
  <si>
    <t>2022.11调整单价。201910由南京电信转签至江苏联通：NJ022F-A-01、NJ022F-A-02、NJ022F-A-03、NJ022F-A-04、NJ022F-A-05、NJ022F-A-06、NJ022F-A-07、NJ022F-A-08、NJ022F-A-09、NJ022F-A-10、NJ022F-A-11、NJ022F-A-12、NJ022F-A-13、NJ022F-A-14、NJ022F-A-15、NJ022F-A-16、NJ022F-A-17、NJ022F-A-18、NJ022F-A-19、NJ022F-A-20、NJ022F-A-21、NJ022F-A-22、NJ022F-A-23、NJ022F-A-24、NJ022F-A-25、NJ022F-A-26、NJ022F-A-27、NJ022F-A-28、NJ022F-A-29、NJ022F-A-30、NJ022F-A-31、NJ022F-A-32、NJ022F-A-33、NJ022F-B-01、NJ022F-B-02、NJ022F-B-03、NJ022F-B-04、NJ022F-B-05、NJ022F-B-06、NJ022F-B-07、NJ022F-B-08、NJ022F-B-09、NJ022F-B-10、NJ022F-B-11、NJ022F-B-12、NJ022F-B-13、NJ022F-B-14、NJ022F-B-15、NJ022F-B-16、NJ022F-B-17、NJ022F-B-18、NJ022F-B-19、NJ022F-B-20、NJ022F-B-21、NJ022F-B-22、NJ022F-B-23、NJ022F-B-24、NJ022F-B-25、NJ022F-B-26、NJ022F-C-01、NJ022F-C-02、NJ022F-C-03、NJ022F-C-04、NJ022F-C-05、NJ022F-C-06、NJ022F-C-07、NJ022F-C-08、NJ022F-C-09、NJ022F-C-10、NJ022F-C-11、NJ022F-C-12、NJ022F-C-13、NJ022F-C-14、NJ022F-C-15、NJ022F-C-16、NJ022F-C-17、NJ022F-C-18、NJ022F-C-19、NJ022F-C-20、NJ022F-C-21、NJ022F-C-22、NJ022F-C-23、NJ022F-C-24、NJ022F-C-25、NJ022F-C-26、NJ022F-D-01、NJ022F-D-02、NJ022F-D-03、NJ022F-D-04、NJ022F-D-05、NJ022F-D-06、NJ022F-D-07、NJ022F-D-08、NJ022F-D-09、NJ022F-D-10、NJ022F-D-11、NJ022F-D-12、NJ022F-D-13、NJ022F-D-14、NJ022F-D-15、NJ022F-D-16、NJ022F-D-17、NJ022F-D-18、NJ022F-D-19、NJ022F-D-20、NJ022F-D-21、NJ022F-D-22、NJ022F-D-23、NJ022F-D-24、NJ022F-D-25、NJ022F-D-26、NJ022F-D-27、NJ022F-D-28、NJ022F-D-29、NJ022F-D-30、NJ022F-D-31、NJ022F-D-32、NJ022F-D-33、NJ022F-E-01、NJ022F-E-02、NJ022F-E-03、NJ022F-E-04、NJ022F-E-05、NJ022F-E-06、NJ022F-E-07、NJ022F-E-08、NJ022F-E-09、NJ022F-E-10、NJ022F-E-11、NJ022F-E-12、NJ022F-E-13、NJ022F-E-14、NJ022F-E-15、NJ022F-E-16、NJ022F-E-17、NJ022F-E-18、NJ022F-E-19、NJ022F-E-20、NJ022F-E-21、NJ022F-E-22、NJ022F-E-23、NJ022F-E-24、NJ022F-E-25、NJ022F-E-26、NJ022F-E-27、NJ022F-F-01、NJ022F-F-02、NJ022F-F-03、NJ022F-F-04、NJ022F-F-05、NJ022F-F-06、NJ022F-F-07、NJ022F-F-08、NJ022F-F-09、NJ022F-F-10、NJ022F-F-11、NJ022F-F-12、NJ022F-F-13、NJ022F-F-14、NJ022F-F-15、NJ022F-F-16、NJ022F-F-17、NJ022F-F-18、NJ022F-F-19、NJ022F-F-20、NJ022F-F-21、NJ022F-F-22、NJ022F-F-23、NJ022F-F-24、NJ022F-F-25、NJ022F-F-26、NJ022F-F-27、NJ022F-F-28、NJ022F-F-29、NJ022F-F-30、NJ022F-F-31、NJ022F-F-32、NJ022F-F-33、NJ022F-I-01、NJ022F-I-02、NJ022F-I-03、NJ022F-I-04、NJ022F-I-05、NJ022F-I-06、NJ022F-I-07、NJ022F-I-08、NJ022F-I-09、NJ022F-I-10、NJ022F-I-11、NJ022F-I-12、NJ022F-I-13、NJ022F-I-14、NJ022F-I-15、NJ022F-I-16、NJ022F-I-17、NJ022F-I-18、NJ022F-I-19、NJ022F-I-20、NJ022F-I-21、NJ022F-I-22、NJ022F-I-23、NJ022F-I-24、NJ022F-I-25、NJ022F-I-26、NJ022F-I-27、NJ022F-I-28、NJ022F-I-29、NJ022F-I-30、NJ022F-I-31、NJ022F-I-32、NJ022F-I-33</t>
  </si>
  <si>
    <t>2022.11调整单价。NJ022F-B-11、NJ022F-C-01、NJ022F-D-24、NJ022F-D-28、NJ022F-D-30、NJ022F-D-33</t>
  </si>
  <si>
    <t>第一至四批。NJ022F-A-01、NJ022F-A-08、NJ022F-A-10、NJ022F-A-16、NJ022F-A-17、NJ022F-A-18、NJ022F-A-20、NJ022F-A-21、NJ022F-A-26、NJ022F-A-27、NJ022F-A-32、NJ022F-A-33、NJ022F-B-01、NJ022F-B-02、NJ022F-B-12、NJ022F-B-13、NJ022F-B-14、NJ022F-B-21、NJ022F-B-22、NJ022F-C-03、NJ022F-C-04、NJ022F-C-19、NJ022F-C-25、NJ022F-C-26、NJ022F-D-01、NJ022F-D-06、NJ022F-D-10、NJ022F-D-12、NJ022F-D-13、NJ022F-D-14、NJ022F-D-16、NJ022F-D-18、NJ022F-D-20、NJ022F-D-22、NJ022F-D-23、NJ022F-D-25、NJ022F-D-26、NJ022F-D-29、NJ022F-D-31、NJ022F-E-01、NJ022F-E-02、NJ022F-E-03、NJ022F-E-06、NJ022F-E-07、NJ022F-E-08、NJ022F-E-09、NJ022F-E-10、NJ022F-E-11、NJ022F-E-12、NJ022F-E-13、NJ022F-E-16、NJ022F-E-20、NJ022F-E-23、NJ022F-E-24、NJ022F-F-04、NJ022F-F-05、NJ022F-F-06、NJ022F-F-08、NJ022F-F-10、NJ022F-F-11、NJ022F-F-12、NJ022F-F-14、NJ022F-F-18、NJ022F-F-19、NJ022F-F-20、NJ022F-F-23、NJ022F-F-24、NJ022F-F-27、NJ022F-F-29、NJ022F-F-30、NJ022F-F-31、NJ022F-F-32、NJ022F-I-02、NJ022F-I-03、NJ022F-I-04、NJ022F-I-05、NJ022F-I-07、NJ022F-I-08、NJ022F-I-09、NJ022F-I-11、NJ022F-I-13、NJ022F-I-16、NJ022F-I-17、NJ022F-I-18、NJ022F-I-19、NJ022F-I-21、NJ022F-I-23、NJ022F-I-24、NJ022F-I-25、NJ022F-I-26、NJ022F-I-27、NJ022F-I-28、NJ022F-I-30、NJ022F-I-31、NJ022F-I-32、NJ022F-I-33、NJ022F-A-02、NJ022F-A-03、NJ022F-A-06、NJ022F-A-07、NJ022F-A-09、NJ022F-A-14、NJ022F-A-22、NJ022F-A-23、NJ022F-A-28、NJ022F-A-29、NJ022F-B-05、NJ022F-B-06、NJ022F-B-23、NJ022F-C-07、NJ022F-C-21、NJ022F-C-22、NJ022F-C-23、NJ022F-D-15、NJ022F-D-21、NJ022F-E-14、NJ022F-E-22、NJ022F-E-27、NJ022F-F-07、NJ022F-F-16、NJ022F-F-17、NJ022F-I-01、NJ022F-I-06、NJ022F-I-10、NJ022F-I-12、NJ022F-I-22、NJ022F-A-04、NJ022F-A-05、NJ022F-A-12、NJ022F-A-24、NJ022F-B-25、NJ022F-B-26、NJ022F-C-02、NJ022F-C-15、NJ022F-C-24、NJ022F-D-08、NJ022F-D-27、NJ022F-E-04、NJ022F-E-05、NJ022F-F-01、NJ022F-F-22、NJ022F-F-25、NJ022F-F-26、NJ022F-F-28、NJ022F-F-33、NJ022F-I-14、NJ022F-I-15、NJ022F-I-20、NJ022F-I-29、NJ022F-B-03、NJ022F-B-04、NJ022F-B-07、NJ022F-B-08、NJ022F-B-09、NJ022F-B-10、NJ022F-B-15、NJ022F-B-16、NJ022F-B-17、NJ022F-B-18、NJ022F-B-19、NJ022F-B-20、NJ022F-B-24、NJ022F-C-05、NJ022F-C-06、NJ022F-C-09、NJ022F-C-11、NJ022F-C-12、NJ022F-C-13、NJ022F-C-14、NJ022F-C-20、NJ022F-D-02、NJ022F-D-03、NJ022F-D-04、NJ022F-D-05、NJ022F-D-07、NJ022F-D-09、NJ022F-D-11、NJ022F-D-19、NJ022F-D-32、NJ022F-E-17、NJ022F-E-18、NJ022F-E-19、NJ022F-E-21、NJ022F-E-25、NJ022F-E-26、NJ022F-F-02、NJ022F-F-03、NJ022F-F-09、NJ022F-F-13、NJ022F-F-15、NJ022F-F-21、NJ022F-A-11、NJ022F-A-13、NJ022F-A-15、NJ022F-A-19</t>
    <phoneticPr fontId="3" type="noConversion"/>
  </si>
  <si>
    <t>已操作关闭，已核对</t>
    <phoneticPr fontId="3" type="noConversion"/>
  </si>
  <si>
    <t>第五批。NJ022F-A-25、NJ022F-C-08、NJ022F-C-10、NJ022F-C-16、NJ022F-C-17、NJ022F-C-18</t>
    <phoneticPr fontId="3" type="noConversion"/>
  </si>
  <si>
    <t>第六批。NJ022F-D-17、NJ022F-E-15</t>
    <phoneticPr fontId="3" type="noConversion"/>
  </si>
  <si>
    <t>第七批。NJ022F-A-30、NJ022F-A-31</t>
    <phoneticPr fontId="3" type="noConversion"/>
  </si>
  <si>
    <t>L20230107007</t>
  </si>
  <si>
    <t>历史累计开通</t>
  </si>
  <si>
    <t>免费提供IP地址南京12个C，共计3072个IP；超出部分按50元/个/月</t>
  </si>
  <si>
    <t>苏州 SZWG</t>
  </si>
  <si>
    <t>2022.2单价调整为35元。免费提供IP地址苏州2个C，共计512个IP；超出部分按50元/个/月。实际使用6个C，收费4个C，从2021.1开始计费
实际使用6个C：153.37.235.0/24、153.37.236.0/24、157.0.145.0/24、157.0.146.0/24、157.0.147.0/24、157.0.148.0/24</t>
  </si>
  <si>
    <t>免费提供IP地址苏州2个C，共计512个IP；超出部分按50元/个/月。实际使用6个C，收费4个C，从2021.1开始计费
实际使用6个C：153.37.235.0/24、153.37.236.0/24、157.0.145.0/24、157.0.146.0/24、157.0.147.0/24、157.0.148.0/24</t>
  </si>
  <si>
    <t>IP代播</t>
  </si>
  <si>
    <t>南京凤凰机房</t>
  </si>
  <si>
    <t xml:space="preserve">2个C </t>
  </si>
  <si>
    <t>2个C IP代播：106.13.250.0/23</t>
    <phoneticPr fontId="3" type="noConversion"/>
  </si>
  <si>
    <t>2个C IP代播：106.12.250.0/23</t>
    <phoneticPr fontId="3" type="noConversion"/>
  </si>
  <si>
    <t xml:space="preserve">4个C </t>
  </si>
  <si>
    <t>4个C IP代播：114.110.96.0/22</t>
    <phoneticPr fontId="3" type="noConversion"/>
  </si>
  <si>
    <t xml:space="preserve">36个C </t>
  </si>
  <si>
    <t>2022.2开始36个C IP代播免费：
•	122.248.48.0/22
•	122.248.52.0/22
•	122.248.56.0/22
•	114.110.100.0/22
•	114.110.104.0/22
•	114.110.108.0/22
•	122.248.60.0/22
•	202.181.112.0/22
•	202.181.116.0/22</t>
    <phoneticPr fontId="3" type="noConversion"/>
  </si>
  <si>
    <t>L20230311004</t>
  </si>
  <si>
    <t>徐州机房</t>
  </si>
  <si>
    <t>徐州2联通</t>
  </si>
  <si>
    <t>CDNXZUN2</t>
  </si>
  <si>
    <t>【BEC扩容】徐州2联通 (XZ2UN)新增64个IP：112.84.125.192/26</t>
  </si>
  <si>
    <t>【BEC扩容】徐州2联通 (XZ2UN)新增36个IP：
221.6.214.32/30；218.98.15.192/27</t>
  </si>
  <si>
    <t>【BEC扩容】BEC江苏徐州联通扩容160个IP，2023-5-30 节点正式上线  (XZ2UN)：112.85.242.128/25  、218.98.15.224/27</t>
  </si>
  <si>
    <t>L20230311026</t>
  </si>
  <si>
    <t>徐州联通二级</t>
  </si>
  <si>
    <t>CDNXZUN</t>
  </si>
  <si>
    <t>从2022.9.1开始收费。
XZUN5F-2A-01、XZUN5F-2A-02、XZUN5F-2A-03、XZUN5F-2A-04、XZUN5F-2A-05、XZUN5F-2A-06、XZUN5F-2A-07、XZUN5F-2A-08、XZUN5F-2A-09、XZUN5F-2A-10、XZUN5F-2A-11</t>
  </si>
  <si>
    <t>从2022.9.1开始收费。XZUN5F-2A-08、XZUN5F-2A-09、XZUN5F-2A-10、XZUN5F-2A-11、XZUN5F-2A-06</t>
  </si>
  <si>
    <t>2023/6/30【CDN退租】CDN江苏徐州联通二级退租信息 (XZUNCACHE)：112.84.34.128/25，退租后IP段为：112.84.34.0/25。退租后二级节点共使用160个IP，免费送256个，还有96个免费IP额度未启用。
2022.8根据退租邮件与运营商核对存量资源，前期使用256个IP，均免费，补录计提表112.84.34.0/24</t>
  </si>
  <si>
    <t>可能需要负预提</t>
    <phoneticPr fontId="3" type="noConversion"/>
  </si>
  <si>
    <t>2023/6/30退租后二级节点共使用160个IP，免费送256个，还有96个免费IP额度未启用。
免费256个，实际使用288，超过部分按20元/个/月：112.85.243.0/24</t>
  </si>
  <si>
    <t>2023/6/30退租后二级节点共使用160个IP，免费送256个，还有96个免费IP额度未启用。
112.85.243.0/24</t>
  </si>
  <si>
    <t>2023/6/30退租后二级节点共使用160个IP，免费送256个，还有96个免费IP额度未启用。
免费256个，实际使用288，超过部分按20元/个/月：218.98.32.160/27</t>
  </si>
  <si>
    <t>【BEC新建】徐州联通新增100G 节点正式上线  (XZ2UN)，开通18个机柜，13个收费，5个免费：BECXZ2UN2F-2C-F10、BECXZ2UN2F-2C-F11、BECXZ2UN2F-2C-F12、BECXZ2UN2F-2C-F13、BECXZ2UN2F-2C-F14、BECXZ2UN2F-2C-F15、BECXZ2UN2F-2C-F16、BECXZ2UN2F-2C-F17、BECXZ2UN2F-2C-F18、BECXZ2UN2F-2C-F19、BECXZ2UN2F-2C-E17、BECXZ2UN2F-2C-E18、BECXZ2UN2F-2C-E19</t>
  </si>
  <si>
    <t>2023.8由免费变为收费。【BEC新建】徐州联通新增100G 节点正式上线  (XZ2UN)，开通18个机柜，13个收费，5个免费：BECXZ2UN2F-2C-F5、BECXZ2UN2F-2C-F6、BECXZ2UN2F-2C-F7、BECXZ2UN2F-2C-F8、BECXZ2UN2F-2C-F9</t>
    <phoneticPr fontId="3" type="noConversion"/>
  </si>
  <si>
    <t>【BEC新建】徐州联通新增100G 节点正式上线  (XZ2UN)：IPV4使用288个，免费256个，收费32个：122.192.154.0/25；218.98.33.128/25；221.6.211.160/27</t>
  </si>
  <si>
    <t>【BEC扩容】BEC江苏徐州联通扩容16个IP 2023-6-9 节点正式上线 (XZ2UN)：122.192.157.80/28</t>
  </si>
  <si>
    <t>段</t>
  </si>
  <si>
    <t>【BEC扩容】BEC江苏徐州联通扩容40G  2023-07-01 节点正式上线  (XZ2UN)：2408:873C:B810:2000::/64</t>
  </si>
  <si>
    <t>L20230504028</t>
  </si>
  <si>
    <t>苏州</t>
  </si>
  <si>
    <t>苏州联通</t>
  </si>
  <si>
    <t>CDNSUZUN</t>
  </si>
  <si>
    <t>【BEC新建】苏州联通新增1G 2023-4-10节点正式上线 (CDNSUZUN)：4F401-D-BEC02</t>
    <phoneticPr fontId="3" type="noConversion"/>
  </si>
  <si>
    <t>个</t>
    <phoneticPr fontId="3" type="noConversion"/>
  </si>
  <si>
    <t>【BEC新建】苏州联通新增1G 2023-4-10节点正式上线 157.0.149.128/28
157.0.149.192/26
2408:873D:1810:0009::/64
免费128个，超出35元/个</t>
    <phoneticPr fontId="3" type="noConversion"/>
  </si>
  <si>
    <t>【BEC扩容】BEC江苏苏州联通扩容0G2023-08-29节点正式上线 (BECSUZUN)：157.0.149.144/28
157.0.149.160/27</t>
    <phoneticPr fontId="3" type="noConversion"/>
  </si>
  <si>
    <t>段</t>
    <phoneticPr fontId="3" type="noConversion"/>
  </si>
  <si>
    <t>【BEC新建】苏州联通新增1G 2023-4-10节点正式上线 (CDNSUZUN)，新增IPV6：0000:0000:0000:0000::/64</t>
    <phoneticPr fontId="3" type="noConversion"/>
  </si>
  <si>
    <t>鹏博士大数据有限公司上海分公司</t>
  </si>
  <si>
    <t>上海鹏博士</t>
  </si>
  <si>
    <t>L20230408007</t>
  </si>
  <si>
    <t>SHPBS</t>
  </si>
  <si>
    <t>2022.7调整单价。上海鹏博士第二POP机房3个机架：MD01-E03、MD01-E04、MD01-E05</t>
  </si>
  <si>
    <t>2022.7调整单价。上海鹏博士第二POP机房2个机架：MD01-E-06、MD01-E-07</t>
  </si>
  <si>
    <t>MD01-E04机柜至JRJ02-A07机柜 （汇枫）跳纤</t>
  </si>
  <si>
    <t>上海鹏博士pop计费，2021/4/27：1对跳纤，从MD01-E04机柜至JRJ02-A07机柜 （汇枫） 即：鹏博士-苏州太湖</t>
  </si>
  <si>
    <t>MD01-E04机柜至鹏博士光交箱宽度网络R盘</t>
  </si>
  <si>
    <t>上海鹏博士pop计费，2021/4/27：1对跳纤，从MD01-E04机柜至鹏博士光交箱宽度网络R盘 即：鹏博士-苏州太湖</t>
  </si>
  <si>
    <t>MD01-E06至接入间A07</t>
  </si>
  <si>
    <t>上海鹏博士pop计费，2021/5/14：10对跳纤，从MD01-E06至接入间A07 即：鹏博士-拼多多互联。5月计费18天</t>
  </si>
  <si>
    <t>2022/12/22退租4条，鹏博士光纤编号：QX002262、QX002263、QX002268、QX002269</t>
  </si>
  <si>
    <t>联通-MD01-E06</t>
  </si>
  <si>
    <t>新增双芯LC，从联通到MD01-E06，暂按运营商开通时间计提</t>
  </si>
  <si>
    <t>2022/12/22退租，鹏博士光纤编号QX002299。新增双芯LC，从联通到MD01-E06，暂按运营商开通时间计提</t>
  </si>
  <si>
    <t>二楼接入间/A07 汇枫网络至MD01-E06机柜</t>
  </si>
  <si>
    <t>新增1对芯，从二楼接入间/A07 汇枫网络至MD01-E06机柜</t>
  </si>
  <si>
    <t>从JRJ01-A01联通至MD01-E05</t>
  </si>
  <si>
    <t>集度专线楼内跳纤费用：从JRJ01-A01联通至MD01-E05</t>
  </si>
  <si>
    <t>【云专线】B站云立方模型训练，新增1对跳纤，从JRJ02-A07柜ODF01-69.70芯至MD01-E07柜1368设备 MD02A-0-5-C16</t>
    <phoneticPr fontId="3" type="noConversion"/>
  </si>
  <si>
    <t>2023.10未建资源</t>
    <phoneticPr fontId="3" type="noConversion"/>
  </si>
  <si>
    <t>【云专线】B站云立方模型训练，新增1对跳纤，从JRJ02-A07柜ODF02-135.136芯至MD01-E07柜1368设备 MD02A-0-3-C5</t>
    <phoneticPr fontId="3" type="noConversion"/>
  </si>
  <si>
    <t>补提9月【云专线】B站云立方模型训练，新增1对跳纤，从JRJ02-A07柜ODF01-69.70芯至MD01-E07柜1368设备 MD02A-0-5-C16</t>
    <phoneticPr fontId="3" type="noConversion"/>
  </si>
  <si>
    <t>补提9月【云专线】B站云立方模型训练，新增1对跳纤，从JRJ02-A07柜ODF02-135.136芯至MD01-E07柜1368设备 MD02A-0-3-C5</t>
    <phoneticPr fontId="3" type="noConversion"/>
  </si>
  <si>
    <t>补提8月【云专线】B站云立方模型训练，新增1对跳纤，从JRJ02-A07柜ODF01-69.70芯至MD01-E07柜1368设备 MD02A-0-5-C16</t>
    <phoneticPr fontId="3" type="noConversion"/>
  </si>
  <si>
    <t>补提8月【云专线】B站云立方模型训练，新增1对跳纤，从JRJ02-A07柜ODF02-135.136芯至MD01-E07柜1368设备 MD02A-0-3-C5</t>
    <phoneticPr fontId="3" type="noConversion"/>
  </si>
  <si>
    <t>补提7月【云专线】B站云立方模型训练，新增1对跳纤，从JRJ02-A07柜ODF01-69.70芯至MD01-E07柜1368设备 MD02A-0-5-C16</t>
    <phoneticPr fontId="3" type="noConversion"/>
  </si>
  <si>
    <t>补提7月【云专线】B站云立方模型训练，新增1对跳纤，从JRJ02-A07柜ODF02-135.136芯至MD01-E07柜1368设备 MD02A-0-3-C5</t>
    <phoneticPr fontId="3" type="noConversion"/>
  </si>
  <si>
    <t>补提6月【云专线】B站云立方模型训练，新增1对跳纤，从JRJ02-A07柜ODF01-69.70芯至MD01-E07柜1368设备 MD02A-0-5-C16</t>
    <phoneticPr fontId="3" type="noConversion"/>
  </si>
  <si>
    <t>补提6月【云专线】B站云立方模型训练，新增1对跳纤，从JRJ02-A07柜ODF02-135.136芯至MD01-E07柜1368设备 MD02A-0-3-C5</t>
    <phoneticPr fontId="3" type="noConversion"/>
  </si>
  <si>
    <t>上海普鼎数据科技有限公司</t>
  </si>
  <si>
    <t>普鼎数据</t>
  </si>
  <si>
    <t>L20230711009</t>
  </si>
  <si>
    <t>普洛斯苏州常熟东南数据中心</t>
  </si>
  <si>
    <t>CSJSCSPLS</t>
  </si>
  <si>
    <t>普罗斯至苏州太湖无锡太科园传输机柜，从2021/8/1开始计费
2021年7月22日开通：CSJSCSPLSA1-1-1、
CSJSCSPLSA1-1-2、
2021年8月1日开通：CSJSCSPLSA55-1-1、
CSJSCSPLSA55-1-2</t>
  </si>
  <si>
    <t>万国数据服务有限公司</t>
  </si>
  <si>
    <t>万国2017合约</t>
  </si>
  <si>
    <t>181915IDC00287
L20231006003</t>
    <phoneticPr fontId="3" type="noConversion"/>
  </si>
  <si>
    <t>IDC机架 普通机柜</t>
  </si>
  <si>
    <t>苏州昆山</t>
  </si>
  <si>
    <t>SZWG</t>
  </si>
  <si>
    <t>IDC机架 核心机柜</t>
  </si>
  <si>
    <t>双方同意自2019年7月1日起截至服务合同期满或提前终止日，于每半年对于因市场电力单价变动导致的电力费用变动进行结算并于结算后3个月内通过增减机架服务费形式进行调整</t>
  </si>
  <si>
    <t>IDC机架 外网核心</t>
  </si>
  <si>
    <t>41A</t>
  </si>
  <si>
    <t>IDC机架 标准机柜</t>
  </si>
  <si>
    <t>6月新增：SZWG301-B-01~10,SZWG303-C-11</t>
  </si>
  <si>
    <t>7月新增：SZWG301-C-01~07</t>
  </si>
  <si>
    <t>19.7.21新增1个，SZWG403-E-04</t>
  </si>
  <si>
    <t>19.8.16月新增4个：SZWG202-A-03~06</t>
  </si>
  <si>
    <t>19.8.21月新增2个：SZWG301-C-09、SZWG301-C-10</t>
  </si>
  <si>
    <t>19.8.21月新增1个：SZWG403-E-05</t>
  </si>
  <si>
    <t>19.8.31新增4个：SZWG202-A-07 SZWG202-A-08 SZWG202-A-09 SZWG202-A-10</t>
  </si>
  <si>
    <t>SZWG204-G-11</t>
  </si>
  <si>
    <t>SZWG403-F-01~SZWG403-F-22；SZWG403-G-01~SZWG403-G-07</t>
  </si>
  <si>
    <t>SZWG202-A-11、SZWG202-A-12</t>
  </si>
  <si>
    <t>SZWG202-A-13、SZWG202-A-14、SZWG202-A-15、SZWG202-A-16、SZWG202-A-17、SZWG202-A-18、SZWG202-A-19、SZWG202-A-20、SZWG202-A-21、SZWG202-A-22</t>
  </si>
  <si>
    <t>SZWG202-B-01、SZWG202-B-02</t>
  </si>
  <si>
    <t>SZWG301-C-13、SZWG301-C-14、SZWG301-C-15、SZWG301-C-16</t>
  </si>
  <si>
    <t>SZWG403-E-06、SZWG403-E-07、SZWG403-E-08、SZWG403-E-09、SZWG403-E-10、SZWG403-E-11、SZWG403-E-12、SZWG403-E-13、SZWG403-E-14</t>
  </si>
  <si>
    <t>SZWG202-B-03、SZWG202-B-04、SZWG202-B-05、SZWG202-B-06</t>
  </si>
  <si>
    <t>SZWG403-D-10、SZWG403-D-11、SZWG403-D-12</t>
  </si>
  <si>
    <t>2020/6/1开通，6月整月计费
SZWG403-D-08</t>
  </si>
  <si>
    <t>2020/7/21开通，7月计费11天：SZWG301-C-17、SZWG301-C-18</t>
  </si>
  <si>
    <t>2020/11/2开通，计费29天：SZWG301-B-11</t>
  </si>
  <si>
    <t>2020/11/5开通，计费26天：SZWG301-D-01、SZWG301-D-02</t>
  </si>
  <si>
    <t>2020/11/17开通，计费14天：SZWG303-C-19</t>
  </si>
  <si>
    <t>2020/11/19开通，计费12天：SZWG303-C-20</t>
  </si>
  <si>
    <t>2020/12/1开通，整月计费
SZWG403-E-15、SZWG403-E-16、SZWG403-E-17、SZWG403-E-18、SZWG403-E-19、SZWG403-E-20、SZWG403-E-21、SZWG403-E-22</t>
  </si>
  <si>
    <t>2020/12/28开通，计费4天：SZWG303-C-21、SZWG303-C-22</t>
  </si>
  <si>
    <t>2021/1/13开通，计费19天：
SZWG301-D-05、SZWG301-D-08、SZWG301-D-09、SZWG301-D-03、SZWG301-D-04、SZWG301-D-07、SZWG301-D-06</t>
  </si>
  <si>
    <t>2021/1/27开通，计费5天：SZWG301-E-01、SZWG301-E-02、SZWG301-E-03、SZWG301-E-04</t>
  </si>
  <si>
    <t>2021/1/29开通，计费3天：SZWG301-D-10、SZWG301-D-13、SZWG301-D-18、SZWG301-D-21、SZWG301-D-14、SZWG301-D-17、SZWG301-D-22、SZWG301-D-19、SZWG301-D-20</t>
  </si>
  <si>
    <t>2021/2/1转签至上海联通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</si>
  <si>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2021/2/9退租2个机架，冲19天费用：SZWG301-D-21、SZWG301-D-22</t>
  </si>
  <si>
    <t>2021/2/4开通，计费25天：SZWG301-E-05、SZWG301-E-06、SZWG301-E-07、SZWG301-E-08、SZWG301-E-09、SZWG301-E-10、SZWG301-D-15、SZWG301-D-16</t>
  </si>
  <si>
    <t>2021/2/24开通，计费5天：SZWG301-E-19、SZWG301-E-20</t>
  </si>
  <si>
    <t>2021/3/16开通，3月计费16天
SZWG301-F-09、SZWG301-F-10</t>
  </si>
  <si>
    <t>2021/3/19开通，3月计费13天
SZWG301-E-15、SZWG301-E-16、SZWG301-E-17、SZWG301-E-18</t>
  </si>
  <si>
    <t>2021/3/22开通，3月计SZWG301-F-07、SZWG301-F-08、SZWG301-E-13、SZWG301-E-14</t>
  </si>
  <si>
    <t>2021/3/26开通，3月计费6天
SZWG204-E-15、SZWG204-E-16、SZWG204-E-17、SZWG204-E-18</t>
  </si>
  <si>
    <t>2021/4/2开通，4月计费29天：SZWG301-F-01、SZWG301-F-02、SZWG301-F-03、SZWG301-F-04、SZWG301-F-05、SZWG301-F-06、SZWG301-G-09、SZWG301-G-10</t>
  </si>
  <si>
    <t>2021/4/6开通，4月计费25天：SZWG403-C-10、SZWG403-C-13、SZWG403-C-03、SZWG403-C-04、SZWG403-C-05、SZWG403-C-06、SZWG403-C-07、SZWG403-C-08、SZWG403-C-09、SZWG403-C-01、SZWG403-C-02、SZWG403-C-14</t>
  </si>
  <si>
    <t>2021/4/15开通，4月计费16天：SZWG403-G-08、SZWG403-G-09、SZWG403-G-10、SZWG403-G-11、SZWG403-G-12</t>
  </si>
  <si>
    <t>2021/4/20开通，4月计费11天：SZWG403-G-13、SZWG403-G-14、SZWG403-G-15、SZWG403-G-16、SZWG403-G-17、SZWG403-G-18、SZWG403-G-19、SZWG403-G-20、SZWG403-G-21、SZWG403-G-22</t>
  </si>
  <si>
    <t>2021/4/27开通，4月计费4天：SZWG403-B-07、SZWG403-B-08、SZWG403-B-09、SZWG403-B-10、SZWG403-B-11、SZWG403-D-01、SZWG403-D-02、SZWG403-D-03、SZWG403-D-04、SZWG403-D-05、SZWG403-D-06、SZWG403-D-07、SZWG403-D-09</t>
  </si>
  <si>
    <t>2021/5/2开通，5月计费30天：SZWG301-E-11、SZWG301-E-12、SZWG301-F-11、SZWG301-F-12、SZWG301-F-13、SZWG301-F-14</t>
  </si>
  <si>
    <t>2021/5/9开通，5月计费23天：SZWG101-F-12、SZWG101-G-12、SZWG101-E-12</t>
  </si>
  <si>
    <t>2021/5/15开通，5月计费17天：SZWG401-B-11、SZWG402-B-11、SZWG101-G-19</t>
  </si>
  <si>
    <t>2021/5/17开通，5月计费15天：SZWG403-C-15、SZWG403-C-16</t>
  </si>
  <si>
    <t>2021/5/25开通，5月计费7天：SZWG303-D-07、SZWG303-D-08、SZWG303-D-09、SZWG303-D-10、SZWG303-D-15、SZWG303-D-16、SZWG303-D-17、SZWG303-D-18、SZWG303-D-19、SZWG303-D-20、SZWG303-D-21、SZWG303-D-22</t>
  </si>
  <si>
    <t>2021/5/31开通，5月计费1天：SZWG403-C-17、SZWG403-C-18、SZWG403-C-19、SZWG403-C-20、SZWG403-C-21、SZWG403-C-22</t>
  </si>
  <si>
    <t>2021/6/15开通，6月计费16天：SZWG301-C-11、SZWG301-C-12、SZWG301-C-19、SZWG301-C-20、SZWG301-F-17、SZWG301-F-18、SZWG301-C-21、SZWG301-C-22、SZWG301-F-15、SZWG301-F-16</t>
  </si>
  <si>
    <t>2021/7/4开通，7月计费28天：SZWG204-E-19、SZWG204-E-20、SZWG204-E-21、SZWG204-E-22</t>
  </si>
  <si>
    <t>2021/7/5开通机架，7月计费27天：SZWG303-C-17、SZWG303-C-18、SZWG204-E-11、SZWG204-E-12、SZWG204-F-22、SZWG204-F-11、SZWG204-F-12、SZWG204-F-13、SZWG204-F-14、SZWG204-F-15、SZWG204-F-16、SZWG204-F-17、SZWG204-F-18、SZWG204-F-19、SZWG204-F-20、SZWG204-F-21</t>
  </si>
  <si>
    <t>2021/7/26开通机架，7月计费6天：SZWG303-C-15、SZWG303-C-16、SZWG402-F-11、SZWG101-E-11、SZWG101-F-11、SZWG101-G-11、SZWG102-G-11、SZWG103-F-11</t>
  </si>
  <si>
    <t>2021/7/28开通，7月计费4天：SZWG301-G-01、SZWG301-G-02、SZWG301-G-03、SZWG301-G-04、SZWG301-G-05、SZWG301-G-06</t>
  </si>
  <si>
    <t>2021/8/2开通机架，8月计费30天：SZWG103-F-12、SZWG402-F-12</t>
  </si>
  <si>
    <t>2021/11/19开通机架，11月计费12天：SZWG303-D-01、SZWG303-D-02、SZWG303-D-03、SZWG303-D-04、SZWG303-D-05、SZWG303-D-06、SZWG303-D-13、SZWG303-D-14</t>
  </si>
  <si>
    <t>2021/11/22开通机架，11月计费9天：SZWG301-F-19、SZWG301-F-20、SZWG301-F-21、SZWG301-F-22</t>
  </si>
  <si>
    <t>SZWG301-G-07
SZWG301-G-08
SZWG301-G-11
SZWG301-G-12
SZWG301-G-13</t>
  </si>
  <si>
    <t>SZWG301-G-15、SZWG301-G-16、SZWG301-G-17、SZWG301-G-18、SZWG301-G-19、SZWG301-G-20</t>
  </si>
  <si>
    <t>SZWG301-D-11、SZWG301-D-12、SZWG301-G-14、SZWG301-G-21、SZWG301-G-22</t>
  </si>
  <si>
    <t>SZWG403-C-21、SZWG403-C-22</t>
  </si>
  <si>
    <t>IDC机架空置费</t>
  </si>
  <si>
    <t>202105万国2017合约累计开通机架1062个，超过起租要求的1054个，无空置费IDC机架空置费（1054-N）*3000
机房验收6个月甲方承诺开通440个，验收12个月，甲方承诺开通614个，剩余186个不做起租要求，合计共1240个机架</t>
  </si>
  <si>
    <t>SZWG301-D-21</t>
    <phoneticPr fontId="3" type="noConversion"/>
  </si>
  <si>
    <t>SZWG201-F-09、SZWG201-G-13、SZWG201-H-09、SZWG204-E-15、SZWG204-E-16</t>
  </si>
  <si>
    <t>SZWG403-C-11、SZWG403-C-12</t>
  </si>
  <si>
    <t>SZWG204-E-15、SZWG204-E-16</t>
  </si>
  <si>
    <t>SZWG402-B-01、SZWG402-B-02、SZWG402-B-03、SZWG402-B-05、SZWG402-B-06、SZWG401-G-21、SZWG401-G-22</t>
  </si>
  <si>
    <t>SZWG402-B-08</t>
  </si>
  <si>
    <t>SZWG401-G-15、SZWG401-G-17、SZWG401-G-19、SZWG401-G-20、SZWG401-G-18、SZWG401-G-16、SZWG402-B-07</t>
  </si>
  <si>
    <t>SZWG301-E-21、SZWG301-E-22</t>
  </si>
  <si>
    <t>SZWG301-D-21</t>
  </si>
  <si>
    <t>SZWG301-D-11</t>
  </si>
  <si>
    <t>SZWG403-C-16、SZWG403-G-14、SZWG403-G-16、SZWG403-G-18、SZWG403-G-20、SZWG103-F-11</t>
  </si>
  <si>
    <t>2023.6经与SYS核对，确认2023/5/19关闭6个机柜，调整计提数量。SZWG303-E-13、SZWG303-E-14、SZWG303-G-15、SZWG303-G-16、SZWG303-G-17、SZWG303-G-18（原数量为14，调整为6）</t>
  </si>
  <si>
    <t>2023.6经与SYS核对，确认2023/5/19关闭6个机柜，调整计提数量。SZWG401-F-12、SZWG303-E-08、SZWG303-E-13、SZWG303-E-14、SZWG303-F-19、SZWG303-G-15、SZWG303-G-16、SZWG303-G-17、SZWG303-G-18（原数量为14，调整为9）</t>
  </si>
  <si>
    <t>SZWG301-D-12</t>
  </si>
  <si>
    <t>SZWG401-F-11</t>
  </si>
  <si>
    <t>SZWG301-E-15、SZWG301-E-16</t>
  </si>
  <si>
    <t>SZWG301-E-15</t>
  </si>
  <si>
    <t>SZWG301-E-16</t>
  </si>
  <si>
    <t>SZWG403-G-13、SZWG403-G-15、SZWG403-G-17、SZWG403-G-19</t>
  </si>
  <si>
    <t>万国</t>
  </si>
  <si>
    <t>L20201026003</t>
  </si>
  <si>
    <t>2020/7/29开通华京路6号90号1楼的北信息间-该楼的404房间光纤</t>
  </si>
  <si>
    <t>L20220126004</t>
  </si>
  <si>
    <t>跳线</t>
  </si>
  <si>
    <t>4对芯</t>
  </si>
  <si>
    <t>跳线一：百度万国-C-04 ODF—304-G2-27U M2---直连缆---302房间SZVWGA-3B-01-23/2U/CE12804；跳线二：百度万国-D-04 ODF—304-G1-27U M2---直连缆---302房间SZVWGA-3B-01-24/2U/CE12804</t>
  </si>
  <si>
    <t>L20221106007</t>
  </si>
  <si>
    <t>唐镇-外高桥</t>
  </si>
  <si>
    <t>CSSHTZPOP</t>
  </si>
  <si>
    <t>2020/11/28开通，11月计费3天：CSSHTZPOP104-B-08。光纤费用计提在中信L20201219002</t>
  </si>
  <si>
    <t>外高桥-日阪路</t>
  </si>
  <si>
    <t>CSSHRBL</t>
  </si>
  <si>
    <t>按照预审合同计提。2020/12/17开通，计费15天：SH7-B-1。 万国日阪路91号，拼多多自建机房。光纤费用计提在中信L20201219002</t>
  </si>
  <si>
    <t>2020/11/28开通，11月计费3天。跳纤费用。光纤费用计提在中信L20201219002</t>
  </si>
  <si>
    <t>按照预审合同计提。2020/12/17开通，计费15天。.跳纤费用。光纤费用计提在中信L20201219002</t>
  </si>
  <si>
    <t>武汉</t>
  </si>
  <si>
    <t>武汉凌盈网络科技有限公司</t>
  </si>
  <si>
    <t>武汉凌盈</t>
  </si>
  <si>
    <t>L20221106001</t>
  </si>
  <si>
    <t>管理费</t>
  </si>
  <si>
    <t>花椒项目酒仙桥侧光纤接入管理费</t>
  </si>
  <si>
    <t>花椒项目酒仙桥侧光纤接入，北京朝阳区酒仙桥路6号院2号楼接入管理服务费</t>
  </si>
  <si>
    <t>中信网络有限公司</t>
  </si>
  <si>
    <t>中信</t>
  </si>
  <si>
    <t>182315IDC00373</t>
  </si>
  <si>
    <t>花椒项目万达广场入楼费</t>
  </si>
  <si>
    <t>花椒项目万达广场接入费，原合同182215IDC00128中的“北京市朝阳区万达广场12号楼2309室一次性接入费”23年继续收取，降价为2万/年，改为按月付费</t>
  </si>
  <si>
    <t>代理商-联通</t>
  </si>
  <si>
    <t>浙江</t>
  </si>
  <si>
    <t>浙江挚云信息科技有限公司</t>
  </si>
  <si>
    <t>温州三线-联通</t>
  </si>
  <si>
    <t>182315IDC00472</t>
  </si>
  <si>
    <t>温州三线</t>
  </si>
  <si>
    <t>温州三级联通</t>
  </si>
  <si>
    <t>CDNWZIX</t>
  </si>
  <si>
    <t>IPV4：101.69.133.0/24,123.159.206.224/27
IPV6：2408:8740:31FE:0011::/64</t>
  </si>
  <si>
    <t>WZIX-F-08、WZIX-F-09、WZIX-F-10、WZIX-F-11、WZIX-H-01、WZIX-H-02</t>
  </si>
  <si>
    <t>代理商-移动</t>
  </si>
  <si>
    <t>温州三线-移动</t>
  </si>
  <si>
    <t>182315IDC00473</t>
  </si>
  <si>
    <t>温州三级移动</t>
  </si>
  <si>
    <t>IPV4：117.149.244.0/24 ,112.16.228.0/27
IPV6：2409:8c28:30b0:0008::/64</t>
  </si>
  <si>
    <t>WZIX-F-02、WZIX-F-03、WZIX-F-04、WZIX-F-05、WZIX-F-06、WZIX-F-07</t>
  </si>
  <si>
    <t>代理商-电信</t>
  </si>
  <si>
    <t>温州三线-电信</t>
  </si>
  <si>
    <t>182315IDC00471</t>
  </si>
  <si>
    <t>温州三级电信</t>
  </si>
  <si>
    <t>IPV4：122.228.213.0/24,122.228.81.32/27 
IPV6：240E:F7:C000:0308::/64</t>
  </si>
  <si>
    <t>WZIX-H-03、WZIX-H-04、WZIX-H-05、WZIX-H-06、WZIX-H-08、WZIX-H-09</t>
  </si>
  <si>
    <t>条</t>
  </si>
  <si>
    <t>温州三线B2回源光纤：1、5772GQL16442767兰江软件园B幢4005D
5772GQL16447274滨海明珠路788号IDC机房
2、5772GQL16444297兰江软件园B幢4005D
5772GQL16443531滨海明珠路788号IDC机房</t>
  </si>
  <si>
    <t>华南-吴蕊</t>
  </si>
  <si>
    <t>福建</t>
  </si>
  <si>
    <t>中国电信股份有限公司福建分公司</t>
  </si>
  <si>
    <t>福州电信</t>
  </si>
  <si>
    <t>L20230711002</t>
  </si>
  <si>
    <t>福州马尾机房</t>
  </si>
  <si>
    <t>福州电信二级</t>
  </si>
  <si>
    <t>CDNFZCT</t>
  </si>
  <si>
    <t xml:space="preserve">FZCT34F-IDF13-07
FZCT34F-IDF13-08
FZCT34F-IDF13-09
FZCT34F-IDF13-10
FZCT34F-IDF13-11
FZCT34F-IDF14-10
FZCT34F-IDF14-11
FZCT34F-IDF14-12
FZCT34F-IDF14-13
</t>
  </si>
  <si>
    <t>182315IDC00246，有效期至2023-06-30</t>
    <phoneticPr fontId="3" type="noConversion"/>
  </si>
  <si>
    <t>福州电信</t>
    <phoneticPr fontId="3" type="noConversion"/>
  </si>
  <si>
    <t>福州电信二级2022.8.31退租6个机柜
FZCT34F-IDF13-7
FZCT34F-IDF13-11
FZCT34F-IDF14-10
FZCT34F-IDF14-11
FZCT34F-IDF14-12
FZCT34F-IDF14-13</t>
  </si>
  <si>
    <t>SSL机架</t>
  </si>
  <si>
    <t>福州电信SSL</t>
  </si>
  <si>
    <t>历史开通</t>
  </si>
  <si>
    <t xml:space="preserve">CDNFZCT4F-14-07，CDNFZCT4F-14-08，CDNFZCT4F-14-09
</t>
  </si>
  <si>
    <t>SSL</t>
  </si>
  <si>
    <t xml:space="preserve">SSL节点，2022.7.31退租3个机柜
CDNFZCT4F-14-07
CDNFZCT4F-14-08
CDNFZCT4F-14-09
</t>
  </si>
  <si>
    <t>厦门</t>
  </si>
  <si>
    <t>厦门2电信</t>
  </si>
  <si>
    <t>CDNXMCT</t>
  </si>
  <si>
    <t>20190614正式计费。  XMCT2F01-B-17，XMCT2F01-B-18，XMCT2F01-B-19，XMCT2F01-B-20，XMCT2F01-B-21</t>
  </si>
  <si>
    <t>SSL IP</t>
  </si>
  <si>
    <t>福州仓科机房</t>
  </si>
  <si>
    <t>SSL在福州电信资源为1个万兆；1个C段IP；3个机柜，合同中赠送6208个免费IP，均为免费</t>
  </si>
  <si>
    <t>SSL节点，2022.7.31退租256个IP
117.27.149.0/24</t>
  </si>
  <si>
    <t>经SYS核查，该机柜转为边缘计算在用，CDN不再用，XMCT2F01-B-17</t>
  </si>
  <si>
    <t>边缘计算BECXMCT2F01-B-22</t>
  </si>
  <si>
    <t>福州</t>
  </si>
  <si>
    <t>历史</t>
  </si>
  <si>
    <t>使用288个，福州免费数量=20*64=1280；106.122.248.0/25、106.122.249.0/27、106.122.248.128/25</t>
  </si>
  <si>
    <t>福州电信二级2022.8.31退租128个IP
106.122.248.128/25</t>
  </si>
  <si>
    <t>使用288个，厦门免费数量=12*64=768。27.148.188.0/24、27.159.75.160/27</t>
  </si>
  <si>
    <t>边缘计算使用128个27.159.93.128/25</t>
  </si>
  <si>
    <t>边缘计算 BECXMCT2F01-B-17</t>
  </si>
  <si>
    <t>边缘计算使用128个27.159.76.128/25</t>
  </si>
  <si>
    <t>边缘计算BECXMCT2F01-B-16</t>
  </si>
  <si>
    <t xml:space="preserve">运营商侧确认以下资源开通时间5月12日，根据合同约定赠送15天测试期，计费开始时间5月27日。
本次边缘计算新增资源包括2个10A机柜，BECXMCT2F01-B-14（新增），BECXMCT2F01-B-15（新增）
</t>
  </si>
  <si>
    <t>XMCT2F01-B-21、
XMCT2F01-B-18、
XMCT2F01-B-19</t>
  </si>
  <si>
    <t>边缘计算使用128个27.159.70.128/25（新增）,商务确认免费</t>
  </si>
  <si>
    <t>BEC：240e:0964:1001:0002::/64</t>
    <phoneticPr fontId="3" type="noConversion"/>
  </si>
  <si>
    <t>中国电信股份有限公司湖州分公司</t>
  </si>
  <si>
    <t>湖州电信</t>
  </si>
  <si>
    <t>182315IDC00041</t>
  </si>
  <si>
    <t>湖州</t>
  </si>
  <si>
    <t>湖州2电信</t>
  </si>
  <si>
    <t>CDNHUZCT</t>
  </si>
  <si>
    <t>边缘计算，115.231.28.0/26</t>
  </si>
  <si>
    <t>边缘计算，240E:F7:8E00:700:: 56</t>
  </si>
  <si>
    <t>BECHUZ2CT-4F19-11</t>
  </si>
  <si>
    <t>山东</t>
  </si>
  <si>
    <t>付瑶</t>
  </si>
  <si>
    <t>中国电信股份有限公司济南分公司</t>
  </si>
  <si>
    <t>济南电信</t>
  </si>
  <si>
    <t>L20230711010</t>
  </si>
  <si>
    <t>高防机架</t>
  </si>
  <si>
    <t>JNLXCT</t>
  </si>
  <si>
    <r>
      <t xml:space="preserve">按照决策邮件，运营商赠送6个机柜。实际减免5个机柜。
JNLXCT5F-A-09（高防预占用，加电，无设备）
JNLXCT5F-A-10（高防预占用，加电，无设备）
</t>
    </r>
    <r>
      <rPr>
        <sz val="10"/>
        <color rgb="FFFF0000"/>
        <rFont val="微软雅黑"/>
        <family val="2"/>
        <charset val="134"/>
      </rPr>
      <t>JNLXCT5F-A-11（高防预占用，加电，无设备）</t>
    </r>
    <r>
      <rPr>
        <sz val="10"/>
        <rFont val="微软雅黑"/>
        <family val="2"/>
        <charset val="134"/>
      </rPr>
      <t xml:space="preserve">
JNLXCT5F-A-12（于2021.10.15上设备）
JNLXCT5F-A-13（于2021.10.15上设备）
JNLXCT5F-A-08</t>
    </r>
    <phoneticPr fontId="3" type="noConversion"/>
  </si>
  <si>
    <t>JNLXCT5F-A-08（2022.1.13核对：高防未加电，运营商也未开通，免费机柜系统已关闭）</t>
    <phoneticPr fontId="3" type="noConversion"/>
  </si>
  <si>
    <t>高防IP</t>
  </si>
  <si>
    <t>免费8个C的IP，超出30元/个；CDN使用256个；高防使用1792个（150.138.243.0/24、150.138.244.0/24、150.138.245.0/24、150.138.246.0/24、150.138.247.0/24、150.138.249.0/24、150.138.250.0/24）</t>
  </si>
  <si>
    <t>济南电信二级</t>
  </si>
  <si>
    <t>免费8个C的IP，超出30元/个；CDN使用256个；150.138.248.0/24</t>
  </si>
  <si>
    <t>8个C IP代播，单价10元：182.61.192.0/23、182.61.194.0/23、182.61.196.0/23、182.61.198.0/23</t>
  </si>
  <si>
    <t>JNLXCT5F-A-01
JNLXCT5F-A-02
JNLXCT5F-A-03
JNLXCT5F-A-04
JNLXCT5F-A-05
JNLXCT5F-A-06
JNLXCT5F-A-07
JNLXCT5F-A-14
JNLXCT5F-A-15
JNLXCT5F-A-16
JNLXCT5F-A-17
JNLXCT5F-B-01
JNLXCT5F-B-02
JNLXCT5F-B-03
JNLXCT5F-B-05
JNLXCT5F-B-06
JNLXCT5F-B-07
JNLXCT5F-B-08
JNLXCT5F-B-09
JNLXCT5F-B-10
JNLXCT5F-B-11
JNLXCT5F-B-12
JNLXCT5F-B-13
JNLXCT5F-B-14
JNLXCT5F-B-15
JNLXCT5F-B-16</t>
  </si>
  <si>
    <t>JNLXCT5F-C-01、JNLXCT5F-C-05</t>
  </si>
  <si>
    <t>2021.12.31退租2个机柜
JNLXCT5F-C-01、JNLXCT5F-C-05</t>
  </si>
  <si>
    <t>其他机架</t>
  </si>
  <si>
    <t>JNLXCT5F-C-08（网络组使用）
JNLXCT5F-C-09（网络组使用）
JNLXCT5F-C-10（网络组使用）</t>
  </si>
  <si>
    <t>JNLXCT5F-C-11、 
JNLXCT5F-C-12、 
JNLXCT5F-C-13、 
JNLXCT5F-C-14、JNLXCT5F-D-01、JNLXCT5F-D-02</t>
  </si>
  <si>
    <t>JNLXCT5F-C-02、JNLXCT5F-C-03、JNLXCT5F-C-04
2022.1.19补交付邮件</t>
  </si>
  <si>
    <t>2021.5.8开通，于2021.6.1开始计费9KW机柜。JNLXCT5F-C-06</t>
  </si>
  <si>
    <t>济南电信蓝翔路IDC机房-济南经七纬五75号全景恒基308室百度机房</t>
  </si>
  <si>
    <t>2 芯</t>
  </si>
  <si>
    <t>济南电信机房-济南联通机房</t>
  </si>
  <si>
    <t>L20230119002</t>
  </si>
  <si>
    <t>济南3电信</t>
  </si>
  <si>
    <t>CDNJNCT2</t>
  </si>
  <si>
    <t>2023/3/31退租。【CDN新建】山东济南电信  新建200G  2023-1-1 节点正式上线  (JN3CT)，新增4个机柜：JNCT5F01-A-08、JNCT5F01-A-11、JNCT5F01-B-04、JNCT5F01-B-17</t>
  </si>
  <si>
    <t>2023/3/31退租。JNCT5F01-A-08、JNCT5F01-A-11、JNCT5F01-B-04、JNCT5F01-B-17</t>
  </si>
  <si>
    <t>2023/3/31退租。【CDN新建】山东济南电信  新建200G  2023-1-1 节点正式上线  (JN3CT)，新增288个IP：182.40.78.0/24、182.40.62.32/27</t>
  </si>
  <si>
    <t>2023/3/31退租：288个IP：182.40.78.0/24、182.40.62.32/27</t>
  </si>
  <si>
    <t>中国电信股份有限公司江苏分公司</t>
  </si>
  <si>
    <t>苏州电信</t>
  </si>
  <si>
    <t>182115IDC00022</t>
  </si>
  <si>
    <t>太湖机房三期一批（SZTH3D3）</t>
  </si>
  <si>
    <t>SZTH</t>
  </si>
  <si>
    <t>SZTH3D3A-01-16、SZTH3D3A-01-17、SZTH3D3A-01-01、SZTH3D3B-12-18、SZTH3D3C-12-18</t>
  </si>
  <si>
    <t>SZTH3D3A-01-06、SZTH3D3A-01-09、SZTH3D3A-01-10、SZTH3D3A-01-11、SZTH3D3A-01-12、SZTH3D3A-01-13、SZTH3D3A-01-14、SZTH3D3A-01-15、SZTH3D3A-01-07、SZTH3D3A-01-08</t>
  </si>
  <si>
    <t>SZTH3D3A-01-02、SZTH3D3A-01-03、SZTH3D3A-01-04、SZTH3D3A-01-05</t>
  </si>
  <si>
    <t>SZTH3D3A-04-02、SZTH3D3A-04-03、SZTH3D3B-03-01、SZTH3D3B-03-02、SZTH3D3B-06-01、SZTH3D3B-06-02、SZTH3D3B-07-01、SZTH3D3B-07-02、SZTH3D3C-03-01、SZTH3D3C-03-02、SZTH3D3C-06-01、SZTH3D3C-06-02、SZTH3D3C-07-01、SZTH3D3C-07-02、SZTH3D3C-10-01、SZTH3D3C-10-02</t>
  </si>
  <si>
    <t>SZTH3D3A-02-09、SZTH3D3A-02-11、SZTH3D3A-03-10、SZTH3D3A-03-12、SZTH3D3A-04-09、SZTH3D3A-04-11、SZTH3D3A-05-07、SZTH3D3A-05-09</t>
  </si>
  <si>
    <t>SZTH3D3B-01-18</t>
  </si>
  <si>
    <t>SZTH3D3B-01-01、SZTH3D3B-01-02、SZTH3D3B-01-03、SZTH3D3B-01-04、SZTH3D3B-01-05、SZTH3D3B-01-06、SZTH3D3B-01-07、SZTH3D3B-01-08、SZTH3D3B-01-09、SZTH3D3B-01-10、SZTH3D3B-01-11、SZTH3D3B-01-12、SZTH3D3B-01-13、SZTH3D3B-01-14、SZTH3D3B-01-15、SZTH3D3B-01-16、SZTH3D3B-01-17、SZTH3D3B-02-01、SZTH3D3B-02-02、SZTH3D3B-02-03、SZTH3D3B-02-04、SZTH3D3B-02-05、SZTH3D3B-02-06、SZTH3D3B-02-07、SZTH3D3B-02-08、SZTH3D3B-02-09、SZTH3D3B-02-10、SZTH3D3B-02-11、SZTH3D3B-02-12、SZTH3D3B-02-13、SZTH3D3B-02-14、SZTH3D3B-02-15、SZTH3D3B-02-16、SZTH3D3B-02-17、SZTH3D3B-02-18、SZTH3D3B-03-03、SZTH3D3B-03-04、SZTH3D3B-03-05、SZTH3D3B-03-06、SZTH3D3B-03-07、SZTH3D3B-03-08、SZTH3D3B-03-09、SZTH3D3B-03-10、SZTH3D3B-03-11、SZTH3D3B-03-12、SZTH3D3B-03-13、SZTH3D3B-03-14、SZTH3D3B-03-15、SZTH3D3B-03-16、SZTH3D3B-04-01、SZTH3D3B-04-02、SZTH3D3B-04-03</t>
  </si>
  <si>
    <t>SZTH3D3C-01-01、SZTH3D3C-01-02、SZTH3D3C-01-03、SZTH3D3C-01-04、SZTH3D3C-01-05、SZTH3D3C-01-06、SZTH3D3C-01-07、SZTH3D3C-01-08、SZTH3D3C-01-09、SZTH3D3C-01-10、SZTH3D3B-11-01、SZTH3D3B-11-02、SZTH3D3B-11-03、SZTH3D3B-11-04、SZTH3D3B-11-05、SZTH3D3B-11-06、SZTH3D3B-11-07、SZTH3D3B-11-08、SZTH3D3B-11-09、SZTH3D3B-11-10、SZTH3D3B-11-11、SZTH3D3B-11-12、SZTH3D3B-11-13、SZTH3D3B-11-14、SZTH3D3B-11-15、SZTH3D3B-11-16、SZTH3D3B-11-17、SZTH3D3B-11-18、SZTH3D3B-12-01、SZTH3D3B-12-02、SZTH3D3B-12-03、SZTH3D3B-12-04、SZTH3D3B-12-05、SZTH3D3B-12-06、SZTH3D3B-12-07、SZTH3D3B-12-08、SZTH3D3B-12-09、SZTH3D3B-12-10、SZTH3D3B-12-11、SZTH3D3B-12-12、SZTH3D3B-12-13、SZTH3D3B-12-14、SZTH3D3B-12-15、SZTH3D3B-12-16、SZTH3D3B-12-17、SZTH3D3B-09-01、SZTH3D3B-09-02、SZTH3D3B-09-03、SZTH3D3B-09-04、SZTH3D3B-09-05、SZTH3D3B-09-06、SZTH3D3B-09-07、SZTH3D3B-09-08、SZTH3D3B-09-09、SZTH3D3B-09-10、SZTH3D3B-09-11、SZTH3D3B-09-12、SZTH3D3B-09-13、SZTH3D3B-09-14、SZTH3D3B-09-15、SZTH3D3B-09-16、SZTH3D3B-09-17、SZTH3D3B-09-18、SZTH3D3B-10-03、SZTH3D3B-10-04、SZTH3D3B-10-05、SZTH3D3B-10-06、SZTH3D3B-10-07、SZTH3D3B-10-08、SZTH3D3B-10-09、SZTH3D3B-10-10、SZTH3D3B-10-11、SZTH3D3B-10-12、SZTH3D3B-10-13、SZTH3D3B-10-14、SZTH3D3B-10-15、SZTH3D3B-10-16、SZTH3D3B-07-03、SZTH3D3B-07-04、SZTH3D3B-07-05、SZTH3D3B-07-06、SZTH3D3B-07-07、SZTH3D3B-07-08、SZTH3D3B-07-09、SZTH3D3B-07-10、SZTH3D3B-07-11、SZTH3D3B-07-12、SZTH3D3B-07-13、SZTH3D3B-07-14、SZTH3D3B-07-15、SZTH3D3B-07-16、SZTH3D3B-08-01、SZTH3D3B-08-02、SZTH3D3B-08-03、SZTH3D3B-08-04、SZTH3D3B-08-05、SZTH3D3B-08-06、SZTH3D3B-08-07、SZTH3D3B-08-08、SZTH3D3B-08-09、SZTH3D3B-08-10、SZTH3D3B-08-11、SZTH3D3B-08-12、SZTH3D3B-08-13、SZTH3D3B-08-14、SZTH3D3B-08-15、SZTH3D3B-08-16、SZTH3D3B-08-17、SZTH3D3B-08-18、SZTH3D3B-04-04、SZTH3D3B-04-05、SZTH3D3B-04-06、SZTH3D3B-04-07、SZTH3D3B-04-08、SZTH3D3B-04-09、SZTH3D3B-04-10、SZTH3D3B-04-11、SZTH3D3B-04-12、SZTH3D3B-04-13、SZTH3D3B-04-14、SZTH3D3B-04-15、SZTH3D3B-04-16、SZTH3D3B-04-17、SZTH3D3B-04-18、SZTH3D3B-05-01、SZTH3D3B-05-02、SZTH3D3B-05-03、SZTH3D3B-05-04、SZTH3D3B-05-05、SZTH3D3B-05-06、SZTH3D3B-05-07、SZTH3D3B-05-08、SZTH3D3B-05-09、SZTH3D3B-05-10、SZTH3D3B-05-11、SZTH3D3B-05-12、SZTH3D3B-05-13、SZTH3D3B-05-14、SZTH3D3B-05-15、SZTH3D3B-05-16、SZTH3D3B-05-17、SZTH3D3B-05-18、SZTH3D3B-06-03、SZTH3D3B-06-04、SZTH3D3B-06-05、SZTH3D3B-06-06、SZTH3D3B-06-07、SZTH3D3B-06-08、SZTH3D3B-06-09、SZTH3D3B-06-10、SZTH3D3B-06-11、SZTH3D3B-06-12、SZTH3D3B-06-13、SZTH3D3B-06-14、SZTH3D3B-06-15、SZTH3D3B-06-16</t>
  </si>
  <si>
    <t>SZTH3D3C-01-11、SZTH3D3C-01-12、SZTH3D3C-01-13、SZTH3D3C-01-14、SZTH3D3C-01-15、SZTH3D3C-01-16、SZTH3D3C-01-17、SZTH3D3C-02-01、SZTH3D3C-02-02、SZTH3D3C-02-03</t>
  </si>
  <si>
    <t>SZTH3D3C-06-08、SZTH3D3C-06-09、SZTH3D3C-06-10、SZTH3D3C-06-11、SZTH3D3C-05-14、SZTH3D3C-05-15、SZTH3D3C-05-16、SZTH3D3C-05-17、SZTH3D3C-05-18、SZTH3D3C-06-03、SZTH3D3C-06-04、SZTH3D3C-06-05、SZTH3D3C-06-06、SZTH3D3C-06-07、SZTH3D3C-05-04、SZTH3D3C-05-05、SZTH3D3C-05-06、SZTH3D3C-05-07、SZTH3D3C-05-08、SZTH3D3C-05-09、SZTH3D3C-05-10、SZTH3D3C-05-11、SZTH3D3C-05-12、SZTH3D3C-05-13、SZTH3D3C-04-12、SZTH3D3C-04-13、SZTH3D3C-04-14、SZTH3D3C-04-15、SZTH3D3C-04-16、SZTH3D3C-04-17、SZTH3D3C-04-18、SZTH3D3C-05-01、SZTH3D3C-05-02、SZTH3D3C-05-03、SZTH3D3C-04-02、SZTH3D3C-04-03、SZTH3D3C-04-04、SZTH3D3C-04-05、SZTH3D3C-04-06、SZTH3D3C-04-07、SZTH3D3C-04-08、SZTH3D3C-04-09、SZTH3D3C-04-10、SZTH3D3C-04-11、SZTH3D3C-03-08、SZTH3D3C-03-09、SZTH3D3C-03-10、SZTH3D3C-03-11、SZTH3D3C-03-12、SZTH3D3C-03-13、SZTH3D3C-03-14、SZTH3D3C-03-15、SZTH3D3C-03-16、SZTH3D3C-04-01、SZTH3D3C-02-14、SZTH3D3C-02-15、SZTH3D3C-02-16、SZTH3D3C-02-17、SZTH3D3C-02-18、SZTH3D3C-03-03、SZTH3D3C-03-04、SZTH3D3C-03-05、SZTH3D3C-03-06、SZTH3D3C-03-07、SZTH3D3C-02-04、SZTH3D3C-02-05、SZTH3D3C-02-06、SZTH3D3C-02-07、SZTH3D3C-02-08、SZTH3D3C-02-09、SZTH3D3C-02-10、SZTH3D3C-02-11、SZTH3D3C-02-12、SZTH3D3C-02-13</t>
  </si>
  <si>
    <t>SZTH3D3C-10-14、SZTH3D3C-10-15、SZTH3D3C-10-16、SZTH3D3C-10-04、SZTH3D3C-10-05、SZTH3D3C-10-06、SZTH3D3C-10-07、SZTH3D3C-10-08、SZTH3D3C-10-09、SZTH3D3C-10-10、SZTH3D3C-10-11、SZTH3D3C-10-12、SZTH3D3C-10-13、SZTH3D3C-09-10、SZTH3D3C-09-11、SZTH3D3C-09-12、SZTH3D3C-09-13、SZTH3D3C-09-14、SZTH3D3C-09-15、SZTH3D3C-09-16、SZTH3D3C-09-17、SZTH3D3C-09-18、SZTH3D3C-10-03、SZTH3D3C-08-18、SZTH3D3C-09-01、SZTH3D3C-09-02、SZTH3D3C-09-03、SZTH3D3C-09-04、SZTH3D3C-09-05、SZTH3D3C-09-06、SZTH3D3C-09-07、SZTH3D3C-09-08、SZTH3D3C-09-09、SZTH3D3C-08-08、SZTH3D3C-08-09、SZTH3D3C-08-10、SZTH3D3C-08-11、SZTH3D3C-08-12、SZTH3D3C-08-13、SZTH3D3C-08-14、SZTH3D3C-08-15、SZTH3D3C-08-16、SZTH3D3C-08-17、SZTH3D3C-07-14、SZTH3D3C-07-15、SZTH3D3C-07-16、SZTH3D3C-08-01、SZTH3D3C-08-02、SZTH3D3C-08-03、SZTH3D3C-08-04、SZTH3D3C-08-05、SZTH3D3C-08-06、SZTH3D3C-08-07、SZTH3D3C-07-04、SZTH3D3C-07-05、SZTH3D3C-07-06、SZTH3D3C-07-07、SZTH3D3C-07-08、SZTH3D3C-07-09、SZTH3D3C-07-10、SZTH3D3C-07-11、SZTH3D3C-07-12、SZTH3D3C-07-13、SZTH3D3C-06-12、SZTH3D3C-06-13、SZTH3D3C-06-14、SZTH3D3C-06-15、SZTH3D3C-06-16、SZTH3D3C-07-03、</t>
  </si>
  <si>
    <t>SZTH3D3C-11-07、SZTH3D3C-12-10、SZTH3D3C-12-11、SZTH3D3C-12-12、SZTH3D3C-12-13、SZTH3D3C-12-14、SZTH3D3C-12-15、SZTH3D3C-12-16、SZTH3D3C-12-17、SZTH3D3C-11-18、SZTH3D3C-12-01、SZTH3D3C-12-02、SZTH3D3C-12-03、SZTH3D3C-12-04、SZTH3D3C-12-05、SZTH3D3C-12-06、SZTH3D3C-12-07、SZTH3D3C-12-08、SZTH3D3C-12-09、SZTH3D3C-11-08、SZTH3D3C-11-09、SZTH3D3C-11-10、SZTH3D3C-11-11、SZTH3D3C-11-12、SZTH3D3C-11-13、SZTH3D3C-11-14、SZTH3D3C-11-15、SZTH3D3C-11-16、SZTH3D3C-11-17、SZTH3D3C-11-01、SZTH3D3C-11-02、SZTH3D3C-11-03、SZTH3D3C-11-04、SZTH3D3C-11-05、SZTH3D3C-11-06</t>
  </si>
  <si>
    <t>2020/11/27开通，计费4天：SZTH3D3B-10-01、SZTH3D3B-10-02</t>
  </si>
  <si>
    <t>2020/12/3开通，计费29天
SZTH3D3A-02-08、SZTH3D3A-02-07、SZTH3D3A-02-05、SZTH3D3A-02-06、SZTH3D3C-01-18</t>
  </si>
  <si>
    <t>2020/12/10开通，计费22天
SZTH3D3A-02-03、SZTH3D3A-02-04、SZTH3D3A-03-04、SZTH3D3A-03-05、SZTH3D3A-03-06、SZTH3D3A-03-07、SZTH3D3A-03-08、SZTH3D3A-03-09、SZTH3D3A-04-04、SZTH3D3A-05-05、SZTH3D3A-05-06、SZTH3D3A-06-05、SZTH3D3A-07-04、SZTH3D3A-08-04、SZTH3D3A-08-05、SZTH3D3A-08-06、SZTH3D3A-08-07、SZTH3D3A-08-08、SZTH3D3A-08-09</t>
  </si>
  <si>
    <t>SZTH3D3A-10-01</t>
  </si>
  <si>
    <t>SZTH3D3A-07-02、SZTH3D3A-07-03</t>
  </si>
  <si>
    <t>SZTH3D3A-09-02、SZTH3D3A-09-01、SZTH3D3A-08-03、SZTH3D3A-08-02</t>
  </si>
  <si>
    <t>SZTH3D3A-09-11、SZTH3D3A-09-09、SZTH3D3A-08-12、SZTH3D3A-08-10、SZTH3D3A-07-11、SZTH3D3A-07-09、SZTH3D3A-06-09、SZTH3D3A-06-07、SZTH3D3A-07-05、SZTH3D3A-04-05</t>
  </si>
  <si>
    <t>SZTH3D3A-05-01、SZTH3D3A-05-03、SZTH3D3A-06-01、SZTH3D3A-06-03</t>
  </si>
  <si>
    <t>SZTH3D3A-02-01、SZTH3D3A-02-02、SZTH3D3A-03-02、SZTH3D3A-03-03</t>
  </si>
  <si>
    <t>SZTH3D3A-10-02、SZTH3D3A-10-03、SZTH3D3A-10-04、SZTH3D3A-10-05、SZTH3D3A-10-06、SZTH3D3A-10-07、SZTH3D3A-10-08、SZTH3D3A-10-09、SZTH3D3A-10-12、SZTH3D3A-10-13、SZTH3D3A-10-14、SZTH3D3A-10-15</t>
  </si>
  <si>
    <t>SZTH3D3A-10-10、SZTH3D3A-10-11</t>
  </si>
  <si>
    <t>SZTH3D3A-04-07、SZTH3D3A-07-07</t>
  </si>
  <si>
    <t>SZTH3D3A-09-03</t>
  </si>
  <si>
    <t>SZTH3D3A-09-05、SZTH3D3A-09-06</t>
  </si>
  <si>
    <t>SZTH3D3A-09-07</t>
  </si>
  <si>
    <t>SZTH3D3A-09-04、SZTH3D3A-09-08</t>
  </si>
  <si>
    <t>SZTH3D3A-02-10、SZTH3D3A-02-12、SZTH3D3A-03-01、SZTH3D3A-03-11、SZTH3D3A-03-13、SZTH3D3A-04-01、SZTH3D3A-04-06、SZTH3D3A-04-10、SZTH3D3A-04-12、SZTH3D3A-05-02、SZTH3D3A-05-04、SZTH3D3A-05-08、SZTH3D3A-05-10、SZTH3D3A-06-02、SZTH3D3A-06-04、SZTH3D3A-06-08、SZTH3D3A-06-10、SZTH3D3A-07-01、SZTH3D3A-07-06、SZTH3D3A-07-10、SZTH3D3A-07-12、SZTH3D3A-08-01、SZTH3D3A-08-11、SZTH3D3A-08-13、SZTH3D3A-09-10、SZTH3D3A-09-12</t>
  </si>
  <si>
    <t>南京电信</t>
  </si>
  <si>
    <t>182115IDC00124</t>
  </si>
  <si>
    <t>吉山机房三期(NJJS 5D201 202 301 302 303 402）</t>
  </si>
  <si>
    <t>NJJS</t>
  </si>
  <si>
    <t>NJJS5D201-J-13、NJJS5D202-A-17、NJJS5D301-J-13、NJJS5D402-A-18、NJJS5D302-A-01、NJJS5D302-A-02、NJJS5D302-D-16、NJJS5D303-A-07、NJJS5D303-A-08、NJJS5D303-A-11、NJJS5D303-D-09、NJJS5D303-E-15、NJJS5D302-C-01、NJJS5D302-C-02、NJJS5D301-A-01、NJJS5D301-A-02、NJJS5D301-C-01、NJJS5D301-C-02、NJJS5D301-E-01、NJJS5D301-E-02、NJJS5D301-G-01、NJJS5D301-G-02、NJJS5D301-I-01、NJJS5D301-I-02</t>
  </si>
  <si>
    <t>NJJS5D302-D-02、NJJS5D302-D-04、NJJS5D302-D-06、NJJS5D302-D-08、NJJS5D302-D-10、NJJS5D302-C-03、NJJS5D302-C-04、NJJS5D302-C-05、NJJS5D302-C-06、NJJS5D302-C-07、NJJS5D302-C-08、NJJS5D302-C-09、NJJS5D302-C-10、NJJS5D302-C-11、NJJS5D302-C-12、NJJS5D302-C-13、NJJS5D302-C-14、NJJS5D302-D-11、NJJS5D302-D-12、NJJS5D302-D-13、NJJS5D302-D-14、NJJS5D302-C-15、NJJS5D302-D-01、NJJS5D302-D-03、NJJS5D302-D-05、NJJS5D302-D-07、NJJS5D302-D-09</t>
  </si>
  <si>
    <t>NJJS5D303-B-10、NJJS5D303-B-11、NJJS5D303-C-10、NJJS5D303-C-11</t>
  </si>
  <si>
    <t>NJJS5D303-A-02、NJJS5D303-A-04、NJJS5D303-B-02、NJJS5D303-B-04、NJJS5D303-B-06、NJJS5D303-C-02、NJJS5D303-C-04、NJJS5D303-C-06、NJJS5D303-D-02、NJJS5D303-D-04</t>
  </si>
  <si>
    <t>NJJS5D302-A-04
NJJS5D302-B-01
NJJS5D302-B-03
NJJS5D302-B-05
NJJS5D302-B-02
NJJS5D302-B-04
NJJS5D302-B-06</t>
  </si>
  <si>
    <t>NJJS5D301-A-10、NJJS5D301-A-11、NJJS5D301-A-12</t>
  </si>
  <si>
    <t>NJJS5D202-A-01、NJJS5D202-A-02、NJJS5D202-C-01、NJJS5D202-C-02、NJJS5D202-E-01、NJJS5D202-E-02</t>
  </si>
  <si>
    <t>NJJS5D301-B-01、NJJS5D301-B-02、NJJS5D301-B-03、NJJS5D301-B-04、NJJS5D301-B-05、NJJS5D301-B-06、NJJS5D301-B-07、NJJS5D301-B-08</t>
  </si>
  <si>
    <t>NJJS5D301-B-09、NJJS5D301-B-10、NJJS5D301-C-03、NJJS5D301-C-04、NJJS5D301-C-05、NJJS5D301-C-06、NJJS5D301-C-07、NJJS5D301-C-08、NJJS5D301-C-09、NJJS5D301-C-10、NJJS5D301-C-11、NJJS5D301-C-12、NJJS5D301-C-13、NJJS5D301-C-14、NJJS5D301-C-15、NJJS5D301-C-16、NJJS5D301-C-17、NJJS5D301-C-18、NJJS5D301-D-02、NJJS5D301-D-03、NJJS5D301-D-04、NJJS5D301-D-05、NJJS5D301-D-06、NJJS5D301-D-07、NJJS5D301-D-08、NJJS5D301-D-09</t>
  </si>
  <si>
    <t>202201与SYS核实4个机架于3.17重新上线使用NJJS5D303-B-10、NJJS5D303-B-11、NJJS5D303-C-10、NJJS5D303-C-11</t>
  </si>
  <si>
    <t>NJJS5D301-D-12、NJJS5D301-D-13、NJJS5D301-D-14、NJJS5D301-D-15、NJJS5D301-E-14、NJJS5D301-E-15、NJJS5D301-E-16、NJJS5D301-E-17</t>
  </si>
  <si>
    <t>NJJS5D301-E-03、NJJS5D301-E-04、NJJS5D301-E-05、NJJS5D301-E-06、NJJS5D301-E-07、NJJS5D301-E-08</t>
  </si>
  <si>
    <t>NJJS5D201-C-01、NJJS5D201-C-02</t>
  </si>
  <si>
    <t>NJJS5D301-A-13、NJJS5D301-A-14</t>
  </si>
  <si>
    <t>NJJS5D301-A-15、NJJS5D301-A-16、NJJS5D301-A-17、NJJS5D201-B-17</t>
  </si>
  <si>
    <t>NJJS5D301-A-18、NJJS5D301-A-03、NJJS5D301-A-04、NJJS5D301-A-05、NJJS5D301-A-06、NJJS5D301-A-07、NJJS5D301-A-08、NJJS5D301-A-09、NJJS5D301-B-11、NJJS5D301-E-09、NJJS5D301-E-10</t>
  </si>
  <si>
    <t>NJJS5D301-B-12、NJJS5D301-B-13</t>
  </si>
  <si>
    <t>NJJS5D301-F-01、NJJS5D301-F-02、NJJS5D301-F-03、NJJS5D301-F-04、NJJS5D301-F-05、NJJS5D301-H-01、NJJS5D301-H-02、NJJS5D301-H-03、NJJS5D301-H-04</t>
  </si>
  <si>
    <t>NJJS5D301-F-06、NJJS5D301-F-07</t>
  </si>
  <si>
    <t>NJJS5D301-G-03、NJJS5D301-G-04、NJJS5D301-G-05、NJJS5D301-G-06、NJJS5D301-G-07、NJJS5D301-G-08</t>
  </si>
  <si>
    <t>NJJS5D201-A-09、NJJS5D201-A-10、NJJS5D201-A-11、NJJS5D201-A-12、NJJS5D201-A-13、NJJS5D201-A-14、NJJS5D202-A-13、NJJS5D202-A-14、NJJS5D202-A-15、NJJS5D202-A-16、NJJS5D202-B-03、NJJS5D202-B-04、NJJS5D202-B-05、NJJS5D202-B-06、NJJS5D202-B-07、NJJS5D202-B-08、NJJS5D202-B-09、NJJS5D202-B-10、NJJS5D202-B-11、NJJS5D202-B-12、NJJS5D202-B-13、NJJS5D202-B-14、NJJS5D202-B-15、NJJS5D202-B-16、NJJS5D202-B-17、NJJS5D202-C-03、NJJS5D202-C-04、NJJS5D202-C-05、NJJS5D202-C-06、NJJS5D202-C-07、NJJS5D202-C-08、NJJS5D202-C-09、NJJS5D202-C-10、NJJS5D202-C-11、NJJS5D202-C-12、NJJS5D202-C-13、NJJS5D202-C-14、NJJS5D202-D-01、NJJS5D202-D-02、NJJS5D202-D-03、NJJS5D202-D-04、NJJS5D202-D-05、NJJS5D202-D-06、NJJS5D202-D-07、NJJS5D202-D-08、NJJS5D202-D-09、NJJS5D202-D-10、NJJS5D202-D-11、NJJS5D202-D-12、NJJS5D202-D-13、NJJS5D202-D-14、NJJS5D202-D-15、NJJS5D202-D-16、NJJS5D202-D-17、NJJS5D202-E-03、NJJS5D202-E-04、NJJS5D202-E-05、NJJS5D202-E-06、NJJS5D202-E-07、NJJS5D202-E-08、NJJS5D202-E-09、NJJS5D202-E-10、NJJS5D202-E-11、NJJS5D202-E-12、NJJS5D202-E-13、NJJS5D202-E-14、NJJS5D202-E-15、NJJS5D202-E-16、NJJS5D202-F-01、NJJS5D202-F-02、NJJS5D202-F-03、NJJS5D202-F-04、NJJS5D202-F-05、NJJS5D202-F-06、NJJS5D202-F-07、NJJS5D202-F-08、NJJS5D202-F-09、NJJS5D202-F-10、NJJS5D202-F-11、NJJS5D202-F-12、NJJS5D202-F-13、NJJS5D202-F-14、NJJS5D202-F-15、NJJS5D202-F-16、NJJS5D302-A-05、NJJS5D302-A-06、NJJS5D302-A-07、NJJS5D302-A-08、NJJS5D302-A-09、NJJS5D302-A-10、NJJS5D302-A-11、NJJS5D302-A-12、NJJS5D302-B-08</t>
  </si>
  <si>
    <t>NJJS5D201-E-01、NJJS5D201-E-02、NJJS5D201-G-01、NJJS5D201-G-02、NJJS5D201-I-01、NJJS5D201-I-02</t>
  </si>
  <si>
    <t>NJJS5D202-B-01、NJJS5D202-B-02、NJJS5D301-H-05</t>
  </si>
  <si>
    <t>NJJS5D201-I-05、NJJS5D201-I-06、NJJS5D201-I-07、NJJS5D201-I-08、NJJS5D201-I-09、NJJS5D201-I-10、NJJS5D202-A-03、NJJS5D202-A-04、NJJS5D202-A-05、NJJS5D202-A-06、NJJS5D202-A-07、NJJS5D202-A-08、NJJS5D202-A-09、NJJS5D202-A-10、NJJS5D202-A-11、NJJS5D202-A-12、NJJS5D301-F-12、NJJS5D301-F-13、NJJS5D301-F-14、NJJS5D301-F-15、NJJS5D302-A-13、NJJS5D302-A-14</t>
  </si>
  <si>
    <t>NJJS5D201-A-03、NJJS5D201-A-04、NJJS5D201-A-05、NJJS5D201-A-06、NJJS5D201-A-07、NJJS5D201-A-08</t>
  </si>
  <si>
    <t>NJJS5D201-E-03、NJJS5D201-E-04、NJJS5D201-E-05、NJJS5D201-E-06、NJJS5D201-E-07、NJJS5D201-E-08、NJJS5D201-E-09、NJJS5D201-E-10、NJJS5D201-E-11、NJJS5D201-E-12、NJJS5D201-E-13、NJJS5D201-E-14、NJJS5D201-E-15、NJJS5D201-E-16、NJJS5D201-E-17、NJJS5D201-F-01、NJJS5D201-F-02、NJJS5D201-F-03、NJJS5D201-F-04、NJJS5D201-F-05、NJJS5D201-F-06、NJJS5D201-F-07、NJJS5D201-F-08、NJJS5D201-F-09、NJJS5D201-F-10、NJJS5D201-F-11、NJJS5D201-F-12、NJJS5D201-F-13、NJJS5D201-F-14、NJJS5D201-F-15、NJJS5D201-F-16、NJJS5D201-F-17、NJJS5D201-G-03、NJJS5D201-G-04</t>
  </si>
  <si>
    <t>NJJS5D201-I-11、NJJS5D201-I-12、NJJS5D201-J-01、NJJS5D201-J-02、NJJS5D201-J-03、NJJS5D201-J-04、NJJS5D201-J-05、NJJS5D201-J-06、NJJS5D201-J-07、NJJS5D201-J-08</t>
  </si>
  <si>
    <t>NJJS5D201-G-05、NJJS5D201-G-06、NJJS5D201-G-07、NJJS5D201-G-08、NJJS5D201-G-10</t>
  </si>
  <si>
    <t>NJJS5D302-A-03</t>
    <phoneticPr fontId="3" type="noConversion"/>
  </si>
  <si>
    <t>NJJS5D201-G-09、NJJS5D201-G-11、NJJS5D201-H-01</t>
  </si>
  <si>
    <t>NJJS5D201-H-02、NJJS5D201-H-03</t>
  </si>
  <si>
    <t>NJJS5D402-I-01、NJJS5D402-I-02、NJJS5D402-G-01、NJJS5D402-G-02、NJJS5D402-C-01、NJJS5D402-C-02、NJJS5D402-A-01、NJJS5D402-A-02</t>
  </si>
  <si>
    <t>NJJS5D301-B-14、NJJS5D301-B-15、NJJS5D301-B-16、NJJS5D301-B-17、NJJS5D301-B-18、NJJS5D301-D-01、NJJS5D301-D-10、NJJS5D301-D-11、NJJS5D301-G-10、NJJS5D302-B-07、NJJS5D302-B-09、NJJS5D302-B-10、NJJS5D201-A-18</t>
  </si>
  <si>
    <t>NJJS5D201-D-12、NJJS5D201-D-13、NJJS5D201-D-14、NJJS5D201-D-15、NJJS5D201-H-04、NJJS5D201-H-05、NJJS5D201-H-06、NJJS5D201-H-07、NJJS5D201-H-08、NJJS5D201-H-09、NJJS5D201-H-10、NJJS5D201-H-11、NJJS5D201-H-12、NJJS5D201-H-13、NJJS5D201-I-03、NJJS5D201-I-04、NJJS5D201-J-09、NJJS5D201-J-10、NJJS5D201-J-11、NJJS5D201-J-12、NJJS5D301-E-11、NJJS5D301-E-12、NJJS5D301-E-13、NJJS5D302-B-11、NJJS5D302-B-12、NJJS5D302-B-13、NJJS5D302-B-14、NJJS5D302-B-15、NJJS5D302-B-16、NJJS5D302-C-16、NJJS5D302-D-15、NJJS5D402-H-17、NJJS5D402-I-03、NJJS5D402-I-04、NJJS5D402-I-05、NJJS5D402-I-06、NJJS5D402-I-07、NJJS5D402-I-08、NJJS5D402-I-09、NJJS5D402-I-10、NJJS5D402-I-11、NJJS5D402-I-12、NJJS5D402-I-13、NJJS5D402-I-14、NJJS5D402-I-15、NJJS5D402-I-16、NJJS5D402-J-01、NJJS5D402-J-02、NJJS5D402-J-03、NJJS5D402-J-04、NJJS5D402-J-05、NJJS5D402-J-06、NJJS5D402-J-07、NJJS5D402-J-08、NJJS5D402-J-09、NJJS5D402-J-10、NJJS5D402-J-11、NJJS5D402-J-12、NJJS5D402-J-13、NJJS5D402-J-14、NJJS5D402-J-15、NJJS5D402-J-16、NJJS5D402-H-10、NJJS5D402-H-11、NJJS5D402-H-12、NJJS5D402-H-13、NJJS5D402-H-14、NJJS5D402-H-15、NJJS5D402-H-16</t>
  </si>
  <si>
    <t>NJJS5D402-D-02、NJJS5D402-D-03、NJJS5D402-F-17、NJJS5D402-F-18</t>
  </si>
  <si>
    <t>NJJS5D402-A-16、NJJS5D402-A-17</t>
  </si>
  <si>
    <t>NJJS5D301-G-11
NJJS5D402-A-03
NJJS5D402-A-06
NJJS5D402-A-07
NJJS5D402-A-08
NJJS5D402-A-09
NJJS5D402-A-10
NJJS5D402-A-11
NJJS5D402-A-12
NJJS5D402-A-13
NJJS5D402-A-14
NJJS5D402-A-15
NJJS5D402-C-03
NJJS5D402-C-04
NJJS5D402-D-09
NJJS5D402-D-10
NJJS5D402-D-11
NJJS5D402-D-12
NJJS5D402-D-13
NJJS5D402-G-03
NJJS5D402-G-04
NJJS5D402-G-06
NJJS5D402-G-08
NJJS5D402-G-10
NJJS5D402-G-11
NJJS5D402-G-13
NJJS5D402-H-01
NJJS5D402-H-03
NJJS5D402-H-05
NJJS5D402-H-07
NJJS5D402-H-09</t>
  </si>
  <si>
    <t>NJJS5D201-I-13
NJJS5D402-D-01
NJJS5D402-D-07</t>
  </si>
  <si>
    <t>NJJS5D201-D-01
NJJS5D201-D-02
NJJS5D201-D-03
NJJS5D402-H-02
NJJS5D402-H-04</t>
  </si>
  <si>
    <t>NJJS5D301-H-06
NJJS5D301-H-07
NJJS5D301-H-08
NJJS5D402-A-04
NJJS5D402-A-05
NJJS5D402-B-01
NJJS5D402-B-02
NJJS5D402-B-03
NJJS5D402-B-04
NJJS5D402-B-05
NJJS5D402-B-06
NJJS5D402-B-07
NJJS5D402-B-08
NJJS5D402-B-09
NJJS5D402-B-10
NJJS5D402-B-11
NJJS5D402-B-12
NJJS5D402-B-13
NJJS5D402-B-14
NJJS5D402-B-15
NJJS5D402-B-16
NJJS5D402-B-17
NJJS5D402-B-18
NJJS5D402-C-05
NJJS5D402-C-07
NJJS5D402-C-08
NJJS5D402-C-09
NJJS5D402-C-10
NJJS5D402-C-11
NJJS5D402-C-12
NJJS5D402-C-13
NJJS5D402-C-14
NJJS5D402-C-15
NJJS5D402-C-16
NJJS5D402-C-17
NJJS5D402-C-18</t>
  </si>
  <si>
    <t>NJJS5D402-G-05
NJJS5D402-G-07
NJJS5D402-G-09
NJJS5D402-G-12</t>
  </si>
  <si>
    <t>NJJS5D301-F-08 NJJS5D301-F-09</t>
  </si>
  <si>
    <t>NJJS5D303-A-06、NJJS5D303-D-06</t>
    <phoneticPr fontId="3" type="noConversion"/>
  </si>
  <si>
    <t>2022.11更新开通数量，实际开通3个。NJJS5D301-F-10、NJJS5D301-F-16、NJJS5D301-F-17</t>
  </si>
  <si>
    <t>NJJS5D301-F-17</t>
  </si>
  <si>
    <t>NJJS5D301-H-10、NJJS5D301-H-11、NJJS5D301-H-12、NJJS5D301-H-13</t>
  </si>
  <si>
    <t>NJJS5D201-A-07、NJJS5D201-A-08、NJJS5D201-A-09、NJJS5D201-A-10、NJJS5D201-A-11、NJJS5D201-A-12、NJJS5D201-A-18、NJJS5D201-D-01、NJJS5D201-D-02、NJJS5D201-D-03</t>
  </si>
  <si>
    <t>NJJS5D201-A-04</t>
  </si>
  <si>
    <t>NJJS5D301-I-10、NJJS5D301-I-11、NJJS5D301-I-12</t>
  </si>
  <si>
    <t>NJJS5D201-B-01、NJJS5D201-B-02、NJJS5D201-B-03</t>
  </si>
  <si>
    <t>2023.6调整机柜分期和关联的合同号，NJJS5D401-G-14上月计提在182115IDC00124中，本月挪至182215IDC00689。NJJS5D402-E-01、NJJS5D402-E-02</t>
  </si>
  <si>
    <t>NJJS5D201-A-04、NJJS5D301-H-09、NJJS5D301-I-03、NJJS5D301-I-04、NJJS5D301-I-05、NJJS5D301-I-06、NJJS5D301-I-07、NJJS5D301-I-08、NJJS5D301-I-09</t>
  </si>
  <si>
    <t>NJJS5D402-E-03、NJJS5D402-E-04、NJJS5D402-E-05、NJJS5D402-E-06、NJJS5D402-E-07、NJJS5D402-E-08、NJJS5D402-E-09、NJJS5D402-E-10、NJJS5D402-E-11、NJJS5D402-E-12、NJJS5D402-E-13、NJJS5D402-E-14、NJJS5D402-E-15、NJJS5D402-E-16、NJJS5D402-E-17、NJJS5D402-E-18、NJJS5D402-F-03、NJJS5D402-F-04</t>
  </si>
  <si>
    <t>NJJS5D201-A-10</t>
  </si>
  <si>
    <t>NJJS5D201-A-09</t>
  </si>
  <si>
    <t>NJJS5D402-F-07、NJJS5D402-F-08、NJJS5D402-F-09、NJJS5D402-F-10、NJJS5D402-F-11、NJJS5D402-F-12</t>
  </si>
  <si>
    <t>NJJS5D402-F-01、NJJS5D402-F-02、NJJS5D402-F-05、NJJS5D402-F-06、NJJS5D402-F-13、NJJS5D402-F-14、NJJS5D402-F-15、NJJS5D402-F-16</t>
  </si>
  <si>
    <t>182115IDC00379</t>
  </si>
  <si>
    <t>太湖机房三期二批（SZTH3D2）</t>
  </si>
  <si>
    <t>2021/5/15开始计费，5月计费17天：SZTH3D2A-12-01、SZTH3D2A-04-01、SZTH3D2B-02-18、SZTH3D2B-11-18、SZTH3D2C-02-18、SZTH3D2C-11-18</t>
  </si>
  <si>
    <t>2021/5/15开始计费，5月计费17天：SZTH3D2A-11-18、SZTH3D2A-09-18、SZTH3D2A-09-17、SZTH3D2A-05-18、SZTH3D2A-05-17、SZTH3D2A-03-16、SZTH3D2A-03-15、SZTH3D2A-12-18、SZTH3D2A-12-17、SZTH3D2A-12-16、SZTH3D2A-12-15、SZTH3D2A-12-14、SZTH3D2A-11-15、SZTH3D2A-11-17、SZTH3D2B-04-01、SZTH3D2B-04-02、SZTH3D2B-09-01、SZTH3D2B-09-02、SZTH3D2C-02-01、SZTH3D2C-02-02、SZTH3D2C-04-01、SZTH3D2C-04-02、SZTH3D2C-06-02、SZTH3D2C-07-02、SZTH3D2C-09-01、SZTH3D2C-09-02、SZTH3D2A-08-01、SZTH3D2A-08-02、SZTH3D2A-08-03、SZTH3D2A-08-04、SZTH3D2A-08-05、SZTH3D2A-08-06、SZTH3D2A-08-07、SZTH3D2A-08-08、SZTH3D2A-08-09、SZTH3D2A-08-10、SZTH3D2A-08-11、SZTH3D2A-08-12、SZTH3D2A-08-13、SZTH3D2A-08-14、SZTH3D2A-08-15、SZTH3D2A-08-16、SZTH3D2A-08-17、SZTH3D2A-08-18、SZTH3D2B-01-02、SZTH3D2B-01-04、SZTH3D2B-01-06、SZTH3D2B-01-08、SZTH3D2B-01-10、SZTH3D2B-01-12、SZTH3D2B-01-14、SZTH3D2B-01-16、SZTH3D2B-01-18、SZTH3D2B-02-01、SZTH3D2B-02-03、SZTH3D2B-02-05、SZTH3D2B-02-07、SZTH3D2B-02-09、SZTH3D2B-02-11、SZTH3D2B-02-13、SZTH3D2B-02-15、SZTH3D2B-02-17、SZTH3D2B-03-10、SZTH3D2B-03-12、SZTH3D2B-03-14、SZTH3D2B-03-16、SZTH3D2B-03-02、SZTH3D2B-03-04、SZTH3D2B-03-06、SZTH3D2B-03-08、SZTH3D2B-04-03、SZTH3D2B-04-05、SZTH3D2B-04-07、SZTH3D2B-04-09、SZTH3D2B-04-11、SZTH3D2B-04-13、SZTH3D2B-04-15、SZTH3D2B-04-17、SZTH3D2B-05-12、SZTH3D2B-05-14、SZTH3D2B-05-16、SZTH3D2B-05-18、SZTH3D2B-05-02、SZTH3D2B-05-04、SZTH3D2B-05-06、SZTH3D2B-05-08、SZTH3D2B-05-10、SZTH3D2B-06-02、SZTH3D2B-06-04、SZTH3D2B-06-06、SZTH3D2B-06-08、SZTH3D2B-06-10、SZTH3D2B-06-12、SZTH3D2B-06-14、SZTH3D2B-06-16、SZTH3D2B-07-13、SZTH3D2B-07-15、SZTH3D2B-07-16、SZTH3D2B-07-03、SZTH3D2B-07-05、SZTH3D2B-07-07、SZTH3D2B-07-09、SZTH3D2B-07-11、SZTH3D2B-08-01、SZTH3D2B-08-03、SZTH3D2B-08-05、SZTH3D2B-08-07、SZTH3D2B-08-09、SZTH3D2B-08-11、SZTH3D2B-08-13、SZTH3D2B-08-15、SZTH3D2B-08-17、SZTH3D2B-09-16、SZTH3D2B-09-18、SZTH3D2B-09-04、SZTH3D2B-09-06、SZTH3D2B-09-08、SZTH3D2B-09-10、SZTH3D2B-09-12、SZTH3D2B-09-14、SZTH3D2B-10-01、SZTH3D2B-10-03、SZTH3D2B-10-05、SZTH3D2B-10-07、SZTH3D2B-10-09、SZTH3D2B-10-11、SZTH3D2B-10-13、SZTH3D2B-10-15、SZTH3D2B-11-16、SZTH3D2B-11-17、SZTH3D2B-11-02、SZTH3D2B-11-04、SZTH3D2B-11-06、SZTH3D2B-11-08、SZTH3D2B-11-10、SZTH3D2B-11-12、SZTH3D2B-11-14、SZTH3D2B-12-01、SZTH3D2B-12-03、SZTH3D2B-12-05、SZTH3D2B-12-07、SZTH3D2B-12-09、SZTH3D2B-12-11、SZTH3D2B-12-13、SZTH3D2B-12-15、SZTH3D2B-12-17、SZTH3D2A-09-13、SZTH3D2A-09-14、SZTH3D2A-09-15、SZTH3D2A-09-16、SZTH3D2A-10-13、SZTH3D2A-10-14、SZTH3D2A-10-15、SZTH3D2A-10-16、SZTH3D2A-11-11、SZTH3D2A-11-12、SZTH3D2A-11-13、SZTH3D2A-11-14、SZTH3D2A-03-01、SZTH3D2A-03-02、SZTH3D2A-03-03、SZTH3D2A-03-04、SZTH3D2A-03-05、SZTH3D2A-03-06、SZTH3D2A-03-07、SZTH3D2A-03-08、SZTH3D2A-03-09、SZTH3D2A-03-10、SZTH3D2A-03-11、SZTH3D2A-03-12、SZTH3D2A-03-13、SZTH3D2A-03-14、SZTH3D2A-04-02、SZTH3D2A-04-03、SZTH3D2A-04-04、SZTH3D2A-04-05、SZTH3D2A-04-06、SZTH3D2A-04-07、SZTH3D2A-04-08、SZTH3D2A-04-09、SZTH3D2A-04-10、SZTH3D2A-04-11、SZTH3D2A-04-12、SZTH3D2A-04-13、SZTH3D2A-04-14、SZTH3D2A-04-15、SZTH3D2A-04-16、SZTH3D2A-04-17、SZTH3D2A-04-18、SZTH3D2A-05-01、SZTH3D2A-05-02、SZTH3D2A-05-03、SZTH3D2A-05-04、SZTH3D2A-05-05、SZTH3D2A-05-06、SZTH3D2A-05-07、SZTH3D2A-05-08、SZTH3D2A-05-09、SZTH3D2A-05-10、SZTH3D2A-05-11、SZTH3D2A-05-12、SZTH3D2A-05-13、SZTH3D2A-05-14、SZTH3D2A-05-15、SZTH3D2A-05-16、SZTH3D2A-06-01、SZTH3D2A-06-02、SZTH3D2A-06-03、SZTH3D2A-06-04、SZTH3D2A-06-05、SZTH3D2A-06-06、SZTH3D2A-06-07、SZTH3D2A-06-08、SZTH3D2A-06-09、SZTH3D2A-06-10、SZTH3D2A-06-11、SZTH3D2A-06-12、SZTH3D2A-06-13、SZTH3D2A-06-14、SZTH3D2A-06-15、SZTH3D2A-07-01、SZTH3D2A-07-02、SZTH3D2A-07-03、SZTH3D2A-07-04、SZTH3D2A-07-05、SZTH3D2A-07-06、SZTH3D2A-07-07、SZTH3D2A-07-08、SZTH3D2A-07-09、SZTH3D2A-07-10、SZTH3D2A-07-11、SZTH3D2A-07-12、SZTH3D2A-07-13、SZTH3D2A-07-14、SZTH3D2A-07-15、SZTH3D2A-09-01、SZTH3D2A-09-02、SZTH3D2A-09-03、SZTH3D2A-09-04、SZTH3D2A-09-05、SZTH3D2A-09-06、SZTH3D2A-09-07、SZTH3D2A-09-08、SZTH3D2A-09-09、SZTH3D2A-09-10、SZTH3D2A-09-11、SZTH3D2A-09-12、SZTH3D2A-10-01、SZTH3D2A-10-02、SZTH3D2A-10-03、SZTH3D2A-10-04、SZTH3D2A-10-05、SZTH3D2A-10-06、SZTH3D2A-10-07、SZTH3D2A-10-08、SZTH3D2A-10-09、SZTH3D2A-10-10、SZTH3D2A-10-11、SZTH3D2A-10-12、SZTH3D2A-11-01、SZTH3D2A-11-02、SZTH3D2A-11-03、SZTH3D2A-11-04、SZTH3D2A-11-05、SZTH3D2A-11-06、SZTH3D2A-11-07、SZTH3D2A-11-08、SZTH3D2A-11-09、SZTH3D2A-11-10、SZTH3D2B-01-01、SZTH3D2B-01-03、SZTH3D2B-01-05、SZTH3D2B-01-07、SZTH3D2B-01-09、SZTH3D2B-01-11、SZTH3D2B-01-13、SZTH3D2B-01-15、SZTH3D2B-01-17、SZTH3D2B-02-02、SZTH3D2B-02-04、SZTH3D2B-02-06、SZTH3D2B-02-08、SZTH3D2B-03-01、SZTH3D2B-03-03、SZTH3D2B-03-05、SZTH3D2B-03-07、SZTH3D2B-03-09、SZTH3D2B-04-04、SZTH3D2B-04-06、SZTH3D2B-04-08、SZTH3D2B-04-10、SZTH3D2B-04-12、SZTH3D2B-04-14、SZTH3D2B-04-16、SZTH3D2B-04-18、SZTH3D2B-05-01、SZTH3D2B-05-03、SZTH3D2B-05-05、SZTH3D2B-05-07、SZTH3D2B-05-09、SZTH3D2B-05-11、SZTH3D2B-05-13、SZTH3D2B-05-15、SZTH3D2B-05-17、SZTH3D2B-06-03、SZTH3D2B-06-05、SZTH3D2B-06-07、SZTH3D2B-06-09、SZTH3D2B-06-11、SZTH3D2B-06-13、SZTH3D2B-06-15、SZTH3D2B-07-02、SZTH3D2B-07-04、SZTH3D2B-07-06、SZTH3D2B-07-08、SZTH3D2B-07-10、SZTH3D2B-07-12、SZTH3D2B-07-14、SZTH3D2B-08-02、SZTH3D2B-08-04、SZTH3D2B-08-06、SZTH3D2B-08-08、SZTH3D2B-08-10、SZTH3D2B-08-12、SZTH3D2B-08-14、SZTH3D2B-08-16、SZTH3D2B-08-18、SZTH3D2B-09-03、SZTH3D2B-09-05、SZTH3D2B-02-10、SZTH3D2B-02-12、SZTH3D2B-02-14、SZTH3D2B-02-16、SZTH3D2B-03-11、SZTH3D2B-03-13、SZTH3D2B-03-15、SZTH3D2B-09-07、SZTH3D2B-09-09、SZTH3D2B-09-11、SZTH3D2B-09-13、SZTH3D2B-09-15、SZTH3D2B-09-17、SZTH3D2B-10-02、SZTH3D2B-10-04、SZTH3D2B-10-06、SZTH3D2B-10-08、SZTH3D2B-10-10、SZTH3D2B-10-12、SZTH3D2B-10-14、SZTH3D2B-10-16、SZTH3D2B-11-01、SZTH3D2B-11-03、SZTH3D2B-11-05、SZTH3D2B-11-07、SZTH3D2B-11-09、SZTH3D2B-11-11、SZTH3D2B-11-13、SZTH3D2B-11-15、SZTH3D2B-12-02、SZTH3D2B-12-04、SZTH3D2B-12-06、SZTH3D2B-12-08、SZTH3D2B-12-10、SZTH3D2B-12-12、SZTH3D2B-12-14、SZTH3D2B-12-16、SZTH3D2B-12-18</t>
  </si>
  <si>
    <t>2021/5/15开始计费，5月计费17天：SZTH3D2C-01-04、SZTH3D2C-01-06、SZTH3D2C-01-08、SZTH3D2C-01-10、SZTH3D2C-01-12、SZTH3D2C-01-14、SZTH3D2C-01-16、SZTH3D2C-01-18、SZTH3D2C-01-01、SZTH3D2C-01-02、SZTH3D2C-02-03、SZTH3D2C-02-05、SZTH3D2C-02-07、SZTH3D2C-02-09、SZTH3D2C-02-11、SZTH3D2C-02-13、SZTH3D2C-02-16、SZTH3D2C-03-01、SZTH3D2C-03-03、SZTH3D2C-03-05、SZTH3D2C-03-07、SZTH3D2C-03-09、SZTH3D2C-03-11、SZTH3D2C-03-13、SZTH3D2C-03-15、SZTH3D2C-04-04、SZTH3D2C-04-06、SZTH3D2C-04-08、SZTH3D2C-04-10、SZTH3D2C-04-12、SZTH3D2C-04-14、SZTH3D2C-04-16、SZTH3D2C-04-18、SZTH3D2C-05-01、SZTH3D2C-05-03、SZTH3D2C-05-05、SZTH3D2C-05-07、SZTH3D2C-05-09、SZTH3D2C-05-11、SZTH3D2C-05-13、SZTH3D2C-05-15、SZTH3D2C-05-17、SZTH3D2C-06-04、SZTH3D2C-06-06、SZTH3D2C-06-08、SZTH3D2C-06-10、SZTH3D2C-06-12、SZTH3D2C-06-14、SZTH3D2C-06-16、SZTH3D2C-07-03、SZTH3D2C-07-05、SZTH3D2C-07-07、SZTH3D2C-07-09、SZTH3D2C-07-11、SZTH3D2C-07-13、SZTH3D2C-07-15、SZTH3D2C-08-02、SZTH3D2C-08-04、SZTH3D2C-08-06、SZTH3D2C-08-08、SZTH3D2C-08-10、SZTH3D2C-08-12、SZTH3D2C-08-14、SZTH3D2C-08-16、SZTH3D2C-08-18、SZTH3D2C-09-03、SZTH3D2C-09-05、SZTH3D2C-09-07、SZTH3D2C-09-09、SZTH3D2C-09-11、SZTH3D2C-09-13、SZTH3D2C-09-15、SZTH3D2C-09-17、SZTH3D2C-10-02、SZTH3D2C-10-04、SZTH3D2C-10-06、SZTH3D2C-10-08、SZTH3D2C-10-10、SZTH3D2C-10-12、SZTH3D2C-10-14、SZTH3D2C-10-16、SZTH3D2C-11-07、SZTH3D2C-11-09、SZTH3D2C-11-11、SZTH3D2C-11-13、SZTH3D2C-11-15、SZTH3D2C-12-08、SZTH3D2C-12-10、SZTH3D2C-12-12、SZTH3D2C-12-14、SZTH3D2C-12-16、SZTH3D2C-12-18、SZTH3D2C-02-15、SZTH3D2C-02-17、SZTH3D2C-03-02、SZTH3D2C-03-04、SZTH3D2C-03-06、SZTH3D2C-03-08、SZTH3D2C-03-10、SZTH3D2C-03-12、SZTH3D2C-03-14、SZTH3D2C-03-16、SZTH3D2C-04-03、SZTH3D2C-04-05、SZTH3D2C-04-07、SZTH3D2C-04-09、SZTH3D2C-04-11、SZTH3D2C-04-13、SZTH3D2C-04-15、SZTH3D2C-04-17、SZTH3D2C-05-02、SZTH3D2C-05-04、SZTH3D2C-05-06、SZTH3D2C-05-08、SZTH3D2C-05-10、SZTH3D2C-05-12、SZTH3D2C-05-14、SZTH3D2C-05-16、SZTH3D2C-05-18、SZTH3D2C-06-03、SZTH3D2C-06-05、SZTH3D2C-06-07、SZTH3D2C-06-09、SZTH3D2C-06-11、SZTH3D2C-06-13、SZTH3D2C-06-15、SZTH3D2C-07-04、SZTH3D2C-07-06、SZTH3D2C-07-08、SZTH3D2C-07-10、SZTH3D2C-07-12、SZTH3D2C-07-14、SZTH3D2C-07-16、SZTH3D2C-08-01、SZTH3D2C-08-03、SZTH3D2C-08-05、SZTH3D2C-08-07、SZTH3D2C-08-09、SZTH3D2C-08-11、SZTH3D2C-08-13、SZTH3D2C-08-15、SZTH3D2C-08-17、SZTH3D2C-09-04、SZTH3D2C-09-06、SZTH3D2C-09-08、SZTH3D2C-09-10、SZTH3D2C-09-12、SZTH3D2C-09-14、SZTH3D2C-09-16、SZTH3D2C-09-18、SZTH3D2C-10-01、SZTH3D2C-10-03、SZTH3D2C-10-05、SZTH3D2C-10-07、SZTH3D2C-10-09、SZTH3D2C-10-11、SZTH3D2C-10-13、SZTH3D2C-10-15、SZTH3D2C-11-08、SZTH3D2C-11-10、SZTH3D2C-11-12、SZTH3D2C-11-14、SZTH3D2C-11-16、SZTH3D2C-11-17、SZTH3D2C-12-07、SZTH3D2C-12-09、SZTH3D2C-12-11、SZTH3D2C-12-13、SZTH3D2C-12-15、SZTH3D2C-12-17</t>
  </si>
  <si>
    <t>2021/5/19开通，5月计费13天：SZTH3D2C-02-04、SZTH3D2C-02-06、SZTH3D2C-02-08、SZTH3D2C-02-10</t>
  </si>
  <si>
    <t>2021/5/20开通，5月计费12天：SZTH3D2C-11-02、SZTH3D2C-11-04、SZTH3D2C-12-01、SZTH3D2C-12-03、SZTH3D2C-11-05、SZTH3D2C-12-06</t>
  </si>
  <si>
    <t>2021/5/24开通，5月计费8天：SZTH3D2C-11-06、SZTH3D2C-12-05</t>
  </si>
  <si>
    <t>2021/5/25开通，5月计费7天：SZTH3D2C-02-12、SZTH3D2C-02-14、SZTH3D2C-11-01、SZTH3D2C-11-03、SZTH3D2C-12-02、SZTH3D2C-12-04</t>
  </si>
  <si>
    <t>2021/5/27开通，5月计费5天：SZTH3D2A-01-01、SZTH3D2A-01-02、SZTH3D2A-01-03、SZTH3D2A-01-04、SZTH3D2A-01-05、SZTH3D2A-01-06、SZTH3D2A-01-07、SZTH3D2A-01-08、SZTH3D2A-01-09、SZTH3D2A-01-10、SZTH3D2A-01-11、SZTH3D2A-01-12、SZTH3D2A-01-13、SZTH3D2A-01-14、SZTH3D2A-01-15、SZTH3D2A-01-16</t>
  </si>
  <si>
    <t>2021/5/28开通计费，5月计费4天：SZTH3D2A-12-02、SZTH3D2A-12-03、SZTH3D2A-12-04、SZTH3D2A-12-05、SZTH3D2A-12-06、SZTH3D2A-12-07、SZTH3D2A-12-08、SZTH3D2A-12-09、SZTH3D2A-12-10</t>
  </si>
  <si>
    <t>2021/5/31开通，5月计费1天：SZTH3D2A-01-18、SZTH3D2A-02-01</t>
  </si>
  <si>
    <t>SZTH3D2A-12-11、SZTH3D2A-12-12、SZTH3D2A-12-13</t>
  </si>
  <si>
    <t>SZTH3D2A-11-16</t>
  </si>
  <si>
    <t>2021/6/2开通机架，6月计费29天：SZTH3D2A-02-02</t>
  </si>
  <si>
    <t>2021/6/7开通，6月计费24天：SZTH3D2A-02-03、SZTH3D2A-02-04、SZTH3D2A-02-05、SZTH3D2A-02-06、SZTH3D2A-02-07、SZTH3D2A-02-08、SZTH3D2A-02-09、SZTH3D2A-02-10、SZTH3D2A-02-11、SZTH3D2A-02-12、SZTH3D2A-02-13、SZTH3D2A-02-14、SZTH3D2A-02-15</t>
  </si>
  <si>
    <t>2021/6/16开通，6月计费15天：SZTH3D2A-01-17、SZTH3D2A-02-16</t>
  </si>
  <si>
    <t>2021/6/18开通，6月计费13天：SZTH3D2A-02-17、SZTH3D2A-02-18</t>
  </si>
  <si>
    <t>2021/6/30开通，6月计费1天：SZTH3D2C-01-03、SZTH3D2C-01-05、SZTH3D2C-01-07</t>
  </si>
  <si>
    <t>2021/7/15开通，7月计费17天：SZTH3D2C-01-09、SZTH3D2C-01-11、SZTH3D2C-01-13</t>
  </si>
  <si>
    <t>2021/7/22开通机架，7月计费10天：SZTH3D2C-01-15、SZTH3D2C-01-17</t>
  </si>
  <si>
    <t>SZTH3D2A-06-16、SZTH3D2A-07-16、SZTH3D2B-06-01、SZTH3D2B-07-01、SZTH3D2C-06-01、SZTH3D2C-07-01</t>
  </si>
  <si>
    <t>202310 苏州太湖三期二批超电流，暂按150A计提；40A机柜价格如果实际机柜用电量小于等于30A，按照￥8595元/月收取费用；如果实际机柜用电量大于30A，小于35A，则机柜用电量每增加1A，在￥8595元/月的价格基础上另加收￥300元/月的使用费用；如果实际机柜用电量大于等于35A，则机柜用电量每增加1A，在￥8595元/月的价格基础上，超过30A部分电流为260.5元/A/月</t>
  </si>
  <si>
    <t>ZYT202309250035</t>
  </si>
  <si>
    <t>182115IDC00631</t>
  </si>
  <si>
    <t>太湖机房四期（SZTH4D2、4D3C 3D）</t>
  </si>
  <si>
    <t>SZTH4D2C-04-19、SZTH4D2D-04-01、SZTH4D2D-04-21、SZTH4D2B-04-01、SZTH4D2B-04-21、SZTH4D2A-04-01、SZTH4D2A-04-21</t>
  </si>
  <si>
    <t>SZTH4D2C-01-11、SZTH4D2C-01-13、SZTH4D2C-01-15、SZTH4D2C-01-17、SZTH4D2C-01-19、SZTH4D2C-02-11、SZTH4D2C-02-13、SZTH4D2C-02-15、SZTH4D2C-02-17、SZTH4D2C-02-19、SZTH4D2C-02-21、SZTH4D2C-03-08、SZTH4D2C-03-09、SZTH4D2C-03-11、SZTH4D2C-03-13、SZTH4D2C-03-15、SZTH4D2C-03-17、SZTH4D2C-03-19、SZTH4D2C-04-13、SZTH4D2C-04-15、SZTH4D2C-04-17、SZTH4D2C-04-18、SZTH4D2C-05-08、SZTH4D2C-05-09、SZTH4D2C-05-11、SZTH4D2C-05-13、SZTH4D2C-05-15、SZTH4D2C-05-17、SZTH4D2C-05-19、SZTH4D2C-06-11、SZTH4D2C-06-13、SZTH4D2C-06-15、SZTH4D2C-06-17、SZTH4D2C-06-19、SZTH4D2C-06-21、SZTH4D2C-07-11、SZTH4D2C-07-13、SZTH4D2C-07-15、SZTH4D2C-07-17、SZTH4D2C-07-19、SZTH4D2D-01-03、SZTH4D2D-01-05、SZTH4D2D-01-07、SZTH4D2D-01-09、SZTH4D2D-01-11、SZTH4D2D-01-13、SZTH4D2D-01-15、SZTH4D2D-01-17、SZTH4D2D-01-19、SZTH4D2D-01-21、SZTH4D2D-01-23、SZTH4D2D-02-02、SZTH4D2D-02-04、SZTH4D2D-02-06、SZTH4D2D-02-08、SZTH4D2D-02-10、SZTH4D2D-02-12、SZTH4D2D-02-14、SZTH4D2D-02-15、SZTH4D2D-02-17、SZTH4D2D-02-19、SZTH4D2D-02-21、SZTH4D2D-02-23、SZTH4D2D-02-25、SZTH4D2D-03-01、SZTH4D2D-03-03、SZTH4D2D-03-05、SZTH4D2D-03-07、SZTH4D2D-03-09、SZTH4D2D-03-11、SZTH4D2D-03-13、SZTH4D2D-03-15、SZTH4D2D-03-17、SZTH4D2D-03-19、SZTH4D2D-03-21、SZTH4D2D-03-23、SZTH4D2D-04-03、SZTH4D2D-04-05、SZTH4D2D-04-07、SZTH4D2D-04-09、SZTH4D2D-04-11、SZTH4D2D-04-15、SZTH4D2D-04-17、SZTH4D2D-04-19、SZTH4D2D-04-20、SZTH4D2D-05-01、SZTH4D2D-05-03、SZTH4D2D-05-05、SZTH4D2D-05-07、SZTH4D2D-05-09、SZTH4D2D-05-11、SZTH4D2D-05-13、SZTH4D2D-05-15、SZTH4D2D-05-17、SZTH4D2D-05-19、SZTH4D2D-05-21、SZTH4D2D-05-23、SZTH4D2D-06-02、SZTH4D2D-06-04、SZTH4D2D-06-06、SZTH4D2D-06-08、SZTH4D2D-06-10、SZTH4D2D-06-12、SZTH4D2D-06-14、SZTH4D2D-06-15、SZTH4D2D-06-17、SZTH4D2D-06-19、SZTH4D2D-06-21、SZTH4D2D-06-23、SZTH4D2D-06-25、SZTH4D2D-07-01、SZTH4D2D-07-03、SZTH4D2D-07-05、SZTH4D2D-07-07、SZTH4D2D-07-09、SZTH4D2D-07-11、SZTH4D2D-07-13、SZTH4D2D-07-15、SZTH4D2D-07-17、SZTH4D2D-07-19、SZTH4D2D-07-21、SZTH4D2D-07-23、SZTH4D2B-01-03、SZTH4D2B-01-05、SZTH4D2B-01-07、SZTH4D2B-01-09、SZTH4D2B-01-11、SZTH4D2B-01-13、SZTH4D2B-01-15、SZTH4D2B-01-17、SZTH4D2B-01-19、SZTH4D2B-01-21、SZTH4D2B-01-23、SZTH4D2B-02-02、SZTH4D2B-02-04、SZTH4D2B-02-06、SZTH4D2B-02-08、SZTH4D2B-02-10、SZTH4D2B-02-12、SZTH4D2B-02-14、SZTH4D2B-02-15、SZTH4D2B-02-17、SZTH4D2B-02-19、SZTH4D2B-02-21、SZTH4D2B-02-23、SZTH4D2B-02-25、SZTH4D2B-03-01、SZTH4D2B-03-03、SZTH4D2B-03-05、SZTH4D2B-03-07、SZTH4D2B-03-09、SZTH4D2B-03-11、SZTH4D2B-03-13、SZTH4D2B-03-15、SZTH4D2B-03-17、SZTH4D2B-03-19、SZTH4D2B-03-21、SZTH4D2B-03-23、SZTH4D2B-04-03、SZTH4D2B-04-05、SZTH4D2B-04-07、SZTH4D2B-04-09、SZTH4D2B-04-11、SZTH4D2B-04-15、SZTH4D2B-04-17、SZTH4D2B-04-19、SZTH4D2B-04-20、SZTH4D2B-05-01、SZTH4D2B-05-03、SZTH4D2B-05-05、SZTH4D2B-05-07、SZTH4D2B-05-09、SZTH4D2B-05-11、SZTH4D2B-05-13、SZTH4D2B-05-15、SZTH4D2B-05-17、SZTH4D2B-05-19、SZTH4D2B-05-21、SZTH4D2B-05-23、SZTH4D2B-06-02、SZTH4D2B-06-04、SZTH4D2B-06-06、SZTH4D2B-06-08、SZTH4D2B-06-10、SZTH4D2B-06-12、SZTH4D2B-06-14、SZTH4D2B-06-15、SZTH4D2B-06-17、SZTH4D2B-06-19、SZTH4D2B-06-21、SZTH4D2B-06-23、SZTH4D2B-06-25、SZTH4D2B-07-01、SZTH4D2B-07-03、SZTH4D2B-07-05、SZTH4D2B-07-07、SZTH4D2B-07-09、SZTH4D2B-07-11、SZTH4D2B-07-13、SZTH4D2B-07-15、SZTH4D2B-07-17、SZTH4D2B-07-19、SZTH4D2B-07-21、SZTH4D2B-07-23、SZTH4D2A-01-01、SZTH4D2A-01-03、SZTH4D2A-01-05、SZTH4D2A-01-07、SZTH4D2A-01-09、SZTH4D2A-01-11、SZTH4D2A-01-13、SZTH4D2A-01-15、SZTH4D2A-01-17、SZTH4D2A-01-19、SZTH4D2A-01-21、SZTH4D2A-01-23、SZTH4D2A-02-02、SZTH4D2A-02-04、SZTH4D2A-02-06、SZTH4D2A-02-08、SZTH4D2A-02-10、SZTH4D2A-02-12、SZTH4D2A-02-14、SZTH4D2A-02-15、SZTH4D2A-02-17、SZTH4D2A-02-19、SZTH4D2A-02-21、SZTH4D2A-02-23、SZTH4D2A-02-25、SZTH4D2A-03-01、SZTH4D2A-03-03、SZTH4D2A-03-05、SZTH4D2A-03-07、SZTH4D2A-03-09、SZTH4D2A-03-11、SZTH4D2A-03-13、SZTH4D2A-03-15、SZTH4D2A-03-17、SZTH4D2A-03-19、SZTH4D2A-03-21、SZTH4D2A-03-23、SZTH4D2A-04-03、SZTH4D2A-04-05、SZTH4D2A-04-07、SZTH4D2A-04-09、SZTH4D2A-04-11、SZTH4D2A-04-15、SZTH4D2A-04-17、SZTH4D2A-04-19、SZTH4D2A-04-20、SZTH4D2A-05-02、SZTH4D2A-05-03、SZTH4D2A-05-05、SZTH4D2A-05-06、SZTH4D2A-05-08、SZTH4D2A-05-09、SZTH4D2A-05-11、SZTH4D2A-05-12、SZTH4D2A-05-13、SZTH4D2A-05-14、SZTH4D2A-05-15、SZTH4D2A-05-17、SZTH4D2A-05-19、SZTH4D2A-05-21、SZTH4D2A-05-23、SZTH4D2A-06-02、SZTH4D2A-06-03、SZTH4D2A-06-05、SZTH4D2A-06-06、SZTH4D2A-06-08、SZTH4D2A-06-09、SZTH4D2A-06-11、SZTH4D2A-06-12、SZTH4D2A-06-13、SZTH4D2A-06-14、SZTH4D2A-06-15、SZTH4D2A-06-17、SZTH4D2A-06-19、SZTH4D2A-06-21、SZTH4D2A-06-23、SZTH4D2A-06-25、SZTH4D2A-07-02、SZTH4D2A-07-03、SZTH4D2A-07-05、SZTH4D2A-07-06、SZTH4D2A-07-08、SZTH4D2A-07-09、SZTH4D2A-07-11、SZTH4D2A-07-12、SZTH4D2A-07-13、SZTH4D2A-07-14、SZTH4D2A-07-15、SZTH4D2A-07-17、SZTH4D2A-07-19、SZTH4D2A-07-21、SZTH4D2A-07-23、SZTH4D2C-01-12、SZTH4D2C-01-14、SZTH4D2C-01-16、SZTH4D2C-01-18、SZTH4D2C-01-20、SZTH4D2C-02-12、SZTH4D2C-02-14、SZTH4D2C-02-16、SZTH4D2C-02-18、SZTH4D2C-02-20、SZTH4D2C-03-12、SZTH4D2C-03-14、SZTH4D2C-03-16、SZTH4D2C-03-18、SZTH4D2C-03-20、SZTH4D2C-04-12、SZTH4D2C-04-14、SZTH4D2C-04-16、SZTH4D2C-05-12、SZTH4D2C-05-14、SZTH4D2C-05-16、SZTH4D2C-05-18、SZTH4D2C-05-20、SZTH4D2D-01-01、SZTH4D2D-01-02、SZTH4D2D-01-04、SZTH4D2D-01-06、SZTH4D2D-01-08、SZTH4D2D-01-10、SZTH4D2D-01-12、SZTH4D2D-01-14、SZTH4D2D-01-16、SZTH4D2D-01-18、SZTH4D2D-01-20、SZTH4D2D-01-22、SZTH4D2D-01-24、SZTH4D2D-02-01、SZTH4D2D-02-03、SZTH4D2D-02-05、SZTH4D2D-02-07、SZTH4D2D-02-09、SZTH4D2D-02-11、SZTH4D2D-02-13、SZTH4D2D-02-16、SZTH4D2D-02-18、SZTH4D2D-02-20、SZTH4D2D-02-22、SZTH4D2D-02-24、SZTH4D2D-03-12</t>
  </si>
  <si>
    <t>SZTH4D2C-01-09、SZTH4D2C-02-09、SZTH4D2C-03-05、SZTH4D2C-04-03、SZTH4D2C-04-05、SZTH4D2C-05-05、SZTH4D2C-06-09、SZTH4D2C-07-09</t>
  </si>
  <si>
    <t>SZTH4D2D-03-14、SZTH4D2D-03-16、SZTH4D2D-03-18、SZTH4D2D-03-20、SZTH4D2D-03-22、SZTH4D2D-03-24、SZTH4D2D-04-02、SZTH4D2D-04-04、SZTH4D2D-04-06、SZTH4D2D-04-08、SZTH4D2D-04-10、SZTH4D2D-04-14、SZTH4D2D-04-16、SZTH4D2D-04-18</t>
  </si>
  <si>
    <t>SZTH4D2D-05-02、SZTH4D2D-05-04、SZTH4D2D-05-06、SZTH4D2D-05-08、SZTH4D2D-05-10、SZTH4D2D-05-12、SZTH4D2D-05-14、SZTH4D2D-05-16</t>
  </si>
  <si>
    <t>SZTH4D2D-05-18、SZTH4D2D-05-20、SZTH4D2D-05-22、SZTH4D2D-05-24、SZTH4D2D-06-01、SZTH4D2D-06-03、SZTH4D2D-06-05</t>
  </si>
  <si>
    <t>SZTH4D2C-06-12、SZTH4D2C-06-14、SZTH4D2C-07-12、SZTH4D2C-07-14、SZTH4D2C-07-16、SZTH4D2C-07-18、SZTH4D2C-07-20</t>
  </si>
  <si>
    <t>SZTH4D2D-06-07、SZTH4D2D-06-09、SZTH4D2D-06-11、SZTH4D2D-06-13、SZTH4D2D-06-16、SZTH4D2D-06-18、SZTH4D2D-06-20、SZTH4D2D-06-22、SZTH4D2D-06-24、SZTH4D2D-07-02、SZTH4D2D-07-04、SZTH4D2D-07-06、SZTH4D2D-07-08、SZTH4D2D-07-10、SZTH4D2D-07-12、SZTH4D2D-07-14、SZTH4D2D-07-16</t>
  </si>
  <si>
    <t>SZTH4D2A-01-02、SZTH4D2A-01-04、SZTH4D2A-01-06、SZTH4D2A-01-08、SZTH4D2A-01-10、SZTH4D2A-01-12、SZTH4D2A-01-14、SZTH4D2D-03-02、SZTH4D2D-03-04、SZTH4D2D-03-06、SZTH4D2D-03-08、SZTH4D2D-03-10、SZTH4D2D-07-18、SZTH4D2D-07-20、SZTH4D2D-07-22、SZTH4D2D-07-24</t>
  </si>
  <si>
    <t>SZTH4D2A-01-16、SZTH4D2A-01-18、SZTH4D2A-01-20、SZTH4D2A-01-22、SZTH4D2A-01-24、SZTH4D2A-02-16、SZTH4D2A-02-18、SZTH4D2A-02-20、SZTH4D2A-02-22、SZTH4D2A-02-24、SZTH4D2A-03-16</t>
  </si>
  <si>
    <t>SZTH4D2A-03-18、SZTH4D2A-03-20、SZTH4D2A-03-22、SZTH4D2A-03-24</t>
  </si>
  <si>
    <t>SZTH4D2A-04-18、SZTH4D2A-05-16、SZTH4D2A-05-18、SZTH4D2A-05-20、SZTH4D2A-05-22、SZTH4D2A-05-24、SZTH4D2A-06-16</t>
  </si>
  <si>
    <t>SZTH4D3C-04-01、SZTH4D3C-04-21、SZTH4D3D-04-01、SZTH4D3D-04-21</t>
  </si>
  <si>
    <t>SZTH4D3C-01-03、SZTH4D3C-01-05、SZTH4D3C-01-07、SZTH4D3C-01-09、SZTH4D3C-01-11、SZTH4D3C-01-13、SZTH4D3C-01-15、SZTH4D3C-01-17、SZTH4D3C-01-19、SZTH4D3C-01-21、SZTH4D3C-01-23、SZTH4D3C-02-02、SZTH4D3C-02-04、SZTH4D3C-02-06、SZTH4D3C-02-08、SZTH4D3C-02-10、SZTH4D3C-02-12、SZTH4D3C-02-14、SZTH4D3C-02-15、SZTH4D3C-02-17、SZTH4D3C-02-19、SZTH4D3C-02-21、SZTH4D3C-02-23、SZTH4D3C-02-25、SZTH4D3C-03-01、SZTH4D3C-03-03、SZTH4D3C-03-05、SZTH4D3C-03-07、SZTH4D3C-03-09、SZTH4D3C-03-11、SZTH4D3C-03-13、SZTH4D3C-03-15、SZTH4D3C-03-17、SZTH4D3C-03-19、SZTH4D3C-03-21、SZTH4D3C-03-23、SZTH4D3C-04-03、SZTH4D3C-04-05、SZTH4D3C-04-07、SZTH4D3C-04-09、SZTH4D3C-04-11、SZTH4D3C-04-15、SZTH4D3C-04-17、SZTH4D3C-04-19、SZTH4D3C-04-20、SZTH4D3C-05-01、SZTH4D3C-05-03、SZTH4D3C-05-05、SZTH4D3C-05-07、SZTH4D3C-05-09、SZTH4D3C-05-11、SZTH4D3C-05-13、SZTH4D3C-05-15、SZTH4D3C-05-17、SZTH4D3C-05-19、SZTH4D3C-05-21、SZTH4D3C-05-23、SZTH4D3C-06-02、SZTH4D3C-06-04、SZTH4D3C-06-06、SZTH4D3C-06-08、SZTH4D3C-06-10、SZTH4D3C-06-12、SZTH4D3C-06-14、SZTH4D3C-06-15、SZTH4D3C-06-17、SZTH4D3C-06-19、SZTH4D3C-06-21、SZTH4D3C-06-23、SZTH4D3C-06-25、SZTH4D3C-07-01、SZTH4D3C-07-03、SZTH4D3C-07-05、SZTH4D3C-07-07、SZTH4D3C-07-09、SZTH4D3C-07-11、SZTH4D3C-07-13、SZTH4D3C-07-15、SZTH4D3C-07-17、SZTH4D3C-07-19、SZTH4D3C-07-21、SZTH4D3C-07-23、SZTH4D3D-01-01、SZTH4D3D-01-03、SZTH4D3D-01-05、SZTH4D3D-01-07、SZTH4D3D-01-09、SZTH4D3D-01-11、SZTH4D3D-01-13、SZTH4D3D-01-15、SZTH4D3D-01-17、SZTH4D3D-01-19、SZTH4D3D-01-21、SZTH4D3D-01-23、SZTH4D3D-02-02、SZTH4D3D-02-04、SZTH4D3D-02-06、SZTH4D3D-02-08、SZTH4D3D-02-10、SZTH4D3D-02-12、SZTH4D3D-02-14、SZTH4D3D-02-15、SZTH4D3D-02-17、SZTH4D3D-02-19、SZTH4D3D-02-21、SZTH4D3D-02-23、SZTH4D3D-02-25、SZTH4D3D-03-01、SZTH4D3D-03-03、SZTH4D3D-03-05、SZTH4D3D-03-07、SZTH4D3D-03-09、SZTH4D3D-03-11、SZTH4D3D-03-13、SZTH4D3D-03-15、SZTH4D3D-03-17、SZTH4D3D-03-19、SZTH4D3D-03-21、SZTH4D3D-03-23、SZTH4D3D-04-03、SZTH4D3D-04-05、SZTH4D3D-04-07、SZTH4D3D-04-09、SZTH4D3D-04-11、SZTH4D3D-04-15、SZTH4D3D-04-17、SZTH4D3D-04-19、SZTH4D3D-04-20、SZTH4D3D-05-01、SZTH4D3D-05-03、SZTH4D3D-05-05、SZTH4D3D-05-07、SZTH4D3D-05-09、SZTH4D3D-05-11、SZTH4D3D-05-13、SZTH4D3D-05-15、SZTH4D3D-05-17、SZTH4D3D-05-19、SZTH4D3D-05-21、SZTH4D3D-05-23、SZTH4D3D-06-02、SZTH4D3D-06-04、SZTH4D3D-06-06、SZTH4D3D-06-08、SZTH4D3D-06-10、SZTH4D3D-06-12、SZTH4D3D-06-13、SZTH4D3D-06-14、SZTH4D3D-06-15、SZTH4D3D-06-17、SZTH4D3D-06-19、SZTH4D3D-06-21、SZTH4D3D-06-23、SZTH4D3D-06-25、SZTH4D3D-07-01、SZTH4D3D-07-03、SZTH4D3D-07-05、SZTH4D3D-07-07、SZTH4D3D-07-09、SZTH4D3D-07-11、SZTH4D3D-07-13、SZTH4D3D-07-14、SZTH4D3D-07-15、SZTH4D3D-07-17、SZTH4D3D-07-19、SZTH4D3D-07-21、SZTH4D3D-07-23</t>
  </si>
  <si>
    <t>SZTH4D3D-05-12、SZTH4D3D-05-14、SZTH4D3D-06-01、SZTH4D3D-06-03、SZTH4D3D-06-05、SZTH4D3D-06-07、SZTH4D3D-06-09、SZTH4D3D-06-11、SZTH4D3D-07-02、SZTH4D3D-07-04、SZTH4D3D-07-06、SZTH4D3D-07-10、SZTH4D3D-07-12</t>
  </si>
  <si>
    <t>SZTH4D2A-04-02、SZTH4D2A-04-04、SZTH4D2A-04-06、SZTH4D2A-04-08、SZTH4D2A-04-10、SZTH4D2A-04-14、SZTH4D2A-04-16、SZTH4D2A-07-18、SZTH4D2A-07-20、SZTH4D2A-07-22、SZTH4D2A-07-24</t>
  </si>
  <si>
    <t>SZTH4D2A-02-01、SZTH4D2A-02-03、SZTH4D2A-02-05、SZTH4D2A-02-07、SZTH4D2A-02-09、SZTH4D2A-02-11、SZTH4D2A-02-13、SZTH4D2A-03-02、SZTH4D2A-03-04、SZTH4D2A-03-06、SZTH4D2A-03-08、SZTH4D2A-03-10、SZTH4D2A-03-12、SZTH4D2A-03-14、SZTH4D2A-06-18、SZTH4D2A-06-20、SZTH4D2A-06-22、SZTH4D2A-06-24、SZTH4D2A-07-16</t>
  </si>
  <si>
    <t>SZTH4D3C-01-01、SZTH4D3C-01-04、SZTH4D3C-01-10、SZTH4D3C-01-18、SZTH4D3C-02-05、SZTH4D3C-02-11、SZTH4D3C-02-13、SZTH4D3C-02-16、SZTH4D3C-02-18、SZTH4D3C-02-24、SZTH4D3C-03-04、SZTH4D3C-03-10、SZTH4D3C-03-18、SZTH4D3C-04-06、SZTH4D3C-04-18、SZTH4D3C-05-04、SZTH4D3C-05-10、SZTH4D3C-05-18、SZTH4D3C-06-11、SZTH4D3C-06-13、SZTH4D3C-06-16、SZTH4D3C-06-18、SZTH4D3C-06-24、SZTH4D3C-07-18、SZTH4D3D-01-04、SZTH4D3D-01-10、SZTH4D3D-01-18、SZTH4D3D-02-05、SZTH4D3D-02-11、SZTH4D3D-02-20、SZTH4D3D-03-04、SZTH4D3D-03-10、SZTH4D3D-03-18、SZTH4D3D-04-06、SZTH4D3D-04-18、SZTH4D3D-05-04、SZTH4D3D-05-10、SZTH4D3D-05-18、SZTH4D3D-06-22、SZTH4D3D-07-08、SZTH4D3D-07-18</t>
  </si>
  <si>
    <t>SZTH4D2B-01-04、SZTH4D2B-01-06、SZTH4D2B-01-08、SZTH4D2B-01-10、SZTH4D2B-01-12、SZTH4D2B-01-14、SZTH4D2B-01-16、SZTH4D2B-01-18、SZTH4D2B-01-20、SZTH4D2B-01-22、SZTH4D2B-01-24、SZTH4D2B-02-01、SZTH4D2B-02-03、SZTH4D2B-02-05、SZTH4D2B-02-07、SZTH4D2B-02-09、SZTH4D2B-02-11、SZTH4D2B-02-13、SZTH4D2B-02-16、SZTH4D2B-02-18、SZTH4D2B-02-20、SZTH4D2B-02-22、SZTH4D2B-02-24、SZTH4D2B-03-02、SZTH4D2B-03-04、SZTH4D2B-03-16、SZTH4D2B-03-18、SZTH4D2B-03-20、SZTH4D2B-03-22、SZTH4D2B-03-24、SZTH4D2B-04-14、SZTH4D2B-04-16、SZTH4D2B-04-18、SZTH4D2B-05-02、SZTH4D2B-05-04、SZTH4D2B-05-06、SZTH4D2B-05-08、SZTH4D2B-05-10、SZTH4D2B-05-12、SZTH4D2B-05-14、SZTH4D2B-05-16、SZTH4D2B-05-18、SZTH4D2B-05-20、SZTH4D2B-05-22、SZTH4D2B-05-24、SZTH4D2B-06-01、SZTH4D2B-06-03、SZTH4D2B-06-05、SZTH4D2B-06-07、SZTH4D2B-06-09、SZTH4D2B-06-11、SZTH4D2B-06-13、SZTH4D2B-06-16、SZTH4D2B-06-18、SZTH4D2B-06-20、SZTH4D2B-06-22、SZTH4D2B-06-24、SZTH4D2B-07-02、SZTH4D2B-07-04、SZTH4D2B-07-06、SZTH4D2B-07-08、SZTH4D2B-07-10、SZTH4D2B-07-12、SZTH4D2B-07-14、SZTH4D2B-07-16、SZTH4D2B-07-18、SZTH4D2B-07-20、SZTH4D2B-07-22、SZTH4D2B-07-24</t>
  </si>
  <si>
    <t>SZTH4D3D-05-06、SZTH4D3D-05-08、SZTH4D3D-06-16、SZTH4D3D-06-18、SZTH4D3D-06-20、SZTH4D3D-06-24、SZTH4D3D-07-16、SZTH4D3D-07-20、SZTH4D3D-07-22、SZTH4D3D-07-24</t>
  </si>
  <si>
    <t>SZTH4D2B-03-06、SZTH4D2B-03-08、SZTH4D2B-03-10、SZTH4D2B-03-12、SZTH4D2B-03-14、SZTH4D2B-04-02、SZTH4D2B-04-04、SZTH4D2B-04-06、SZTH4D2B-04-08、SZTH4D2B-04-10</t>
  </si>
  <si>
    <t>SZTH4D3C-01-02、SZTH4D3C-01-06、SZTH4D3C-01-08、SZTH4D3C-01-12、SZTH4D3C-01-14、SZTH4D3C-01-16、SZTH4D3C-01-20、SZTH4D3C-01-22、SZTH4D3C-01-24、SZTH4D3C-02-01SZTH4D3C-02-03SZTH4D3C-02-07SZTH4D3C-02-09SZTH4D3D-01-02SZTH4D3D-01-06、SZTH4D3D-01-08、SZTH4D3D-01-12、SZTH4D3D-01-14、SZTH4D3D-01-16、SZTH4D3D-01-20、SZTH4D3D-01-22、SZTH4D3D-01-24、SZTH4D3D-02-22SZTH4D3D-02-24、SZTH4D3D-02-01、SZTH4D3D-02-03、SZTH4D3D-02-07、SZTH4D3D-02-09、SZTH4D3D-02-13、SZTH4D3D-02-16、SZTH4D3D-02-18、SZTH4D3D-03-02、SZTH4D3D-03-06、SZTH4D3D-03-08、SZTH4D3D-03-12、SZTH4D3D-03-14、SZTH4D3D-03-16、SZTH4D3D-03-20、SZTH4D3D-03-22、SZTH4D3D-03-24、SZTH4D3D-04-02、SZTH4D3D-04-04、SZTH4D3D-04-08、SZTH4D3D-04-10、SZTH4D3D-04-14、SZTH4D3D-04-16、SZTH4D3D-05-02、SZTH4D3D-05-16、SZTH4D3D-05-20、SZTH4D3D-05-22、SZTH4D3D-05-24</t>
  </si>
  <si>
    <t>SZTH4D3C-02-20、SZTH4D3C-02-22、SZTH4D3C-03-02、SZTH4D3C-03-06、SZTH4D3C-03-08、SZTH4D3C-03-12、SZTH4D3C-03-14、SZTH4D3C-03-16、SZTH4D3C-03-20、SZTH4D3C-03-22SZTH4D3C-03-24SZTH4D3C-04-02SZTH4D3C-04-04SZTH4D3C-04-08SZTH4D3C-04-10、SZTH4D3C-04-14、SZTH4D3C-04-16、SZTH4D3C-05-02、SZTH4D3C-05-06、SZTH4D3C-05-08、SZTH4D3C-05-12、SZTH4D3C-05-14、SZTH4D3C-05-16SZTH4D3C-05-20、SZTH4D3C-05-22、SZTH4D3C-05-24、SZTH4D3C-06-09、SZTH4D3C-06-20、SZTH4D3C-06-22、SZTH4D3C-07-16、SZTH4D3C-07-20</t>
  </si>
  <si>
    <t>SZTH4D2A-05-01、SZTH4D2A-06-10</t>
  </si>
  <si>
    <t>SZTH4D2A-06-01、SZTH4D2A-06-04、SZTH4D2A-06-07、SZTH4D2A-07-10</t>
  </si>
  <si>
    <t>SZTH4D2A-07-07</t>
  </si>
  <si>
    <t>SZTH4D2A-05-05
SZTH4D2A-05-06
SZTH4D2A-05-08
SZTH4D2A-05-09
SZTH4D2A-05-11
SZTH4D2A-05-12
SZTH4D2A-07-02
SZTH4D2A-07-03
SZTH4D2A-07-05
SZTH4D2A-07-06</t>
  </si>
  <si>
    <t>SZTH4D3C-06-01
SZTH4D3C-06-03
SZTH4D3C-06-05
SZTH4D3C-07-02
SZTH4D3C-07-04
SZTH4D3C-07-06
SZTH4D3C-07-08
SZTH4D3C-07-10
SZTH4D3C-07-12
SZTH4D3C-07-14</t>
  </si>
  <si>
    <t>SZTH4D2A-07-05、SZTH4D2A-07-06</t>
  </si>
  <si>
    <t>SZTH4D2A-05-05、SZTH4D2A-05-06、SZTH4D2A-05-07、SZTH4D2A-05-08、SZTH4D2A-05-09、SZTH4D2A-05-10、SZTH4D2A-05-11、SZTH4D2A-05-12</t>
  </si>
  <si>
    <t>SZTH4D2A-05-04</t>
  </si>
  <si>
    <t>SZTH4D2A-05-07、SZTH4D2A-05-08、SZTH4D2A-05-09、SZTH4D2A-05-10、SZTH4D2A-05-11、SZTH4D2A-05-12</t>
  </si>
  <si>
    <t>SZTH4D3C-06-07、SZTH4D3C-07-22、SZTH4D3C-07-24</t>
  </si>
  <si>
    <t>SZTH4D2C-04-09、SZTH4D2C-04-10</t>
  </si>
  <si>
    <t>SZTH4D2C-01-05、SZTH4D2C-01-07、SZTH4D2C-02-03、SZTH4D2C-02-05</t>
  </si>
  <si>
    <t>SZTH4D2A-07-05、SZTH4D2A-07-06、SZTH4D2C-06-17、SZTH4D2C-06-19、SZTH4D2C-06-21、SZTH4D2C-07-11、SZTH4D2C-07-12、SZTH4D2C-07-17、SZTH4D2C-07-18、SZTH4D2C-07-19、SZTH4D2C-07-20、SZTH4D2D-01-01、SZTH4D2D-01-02</t>
  </si>
  <si>
    <t>SZTH4D2A-04-12、SZTH4D2A-04-13、SZTH4D2B-04-12、SZTH4D2B-04-13、SZTH4D2C-01-10、SZTH4D2C-02-10、SZTH4D2C-03-01、SZTH4D2C-03-10、SZTH4D2C-04-02、SZTH4D2C-04-11、SZTH4D2C-05-01、SZTH4D2C-05-10、SZTH4D2C-06-10、SZTH4D2C-07-10、SZTH4D2D-04-12、SZTH4D2D-04-13、SZTH4D3C-04-12、SZTH4D3C-04-13、SZTH4D3D-04-12、SZTH4D3D-04-13</t>
  </si>
  <si>
    <t>SZTH4D2C-07-11、SZTH4D2C-07-12</t>
  </si>
  <si>
    <t>SZTH4D2C-07-17、SZTH4D2C-07-18、SZTH4D2C-07-19、SZTH4D2C-07-20</t>
    <phoneticPr fontId="3" type="noConversion"/>
  </si>
  <si>
    <t>202310 太湖机房四期（SZTH4D2、4D3C 3D）超电流，暂按700A计提</t>
  </si>
  <si>
    <t>ZYT202309250036</t>
  </si>
  <si>
    <t>182215IDC00467</t>
  </si>
  <si>
    <t>太湖机房四期三层（SZTH4D3A）4.1期</t>
  </si>
  <si>
    <t>SZTH4D3A-01-01、SZTH4D3A-01-02、SZTH4D3A-01-03、SZTH4D3A-01-04、SZTH4D3A-01-05、SZTH4D3A-01-06、SZTH4D3A-01-07、SZTH4D3A-01-08、SZTH4D3A-01-09、SZTH4D3A-01-10、SZTH4D3A-01-11、SZTH4D3A-01-12、SZTH4D3A-01-13、SZTH4D3A-01-14、SZTH4D3A-01-15、SZTH4D3A-01-16、SZTH4D3A-01-17、SZTH4D3A-01-18、SZTH4D3A-01-19、SZTH4D3A-01-20、SZTH4D3A-01-21、SZTH4D3A-01-22、SZTH4D3A-01-23、SZTH4D3A-01-24、SZTH4D3A-01-25、SZTH4D3A-01-26、SZTH4D3A-01-27、SZTH4D3A-01-28、SZTH4D3A-01-29、SZTH4D3A-01-30、SZTH4D3A-01-31、SZTH4D3A-02-01、SZTH4D3A-02-02、SZTH4D3A-02-03、SZTH4D3A-02-04、SZTH4D3A-02-05、SZTH4D3A-02-06、SZTH4D3A-02-07、SZTH4D3A-02-08、SZTH4D3A-02-09、SZTH4D3A-02-10、SZTH4D3A-02-11、SZTH4D3A-02-12、SZTH4D3A-02-13、SZTH4D3A-02-14、SZTH4D3A-02-15、SZTH4D3A-02-18、SZTH4D3A-02-19、SZTH4D3A-02-20、SZTH4D3A-02-21、SZTH4D3A-02-22、SZTH4D3A-02-23、SZTH4D3A-02-24、SZTH4D3A-02-25、SZTH4D3A-02-26、SZTH4D3A-02-27、SZTH4D3A-02-28、SZTH4D3A-02-29、SZTH4D3A-02-30、SZTH4D3A-02-31、SZTH4D3A-06-02、SZTH4D3A-06-04、SZTH4D3A-06-06、SZTH4D3A-06-08、SZTH4D3A-06-10、SZTH4D3A-06-12、SZTH4D3A-06-14、SZTH4D3A-06-16、SZTH4D3A-06-18、SZTH4D3A-06-20、SZTH4D3A-06-22、SZTH4D3A-06-24、SZTH4D3A-06-26、SZTH4D3A-06-28、SZTH4D3A-06-30、SZTH4D3A-02-16、SZTH4D3A-02-17、SZTH4D3A-05-16、SZTH4D3A-05-17、SZTH4D3A-05-18、SZTH4D3A-05-19、SZTH4D3A-03-02、SZTH4D3A-03-03、SZTH4D3A-03-04、SZTH4D3A-03-05、SZTH4D3A-03-06、SZTH4D3A-03-07、SZTH4D3A-03-08、SZTH4D3A-03-09、SZTH4D3A-03-10、SZTH4D3A-03-11、SZTH4D3A-03-12、SZTH4D3A-03-13、SZTH4D3A-03-14、SZTH4D3A-03-15、SZTH4D3A-03-16、SZTH4D3A-03-17、SZTH4D3A-03-18、SZTH4D3A-03-19、SZTH4D3A-03-20、SZTH4D3A-03-21、SZTH4D3A-03-22、SZTH4D3A-03-23、SZTH4D3A-03-24、SZTH4D3A-03-25、SZTH4D3A-03-26、SZTH4D3A-03-27、SZTH4D3A-03-28、SZTH4D3A-03-29、SZTH4D3A-03-30、SZTH4D3A-04-01、SZTH4D3A-04-02、SZTH4D3A-04-03、SZTH4D3A-04-04、SZTH4D3A-04-05、SZTH4D3A-04-06、SZTH4D3A-04-07、SZTH4D3A-04-08、SZTH4D3A-04-09、SZTH4D3A-04-10、SZTH4D3A-04-11、SZTH4D3A-04-12、SZTH4D3A-04-13、SZTH4D3A-04-14、SZTH4D3A-04-17、SZTH4D3A-04-18、SZTH4D3A-04-19、SZTH4D3A-04-20、SZTH4D3A-04-21、SZTH4D3A-04-22、SZTH4D3A-04-23、SZTH4D3A-04-24、SZTH4D3A-04-25、SZTH4D3A-04-26、SZTH4D3A-04-27、SZTH4D3A-05-01、SZTH4D3A-05-02、SZTH4D3A-05-03、SZTH4D3A-05-04、SZTH4D3A-05-05、SZTH4D3A-05-06、SZTH4D3A-05-07、SZTH4D3A-05-08、SZTH4D3A-05-09、SZTH4D3A-05-10、SZTH4D3A-05-11、SZTH4D3A-05-12、SZTH4D3A-05-13、SZTH4D3A-05-14、SZTH4D3A-05-15、SZTH4D3A-05-20、SZTH4D3A-05-21、SZTH4D3A-05-22、SZTH4D3A-05-23、SZTH4D3A-05-24、SZTH4D3A-05-25、SZTH4D3A-05-26、SZTH4D3A-05-27、SZTH4D3A-05-28、SZTH4D3A-05-29、SZTH4D3A-05-30、SZTH4D3A-05-31、SZTH4D3A-06-01、SZTH4D3A-06-03、SZTH4D3A-06-05、SZTH4D3A-06-07、SZTH4D3A-06-09、SZTH4D3A-06-11、SZTH4D3A-06-13、SZTH4D3A-06-15、SZTH4D3A-06-17、SZTH4D3A-06-19、SZTH4D3A-06-21、SZTH4D3A-06-23、SZTH4D3A-06-25、SZTH4D3A-06-27、SZTH4D3A-06-29、SZTH4D3A-06-31</t>
  </si>
  <si>
    <t>SZTH4D3A-03-01、SZTH4D3A-03-31</t>
  </si>
  <si>
    <t>SZTH4D3A-04-15、SZTH4D3A-04-16</t>
  </si>
  <si>
    <t>202310 太湖机房四期三层（SZTH4D3A）超电流，暂按100A计提</t>
  </si>
  <si>
    <t>ZYT202309250037</t>
  </si>
  <si>
    <t>182215IDC00523</t>
  </si>
  <si>
    <t>太湖机房四期四层（SZTH4D4D）4.2期</t>
  </si>
  <si>
    <t>SZTH4D4D-05-15</t>
  </si>
  <si>
    <t>SZTH4D4D-02-15、SZTH4D4D-02-16、SZTH4D4D-02-17、SZTH4D4D-02-18、SZTH4D4D-01-01、SZTH4D4D-01-02、SZTH4D4D-01-03、SZTH4D4D-01-04、SZTH4D4D-01-05、SZTH4D4D-01-06、SZTH4D4D-01-07、SZTH4D4D-01-08、SZTH4D4D-01-09、SZTH4D4D-01-10、SZTH4D4D-01-11、SZTH4D4D-01-12、SZTH4D4D-01-13、SZTH4D4D-01-14、SZTH4D4D-01-15、SZTH4D4D-01-18、SZTH4D4D-01-19、SZTH4D4D-01-20、SZTH4D4D-01-21、SZTH4D4D-01-22、SZTH4D4D-01-23、SZTH4D4D-01-24、SZTH4D4D-01-25、SZTH4D4D-01-26、SZTH4D4D-01-27、SZTH4D4D-01-28、SZTH4D4D-01-29、SZTH4D4D-01-30、SZTH4D4D-01-31、SZTH4D4D-02-01、SZTH4D4D-02-02、SZTH4D4D-02-03、SZTH4D4D-02-04、SZTH4D4D-02-05、SZTH4D4D-02-06、SZTH4D4D-02-07、SZTH4D4D-02-08、SZTH4D4D-02-09、SZTH4D4D-02-10、SZTH4D4D-02-11、SZTH4D4D-02-12、SZTH4D4D-02-13、SZTH4D4D-02-14、SZTH4D4D-02-19、SZTH4D4D-02-20、SZTH4D4D-02-21、SZTH4D4D-02-22、SZTH4D4D-02-23、SZTH4D4D-02-24、SZTH4D4D-02-25、SZTH4D4D-02-26、SZTH4D4D-02-27、SZTH4D4D-02-28、SZTH4D4D-02-29、SZTH4D4D-02-30、SZTH4D4D-02-31、SZTH4D4D-03-01、SZTH4D4D-03-02、SZTH4D4D-03-03、SZTH4D4D-03-04、SZTH4D4D-03-05、SZTH4D4D-03-06、SZTH4D4D-03-07、SZTH4D4D-03-08、SZTH4D4D-03-09、SZTH4D4D-03-10、SZTH4D4D-03-11、SZTH4D4D-03-12、SZTH4D4D-03-13、SZTH4D4D-03-14、SZTH4D4D-03-15、SZTH4D4D-03-16、SZTH4D4D-03-17、SZTH4D4D-03-18、SZTH4D4D-03-19、SZTH4D4D-03-20、SZTH4D4D-03-21、SZTH4D4D-03-22、SZTH4D4D-03-23、SZTH4D4D-03-24、SZTH4D4D-03-25、SZTH4D4D-03-26、SZTH4D4D-03-27、SZTH4D4D-03-28、SZTH4D4D-03-29、SZTH4D4D-03-30、SZTH4D4D-03-31、SZTH4D4D-04-01、SZTH4D4D-04-02、SZTH4D4D-04-03、SZTH4D4D-04-04、SZTH4D4D-04-05、SZTH4D4D-04-06、SZTH4D4D-04-07、SZTH4D4D-04-08、SZTH4D4D-04-09、SZTH4D4D-04-10、SZTH4D4D-04-11、SZTH4D4D-04-12、SZTH4D4D-04-13、SZTH4D4D-04-14、SZTH4D4D-04-15、SZTH4D4D-04-16、SZTH4D4D-04-17、SZTH4D4D-04-18、SZTH4D4D-04-19、SZTH4D4D-04-20、SZTH4D4D-04-21、SZTH4D4D-04-22、SZTH4D4D-04-23、SZTH4D4D-04-24、SZTH4D4D-04-25、SZTH4D4D-04-26、SZTH4D4D-04-27、SZTH4D4D-05-01、SZTH4D4D-05-02、SZTH4D4D-05-03、SZTH4D4D-05-04、SZTH4D4D-05-05</t>
  </si>
  <si>
    <t>SZTH4D4D-01-16、SZTH4D4D-01-17</t>
  </si>
  <si>
    <t>202310 太湖机房四期四层（SZTH4D4D）超电流，暂按50A计提</t>
  </si>
  <si>
    <t>ZYT202309250038</t>
  </si>
  <si>
    <t>182215IDC00524</t>
  </si>
  <si>
    <t>太湖机房五期（SZTH5D2A、3A、3B、3C、3D）</t>
  </si>
  <si>
    <t>SZTH5D2A-04-01、SZTH5D3A-01-01、SZTH5D3A-01-02、SZTH5D3B-04-16、SZTH5D3C-05-17、SZTH5D3D-04-16</t>
  </si>
  <si>
    <t>SZTH5D3A-02-06、SZTH5D3A-02-07、SZTH5D3A-02-08、SZTH5D3A-02-09、SZTH5D3A-02-10、SZTH5D3A-02-11、SZTH5D3A-03-05、SZTH5D3A-03-06、SZTH5D3A-03-07、SZTH5D3A-03-08、SZTH5D3A-03-09、SZTH5D3A-03-10、SZTH5D3A-04-06、SZTH5D3A-04-07、SZTH5D3A-04-08、SZTH5D3A-04-09、SZTH5D3A-04-10、SZTH5D3A-04-11、SZTH5D3A-05-06、SZTH5D3A-05-07、SZTH5D3A-05-08、SZTH5D3A-05-09、SZTH5D3A-05-10、SZTH5D3A-05-11、SZTH5D3A-06-05、SZTH5D3A-06-06、SZTH5D3A-06-07、SZTH5D3A-06-08、SZTH5D3A-06-09、SZTH5D3A-06-10、SZTH5D3A-07-06、SZTH5D3A-07-07、SZTH5D3A-07-08、SZTH5D3A-07-09、SZTH5D3A-07-10、SZTH5D3A-07-11、SZTH5D3A-08-06、SZTH5D3A-08-07、SZTH5D3A-08-08、SZTH5D3A-08-09、SZTH5D3A-08-10、SZTH5D3A-08-11、SZTH5D3A-09-06、SZTH5D3A-09-07、SZTH5D3A-09-08、SZTH5D3A-09-09、SZTH5D3A-09-10、SZTH5D3A-09-11、SZTH5D3B-03-01、SZTH5D3B-03-02、SZTH5D3B-05-01、SZTH5D3B-05-02、SZTH5D3B-08-01、SZTH5D3B-08-02、SZTH5D2A-02-16、SZTH5D2A-02-17、SZTH5D2A-04-16、SZTH5D2A-04-17、SZTH5D2A-06-14、SZTH5D2A-06-15、SZTH5D3B-02-03、SZTH5D3B-02-04、SZTH5D3B-02-05、SZTH5D3B-02-06、SZTH5D3B-02-07、SZTH5D3B-02-08、SZTH5D3B-02-09、SZTH5D3B-02-10、SZTH5D3B-02-11、SZTH5D3B-02-12、SZTH5D3B-02-13、SZTH5D3B-02-14、SZTH5D3B-02-15、SZTH5D3B-02-16、SZTH5D3B-03-03、SZTH5D3B-03-04、SZTH5D3B-03-05、SZTH5D3B-03-06、SZTH5D3B-03-07、SZTH5D3B-03-08、SZTH5D3B-03-09、SZTH5D3B-03-10、SZTH5D3B-03-11、SZTH5D3B-03-12、SZTH5D3B-03-13、SZTH5D3B-03-14、SZTH5D3B-04-02、SZTH5D3B-04-03、SZTH5D3B-04-04、SZTH5D3B-04-05、SZTH5D3B-04-06、SZTH5D3B-04-07、SZTH5D3B-04-08、SZTH5D3B-04-09、SZTH5D3B-04-10、SZTH5D3B-04-11、SZTH5D3B-04-12、SZTH5D3B-04-13、SZTH5D3B-04-14、SZTH5D3B-04-15、SZTH5D3B-05-03、SZTH5D3B-05-04、SZTH5D3B-05-05、SZTH5D3B-05-06、SZTH5D3B-05-07、SZTH5D3B-05-08、SZTH5D3B-05-09、SZTH5D3B-05-10、SZTH5D3B-05-11、SZTH5D3B-05-12、SZTH5D3B-05-13、SZTH5D3B-05-14、SZTH5D3B-05-15、SZTH5D3B-05-16、SZTH5D3B-06-02、SZTH5D3B-06-03、SZTH5D3B-06-04、SZTH5D3B-06-05、SZTH5D3B-06-06、SZTH5D3B-06-07、SZTH5D3B-06-08、SZTH5D3B-06-09、SZTH5D3B-06-10、SZTH5D3B-06-11、SZTH5D3B-06-12、SZTH5D3B-06-13、SZTH5D3B-06-14、SZTH5D3B-07-01、SZTH5D3B-07-02、SZTH5D3B-07-03、SZTH5D3B-07-04、SZTH5D3B-07-05、SZTH5D3B-07-06、SZTH5D3B-07-07、SZTH5D3B-07-08、SZTH5D3B-07-09、SZTH5D3B-07-10、SZTH5D3B-07-11、SZTH5D3B-07-12、SZTH5D3B-07-13、SZTH5D3B-07-14、SZTH5D3B-07-15、SZTH5D3B-07-16、SZTH5D3B-08-03、SZTH5D3B-08-04、SZTH5D3B-08-05、SZTH5D3B-08-06、SZTH5D3B-08-07、SZTH5D3B-08-08、SZTH5D3B-08-09、SZTH5D3B-08-10、SZTH5D3B-08-11、SZTH5D3B-08-12、SZTH5D3B-08-13、SZTH5D3B-08-14、SZTH5D3B-08-15、SZTH5D3B-08-16、SZTH5D3B-09-01、SZTH5D3B-09-02、SZTH5D3B-09-03、SZTH5D3B-09-04、SZTH5D3B-09-05、SZTH5D3B-09-06、SZTH5D3B-09-07、SZTH5D3B-09-08、SZTH5D3B-09-09、SZTH5D3B-09-10、SZTH5D3B-09-11、SZTH5D3B-09-12、SZTH5D3B-09-13、SZTH5D3B-09-14、SZTH5D3B-09-15、SZTH5D3B-09-16、SZTH5D3C-01-01、SZTH5D3C-01-02、SZTH5D3C-01-03、SZTH5D3C-01-04、SZTH5D3C-01-05、SZTH5D3C-01-06、SZTH5D3C-01-07、SZTH5D3C-01-08、SZTH5D3C-01-09、SZTH5D3C-01-10、SZTH5D3C-01-11、SZTH5D3C-01-12、SZTH5D3C-01-13、SZTH5D3C-01-14、SZTH5D3C-01-15、SZTH5D3C-01-16、SZTH5D3C-01-17、SZTH5D3C-02-03、SZTH5D3C-02-04、SZTH5D3C-02-05、SZTH5D3C-02-06、SZTH5D3C-02-07、SZTH5D3C-02-08、SZTH5D3C-02-09、SZTH5D3C-02-10、SZTH5D3C-02-11、SZTH5D3C-02-12、SZTH5D3C-02-13、SZTH5D3C-02-14、SZTH5D3C-02-15、SZTH5D3C-02-16、SZTH5D3C-02-17、SZTH5D3C-03-03、SZTH5D3C-03-04、SZTH5D3C-03-05、SZTH5D3C-03-06、SZTH5D3C-03-07、SZTH5D3C-03-08、SZTH5D3C-03-09、SZTH5D3C-03-10、SZTH5D3C-03-11、SZTH5D3C-03-12、SZTH5D3C-03-13、SZTH5D3C-03-14、SZTH5D3C-03-15、SZTH5D3C-04-02、SZTH5D3C-04-03、SZTH5D3C-04-04、SZTH5D3C-04-05、SZTH5D3C-04-06、SZTH5D3C-04-07、SZTH5D3C-04-08、SZTH5D3C-04-09、SZTH5D3C-04-10、SZTH5D3C-04-11、SZTH5D3C-04-12、SZTH5D3C-04-13、SZTH5D3C-04-14、SZTH5D3C-04-15、SZTH5D3C-04-16、SZTH5D3C-04-17、SZTH5D3C-05-03、SZTH5D3C-05-04、SZTH5D3C-05-05、SZTH5D3C-05-06、SZTH5D3C-05-07、SZTH5D3C-05-08、SZTH5D3C-05-09、SZTH5D3C-05-10、SZTH5D3C-05-11、SZTH5D3C-05-12、SZTH5D3C-05-13、SZTH5D3C-05-14、SZTH5D3C-05-15、SZTH5D3C-05-16、SZTH5D3C-06-02、SZTH5D3C-06-03、SZTH5D3C-06-04、SZTH5D3C-06-05、SZTH5D3C-06-06、SZTH5D3C-06-07、SZTH5D3C-06-08、SZTH5D3C-06-09、SZTH5D3C-06-10、SZTH5D3C-06-11、SZTH5D3C-06-12、SZTH5D3C-06-13、SZTH5D3C-06-14、SZTH5D3C-06-15、SZTH5D3C-07-01、SZTH5D3C-07-02、SZTH5D3C-07-03、SZTH5D3C-07-04、SZTH5D3C-07-05、SZTH5D3C-07-06、SZTH5D3C-07-07、SZTH5D3C-07-08、SZTH5D3C-07-09、SZTH5D3C-07-10、SZTH5D3C-07-11、SZTH5D3C-07-12、SZTH5D3C-07-13、SZTH5D3C-07-14、SZTH5D3C-07-15、SZTH5D3C-07-16、SZTH5D3C-07-17、SZTH5D3C-08-03、SZTH5D3C-08-04、SZTH5D3C-08-05、SZTH5D3C-08-06、SZTH5D3C-08-07、SZTH5D3C-08-09、SZTH5D3C-02-01、SZTH5D3C-02-02、SZTH5D3C-03-01、SZTH5D3C-03-02、SZTH5D3C-05-01、SZTH5D3C-05-02、SZTH5D3C-08-01、SZTH5D3C-08-02、SZTH5D3D-02-01、SZTH5D3D-02-02、SZTH5D3D-03-01、SZTH5D3D-03-02、SZTH5D3D-05-01、SZTH5D3D-05-02、SZTH5D3D-08-01、SZTH5D3D-08-02</t>
  </si>
  <si>
    <t>SZTH5D2A-01-11、SZTH5D2A-01-12、SZTH5D2A-01-13、SZTH5D2A-01-14、SZTH5D2A-01-16、SZTH5D2A-01-17、SZTH5D2A-01-01、SZTH5D2A-01-02、SZTH5D2A-01-03、SZTH5D2A-01-04、SZTH5D2A-01-05、SZTH5D2A-01-06、SZTH5D2A-01-07、SZTH5D2A-01-08、SZTH5D2A-01-09、SZTH5D2A-01-10、SZTH5D2A-03-02</t>
  </si>
  <si>
    <t>SZTH5D3C-08-10、SZTH5D3C-08-11、SZTH5D3C-08-12、SZTH5D3C-08-13、SZTH5D3C-08-14、SZTH5D3C-08-15、SZTH5D3C-08-16、SZTH5D3C-08-17、SZTH5D3C-09-01、SZTH5D3C-09-02、SZTH5D3C-09-03、SZTH5D3C-09-04、SZTH5D3C-09-05、SZTH5D3C-09-06、SZTH5D3C-09-07、SZTH5D3C-09-08、SZTH5D3C-09-09、SZTH5D3C-09-10、SZTH5D3C-09-11、SZTH5D3C-09-12、SZTH5D3C-09-13、SZTH5D3C-09-14、SZTH5D3C-09-15、SZTH5D3C-09-16、SZTH5D3C-09-17、SZTH5D3D-01-01、SZTH5D3D-01-02、SZTH5D3D-01-03、SZTH5D3D-01-04、SZTH5D3D-01-05、SZTH5D3D-01-06、SZTH5D3D-01-07、SZTH5D3D-01-08、SZTH5D3D-01-09、SZTH5D3D-01-10、SZTH5D3D-01-11、SZTH5D3D-01-12、SZTH5D3D-01-13、SZTH5D3D-01-14、SZTH5D3D-01-15、SZTH5D3D-01-16、SZTH5D3D-02-03、SZTH5D3D-02-04、SZTH5D3D-02-05、SZTH5D3D-02-06、SZTH5D3D-02-07、SZTH5D3D-02-08、SZTH5D3D-02-09、SZTH5D3D-02-10、SZTH5D3D-02-11、SZTH5D3D-02-12、SZTH5D3D-02-13、SZTH5D3D-02-14、SZTH5D3D-02-15、SZTH5D3D-02-16、SZTH5D3D-03-03、SZTH5D3D-03-04、SZTH5D3D-03-05、SZTH5D3D-03-06、SZTH5D3D-03-07、SZTH5D3D-03-08、SZTH5D3D-03-09、SZTH5D3D-03-10、SZTH5D3D-03-11、SZTH5D3D-03-12、SZTH5D3D-03-13、SZTH5D3D-03-14、SZTH5D3D-04-02、SZTH5D3D-04-03、SZTH5D3D-04-04、SZTH5D3D-04-05、SZTH5D3D-04-06、SZTH5D3D-04-07、SZTH5D3D-04-08、SZTH5D3D-04-09、SZTH5D3D-04-10、SZTH5D3D-04-11、SZTH5D3D-04-12、SZTH5D3D-04-13、SZTH5D3D-04-14、SZTH5D3D-04-15、SZTH5D3D-05-03、SZTH5D3D-05-04、SZTH5D3D-05-05、SZTH5D3D-05-06、SZTH5D3D-05-07、SZTH5D3D-05-08、SZTH5D3D-05-09、SZTH5D3D-05-10、SZTH5D3D-05-11、SZTH5D3D-05-12、SZTH5D3D-05-13、SZTH5D3D-05-14、SZTH5D3D-05-15、SZTH5D3C-08-08</t>
  </si>
  <si>
    <t>SZTH5D2A-03-03、SZTH5D2A-03-04、SZTH5D2A-03-05、SZTH5D2A-03-06、SZTH5D2A-03-07、SZTH5D2A-03-08、SZTH5D2A-03-09、SZTH5D2A-03-10、SZTH5D2A-03-11、SZTH5D2A-03-12、SZTH5D2A-03-13、SZTH5D2A-03-14、SZTH5D2A-04-02、SZTH5D2A-04-03、SZTH5D2A-04-04、SZTH5D2A-04-05、SZTH5D2A-04-06、SZTH5D2A-04-07、SZTH5D2A-04-08、SZTH5D2A-04-09、SZTH5D2A-04-10、SZTH5D2A-04-11、SZTH5D2A-04-12、SZTH5D2A-04-13、SZTH5D2A-04-14、SZTH5D2A-04-15</t>
  </si>
  <si>
    <t>SZTH5D2A-02-14、SZTH5D2A-03-01、SZTH5D2A-05-09、SZTH5D2A-05-10、SZTH5D2A-05-11、SZTH5D2A-05-12、SZTH5D2A-05-13、SZTH5D2A-05-14、SZTH5D2A-05-15、SZTH5D2A-05-16</t>
  </si>
  <si>
    <t>SZTH5D2A-05-08</t>
  </si>
  <si>
    <t>SZTH5D3A-04-02、SZTH5D3A-04-03、SZTH5D3A-04-04、SZTH5D3A-04-05、SZTH5D3A-05-02、SZTH5D3A-05-03、SZTH5D3A-05-04、SZTH5D3A-05-05</t>
  </si>
  <si>
    <t>SZTH5D2A-05-02</t>
  </si>
  <si>
    <t>SZTH5D2A-05-07、SZTH5D3D-05-16、SZTH5D3D-06-03、SZTH5D3D-08-03、SZTH5D3D-08-04、SZTH5D3D-08-05、SZTH5D3D-08-06、SZTH5D3D-08-07、SZTH5D3D-08-08、SZTH5D3D-08-09、SZTH5D3D-08-10、SZTH5D3D-08-11、SZTH5D3D-08-12、SZTH5D3D-08-14</t>
  </si>
  <si>
    <t>SZTH5D2A-01-15、SZTH5D2A-02-01、SZTH5D2A-02-02、SZTH5D2A-02-03、SZTH5D2A-02-04、SZTH5D2A-02-05、SZTH5D2A-02-06、SZTH5D2A-02-07、SZTH5D2A-02-08、SZTH5D2A-02-09、SZTH5D2A-02-10、SZTH5D2A-02-11、SZTH5D2A-02-12、SZTH5D2A-02-13、SZTH5D2A-02-15、SZTH5D2A-05-01、SZTH5D2A-05-03、SZTH5D2A-05-04、SZTH5D2A-05-05、SZTH5D2A-05-06、SZTH5D2A-06-01、SZTH5D2A-06-02、SZTH5D2A-06-03、SZTH5D2A-06-04、SZTH5D2A-06-05、SZTH5D2A-06-06、SZTH5D2A-06-07、SZTH5D2A-06-08、SZTH5D2A-06-09、SZTH5D2A-06-10、SZTH5D2A-06-11、SZTH5D2A-06-12、SZTH5D2A-06-13、SZTH5D2A-07-01、SZTH5D2A-07-02、SZTH5D2A-07-03、SZTH5D2A-07-04、SZTH5D2A-07-05、SZTH5D2A-07-06、SZTH5D2A-07-07、SZTH5D2A-07-08、SZTH5D2A-07-09、SZTH5D2A-07-10、SZTH5D2A-07-11、SZTH5D2A-07-12、SZTH5D2A-07-13、SZTH5D2A-07-14、SZTH5D2A-07-15、SZTH5D2A-07-16、SZTH5D2A-07-17、SZTH5D3D-06-02、SZTH5D3D-06-04、SZTH5D3D-06-05、SZTH5D3D-06-06、SZTH5D3D-06-07、SZTH5D3D-06-08、SZTH5D3D-06-09、SZTH5D3D-06-10、SZTH5D3D-06-11、SZTH5D3D-06-12、SZTH5D3D-06-13、SZTH5D3D-06-14、SZTH5D3D-07-01、SZTH5D3D-07-02、SZTH5D3D-07-03、SZTH5D3D-07-04、SZTH5D3D-07-05、SZTH5D3D-07-06、SZTH5D3D-07-07、SZTH5D3D-07-08、SZTH5D3D-07-09、SZTH5D3D-07-10、SZTH5D3D-07-11、SZTH5D3D-07-12、SZTH5D3D-07-13、SZTH5D3D-07-14、SZTH5D3D-07-15、SZTH5D3D-07-16</t>
  </si>
  <si>
    <t>SZTH5D3D-08-15、SZTH5D3D-08-16、SZTH5D3D-09-01、SZTH5D3D-09-02、SZTH5D3D-09-03</t>
  </si>
  <si>
    <t>SZTH5D3D-08-13</t>
  </si>
  <si>
    <t>SZTH5D2A-03-15、SZTH5D2A-05-17、SZTH5D3A-03-01、SZTH5D3A-03-11、SZTH5D3A-05-01、SZTH5D3A-05-12、SZTH5D3A-07-01、SZTH5D3A-07-12、SZTH5D3B-04-01、SZTH5D3B-06-01、SZTH5D3C-04-01、SZTH5D3C-06-01、SZTH5D3D-04-01、SZTH5D3D-06-01</t>
  </si>
  <si>
    <t>SZTH5D3D-09-04、SZTH5D3D-09-05、SZTH5D3D-09-06、SZTH5D3D-09-07、SZTH5D3D-09-08、SZTH5D3D-09-09、SZTH5D3D-09-10、SZTH5D3D-09-11、SZTH5D3D-09-12、SZTH5D3D-09-13、SZTH5D3D-09-14、SZTH5D3D-09-15、SZTH5D3D-09-16</t>
  </si>
  <si>
    <t>202310 太湖机房五期（SZTH5D）超电流，暂按400A计提</t>
    <phoneticPr fontId="3" type="noConversion"/>
  </si>
  <si>
    <t>ZYT202309250039</t>
  </si>
  <si>
    <t>182215IDC00688</t>
  </si>
  <si>
    <t>太湖机房六期6.1（SZTH5D4A、4B）</t>
  </si>
  <si>
    <t>SZTH5D4A-08-01、SZTH5D4B-08-20</t>
  </si>
  <si>
    <t>SZTH5D4A-06-08、SZTH5D4A-06-09、SZTH5D4A-06-10、SZTH5D4A-06-11、SZTH5D4A-06-12、SZTH5D4A-06-13、SZTH5D4A-06-14、SZTH5D4A-06-15、SZTH5D4A-06-16、SZTH5D4A-07-01、SZTH5D4A-07-02、SZTH5D4A-07-03、SZTH5D4A-07-04、SZTH5D4A-07-05、SZTH5D4A-07-06、SZTH5D4A-07-07、SZTH5D4A-07-08、SZTH5D4A-07-09、SZTH5D4A-07-10、SZTH5D4A-07-11、SZTH5D4A-07-12、SZTH5D4A-07-13、SZTH5D4A-07-14、SZTH5D4A-07-15、SZTH5D4A-07-16、SZTH5D4A-07-17、SZTH5D4A-07-18、SZTH5D4A-07-19、SZTH5D4A-08-05、SZTH5D4A-08-06、SZTH5D4A-08-07、SZTH5D4A-08-08、SZTH5D4A-08-09、SZTH5D4A-08-10、SZTH5D4A-08-11、SZTH5D4A-08-12、SZTH5D4A-08-13、SZTH5D4A-08-14、SZTH5D4A-08-15、SZTH5D4A-08-16、SZTH5D4A-08-17、SZTH5D4A-08-18、SZTH5D4A-08-19、SZTH5D4A-08-20、SZTH5D4B-07-13、SZTH5D4B-07-14、SZTH5D4B-07-15、SZTH5D4B-07-16、SZTH5D4B-07-17、SZTH5D4B-07-18、SZTH5D4B-07-19、SZTH5D4B-07-20、SZTH5D4B-08-03、SZTH5D4B-08-04、SZTH5D4B-08-05、SZTH5D4B-08-06、SZTH5D4B-08-07、SZTH5D4B-08-08、SZTH5D4B-08-09、SZTH5D4B-08-10、SZTH5D4B-08-11、SZTH5D4B-08-12、SZTH5D4B-08-13、SZTH5D4B-08-14、SZTH5D4B-08-15、SZTH5D4B-08-16、SZTH5D4B-08-17、SZTH5D4B-08-18、SZTH5D4B-08-19、SZTH5D4A-01-01、SZTH5D4A-01-02、SZTH5D4A-01-03、SZTH5D4A-01-04、SZTH5D4A-01-05、SZTH5D4A-01-06、SZTH5D4A-01-07、SZTH5D4A-01-08、SZTH5D4A-01-09、SZTH5D4A-01-10、SZTH5D4A-01-11、SZTH5D4A-01-12、SZTH5D4A-01-13、SZTH5D4A-01-14、SZTH5D4A-01-15、SZTH5D4A-01-16、SZTH5D4A-01-17、SZTH5D4A-01-18、SZTH5D4A-01-19、SZTH5D4A-01-20、SZTH5D4A-02-01、SZTH5D4A-02-02、SZTH5D4A-02-03、SZTH5D4A-02-04、SZTH5D4A-02-05、SZTH5D4A-02-06、SZTH5D4A-02-07、SZTH5D4A-02-08、SZTH5D4A-02-09、SZTH5D4A-02-10、SZTH5D4A-02-11、SZTH5D4A-02-12、SZTH5D4A-02-13、SZTH5D4A-02-14、SZTH5D4A-02-15、SZTH5D4A-02-16、SZTH5D4A-02-17、SZTH5D4A-02-18、SZTH5D4A-03-01、SZTH5D4A-03-02、SZTH5D4A-03-03、SZTH5D4A-03-04、SZTH5D4A-03-05、SZTH5D4A-03-06、SZTH5D4A-03-07、SZTH5D4A-03-08、SZTH5D4A-03-09、SZTH5D4A-03-10、SZTH5D4A-03-11、SZTH5D4A-03-12、SZTH5D4A-03-13、SZTH5D4A-03-14、SZTH5D4A-03-15、SZTH5D4A-03-16、SZTH5D4A-03-17、SZTH5D4A-04-01、SZTH5D4A-04-02、SZTH5D4A-04-03、SZTH5D4A-04-04、SZTH5D4A-04-05、SZTH5D4A-04-06、SZTH5D4A-04-07、SZTH5D4A-04-08、SZTH5D4A-04-09、SZTH5D4A-04-10、SZTH5D4A-04-11、SZTH5D4A-04-12、SZTH5D4A-04-13、SZTH5D4A-04-14、SZTH5D4A-04-15、SZTH5D4A-04-16、SZTH5D4A-04-17、SZTH5D4A-04-18、SZTH5D4A-04-19、SZTH5D4A-04-20、SZTH5D4A-05-01、SZTH5D4A-05-02、SZTH5D4A-05-03、SZTH5D4A-05-04、SZTH5D4A-05-05、SZTH5D4A-05-06、SZTH5D4A-05-07、SZTH5D4A-05-08、SZTH5D4A-05-09、SZTH5D4A-05-10、SZTH5D4A-05-11、SZTH5D4A-05-12、SZTH5D4A-05-13、SZTH5D4A-05-14、SZTH5D4A-05-15、SZTH5D4A-05-16、SZTH5D4A-05-17、SZTH5D4A-05-18、SZTH5D4A-05-19、SZTH5D4A-05-20、SZTH5D4A-06-01、SZTH5D4A-06-02、SZTH5D4A-06-03、SZTH5D4A-06-04、SZTH5D4A-06-05、SZTH5D4A-06-06、SZTH5D4A-06-07、SZTH5D4A-06-17、SZTH5D4A-06-18、SZTH5D4B-01-01、SZTH5D4B-01-02、SZTH5D4B-01-03、SZTH5D4B-01-04、SZTH5D4B-01-05、SZTH5D4B-01-06、SZTH5D4B-01-07、SZTH5D4B-01-08、SZTH5D4B-01-09、SZTH5D4B-01-10、SZTH5D4B-01-11、SZTH5D4B-01-12、SZTH5D4B-01-13、SZTH5D4B-01-14、SZTH5D4B-01-15、SZTH5D4B-01-16、SZTH5D4B-01-17、SZTH5D4B-01-18、SZTH5D4B-01-19、SZTH5D4B-01-20、SZTH5D4B-02-01、SZTH5D4B-02-02、SZTH5D4B-02-03、SZTH5D4B-02-04、SZTH5D4B-02-05、SZTH5D4B-02-06、SZTH5D4B-02-07、SZTH5D4B-02-08、SZTH5D4B-02-09、SZTH5D4B-02-10、SZTH5D4B-02-11、SZTH5D4B-02-12、SZTH5D4B-02-13、SZTH5D4B-02-14、SZTH5D4B-02-15、SZTH5D4B-02-16、SZTH5D4B-02-17、SZTH5D4B-02-18、SZTH5D4B-03-02、SZTH5D4B-03-03、SZTH5D4B-03-04、SZTH5D4B-03-05、SZTH5D4B-03-06、SZTH5D4B-03-07、SZTH5D4B-03-08、SZTH5D4B-03-09、SZTH5D4B-03-10、SZTH5D4B-03-11、SZTH5D4B-03-12、SZTH5D4B-03-13、SZTH5D4B-03-14、SZTH5D4B-03-15、SZTH5D4B-03-16、SZTH5D4B-03-17、SZTH5D4B-03-18、SZTH5D4B-04-01、SZTH5D4B-04-02、SZTH5D4B-04-03、SZTH5D4B-04-04、SZTH5D4B-04-05、SZTH5D4B-04-06、SZTH5D4B-04-07、SZTH5D4B-04-08、SZTH5D4B-04-09、SZTH5D4B-04-10、SZTH5D4B-04-11、SZTH5D4B-04-12、SZTH5D4B-04-13、SZTH5D4B-04-14、SZTH5D4B-04-15、SZTH5D4B-04-16、SZTH5D4B-04-17、SZTH5D4B-04-18、SZTH5D4B-04-19、SZTH5D4B-04-20、SZTH5D4B-05-01、SZTH5D4B-05-02、SZTH5D4B-05-03、SZTH5D4B-05-04、SZTH5D4B-05-05、SZTH5D4B-05-06、SZTH5D4B-05-07、SZTH5D4B-05-08、SZTH5D4B-05-09、SZTH5D4B-05-10、SZTH5D4B-05-11、SZTH5D4B-05-12、SZTH5D4B-05-13、SZTH5D4B-05-14、SZTH5D4B-05-15、SZTH5D4B-05-16、SZTH5D4B-05-17、SZTH5D4B-05-18、SZTH5D4B-05-19、SZTH5D4B-06-01、SZTH5D4B-06-02、SZTH5D4B-08-01、SZTH5D4B-08-02、SZTH5D4B-05-20、SZTH5D4B-06-03、SZTH5D4B-06-04、SZTH5D4B-06-05、SZTH5D4B-06-06、SZTH5D4B-06-07、SZTH5D4B-06-08、SZTH5D4B-06-09、SZTH5D4B-06-10、SZTH5D4B-06-11、SZTH5D4B-06-12、SZTH5D4B-06-13、SZTH5D4B-06-14、SZTH5D4B-06-15、SZTH5D4B-06-16、SZTH5D4B-06-17、SZTH5D4B-06-18、SZTH5D4B-07-02、SZTH5D4B-07-03、SZTH5D4B-07-04、SZTH5D4B-07-05、SZTH5D4B-07-06、SZTH5D4B-07-07、SZTH5D4B-07-08、SZTH5D4B-07-09、SZTH5D4B-07-10、SZTH5D4B-07-11、SZTH5D4B-07-12</t>
  </si>
  <si>
    <t>SZTH5D4A-08-02、SZTH5D4A-08-03、SZTH5D4A-08-04</t>
  </si>
  <si>
    <t>SZTH5D4A-08-02</t>
  </si>
  <si>
    <t>太湖机房六期6.2（SZTH5D4C、4D、5A）</t>
  </si>
  <si>
    <t>SZTH5D4D-08-20</t>
  </si>
  <si>
    <t>SZTH5D4C-01-01、SZTH5D4C-01-02、SZTH5D4C-01-03、SZTH5D4C-01-04、SZTH5D4C-01-05、SZTH5D4C-01-06、SZTH5D4C-01-07、SZTH5D4C-01-08、SZTH5D4C-01-09、SZTH5D4C-01-10、SZTH5D4C-01-11、SZTH5D4C-01-12、SZTH5D4C-01-13、SZTH5D4C-01-14、SZTH5D4C-01-15、SZTH5D4C-01-16、SZTH5D4C-01-17、SZTH5D4C-01-18、SZTH5D4C-01-19、SZTH5D4C-01-20、SZTH5D4C-02-01、SZTH5D4C-02-02、SZTH5D4C-02-03、SZTH5D4C-02-04、SZTH5D4C-02-05、SZTH5D4C-02-06、SZTH5D4C-02-07、SZTH5D4C-02-08、SZTH5D4C-02-09、SZTH5D4C-02-10、SZTH5D4C-02-11、SZTH5D4C-02-12、SZTH5D4C-02-13、SZTH5D4C-02-14、SZTH5D4C-02-15、SZTH5D4C-02-16、SZTH5D4C-02-17、SZTH5D4C-02-18、SZTH5D4C-03-02、SZTH5D4C-03-03、SZTH5D4C-03-04、SZTH5D4C-03-05、SZTH5D4C-03-06、SZTH5D4C-03-07、SZTH5D4C-03-08、SZTH5D4C-03-09、SZTH5D4C-03-10、SZTH5D4C-03-11、SZTH5D4C-03-12、SZTH5D4C-03-13、SZTH5D4C-03-14、SZTH5D4C-03-15、SZTH5D4C-03-16、SZTH5D4C-03-17、SZTH5D4C-03-18、SZTH5D4C-04-01、SZTH5D4C-04-02、SZTH5D4C-04-03、SZTH5D4C-04-04、SZTH5D4C-04-05、SZTH5D4C-04-06、SZTH5D4C-04-07、SZTH5D4C-04-08、SZTH5D4C-04-09、SZTH5D4C-04-10、SZTH5D4C-04-11、SZTH5D4C-04-12、SZTH5D4C-04-13、SZTH5D4C-04-14、SZTH5D4C-04-15、SZTH5D4C-04-16、SZTH5D4C-04-17、SZTH5D4C-05-01、SZTH5D4C-05-02、SZTH5D4C-08-01、SZTH5D4C-08-02、SZTH5D4D-02-01、SZTH5D4D-02-02、SZTH5D4D-05-01、SZTH5D4D-05-02、SZTH5D4D-08-01、SZTH5D4D-08-02、SZTH5D5A-02-01、SZTH5D5A-02-17、SZTH5D5A-02-18、SZTH5D5A-05-19、SZTH5D5A-05-20</t>
  </si>
  <si>
    <t>2023.2 SYS更新电流为20A：SZTH5D4C-08-20</t>
  </si>
  <si>
    <t>SZTH5D4C-04-18、SZTH5D4C-04-19、SZTH5D4C-04-20、SZTH5D4C-05-03、SZTH5D4C-05-04、SZTH5D4C-05-05、SZTH5D4C-05-06、SZTH5D4C-05-07、SZTH5D4C-05-08、SZTH5D4C-05-09、SZTH5D4C-05-10、SZTH5D4C-05-11、SZTH5D4C-05-12、SZTH5D4C-05-13</t>
  </si>
  <si>
    <t>SZTH5D4C-05-14、SZTH5D4C-05-15、SZTH5D4C-05-16、SZTH5D4C-05-17、SZTH5D4C-05-18、SZTH5D4C-05-19</t>
  </si>
  <si>
    <t>SZTH5D4C-05-20、SZTH5D4C-06-01、SZTH5D4C-06-02、SZTH5D4C-06-03、SZTH5D4C-06-04、SZTH5D4C-06-05、SZTH5D4C-06-06、SZTH5D4C-06-07、SZTH5D4C-06-08、SZTH5D4C-06-09、SZTH5D4C-06-10、SZTH5D4C-06-11</t>
  </si>
  <si>
    <t>SZTH5D4C-06-12、SZTH5D4C-06-13、SZTH5D4C-06-14、SZTH5D4C-06-15、SZTH5D4C-06-16、SZTH5D4C-06-17、SZTH5D4C-06-18、SZTH5D4C-07-02、SZTH5D4C-07-03</t>
  </si>
  <si>
    <t>SZTH5D4C-07-04、SZTH5D4C-07-05、SZTH5D4C-07-06、SZTH5D4C-07-07、SZTH5D4C-07-08、SZTH5D4C-07-09、SZTH5D4C-07-10、SZTH5D4C-07-11、SZTH5D4C-07-12、SZTH5D4C-07-13、SZTH5D4C-07-14、SZTH5D4C-07-15、SZTH5D4C-07-16、SZTH5D4C-07-17、SZTH5D4C-07-18、SZTH5D4C-07-19、SZTH5D4C-07-20、SZTH5D4C-08-04</t>
  </si>
  <si>
    <t>SZTH5D4C-08-03、SZTH5D4C-08-05、SZTH5D4C-08-06、SZTH5D4C-08-07、SZTH5D4C-08-08、SZTH5D4C-08-09、SZTH5D4C-08-10、SZTH5D4C-08-11、SZTH5D4C-08-12、SZTH5D4C-08-13、SZTH5D4C-08-14</t>
  </si>
  <si>
    <t>SZTH5D5A-01-17、SZTH5D5A-01-18、SZTH5D5A-01-19、SZTH5D5A-01-20</t>
  </si>
  <si>
    <t>SZTH5D4C-08-15、SZTH5D4C-08-16、SZTH5D4C-08-17、SZTH5D4C-08-18、SZTH5D4C-08-19、SZTH5D4D-01-01、SZTH5D4D-01-02、SZTH5D4D-01-03、SZTH5D4D-01-04、SZTH5D4D-01-05、SZTH5D4D-01-06、SZTH5D4D-01-07、SZTH5D4D-01-08、SZTH5D4D-01-09、SZTH5D4D-01-10、SZTH5D4D-01-11、SZTH5D4D-01-12、SZTH5D4D-01-13、SZTH5D4D-01-14、SZTH5D4D-01-15、SZTH5D4D-01-16、SZTH5D4D-01-17、SZTH5D4D-01-18、SZTH5D4D-01-19、SZTH5D4D-01-20、SZTH5D4D-02-03、SZTH5D4D-02-04、SZTH5D4D-02-05、SZTH5D4D-02-06、SZTH5D4D-02-07</t>
  </si>
  <si>
    <t>SZTH5D4D-02-08、SZTH5D4D-02-09、SZTH5D4D-02-10</t>
  </si>
  <si>
    <t>SZTH5D4D-02-11、SZTH5D4D-02-12、SZTH5D4D-02-13、SZTH5D4D-02-14、SZTH5D4D-02-15</t>
  </si>
  <si>
    <t>SZTH5D5A-01-13、SZTH5D5A-01-14、SZTH5D5A-01-15、SZTH5D5A-01-16</t>
  </si>
  <si>
    <t>SZTH5D4D-03-02、SZTH5D4D-03-03、SZTH5D4D-03-04、SZTH5D4D-03-05、SZTH5D4D-03-06、SZTH5D4D-03-07、SZTH5D4D-03-08、SZTH5D4D-03-09、SZTH5D4D-03-10、SZTH5D4D-03-11、SZTH5D4D-03-12、SZTH5D4D-03-13、SZTH5D4D-03-14</t>
  </si>
  <si>
    <t>SZTH5D4D-02-16、SZTH5D4D-02-17、SZTH5D4D-02-18、SZTH5D4D-03-15、SZTH5D4D-03-16、SZTH5D4D-03-17、SZTH5D4D-03-18、SZTH5D4D-04-01、SZTH5D4D-04-02、SZTH5D4D-04-03、SZTH5D4D-04-04、SZTH5D4D-04-05、SZTH5D4D-04-06</t>
  </si>
  <si>
    <t>SZTH5D5A-01-01、SZTH5D5A-01-02、SZTH5D5A-01-03、SZTH5D5A-01-04、SZTH5D5A-01-05、SZTH5D5A-01-06、SZTH5D5A-01-07、SZTH5D5A-01-08、SZTH5D5A-01-09、SZTH5D5A-01-10、SZTH5D5A-01-11、SZTH5D5A-01-12、SZTH5D5A-02-02、SZTH5D5A-02-03、SZTH5D5A-02-04、SZTH5D5A-02-05、SZTH5D5A-02-06</t>
  </si>
  <si>
    <t>SZTH5D5A-02-08、SZTH5D5A-02-09、SZTH5D5A-02-10、SZTH5D5A-02-11、SZTH5D5A-02-12</t>
  </si>
  <si>
    <t>SZTH5D4D-02-08</t>
  </si>
  <si>
    <t>太湖机房六期6.2（SZTH5D4C、4D、5A）</t>
    <phoneticPr fontId="3" type="noConversion"/>
  </si>
  <si>
    <t>SZTH5D5A-01-13</t>
  </si>
  <si>
    <t>每使用20个40A机柜送1个，可送27个机柜</t>
  </si>
  <si>
    <t>FYT202309250004</t>
  </si>
  <si>
    <t>太湖机房六期</t>
  </si>
  <si>
    <t>202310 太湖机房六期超电流，暂按650A计提</t>
    <phoneticPr fontId="3" type="noConversion"/>
  </si>
  <si>
    <t>ZYT202309250040</t>
  </si>
  <si>
    <t>182215IDC00689</t>
  </si>
  <si>
    <t>吉山机房四期(NJJS 5D401 501 502 503 504)</t>
  </si>
  <si>
    <t>NJJS5D504-D-15、NJJS5D503-A-07、NJJS5D503-A-08、NJJS5D503-A-09、NJJS5D503-A-10、NJJS5D503-A-11、NJJS5D503-B-07、NJJS5D503-B-08、NJJS5D503-B-09、NJJS5D503-C-09、NJJS5D503-D-07、NJJS5D503-D-08、NJJS5D503-D-09、NJJS5D503-E-01、NJJS5D503-E-02、NJJS5D503-E-03、NJJS5D503-E-06、NJJS5D503-E-09</t>
  </si>
  <si>
    <t>NJJS5D504-A-01、NJJS5D504-A-04、NJJS5D504-A-07、NJJS5D504-A-10、NJJS5D504-A-13、NJJS5D504-B-03、NJJS5D504-B-06、NJJS5D504-B-09、NJJS5D504-B-12、NJJS5D504-C-02、NJJS5D504-C-05、NJJS5D504-C-08、NJJS5D504-C-11、NJJS5D504-C-14、NJJS5D504-D-03、NJJS5D504-D-06、NJJS5D504-D-09、NJJS5D504-D-12、NJJS5D504-E-03、NJJS5D504-E-06、NJJS5D504-E-09、NJJS5D504-E-12、NJJS5D504-E-15、NJJS5D504-E-18、NJJS5D504-F-01、NJJS5D504-F-02、NJJS5D504-F-04、NJJS5D504-F-07、NJJS5D504-F-10、NJJS5D504-F-13、NJJS5D504-F-16、NJJS5D504-G-03、NJJS5D504-G-06、NJJS5D504-G-09、NJJS5D504-G-12、NJJS5D504-G-15、NJJS5D504-G-18、NJJS5D504-H-01、NJJS5D504-H-04、NJJS5D504-H-07、NJJS5D504-H-10、NJJS5D504-H-13</t>
  </si>
  <si>
    <t>54.5A</t>
  </si>
  <si>
    <t>NJJS5D503-C-01、NJJS5D503-C-02、NJJS5D503-C-03、NJJS5D503-C-04、NJJS5D503-C-05、NJJS5D503-C-06、NJJS5D503-D-01、NJJS5D503-D-02、NJJS5D503-D-03、NJJS5D503-D-04、NJJS5D503-D-05、NJJS5D503-D-06</t>
  </si>
  <si>
    <t>NJJS5D503-A-02、NJJS5D503-A-04、NJJS5D503-A-06、NJJS5D503-B-01、NJJS5D503-B-03、NJJS5D503-B-05</t>
  </si>
  <si>
    <t>NJJS5D503-C-07、NJJS5D503-C-08、NJJS5D503-C-10、NJJS5D503-E-04、NJJS5D503-E-05、NJJS5D503-E-07</t>
  </si>
  <si>
    <t>NJJS5D504-H-02、NJJS5D504-H-03</t>
  </si>
  <si>
    <t>NJJS5D504-A-02、NJJS5D504-A-03、NJJS5D504-A-05、NJJS5D504-A-06、NJJS5D504-A-08、NJJS5D504-A-09</t>
  </si>
  <si>
    <t>NJJS5D504-A-11、NJJS5D504-A-12、NJJS5D504-A-14、NJJS5D504-B-01</t>
  </si>
  <si>
    <t>NJJS5D504-B-02、NJJS5D504-B-04、NJJS5D504-B-05</t>
  </si>
  <si>
    <t>NJJS5D504-C-01、NJJS5D504-C-03、NJJS5D504-C-04、NJJS5D504-C-06、NJJS5D504-C-07、NJJS5D504-C-09、NJJS5D504-C-10、NJJS5D504-C-12</t>
  </si>
  <si>
    <t>NJJS5D504-D-02、NJJS5D504-D-04、NJJS5D504-D-05、NJJS5D504-D-07、NJJS5D504-D-08、NJJS5D504-D-10、NJJS5D504-D-11、NJJS5D504-D-13、NJJS5D504-D-14</t>
  </si>
  <si>
    <t>NJJS5D504-B-10、NJJS5D504-B-11、NJJS5D504-B-13、NJJS5D504-B-14</t>
  </si>
  <si>
    <t>NJJS5D504-B-07、NJJS5D504-B-08、NJJS5D504-C-13、NJJS5D504-E-02、NJJS5D504-E-04、NJJS5D504-E-05、NJJS5D504-E-07、NJJS5D504-E-08、NJJS5D504-E-10、NJJS5D504-E-11、NJJS5D504-E-13、NJJS5D504-E-14、NJJS5D504-E-16、NJJS5D504-E-17、NJJS5D504-F-03</t>
  </si>
  <si>
    <t>NJJS5D504-F-05、NJJS5D504-F-06、NJJS5D504-F-08、NJJS5D504-F-09、NJJS5D504-F-11、NJJS5D504-F-12、NJJS5D504-F-14、NJJS5D504-F-15、NJJS5D504-F-17、NJJS5D504-F-18、NJJS5D504-G-01、NJJS5D504-G-02、NJJS5D504-G-04、NJJS5D504-G-05、NJJS5D504-G-07、NJJS5D504-G-08、NJJS5D504-G-10、NJJS5D504-G-11</t>
    <phoneticPr fontId="3" type="noConversion"/>
  </si>
  <si>
    <t>NJJS5D504-G-13、NJJS5D504-G-14、NJJS5D504-G-16、NJJS5D504-G-17、NJJS5D504-H-05、NJJS5D504-H-06、NJJS5D504-H-08、NJJS5D504-H-09、NJJS5D504-H-11、NJJS5D504-H-12、NJJS5D504-H-14</t>
  </si>
  <si>
    <t>NJJS5D503-A-11、NJJS5D503-B-07、NJJS5D503-C-07、NJJS5D503-C-08、NJJS5D503-C-09、NJJS5D503-D-08、NJJS5D503-E-04、NJJS5D503-E-05、NJJS5D503-E-06</t>
    <phoneticPr fontId="3" type="noConversion"/>
  </si>
  <si>
    <t>NJJS5D503-D-01、NJJS5D503-D-03、NJJS5D503-D-06</t>
  </si>
  <si>
    <t>NJJS5D503-C-11、NJJS5D503-E-08</t>
  </si>
  <si>
    <t>NJJS5D502-E-18</t>
  </si>
  <si>
    <t>NJJS5D502-B-01、NJJS5D502-B-02、NJJS5D501-A-01、NJJS5D501-A-02</t>
  </si>
  <si>
    <t>NJJS5D502-A-01、NJJS5D502-A-02、NJJS5D502-A-03、NJJS5D502-A-04、NJJS5D502-A-05、NJJS5D502-A-06、NJJS5D502-A-07、NJJS5D502-A-08、NJJS5D502-A-09、NJJS5D502-A-10、NJJS5D502-A-11、NJJS5D502-A-12、NJJS5D502-A-13、NJJS5D502-A-14、NJJS5D502-A-15、NJJS5D502-A-16、NJJS5D502-A-17</t>
  </si>
  <si>
    <t>NJJS5D502-B-03、NJJS5D502-B-04、NJJS5D502-B-05、NJJS5D502-B-06、NJJS5D502-B-07、NJJS5D502-B-08</t>
  </si>
  <si>
    <t>NJJS5D502-B-10、NJJS5D502-B-11</t>
  </si>
  <si>
    <t>NJJS5D502-B-12、NJJS5D502-B-13、NJJS5D502-B-14</t>
  </si>
  <si>
    <t>NJJS5D502-C-01、NJJS5D502-C-02、NJJS5D502-C-03、NJJS5D502-C-04、NJJS5D502-C-05、NJJS5D502-C-06、NJJS5D502-C-07、NJJS5D502-C-08</t>
  </si>
  <si>
    <t>NJJS5D502-A-18、NJJS5D502-B-09</t>
  </si>
  <si>
    <t>NJJS5D502-B-16、NJJS5D502-B-17、NJJS5D502-B-18、NJJS5D502-C-11</t>
  </si>
  <si>
    <t>NJJS5D502-B-15、NJJS5D502-C-09、NJJS5D502-C-10、NJJS5D502-C-12、NJJS5D502-C-13、NJJS5D502-C-14、NJJS5D502-C-15、NJJS5D502-C-17、NJJS5D502-D-02、NJJS5D502-D-03、NJJS5D502-D-04、NJJS5D502-D-05、NJJS5D502-D-06</t>
  </si>
  <si>
    <t>NJJS5D401-A-01、NJJS5D401-A-02、NJJS5D401-A-03、NJJS5D401-A-04、NJJS5D401-A-06</t>
  </si>
  <si>
    <t>2023.8SYS更新开通时间，拆分计提行：NJJS5D502-E-01、NJJS5D502-E-02、NJJS5D502-E-03、NJJS5D502-E-04</t>
    <phoneticPr fontId="3" type="noConversion"/>
  </si>
  <si>
    <t>2023.8SYS更新开通时间，拆分计提行：NJJS5D502-E-05、NJJS5D502-E-06、NJJS5D502-E-07、NJJS5D502-E-08、NJJS5D502-E-09、NJJS5D502-E-10、NJJS5D502-E-11、NJJS5D502-E-12、NJJS5D502-E-13、NJJS5D502-E-14、NJJS5D502-E-15、NJJS5D502-E-16、NJJS5D502-E-17、NJJS5D502-F-02、NJJS5D502-F-03、NJJS5D502-F-04、NJJS5D502-F-05、NJJS5D502-F-06、NJJS5D502-F-07、NJJS5D502-F-08、NJJS5D502-F-09、NJJS5D502-F-10、NJJS5D502-F-11、NJJS5D502-F-12、NJJS5D502-F-13、NJJS5D502-F-14、NJJS5D502-F-15、NJJS5D502-F-16、NJJS5D502-F-17、NJJS5D502-F-18、NJJS5D401-A-05</t>
    <phoneticPr fontId="3" type="noConversion"/>
  </si>
  <si>
    <t>2023.8SYS更新开通时间，拆分计提行：NJJS5D502-D-08、NJJS5D502-D-09、NJJS5D502-D-10、NJJS5D502-D-11、NJJS5D502-D-12、NJJS5D502-D-13、NJJS5D502-D-14、NJJS5D502-D-15</t>
    <phoneticPr fontId="3" type="noConversion"/>
  </si>
  <si>
    <t>2023.8SYS更新开通时间，拆分计提行：NJJS5D502-C-16、NJJS5D502-C-18、NJJS5D502-D-07、NJJS5D502-G-01、NJJS5D502-G-02、NJJS5D502-G-03、NJJS5D502-G-04、NJJS5D502-G-05、NJJS5D502-G-06、NJJS5D502-G-07、NJJS5D502-G-08、NJJS5D502-G-09、NJJS5D502-G-10、NJJS5D502-G-11、NJJS5D502-G-12、NJJS5D502-G-13、NJJS5D502-G-14、NJJS5D502-G-15、NJJS5D401-A-07、NJJS5D401-A-08、NJJS5D401-A-09、NJJS5D401-A-10、NJJS5D401-A-11、NJJS5D401-A-12、NJJS5D401-A-13、NJJS5D401-A-14、NJJS5D401-A-15、NJJS5D401-A-16、NJJS5D401-A-17、NJJS5D401-A-18、NJJS5D401-B-01、NJJS5D401-B-02、NJJS5D401-B-03、NJJS5D401-B-04、NJJS5D401-B-05、NJJS5D401-B-06、NJJS5D401-B-07、NJJS5D401-B-08、NJJS5D401-B-09、NJJS5D401-B-11</t>
    <phoneticPr fontId="3" type="noConversion"/>
  </si>
  <si>
    <t>NJJS5D401-B-10</t>
  </si>
  <si>
    <t>NJJS5D502-H-08</t>
  </si>
  <si>
    <t>2023.6调整机柜分期和关联的合同号，NJJS5D401-G-14上月计提在182115IDC00124中，本月挪至182215IDC00689。NJJS5D401-G-14</t>
  </si>
  <si>
    <t>2023.6调整机柜分期和关联的合同号和单价，上月计提在182115IDC00124中，本月挪至182215IDC00689。NJJS5D401-C-01、NJJS5D401-C-02</t>
  </si>
  <si>
    <t>NJJS5D401-B-12、NJJS5D401-B-13、NJJS5D401-B-14、NJJS5D401-B-15、NJJS5D401-B-16、NJJS5D401-B-17、NJJS5D401-B-18、NJJS5D401-C-03、NJJS5D401-C-04、NJJS5D401-C-05、NJJS5D401-C-06、NJJS5D401-C-07、NJJS5D401-C-08、NJJS5D401-C-09、NJJS5D401-C-10、NJJS5D401-C-11、NJJS5D401-C-12、NJJS5D401-C-13、NJJS5D401-C-14、NJJS5D401-C-15、NJJS5D401-C-16、NJJS5D401-C-17、NJJS5D401-C-18、NJJS5D401-D-03、NJJS5D401-D-04、NJJS5D401-D-05、NJJS5D401-D-06、NJJS5D401-D-07、NJJS5D401-D-08、NJJS5D401-D-09</t>
  </si>
  <si>
    <t>NJJS5D502-H-01、NJJS5D502-H-02、NJJS5D502-H-03、NJJS5D502-H-04、NJJS5D502-H-05、NJJS5D502-H-06、NJJS5D502-H-07、NJJS5D502-H-09、NJJS5D502-H-10、NJJS5D502-H-11、NJJS5D502-H-12、NJJS5D502-H-13、NJJS5D502-H-14、NJJS5D502-I-01、NJJS5D502-I-02、NJJS5D502-I-03、NJJS5D502-I-04、NJJS5D502-I-05、NJJS5D502-I-06、NJJS5D502-I-07、NJJS5D502-I-08、NJJS5D502-I-09、NJJS5D502-I-10、NJJS5D502-I-11、NJJS5D502-I-12、NJJS5D502-I-13、NJJS5D502-I-14、NJJS5D502-I-15、NJJS5D502-I-16、NJJS5D502-I-17、NJJS5D502-I-18、NJJS5D401-E-02、NJJS5D401-E-03、NJJS5D401-E-04、NJJS5D401-E-05、NJJS5D401-E-06、NJJS5D401-E-07、NJJS5D401-E-08、NJJS5D401-E-09、NJJS5D401-E-10、NJJS5D401-E-11、NJJS5D401-E-12、NJJS5D401-E-13、NJJS5D401-E-14、NJJS5D401-E-15、NJJS5D401-G-01、NJJS5D401-G-02、NJJS5D401-G-03、NJJS5D401-G-04、NJJS5D401-G-05、NJJS5D401-G-06、NJJS5D401-G-07、NJJS5D401-G-08、NJJS5D401-G-09、NJJS5D401-G-10、NJJS5D401-G-11</t>
  </si>
  <si>
    <t>NJJS5D401-D-02、NJJS5D401-D-10、NJJS5D401-D-11、NJJS5D401-D-12、NJJS5D401-D-13、NJJS5D401-F-03、NJJS5D401-F-04、NJJS5D401-F-05、NJJS5D401-F-06、NJJS5D401-F-07、NJJS5D401-F-08、NJJS5D401-F-09、NJJS5D401-F-10、NJJS5D401-F-11、NJJS5D401-F-12、NJJS5D401-F-13、NJJS5D401-F-14、NJJS5D401-F-15、NJJS5D401-G-12</t>
  </si>
  <si>
    <t>NJJS5D502-G-16、NJJS5D502-G-17、NJJS5D502-G-18、NJJS5D502-H-15</t>
  </si>
  <si>
    <t>NJJS5D401-F-16、NJJS5D401-F-17、NJJS5D401-F-18、NJJS5D401-G-13</t>
  </si>
  <si>
    <t>NJJS5D501-A-03、NJJS5D501-A-04</t>
    <phoneticPr fontId="3" type="noConversion"/>
  </si>
  <si>
    <t>NJJS5D501-A-05、NJJS5D501-A-06、NJJS5D501-A-07、NJJS5D501-A-08、NJJS5D501-A-09、NJJS5D501-A-10、NJJS5D501-A-11、NJJS5D501-A-12、NJJS5D501-A-13、NJJS5D501-A-14、NJJS5D501-B-01、NJJS5D501-B-02、NJJS5D501-B-03、NJJS5D501-B-05</t>
  </si>
  <si>
    <t>NJJS5D501-B-01</t>
  </si>
  <si>
    <t>NJJS5D501-B-04、NJJS5D501-B-06、NJJS5D501-B-07、NJJS5D501-B-08、NJJS5D501-B-09、NJJS5D501-B-10、NJJS5D501-B-11、NJJS5D501-C-01、NJJS5D501-C-02、NJJS5D501-C-03、NJJS5D501-C-04、NJJS5D501-C-05、NJJS5D501-C-06</t>
  </si>
  <si>
    <t>NJJS5D501-C-07、NJJS5D501-C-08、NJJS5D501-C-09</t>
    <phoneticPr fontId="3" type="noConversion"/>
  </si>
  <si>
    <t>NJJS5D501-C-14、NJJS5D501-D-14、NJJS5D501-E-08</t>
    <phoneticPr fontId="3" type="noConversion"/>
  </si>
  <si>
    <t>NJJS5D501-C-10、NJJS5D501-C-11、NJJS5D501-C-12、NJJS5D501-C-13、NJJS5D501-E-02、NJJS5D501-E-03、NJJS5D501-E-04、NJJS5D501-E-05、NJJS5D501-E-06、NJJS5D501-E-07</t>
    <phoneticPr fontId="3" type="noConversion"/>
  </si>
  <si>
    <t>NJJS5D501-E-01、NJJS5D501-E-09</t>
    <phoneticPr fontId="3" type="noConversion"/>
  </si>
  <si>
    <t>202310 吉山机房四期(NJJS 5D 503 504) 超电流，暂按250A计提</t>
    <phoneticPr fontId="3" type="noConversion"/>
  </si>
  <si>
    <t>ZYT202309250041</t>
  </si>
  <si>
    <t>苏州太湖三线-苏州电信</t>
  </si>
  <si>
    <t>L20230910002</t>
  </si>
  <si>
    <t>苏州太湖三线-电信</t>
  </si>
  <si>
    <t>苏州三级电信</t>
  </si>
  <si>
    <t>2021/10/1开通苏州太湖三线，CDN免费768个
IPV4使用：121.228.171.0/24、121.228.173.0/24，预留：121.228.179.0/24（预留段运营商也要收费）
IPV6使用：240E:0979:0E03::/48</t>
  </si>
  <si>
    <t>182315IDC00176，有效期至2023-09-30</t>
    <phoneticPr fontId="3" type="noConversion"/>
  </si>
  <si>
    <t>退租前期预留的256个CDN IP：121.228.179.0/24</t>
  </si>
  <si>
    <t>SZTH-CT-ST-2</t>
  </si>
  <si>
    <t>2021/10/1开通苏州太湖三线，IDC免费1536个，收费768个，其中1024为IDC使用，512为CDN在苏州BGP二级使用。收费IP段为：
121.228.176.0/24
121.228.177.0/24
121.228.180.0/24
121.228.181.0/24</t>
  </si>
  <si>
    <t>苏州太湖三线-电信（苏州BGP二级）</t>
  </si>
  <si>
    <t>SZTH-CT-ST-2（苏州BGP二级）</t>
  </si>
  <si>
    <t>2021/10/1开通苏州太湖三线，IDC免费1536个，收费768个，其中1024为IDC使用，512为CDN在苏州BGP二级使用。
收费IP段为：121.228.178.0/24
121.228.174.0/24</t>
  </si>
  <si>
    <t>2021/10/1开通苏州太湖三线，IDC免费1536个，收费768个，免费IP段为：121.228.182.0/24
121.228.183.0/24
121.228.184.0/24</t>
  </si>
  <si>
    <t>2022/7/6 SZTH-电信CDN 新增512个IP：117.81.94.0/24、
114.219.141.0/24</t>
  </si>
  <si>
    <t>边缘计算，180.101.85.0/24</t>
  </si>
  <si>
    <t>边缘计算退租IP：180.101.85.0/24</t>
  </si>
  <si>
    <t>CDNSUZIX</t>
  </si>
  <si>
    <t>2021/10/1开通苏州太湖三线，实际使用19个机柜。SUZIX303-B07-23、SUZIX303-B07-22、SUZIX303-B07-21、SUZIX303-B07-20、SUZIX303-B07-19、SUZIX303-B06-19、SUZIX303-B06-20、SUZIX303-B06-21、SUZIX303-B06-22、SUZIX303-B06-23、SUZIX303-B06-24、SUZIX303-B06-25、SUZIX303-B06-26、SUZIX303-B06-27、SUZIX303-B06-28、SUZIX303-B06-29、SUZIX303-B06-30、SUZIX303-B06-31、SUZIX303-B06-32</t>
  </si>
  <si>
    <t>苏州三级电信（苏州BGP二级）</t>
  </si>
  <si>
    <t>SUZBGPCACHE303-B07-24、SUZBGPCACHE303-B07-25、SUZBGPCACHE303-B07-26、SUZBGPCACHE303-B07-27、SUZBGPCACHE303-B07-28、SUZBGPCACHE303-B07-29、SUZBGPCACHE303-B07-30、SUZBGPCACHE303-B07-31</t>
  </si>
  <si>
    <t>L20211202005</t>
  </si>
  <si>
    <t>40A-20A</t>
  </si>
  <si>
    <t>2021.11机柜改造，由20A更新为40A，调整计提单价。SZTH3D3A-10-16、SZTH3D3A-10-17</t>
  </si>
  <si>
    <t>182315IDC00371</t>
  </si>
  <si>
    <t>南京
NJJS 200G</t>
  </si>
  <si>
    <t>南京吉山电信</t>
  </si>
  <si>
    <t>免费4640，使用8192，收费3552，从2020.9.25开始计费</t>
  </si>
  <si>
    <t>南京
NJ03-电信</t>
    <phoneticPr fontId="3" type="noConversion"/>
  </si>
  <si>
    <t>NJ03-电信</t>
  </si>
  <si>
    <t>历史开通</t>
    <phoneticPr fontId="3" type="noConversion"/>
  </si>
  <si>
    <t>NJ03-电信历史使用1280个IP：180.97.110.0/24、180.97.111.0/24、180.97.112.0/24、180.97.113.0/24、180.97.114.0/24</t>
    <phoneticPr fontId="3" type="noConversion"/>
  </si>
  <si>
    <t>NJ03电信出口地址退租1280个IP：180.97.110.0/24、180.97.111.0/24、180.97.112.0/24、180.97.113.0/24、180.97.114.0/24</t>
    <phoneticPr fontId="3" type="noConversion"/>
  </si>
  <si>
    <t>南京
NJ02-电信</t>
    <phoneticPr fontId="3" type="noConversion"/>
  </si>
  <si>
    <t>NJ02-电信</t>
    <phoneticPr fontId="3" type="noConversion"/>
  </si>
  <si>
    <t>NJ03-电信历史使用768个IP迁移至NJ02-电信</t>
    <phoneticPr fontId="3" type="noConversion"/>
  </si>
  <si>
    <t>2个C</t>
  </si>
  <si>
    <t>南京电信NJ02  IPv4代播静态全球代播2个C</t>
  </si>
  <si>
    <t>2020/11/5开通2个CIP 代播，计费26天：106.12.250.0/23</t>
  </si>
  <si>
    <t>4个C</t>
  </si>
  <si>
    <t>2020/12/18开通4个C IP代播，114.110.96.0/22</t>
  </si>
  <si>
    <t>12个C</t>
  </si>
  <si>
    <t>122.248.48.0/22
122.248.52.0/22
122.248.56.0/22</t>
  </si>
  <si>
    <t>ZYT202309270002-未补充租赁</t>
    <phoneticPr fontId="3" type="noConversion"/>
  </si>
  <si>
    <t>每月正预提1668*12.5=20850</t>
    <phoneticPr fontId="3" type="noConversion"/>
  </si>
  <si>
    <t>太湖机房
苏州万国电信 40G
太湖电信 80G</t>
  </si>
  <si>
    <t>太湖电信</t>
  </si>
  <si>
    <t>免费960，使用6144，收费5184，从2020.9.25开始计费</t>
  </si>
  <si>
    <t>扩容1个CIP：117.81.175.0/24</t>
  </si>
  <si>
    <t>SZTH电信CDN</t>
  </si>
  <si>
    <t>苏州电信CDN新增IP地址：121.228.179.0/24</t>
  </si>
  <si>
    <t>宿迁电信</t>
  </si>
  <si>
    <t>L20221215008</t>
  </si>
  <si>
    <t>宿迁电信
SQCT 200G</t>
  </si>
  <si>
    <t>宿迁电信二级</t>
  </si>
  <si>
    <t>使用544个IP，均免费。222.187.255.0/24;218.93.204.0/24;222.187.242.160/27</t>
  </si>
  <si>
    <t>182115IDC00412，有效期至2022-12-31</t>
    <phoneticPr fontId="3" type="noConversion"/>
  </si>
  <si>
    <t>2023/9/6【CDN退租】CDN江苏宿迁电信二级退租256个IP (SQCTCACHE)：222.187.255.0/24</t>
    <phoneticPr fontId="3" type="noConversion"/>
  </si>
  <si>
    <t>宿迁</t>
  </si>
  <si>
    <t>2022/6/18 由CDN转BEC使用：180.101.38.0/24（该段 IP于2022/6/18由CDN转BEC使用）;222.187.242.128/27;180.101.161.0/24（CDN继续使用）。
宿迁电信每万兆送32IP，共送1280个，超过单价50</t>
  </si>
  <si>
    <t>宿迁2电信
SQ2CT 200G</t>
  </si>
  <si>
    <t>【BEC新建】宿迁电信新建0G  2022-06-18 节点正式上线  (SQCTCACHE)，新增IP:180.101.78.0/24</t>
  </si>
  <si>
    <t>宿迁电信+宿迁2
SQCT+SQ2CT</t>
  </si>
  <si>
    <t>宿迁2电信</t>
  </si>
  <si>
    <t>CDNSQCT</t>
  </si>
  <si>
    <t>SQCT SQ2CT免费提供40个机架：SQCT2F-11-05、SQCT2F-11-04、SQCT2F-11-03、SQCT2F-11-02、SQCT2F-10-14、SQCT2F-10-13、SQCT2F-10-12、SQCT2F-11-01</t>
  </si>
  <si>
    <t>2021/7/14退租，免费机柜 SQCT2F-11-05、SQCT2F-11-04、SQCT2F-11-03</t>
  </si>
  <si>
    <t>SQCT2F-11-03</t>
  </si>
  <si>
    <t>SQCT SQ2CT免费提供40个机架：SQCT2F-10-10、SQCT2F-10-09、SQCT2F-10-08</t>
  </si>
  <si>
    <t>SQCT2F-10-10、SQCT2F-10-09、SQCT2F-10-08</t>
  </si>
  <si>
    <t>2023.8经与SYS核对，调整宿迁电信使用机柜的所属节点，增加计提行。系统中并未操作开通关闭。SQCT2F-11-03、SQCT2F-11-02、SQCT2F-10-14、SQCT2F-10-13、SQCT2F-10-12、SQCT2F-11-01</t>
  </si>
  <si>
    <t>2023/9/6【CDN退租】CDN江苏宿迁电信二级退租机柜 (SQCTCACHE)：SQCT2F-10-12,SQCT2F-10-13</t>
    <phoneticPr fontId="3" type="noConversion"/>
  </si>
  <si>
    <t>【BEC新建】宿迁电信新建0G  2022-06-18 节点正式上线  (SQCTCACHE)：BECSQCTCACHE-2F1-05、BECSQCTCACHE-2F1-06、BECSQCTCACHE-2F1-07、BECSQCTCACHE-2F1-08、BECSQCTCACHE-2F1-09、BECSQCTCACHE-2F1-10、BECSQCTCACHE-2F1-11、BECSQCTCACHE-2F1-12、BECSQCTCACHE-2F1-13、BECSQCTCACHE-2F2-01、BECSQCTCACHE-2F2-02、BECSQCTCACHE-2F2-03、BECSQCTCACHE-2F2-04、BECSQCTCACHE-2F2-05、BECSQCTCACHE-2F2-06、BECSQCTCACHE-2F2-07、BECSQCTCACHE-2F2-08、BECSQCTCACHE-2F2-09、BECSQCTCACHE-2F2-10、BECSQCTCACHE-2F2-11、BECSQCTCACHE-2F2-12、BECSQCTCACHE-2F2-13、BECSQCTCACHE-2F2-14、BECSQCTCACHE-2F1-01（申请未使用）、BECSQCTCACHE-2F1-02（申请未使用）、BECSQCTCACHE-2F1-03（申请未使用）、BECSQCTCACHE-2F1-04（申请未使用）</t>
    <phoneticPr fontId="3" type="noConversion"/>
  </si>
  <si>
    <t>【BEC扩容】宿迁电信扩容0G，新增1个机柜：BECSQCTCACHE-2F1-14</t>
  </si>
  <si>
    <t>L20221215009</t>
  </si>
  <si>
    <t>苏州-南施街</t>
  </si>
  <si>
    <t>苏州电信SSL</t>
  </si>
  <si>
    <t>CDNSZ</t>
  </si>
  <si>
    <t>SSL使用768个IP，均免费（58.211.2.0/24,58.211.137.0/24,61.155.149.0/24）</t>
  </si>
  <si>
    <t>182115IDC00410，有效期至2022-12-31</t>
    <phoneticPr fontId="3" type="noConversion"/>
  </si>
  <si>
    <t>2021/9/15机房搬迁，退租768个IP，冲销15天费用。
SSL使用768个IP，均免费（58.211.2.0/24,58.211.137.0/24,61.155.149.0/24）</t>
  </si>
  <si>
    <t>SSLKSCT</t>
  </si>
  <si>
    <t>2021/9/23机房搬迁，开通768个IP，9月计费8天
SSL使用768个IP，均免费（58.211.2.0/24,58.211.137.0/24,61.155.149.0/24）</t>
  </si>
  <si>
    <t>2023/8/31 苏州电信SSL下线，退租IP：61.155.149.0/24、58.211.2.0/24、58.211.137.0/24</t>
    <phoneticPr fontId="3" type="noConversion"/>
  </si>
  <si>
    <t>昆山 
SUZCT 160G</t>
  </si>
  <si>
    <t>CDN使用：180.97.64.0/24;180.97.65.0/24</t>
  </si>
  <si>
    <t>BEC使用：121.227.196.0/24;121.227.168.0/24</t>
  </si>
  <si>
    <t>BEC：240E:00E9:8809:0002::/64</t>
    <phoneticPr fontId="3" type="noConversion"/>
  </si>
  <si>
    <t>昆山 
SUZ2CT 160G</t>
  </si>
  <si>
    <t>苏州2电信</t>
  </si>
  <si>
    <t>使用512个IP，均免费。180.97.67.0/24;180.97.66.0/24</t>
  </si>
  <si>
    <t>SSL机架2个收费。SUZ-09-17、SUZ-09-18、</t>
  </si>
  <si>
    <t>SSL机架4个收费。SUZ-10-27、SUZ-10-28、SUZ-10-29、SUZ-10-30</t>
  </si>
  <si>
    <t>2021/9/15机房搬迁，下电，冲销15天费用。SSL机架2个收费。SUZ-09-17、SUZ-09-18</t>
  </si>
  <si>
    <t>2021/9/15机房搬迁，下电，冲销15天费用。SSL机架4个收费。SUZ-10-27、SUZ-10-28、SUZ-10-29、SUZ-10-30</t>
  </si>
  <si>
    <t>苏州昆山SSL</t>
  </si>
  <si>
    <t>带宽退租后SSL2个机柜运营商未收费，每月负预提冲销。2021/9/23机房搬迁，开通，9月计费8天。SSL机架2个收费。SSLKSCT3F-I-03、SSLKSCT3F-I-04</t>
  </si>
  <si>
    <t>2021/9/23机房搬迁，开通，9月计费8天。SSL机架4个免费。SSLKSCT3F-I-05、SSLKSCT3F-I-06、SSLKSCT3F-I-07、SSLKSCT3F-I-08</t>
  </si>
  <si>
    <t>2023/8/31 苏州电信SSL下线，退租机柜：SSLKSCT3F-I-03、SSLKSCT3F-I-04、SSLKSCT3F-I-05、SSLKSCT3F-I-06、SSLKSCT3F-I-07、SSLKSCT3F-I-08</t>
    <phoneticPr fontId="3" type="noConversion"/>
  </si>
  <si>
    <t>CDNSUZCT</t>
  </si>
  <si>
    <t>2023.8经与SYS核对，更新机柜编号，更新后：CDNSUZCT:3F:IDC-O-CDN03、CDNSUZCT:3F:IDC-O-CDN04、CDNSUZCT:3F:IDC-O-CDN05、CDNSUZCT:3F:IDC-O-CDN06、CDNSUZCT:3F:IDC-O-CDN07、CDNSUZCT:3F:IDC-O-CDN08、CDNSUZCT:3F:IDC-O-CDN09、CDNSUZCT:3F:IDC-O-CDN10、CDNSUZCT:3F:IDC-O-CDN11；更新前：SUZCT3F-O-10、SUZCT3F-O-07、SUZCT3F-O-06、SUZCT3F-O-05、SUZCT3F-O-04、SUZCT3F-O-03、SUZCT3F-O-08、SUZCT3F-O-09、SUZCT3F-O-11</t>
    <phoneticPr fontId="3" type="noConversion"/>
  </si>
  <si>
    <t>SUZCT3F-N-08、SUZCT3F-N-07、SUZCT3F-N-06、SUZCT3F-N-05、SUZCT3F-N-04、SUZCT3F-N-03</t>
  </si>
  <si>
    <t>2023.3根据与SYS核对结果，调整机架编号，本单操作开通
调整前：SUZ3CT3F-O-03、SUZ3CT3F-O-04、SUZ3CT3F-O-05
调整后：SUZ3CT3F-O-12、SUZ3CT3F-O-13、SUZ3CT3F-O-14</t>
  </si>
  <si>
    <t>苏州电信SSL节点于2023.8.31退租3个收费机柜，CDN使用的机柜（原单价5400）变更为免费机柜。苏州电信扩容边缘计算，SUZ3CT3F-O-15</t>
    <phoneticPr fontId="3" type="noConversion"/>
  </si>
  <si>
    <t>连云港电信</t>
  </si>
  <si>
    <t>182315IDC00276</t>
  </si>
  <si>
    <t>连云港</t>
  </si>
  <si>
    <t>连云港三线电信</t>
  </si>
  <si>
    <t>CDNLYGIX</t>
  </si>
  <si>
    <t>16A</t>
  </si>
  <si>
    <t>【BEC新建】连云港三线电信新建50G 2023-2-1节点正式上线  (LYGIXCT)：7L1F-B-BEC02</t>
  </si>
  <si>
    <t>【BEC新建】连云港三线电信新建50G 2023-2-1节点正式上线  (LYGIXCT)：ipv4: 218.92.87.0/25、218.92.87.128/27；
ipv6: 240E:97B:608:400::/64</t>
  </si>
  <si>
    <t>中国电信股份有限公司南京分公司</t>
  </si>
  <si>
    <t>181515IDC0066</t>
  </si>
  <si>
    <t>南京03-南京吉山</t>
  </si>
  <si>
    <t>025G00129769A拆机 ，025G00129772A单价6800，025G00129775A单价6400
线路一： 编号025G00129772【NJ02南京凤凰机房 】到【南京市下关区清江花苑明月园1栋1单元102室传输机房】的2芯光纤通道，长度17公里
线路二：编号025G00129775 从[【NJ03南京河西机房】到【南京市下关区清江花苑明月园1栋1单元102室传输机房】的2芯光纤通道，长度16公里
（原合同中南京泰山新村至南京下关清江花苑明月园的光纤已经退租）</t>
    <phoneticPr fontId="3" type="noConversion"/>
  </si>
  <si>
    <t>L20230910010</t>
  </si>
  <si>
    <t>吉山机房NJJS一期</t>
  </si>
  <si>
    <t xml:space="preserve">吉山机房，2017年12月22日验收，12月25日开始计费，NJJS401-E-03
NJJS401-E-04
NJJS401-E-05
NJJS401-E-06
NJJS401-E-07
NJJS401-E-08
NJJS401-E-09
NJJS401-E-10
NJJS401-E-11
NJJS401-E-12
NJJS401-E-13
NJJS401-E-14
NJJS401-E-15
NJJS401-E-16
NJJS401-E-17
NJJS401-E-18
NJJS401-F-01
NJJS401-F-02
NJJS401-F-03
NJJS401-F-04
NJJS401-F-05
NJJS401-F-06
NJJS401-F-07
NJJS401-F-08
NJJS401-F-09
NJJS401-F-10
NJJS401-F-11
NJJS401-F-12
NJJS401-F-13
NJJS401-F-14
NJJS401-F-15
NJJS401-F-16
NJJS401-F-17
NJJS401-F-18
NJJS401-G-03
NJJS401-G-04
NJJS401-G-05
NJJS401-G-06
NJJS401-G-07
NJJS401-G-08
NJJS401-G-09
NJJS401-G-10
NJJS401-G-11
NJJS401-G-12
NJJS401-G-13
NJJS401-H-01
NJJS401-H-02
NJJS401-H-03
NJJS401-H-04
NJJS401-H-05
NJJS401-H-06
NJJS401-H-07
NJJS401-H-08
NJJS401-H-09
NJJS401-H-10
NJJS401-H-11
NJJS401-H-12
NJJS401-H-13
NJJS401-I-01
NJJS401-I-02
NJJS401-I-03
NJJS401-I-04
NJJS401-I-05
NJJS401-I-06
NJJS401-I-07
NJJS401-I-08
NJJS401-I-09
NJJS401-I-10
NJJS401-I-11
NJJS401-I-12
NJJS401-I-13
NJJS401-I-14
NJJS401-J-01
NJJS401-J-02
NJJS401-J-03
NJJS401-J-04
NJJS401-J-05
NJJS401-J-06
NJJS401-J-07
NJJS401-J-08
NJJS401-J-09
NJJS401-J-10
NJJS401-J-11
NJJS401-J-12
NJJS401-J-13
NJJS401-J-14
NJJS401-H-14
NJJS401-H-15
</t>
  </si>
  <si>
    <t>181715IDC00008，有效期至2023-09-30</t>
    <phoneticPr fontId="3" type="noConversion"/>
  </si>
  <si>
    <t>吉山机房，2018年1月7日上架，NJJS302-D-15
NJJS302-F-01
NJJS302-F-02</t>
  </si>
  <si>
    <t>吉山机房，2018年1月17日上架，NJJS302-G-06
NJJS302-G-07
NJJS302-G-08
NJJS302-G-09
NJJS302-G-10</t>
  </si>
  <si>
    <t>2018年8月15日关闭8个机架
NJJS402-A-07，NJJS402-A-10，NJJS402-A-12，NJJS402-B-01，NJJS402-B-04，NJJS402-B-07，NJJS402-B-10，NJJS402-B-13</t>
  </si>
  <si>
    <t>NJJS402-A-11，13，14</t>
  </si>
  <si>
    <t>NJJS402-A-12</t>
  </si>
  <si>
    <t>NJJS401-A-14
NJJS401-A-15</t>
  </si>
  <si>
    <t>NJJS401-B-07
NJJS401-B-08</t>
  </si>
  <si>
    <t>NJJS401-B-09，9月新增</t>
  </si>
  <si>
    <t>NJJS402-D-07~13,NJJS401-B-13</t>
  </si>
  <si>
    <t>NJJS401-B-10~12</t>
  </si>
  <si>
    <t>NJJS401-B-14~15,NJJS402-D-14</t>
  </si>
  <si>
    <t>NJJS401-A-05~12，NJJS402-C-04</t>
  </si>
  <si>
    <t>NNJS401-A-04</t>
  </si>
  <si>
    <t>201909月末与运营商核对吉山机架情况，之前少计提4个6000的机架，从9月开始补计提</t>
  </si>
  <si>
    <t>NJJS402-A-06、NJJS402-B-01、NJJS402-B-02、NJJS402-B-03、NJJS402-B-04、NJJS402-B-05、NJJS402-B-06、NJJS402-B-07、NJJS402-B-08、NJJS402-B-09、NJJS402-B-10、NJJS402-B-11、NJJS402-B-12、NJJS402-B-13、NJJS402-B-14</t>
  </si>
  <si>
    <t>NJJS402-D-15</t>
  </si>
  <si>
    <t>2022/10/27 关闭4个机柜，运营商账单中按单价6000元扣减费用，但此部分机柜在IDC侧未开通，未计费，故增加一行0金额的预提行。每月拆分出4*6000=24000不支付不冲销。NJJS402-A-07、NJJS402-A-08、NJJS402-A-09、NJJS402-A-10</t>
  </si>
  <si>
    <t>吉山机房NJJS</t>
  </si>
  <si>
    <t>202310  NJJS 3 4层超电流，暂按3300A数据计提</t>
  </si>
  <si>
    <t>ZYT202309250042</t>
  </si>
  <si>
    <t>1817202IDC00191</t>
  </si>
  <si>
    <t>南京凤凰M2NJ-南京市建宁路30号金桥办公管理办公楼5楼</t>
  </si>
  <si>
    <t>线路编号：025G00136292A。南京M2核心数据中心凤凰机房到百度传输节点的备用光纤线路，从[南京凤凰机房]到[南京市建宁路30号金桥办公管理办公楼5楼]的[ 两 ]芯光纤通道，长度为：[ 4 ]公里</t>
  </si>
  <si>
    <t>181815IDC00198</t>
  </si>
  <si>
    <t>吉山机房NJJS二期</t>
  </si>
  <si>
    <t>202112  NJJS 3 4层超电流，暂按3500A数据计提</t>
  </si>
  <si>
    <t xml:space="preserve">NJJS603-D-10
20190524关闭
</t>
  </si>
  <si>
    <t>NJJS603-A-07</t>
  </si>
  <si>
    <t>NJJS601-A-01、NJJS601-A-02、NJJS601-A-03</t>
  </si>
  <si>
    <t>NJJS601-I-02~13，NJJS601-J-02~13，NJJS602-B-03~08</t>
  </si>
  <si>
    <t>NJJS602-B-09~14，NJJS602-C-02~10,NJJS602-A-03~16,NJJS602-C-01</t>
  </si>
  <si>
    <t>NJJS602-C-11~13，NJJS602-D-01~14，NJJS602-E-01~14</t>
  </si>
  <si>
    <t xml:space="preserve">NJJS601-A-04 NJJS601-A-05 NJJS601-A-06 NJJS601-A-07 NJJS601-A-08 NJJS601-A-09 NJJS601-A-10 NJJS601-A-11
</t>
  </si>
  <si>
    <t>NJJS601-E-01,03~18,NJJS601-F-01~19,NJJS601-G-03~13,NJJS601-H-01~14,NJJS601-A-17,NJJS601-B-01,NJJS601-B-02~19,NJJS601-C-03~06,NJJS601-C-07~18,NJJS701-A-04,NJJS601-D-13~16,NJJS601-E-02,NJJS601-D-01~04,NJJS701-A-01,03;NJJS701-A-14~17,NJJS701-B-01~19,NJJS701-C-01~18,NJJS701-D-01~16,NJJS701-E-01~03,NJJS601-I-02~13,NJJS601-J-02~13,NJJS602-A-03~16,NJJS602-B-03~14,NJJS602-C-01~13,NJJS602-D-01~14,NJJS602-E-01~14</t>
  </si>
  <si>
    <t>NJJS601-D-10~12</t>
  </si>
  <si>
    <t>NJJS701-A-05~09，NJJS601-J-14</t>
  </si>
  <si>
    <t>NJJS701-A-10</t>
  </si>
  <si>
    <t>NJJS701-A-17~18，NJJS701-F-01~02，NJJS701-G-01~02，NJJS702-B-01~02，NJJS702-F-01~02，NJJS702-G-01~02</t>
  </si>
  <si>
    <t/>
  </si>
  <si>
    <t>NJJS601-D-05~D-08</t>
  </si>
  <si>
    <t>NJJS601-D-09</t>
  </si>
  <si>
    <t>NJJS701-A-11~13，NJJS601-J-01</t>
  </si>
  <si>
    <t>NJJS701-F-03~15，NJJS701-E-08~18,NJJS601-I-01，NJJS601-I-14</t>
  </si>
  <si>
    <t>NJJS701-J-10~14</t>
  </si>
  <si>
    <t>NJJS701-F-16~19，NJJS701-G-03~05，NJJS701-I-08~09</t>
  </si>
  <si>
    <t>19.9与运营商核实后，单价由5950调整为5900.
NJJS201-A-21，NJJS501-A-18，NJJS502-A-17，NJJS501-G-01~02，NJJS501-F-01~02，NJJS502-B-01~02，NJJS502-F-01~02，NJJS502-G-01~02，NJJS201-C-01~04，NJJS201-H-01~04</t>
  </si>
  <si>
    <t>NJJS701-H-11~14，NJJS701-I-04~07，NJJS701-J-01~03</t>
  </si>
  <si>
    <t>NJJS701-G-06~12，NJJS701-H-01~10，NJJS701-I-10，NJJS701-I-14，NJJS702-A-01~12</t>
  </si>
  <si>
    <t>NJJS701-I-11~12</t>
  </si>
  <si>
    <t>NJJS702-A-13~15，NJJS701-E-07</t>
  </si>
  <si>
    <t>NJJS701-I-13，NJJS702-B-03~07</t>
  </si>
  <si>
    <t>NJJS702-B-08~09，NJJS702-J-01，NJJS701-J-07~09</t>
  </si>
  <si>
    <t>原计提数量为187，单价均为5950，19.9与运营商核对后，将计提拆分为129个5950和58个5900</t>
  </si>
  <si>
    <t>19.9与运营商核实后，单价由5950调整为5900.</t>
  </si>
  <si>
    <t>19.9与运营商核实后，单价由5950调整为5900.
NJJS502-D-01
NJJS502-D-02
NJJS502-D-03</t>
  </si>
  <si>
    <t>19.9与运营商核实后，单价由5950调整为5900.
NJJS502-C-17</t>
  </si>
  <si>
    <t xml:space="preserve">19.9与运营商核实后，单价由5950调整为5900.
NJJS502-D-05
NJJS502-D-06
NJJS502-D-07
NJJS502-D-08
NJJS502-D-09
</t>
  </si>
  <si>
    <t xml:space="preserve">19.9与运营商核实后，单价由5950调整为5900.
NJJS502-D-10
NJJS502-D-11
</t>
  </si>
  <si>
    <t xml:space="preserve">19.9与运营商核实后，单价由5950调整为5900.
NJJS502-H-04
NJJS502-H-05
NJJS502-H-06
NJJS502-H-07
NJJS502-H-08
NJJS502-H-09
NJJS502-H-10
NJJS502-H-11
NJJS502-H-12
NJJS502-H-13
NJJS502-I-12
NJJS502-I-13
NJJS502-I-14
NJJS502-G-03
</t>
  </si>
  <si>
    <t xml:space="preserve">19.9与运营商核实后，单价由5950调整为5900.
NJJS502-G-04
NJJS502-G-05
NJJS502-H-01
NJJS502-H-02
NJJS502-H-03
</t>
  </si>
  <si>
    <t xml:space="preserve">19.9与运营商核实后，单价由5950调整为5900.
二期，单价调整为5900,9月多计提在付款时冲销。NJJS501-A-01~NJJS501-A-17；
NJJS501-B-01~NJJS501-B-19；
NJJS501-C-01~NJJS501-C-18；
NJJS501-D-01~NJJS501-D-16；
NJJS501-E-03~NJJS501-E-17
</t>
  </si>
  <si>
    <t>19.9与运营商核实后，单价由5950调整为5900.
NJJS502-E-01~NJJS502-E-07；
NJJS502-F-08~NJJS502-F-15</t>
  </si>
  <si>
    <t>19.9与运营商核实后，单价由5950调整为5900.
NJJS502-G-06、NJJS502-G-07、NJJS502-G-08、NJJS502-G-09、NJJS502-G-10</t>
  </si>
  <si>
    <t>201909月末与运营商核对吉山机架情况，之前少计提37个5900的机架，从9月开始补计提</t>
  </si>
  <si>
    <t>NJJS501-F-06</t>
  </si>
  <si>
    <t>NJJS501-F-03、NJJS501-F-04、NJJS501-F-05、NJJS501-F-07、NJJS501-F-10</t>
  </si>
  <si>
    <t>NJJS501-F-08、NJJS501-F-09、NJJS501-F-11、NJJS501-F-12</t>
  </si>
  <si>
    <t>NJJS501-F-13</t>
  </si>
  <si>
    <t>NJJS501-F-17</t>
  </si>
  <si>
    <t>NJJS501-F-15</t>
  </si>
  <si>
    <t>NJJS501-H-01、NJJS501-H-02、NJJS501-H-03、NJJS501-H-04、NJJS501-H-05、NJJS501-H-06、NJJS501-H-07、NJJS501-H-08、NJJS501-H-09、NJJS501-H-10、NJJS501-H-11、NJJS501-H-12</t>
  </si>
  <si>
    <t>NJJS501-G-03、NJJS501-G-04</t>
  </si>
  <si>
    <t>NJJS502-D-12、NJJS502-D-13、NJJS502-D-14、NJJS502-F-16、NJJS502-F-17、NJJS502-F-18、NJJS502-G-11</t>
  </si>
  <si>
    <t>NJJS502-G-12、NJJS501-E-01、NJJS501-E-02、NJJS501-F-16、NJJS502-D-15</t>
  </si>
  <si>
    <t>202104根据运营商同外包现场盘点结果，更新计提价格，由5900更新为5950
2020.8更新计提价格，运营商按5900结算。NJJS601-A-01、NJJS601-A-02、NJJS601-A-03、NJJS601-C-11、NJJS602-B-15、NJJS701-H-15、NJJS701-I-01、NJJS701-I-02、NJJS701-I-03、NJJS701-J-06</t>
  </si>
  <si>
    <t>NJJS501-E-18、NJJS501-F-18、NJJS501-H-13、NJJS501-H-14、NJJS501-H-15、NJJS501-I-13、NJJS501-I-14、NJJS501-F-19、NJJS501-G-06、NJJS501-G-07、NJJS501-G-08、NJJS501-G-09、NJJS501-G-10、NJJS501-G-11、NJJS501-G-12、NJJS501-I-02、NJJS501-I-03</t>
  </si>
  <si>
    <t>NJJS501-J-01、NJJS501-J-02、NJJS501-J-03、NJJS501-J-04、NJJS501-J-05、NJJS501-J-06、NJJS501-J-07、NJJS501-J-08、NJJS501-J-09、NJJS501-J-10、NJJS501-J-11、NJJS501-J-12、NJJS501-J-13</t>
  </si>
  <si>
    <t>NJJS501-I-01、NJJS501-F-14、NJJS501-I-04、NJJS501-I-05、NJJS501-I-06、NJJS501-I-07、NJJS501-I-08、NJJS501-I-09、NJJS501-I-10、NJJS501-I-11、NJJS501-I-12、NJJS501-G-05</t>
  </si>
  <si>
    <t>NJJS501-J-14</t>
  </si>
  <si>
    <t>NJJS603-A-14、NJJS603-A-15</t>
  </si>
  <si>
    <t>NJJS502-A-16
202104根据运营商同外包现场盘点结果，增加计提行.运营商要求从202011开始追溯，故开始计费日期写为2020/11/1</t>
  </si>
  <si>
    <t>NJJS603-B-08、NJJS603-C-08
202104根据运营商同外包现场盘点结果，增加计提行.运营商要求从202011开始追溯，故开始计费日期写为2020/11/1</t>
  </si>
  <si>
    <t>NJJS603-D-12
202104根据运营商同外包现场盘点结果，增加计提行.运营商要求从202011开始追溯，故开始计费日期写为2020/11/1</t>
  </si>
  <si>
    <t>2021/5/19开通，5月计费13天：NJJS603-B-15、NJJS603-B-16</t>
  </si>
  <si>
    <t>NJJS502-G-09、NJJS502-G-10</t>
  </si>
  <si>
    <t>NJJS603-D-07、NJJS603-D-08</t>
  </si>
  <si>
    <t>202310 NJJS 5 6 7层超电流，暂按7000A数据计提（除20A之外的其他电流规格机柜的费用收取是在20A机柜的价格基础上，机柜用电量每增加1A，则另加收￥300元/月的使用费用）</t>
  </si>
  <si>
    <t>ZYT202309250043</t>
  </si>
  <si>
    <t>182115IDC00317</t>
  </si>
  <si>
    <t>[南京市建邺区江东中路49号二长机房8层 ]-[南京市鼓楼区张王庙88号凤凰机房]
NJ03-M2NJ</t>
  </si>
  <si>
    <t>线路编号：025G00156780。乙方为甲方建设从[南京市建邺区江东中路49号二长机房8层 ]到[南京市鼓楼区张王庙88号凤凰机房]的[ 两 ]芯光纤通道，用于[ 数据传输 ]。连接费：[2]端*[2]芯* 2000元/芯/端=[ 8000，优惠为0]元。月服务费：线路=[27]公里*1000元/月/芯/公里*[ 2 ]芯=[54000，优惠为10800]元/月。</t>
  </si>
  <si>
    <t>[南京市建邺区江东中路49号二长机房8层  ]-[南京市鼓楼区张王庙88号凤凰机房]
NJ03-M2NJ</t>
  </si>
  <si>
    <t>线路编号：025G00156779。乙方为甲方建设从[南京市建邺区江东中路49号二长机房8层  ]到[南京市鼓楼区张王庙88号凤凰机房]的[ 两 ]芯光纤通道，用于[ 数据传输 ]。连接费：[2]端*[2]芯* 2000元/芯/端=[ 8000，优惠为0]元。月服务费：线路=[16]公里*1000元/月/芯/公里*[ 2 ]芯=[32000，优惠为6400]元/月</t>
  </si>
  <si>
    <t>[南京市江宁区谷里街道东吉大道1号江苏软件园电信吉山机房1层101室]-[南京市鼓楼区张王庙88号凤凰机房]
NJJS-M2NJ</t>
  </si>
  <si>
    <t>线路编号：025G00156778。乙方为甲方建设从[南京市江宁区谷里街道东吉大道1号江苏软件园电信吉山机房1层101室]到[南京市鼓楼区张王庙88号凤凰机房]的[ 两 ]芯光纤通道， 用于[ 数据传输 ]。连接费：[2]端*[2]芯* 2000元/芯/端=[ 8000，优惠为0]元。月服务费：线路=[50]公里*1000元/月/芯/公里*[ 2 ]芯=[100000，优惠为20000]元/月</t>
  </si>
  <si>
    <t>线路编号：025G00156777。乙方为甲方建设从[南京市江宁区谷里街道东吉大道1号江苏软件园电信吉山机房1层101室]到[南京市鼓楼区张王庙88号凤凰机房]的[ 两 ]芯光纤通道，用于[ 数据传输 ]。连接费：[2]端*[2]芯* 2000元/芯/端=[ 8000，优惠为0]元。月服务费：线路=[47]公里*1000元/月/芯/公里*[ 2 ]芯=[94000，优惠为18800]元/月</t>
  </si>
  <si>
    <t>L20230805008</t>
    <phoneticPr fontId="3" type="noConversion"/>
  </si>
  <si>
    <t>河西二长NJ03</t>
  </si>
  <si>
    <t>NJ03</t>
  </si>
  <si>
    <t>182215IDC00485，有效期至2023-09-15</t>
    <phoneticPr fontId="3" type="noConversion"/>
  </si>
  <si>
    <t>NJ038B-G-10-13</t>
  </si>
  <si>
    <t>NJ038B-H-03</t>
  </si>
  <si>
    <t>202104根据运营商同外包现场盘点结果，更新计提数量。1个机架前期已开通，未计费。运营商从202011开始计费，故开始计费日期为2020/11/1</t>
  </si>
  <si>
    <t>202104根据运营商同外包现场盘点结果，更新计提数量。6个机架前期已开通，未计费。运营商从202011开始计费，故开始计费日期为2020/11/1</t>
  </si>
  <si>
    <t>63A</t>
  </si>
  <si>
    <t>202104根据运营商同外包现场盘点结果，更新计提数量。2个机架前期已开通，未计费。运营商从202011开始计费，故开始计费日期为2020/11/1</t>
  </si>
  <si>
    <t>NJ0311A-C-08、NJ0311A-C-11、NJ0310B-J-01～03</t>
  </si>
  <si>
    <t>NJ0310B-G-03
NJ0310B-G-04</t>
  </si>
  <si>
    <t>202104根据运营商同外包现场盘点结果，更新计提数量。原1189个，其中8个布线柜，1个未开通，（数量减少1）拆分计提行
6月26日开通7个机架
 NJ0311D-I-09~~ NJ0311D-I-15</t>
  </si>
  <si>
    <t>2021/5/18开通，5月计费14天：NJ038B-G-02</t>
  </si>
  <si>
    <t>2021/5/18开通，5月计费14天：NJ038B-H-02</t>
  </si>
  <si>
    <t>81.8A</t>
  </si>
  <si>
    <t>机柜电流改造为81.8A，按照20A标准计费。NJ038B-G-05</t>
  </si>
  <si>
    <t>NJ038B-H-08、NJ038B-H-09</t>
  </si>
  <si>
    <t>NJ038B-H-08：由27A改造为81.8A，参考原合同20A单价4450，折算单安成本222.5元，暂按此价格折算81.8A的单价</t>
  </si>
  <si>
    <t>NJ038B-G-01。未在运营商账单中体现</t>
  </si>
  <si>
    <t>NJ038B-H-01。未在运营商账单中体现</t>
  </si>
  <si>
    <t>NJ039B-B-01、NJ039B-B-06、NJ039B-C-01、NJ039B-F-04、NJ039B-F-06、NJ039B-F-09、NJ039B-F-10、NJ0311C-C-01、NJ0311C-F-06、NJ0311C-F-17、NJ0311C-J-14、NJ0311D-I-03、NJ0311D-I-06、NJ0311D-I-10、NJ0311D-I-12、NJ0311D-I-13、NJ0311A-D-03、NJ0311A-D-04、NJ0311A-G-06、NJ0311A-H-04、NJ0311B-G-01、NJ0311B-G-08、NJ0310B-D-01、NJ0310B-D-12、NJ0310B-E-13、NJ0310B-F-10、NJ0310B-I-12、NJ0310B-K-14、NJ0310A-G-03、NJ0310A-H-01</t>
  </si>
  <si>
    <t>NJ039A-G-10、NJ039B-D-19、NJ039B-E-03、NJ039B-E-04、NJ0311C-G-02、NJ0311C-H-12、NJ0311C-J-18、NJ0311D-I-07、NJ0311A-B-15、NJ0311A-D-01、NJ0311A-D-06、NJ0311A-D-10、NJ0311A-G-07、NJ0311A-I-13、NJ0311B-B-06、NJ0311B-F-20、NJ0311B-G-10、NJ0311B-K-14、NJ0310B-C-18、NJ0310B-C-19、NJ0310B-E-04、NJ0310B-E-12、NJ0310B-F-06、NJ0310B-G-07、NJ0310B-K-08、NJ0310A-F-07、NJ039B-G-09、NJ039B-G-10</t>
  </si>
  <si>
    <t>NJ038A-D-12</t>
  </si>
  <si>
    <t>NJ038A-B-10</t>
  </si>
  <si>
    <t>NJ039A-A-01、NJ039A-A-03、NJ039A-A-06、NJ039A-A-07、NJ039A-A-08、NJ039A-A-09、NJ039A-A-10、NJ039A-A-13、NJ039A-B-01、NJ039A-B-02、NJ039A-B-03、NJ039A-B-05、NJ039A-B-06、NJ039A-B-07、NJ039A-B-08、NJ039A-B-09、NJ039A-B-11、NJ039A-B-13、NJ039A-B-15、NJ039A-C-01、NJ039A-C-02、NJ039A-C-03、NJ039A-C-06、NJ039A-C-07、NJ039A-C-09、NJ039A-C-10、NJ039A-C-11、NJ039A-C-12、NJ039A-D-01、NJ039A-D-02、NJ039A-D-03、NJ039A-D-04、NJ039A-D-05、NJ039A-D-06、NJ039A-D-08、NJ039A-D-09、NJ039A-D-11、NJ039A-D-12、NJ039A-D-13、NJ039A-D-15、NJ039A-E-01、NJ039A-E-03、NJ039A-E-06、NJ039A-E-07、NJ039A-E-08、NJ039A-E-09、NJ039A-E-10、NJ039A-E-11、NJ039A-E-12、NJ039A-E-13、NJ039A-E-15、NJ039A-F-01、NJ039A-F-02、NJ039A-F-03、NJ039A-F-04、NJ039A-F-07、NJ039A-F-08、NJ039A-F-09、NJ039A-F-10、NJ039A-F-11、NJ039A-G-01、NJ039A-G-02、NJ039A-G-03、NJ039A-G-05、NJ039A-G-06、NJ039A-G-07、NJ039A-G-08、NJ039A-G-09、NJ039A-G-11、NJ039A-G-12、NJ039A-H-01、NJ039A-H-03、NJ039A-H-04、NJ039A-H-05、NJ039A-H-06、NJ039A-H-07、NJ039A-H-10、NJ039A-H-11、NJ039A-H-12、NJ039A-H-13、NJ039A-H-15、NJ039A-I-01、NJ039A-I-02、NJ039A-I-03、NJ039A-I-04、NJ039A-I-05、NJ039A-I-07、NJ039A-I-08、NJ039A-I-09、NJ039A-I-10、NJ039A-I-11、NJ039A-I-12、NJ039A-I-13、NJ039A-I-14、NJ039A-I-15、NJ039B-A-01、NJ039B-A-02、NJ039B-A-03、NJ039B-A-04、NJ039B-A-05、NJ039B-A-06、NJ039B-A-07、NJ039B-A-08、NJ039B-B-02、NJ039B-B-03、NJ039B-B-04、NJ039B-B-05、NJ039B-B-07、NJ039B-C-04、NJ039B-C-05、NJ039B-C-06、NJ039B-C-07、NJ039B-C-08、NJ039B-C-09、NJ039B-C-13、NJ039B-C-14、NJ039B-C-15、NJ039B-C-16、NJ039B-C-17、NJ039B-C-18、NJ039B-C-19、NJ039B-C-20、NJ039B-D-03、NJ039B-D-06、NJ039B-D-07、NJ039B-D-08、NJ039B-D-12、NJ039B-D-13、NJ039B-D-14、NJ039B-D-18、NJ039B-E-01、NJ039B-E-02、NJ039B-E-05、NJ039B-E-06、NJ039B-E-07、NJ039B-E-10、NJ039B-E-12、NJ039B-E-13、NJ039B-E-14、NJ039B-F-01、NJ039B-F-05、NJ039B-F-07、NJ039B-F-08、NJ039B-F-11、NJ039B-F-12、NJ039B-F-13、NJ039B-F-16、NJ039B-F-19、NJ039B-F-20、NJ0311C-A-01、NJ0311C-A-08、NJ0311C-B-02、NJ0311C-C-02、NJ0311C-C-04、NJ0311C-D-15、NJ0311C-D-19、NJ0311C-D-20、NJ0311C-G-03、NJ0311C-G-05、NJ0311C-G-06、NJ0311C-G-11、NJ0311C-H-08、NJ0311C-H-10、NJ0311C-I-04、NJ0311C-I-05、NJ0311C-I-13、NJ0311C-J-09、NJ0311C-J-16、NJ0311C-J-17、NJ0311C-K-18、NJ0311C-K-19、NJ0311D-A-01、NJ0311D-A-02、NJ0311D-A-03、NJ0311D-A-04、NJ0311D-A-07、NJ0311D-A-08、NJ0311D-A-09、NJ0311D-B-04、NJ0311D-B-05、NJ0311D-B-06、NJ0311D-B-09、NJ0311D-B-10、NJ0311D-B-11、NJ0311D-B-12、NJ0311D-B-13、NJ0311D-B-14、NJ0311D-B-15、NJ0311D-C-01、NJ0311D-C-02、NJ0311D-C-03、NJ0311D-C-04、NJ0311D-C-05、NJ0311D-C-07、NJ0311D-C-08、NJ0311D-C-09、NJ0311D-C-10、NJ0311D-C-11、NJ0311D-C-12、NJ0311D-D-01、NJ0311D-D-02、NJ0311D-D-04、NJ0311D-D-05、NJ0311D-D-06、NJ0311D-D-07、NJ0311D-D-08、NJ0311D-D-09、NJ0311D-D-10、NJ0311D-D-11、NJ0311D-D-12、NJ0311D-D-13、NJ0311D-D-14、NJ0311D-D-15、NJ0311D-E-01、NJ0311D-E-02、NJ0311D-E-03、NJ0311D-E-05、NJ0311D-E-07、NJ0311D-E-08、NJ0311D-E-09、NJ0311D-E-10、NJ0311D-E-11、NJ0311D-E-12、NJ0311D-E-15、NJ0311D-F-01、NJ0311D-F-02、NJ0311D-F-03、NJ0311D-F-04、NJ0311D-F-05、NJ0311D-F-06、NJ0311D-F-07、NJ0311D-F-08、NJ0311D-F-09、NJ0311D-F-11、NJ0311D-F-12、NJ0311D-G-03、NJ0311D-G-06、NJ0311D-G-07、NJ0311D-G-08、NJ0311D-G-09、NJ0311D-G-10、NJ0311D-G-11、NJ0311D-G-12、NJ0311D-H-02、NJ0311D-H-03、NJ0311D-H-04、NJ0311D-H-05、NJ0311D-H-07、NJ0311D-H-08、NJ0311D-H-09、NJ0311D-H-10、NJ0311D-H-11、NJ0311D-H-12、NJ0311D-H-15、NJ0311D-I-01、NJ0311D-I-02、NJ0311D-I-04、NJ0311D-I-05、NJ0311D-I-08、NJ0311D-I-09、NJ0311D-I-11、NJ0311D-I-14、NJ0311D-I-15、NJ0311A-A-13、NJ0311A-B-04、NJ0311A-D-11、NJ0311A-D-13、NJ0311A-D-14、NJ0311A-G-02、NJ0311A-G-03、NJ0311A-H-06、NJ0311A-I-08、NJ0311A-I-09、NJ0311A-I-14、NJ0311A-I-15、NJ0311B-A-08、NJ0311B-B-05、NJ0311B-C-01、NJ0311B-C-02、NJ0311B-C-07、NJ0311B-C-08、NJ0311B-D-04、NJ0311B-D-07、NJ0311B-F-02、NJ0311B-F-06、NJ0311B-F-07、NJ0311B-F-13、NJ0311B-G-02、NJ0311B-G-14、NJ0311B-G-15、NJ0311B-G-18、NJ0311B-G-19、NJ0311B-H-12、NJ0311B-I-06、NJ0311B-I-07、NJ0311B-I-08、NJ0311B-I-09、NJ0311B-I-11、NJ0311B-I-14、NJ0311B-J-13、NJ0311B-K-09、NJ0311B-K-10、NJ0310B-C-09、NJ0310B-C-16、NJ0310B-C-17、NJ0310B-C-20、NJ0310B-E-08、NJ0310B-E-14、NJ0310B-F-08、NJ0310B-G-08、NJ0310B-G-17、NJ0310B-H-02、NJ0310B-H-03、NJ0310B-H-11、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</si>
  <si>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038E-A-02、NJ038E-A-07、NJ038E-A-08、NJ038E-B-02、NJ038E-B-07、NJ038D-A-01、NJ038D-A-07、NJ038D-A-08、NJ038D-A-11、NJ038D-A-12、NJ038D-A-14、NJ038D-B-01、NJ038D-B-02、NJ038D-B-03、NJ038D-B-04、NJ038D-B-05、NJ038D-B-06、NJ038D-B-07、NJ038D-B-09、NJ038D-B-10、NJ038D-B-11、NJ038D-B-12、NJ038D-C-01、NJ038D-C-02、NJ038D-C-03、NJ038D-C-04、NJ038D-C-05、NJ038D-C-06、NJ038D-C-07、NJ038D-C-08、NJ038D-C-09、NJ038D-C-10、NJ038D-C-11、NJ038D-C-13、NJ038D-C-14、NJ038D-C-15、NJ038D-D-03、NJ038D-D-04、NJ038D-D-05、NJ038D-D-06、NJ038D-D-07、NJ038D-D-08、NJ038D-D-10、NJ038D-D-11、NJ038D-D-12、NJ038D-D-13、NJ038D-D-14、NJ038D-D-15、NJ038D-E-01、NJ038D-E-02、NJ038D-E-04、NJ038D-E-05、NJ038D-E-06、NJ038D-E-07、NJ038D-E-08、NJ038D-E-11、NJ038D-E-12、NJ038D-F-01、NJ038D-F-03、NJ038D-F-04、NJ038D-F-05、NJ038D-F-06、NJ038D-F-09、NJ038D-F-10、NJ038D-G-01、NJ038D-G-07、NJ038D-G-08、NJ038D-G-13、NJ038D-G-14、NJ038D-G-15、NJ038D-H-01、NJ038D-H-02、NJ038D-H-03、NJ038D-H-04、NJ038D-H-05、NJ038D-H-06、NJ038D-H-07、NJ038D-H-09、NJ038D-H-10、NJ038D-H-13、NJ038D-H-14、NJ038D-H-15、NJ038C-A-01、NJ038C-A-02、NJ038C-A-03、NJ038C-A-04、NJ038C-A-05、NJ038C-A-06、NJ038C-A-07、NJ038C-A-09、NJ038C-A-13、NJ038C-A-14、NJ038C-A-15、NJ038C-A-16、NJ038C-A-17、NJ038C-B-02、NJ038C-B-03、NJ038C-B-05、NJ038C-B-07、NJ038C-B-08、NJ038C-B-11、NJ038C-B-12、NJ038C-B-14、NJ038C-C-01、NJ038C-C-02、NJ038C-C-03、NJ038C-C-04、NJ038C-C-05、NJ038C-C-06、NJ038C-C-09、NJ038C-C-11、NJ038C-C-13、NJ038C-C-14、NJ038C-C-15、NJ038C-C-16、NJ038C-C-17、NJ038C-C-18、NJ038C-C-19、NJ038C-C-20、NJ038C-D-01、NJ038C-D-02、NJ038C-D-03、NJ038C-D-04、NJ038C-D-05、NJ038C-D-06、NJ038C-D-08、NJ038C-D-09、NJ038C-D-10、NJ038C-D-11、NJ038C-D-13、NJ038C-D-15、NJ038C-D-17、NJ038C-D-19、NJ038C-D-20、NJ038C-E-01、NJ038C-E-02、NJ038C-E-05、NJ038C-E-07、NJ038C-E-08、NJ038C-E-09、NJ038C-E-10、NJ038C-E-11、NJ038C-E-12、NJ038C-E-13、NJ038C-E-14、NJ038C-F-01、NJ038C-F-02、NJ038C-F-03、NJ038C-F-04、NJ038C-F-05、NJ038C-F-06、NJ038C-F-07、NJ038C-F-08、NJ038C-F-09、NJ038C-F-10、NJ038C-F-11、NJ038C-F-12、NJ038C-F-14、NJ038C-G-01、NJ038C-G-03、NJ038C-G-04、NJ038C-G-05、NJ038C-G-06、NJ038C-G-09、NJ038C-G-10、NJ038C-G-11、NJ038C-G-12、NJ038C-G-13、NJ038C-G-14、NJ038C-G-15、NJ038C-G-16、NJ038C-G-17、NJ038C-G-18、NJ038C-G-20、NJ038C-H-01、NJ038C-H-02、NJ038C-H-03、NJ038C-H-04、NJ038C-H-05、NJ038C-H-06、NJ038C-H-07、NJ038C-H-13、NJ038C-H-14、NJ038B-A-01、NJ038B-A-02、NJ038B-A-05、NJ038B-A-06、NJ038B-A-07、NJ038B-A-08、NJ038B-A-09、NJ038B-A-11、NJ038B-A-15、NJ038B-A-16、NJ038B-A-17、NJ038B-A-18、NJ038B-B-03、NJ038B-B-04、NJ038B-B-05、NJ038B-B-06、NJ038B-B-07、NJ038B-B-08、NJ038B-B-09、NJ038B-B-11、NJ038B-B-12、NJ038B-B-13、NJ038B-B-14、NJ038B-C-03、NJ038B-C-04、NJ038B-C-05、NJ038B-C-06、NJ038B-C-09、NJ038B-C-10、NJ038B-C-11、NJ038B-C-12、NJ038B-C-13、NJ038B-C-14、NJ038B-D-01、NJ038B-D-03、NJ038B-D-05、NJ038B-D-07、NJ038B-D-08、NJ038B-D-11、NJ038B-D-12、NJ038B-D-13、NJ038B-D-14、NJ038B-D-15、NJ038B-D-16、NJ038B-D-17、NJ038B-E-01、NJ038B-E-02、NJ038B-E-03、NJ038B-E-05、NJ038B-E-06、NJ038B-E-07、NJ038B-E-08、NJ038B-E-09、NJ038B-E-10、NJ038B-E-13、NJ038B-E-15、NJ038B-E-17、NJ038B-E-19、NJ038B-E-20、NJ038A-A-01、NJ038A-A-02、NJ038A-A-03、NJ038A-A-04、NJ038A-A-09、NJ038A-A-10、NJ038A-A-11、NJ038A-A-12、NJ038A-A-13、NJ038A-A-14、NJ038A-B-03、NJ038A-B-04、NJ038A-B-05、NJ038A-B-06、NJ038A-B-07、NJ038A-B-08、NJ038A-B-09、NJ038A-B-11、NJ038A-B-12、NJ038A-C-01、NJ038A-C-02、NJ038A-C-04、NJ038A-C-05、NJ038A-C-06、NJ038A-C-09、NJ038A-C-10、NJ038A-D-03、NJ038A-D-04、NJ038A-D-06、NJ038A-D-07、NJ038A-D-08、NJ038A-D-10、NJ038A-D-11、NJ038A-D-13、NJ038A-D-14、NJ038A-D-15、NJ038A-E-02、NJ038A-E-03、NJ038A-E-04、NJ038A-E-05、NJ038A-E-06、NJ038A-E-07、NJ038A-E-09、NJ038A-E-10、NJ038A-E-12、NJ038A-E-14、NJ038A-E-15、NJ038A-F-01、NJ038A-F-02、NJ038A-F-03、NJ038A-F-06、NJ038A-F-07、NJ038A-F-08、NJ038A-F-10、NJ038A-F-11、NJ038A-F-12、NJ038A-G-01、NJ038A-G-03、NJ038A-G-04、NJ038A-G-05、NJ038A-G-06、NJ038A-G-07、NJ038A-G-08、NJ038A-G-11、NJ038A-G-15、NJ038A-H-01、NJ038A-H-02、NJ038A-H-05、NJ038A-H-06、NJ038A-H-11、NJ038A-H-14、NJ038A-H-15、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</si>
  <si>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039A-A-11、NJ039A-B-10、NJ039A-B-12、NJ039A-C-05、NJ039A-D-07、NJ039A-D-10、NJ039A-G-04、NJ039A-H-08、NJ039A-I-06、NJ039B-C-02、NJ039B-C-03、NJ039B-C-10、NJ039B-C-11、NJ039B-D-09、NJ039B-D-11、NJ039B-D-15、NJ039B-D-16、NJ0311C-A-02、NJ0311C-B-01、NJ0311C-B-03、NJ0311C-B-05、NJ0311C-B-06、NJ0311C-B-07、NJ0311C-C-03、NJ0311C-C-19、NJ0311C-D-07、NJ0311C-D-08、NJ0311C-D-13、NJ0311C-D-16、NJ0311C-F-07、NJ0311C-F-08、NJ0311C-G-12、NJ0311C-G-13、NJ0311C-G-14、NJ0311C-G-15、NJ0311C-G-16、NJ0311C-G-18、NJ0311C-H-01、NJ0311C-H-02、NJ0311C-H-03、NJ0311C-H-04、NJ0311C-H-06、NJ0311C-H-07、NJ0311C-H-11、NJ0311C-I-10、NJ0311D-A-05、NJ0311D-B-02、NJ0311D-C-06、NJ0311D-D-03、NJ0311D-E-04、NJ0311D-E-06、NJ0311D-E-14、NJ0311D-F-10、NJ0311D-H-01、NJ0311D-H-06、NJ0311A-A-01、NJ0311A-B-08、NJ0311A-B-10、NJ0311A-C-02、NJ0311A-C-08、NJ0311A-H-13、NJ0311A-I-11、NJ0311B-A-04、NJ0311B-A-05、NJ0311B-A-07、NJ0311B-B-04、NJ0311B-B-07、NJ0311B-C-06、NJ0311B-D-08、NJ0311B-F-14、NJ0311B-G-05、NJ0311B-H-10、NJ0311B-I-10、NJ0311B-I-13、NJ0311B-J-06、NJ0311B-J-09、NJ0311B-J-10、NJ0311B-J-14、NJ0310B-A-06、NJ0310B-E-05、NJ0310B-E-09、NJ0310B-F-05、NJ0310B-F-07、NJ0310B-G-09、NJ0310B-H-01、NJ0310B-H-09、NJ0310B-H-12、NJ0310B-J-08、NJ0310B-J-09、NJ0310A-A-02、NJ0310A-A-04、NJ0310A-A-08、NJ0310A-A-15、NJ0310A-B-01、NJ0310A-B-07、NJ0310A-B-14、NJ0310A-C-01、NJ0310A-C-02、NJ0310A-C-11、NJ0310A-D-04、NJ0310A-D-05、NJ0310A-F-05、NJ0310A-F-11、NJ0310A-H-02、NJ0310A-H-06、NJ0310A-I-09、NJ0310A-I-11、NJ039B-G-06、NJ039B-G-14、NJ039B-I-02、NJ039B-I-08、NJ039B-J-05、NJ039B-J-08、NJ039B-K-05、NJ039B-K-11、NJ039B-K-14、NJ039B-K-20</t>
  </si>
  <si>
    <t>NJ039A-A-05、NJ039B-D-04、NJ039B-D-05、NJ0311C-C-16、NJ0311C-D-09、NJ0311C-D-10、NJ0311C-E-07、NJ0311C-F-01、NJ0311C-F-02、NJ0311C-G-09、NJ0311C-K-04、NJ0311A-A-12、NJ0311A-D-08、NJ0311A-F-11、NJ0311A-G-12、NJ0311A-I-02、NJ0311B-G-03、NJ039B-I-11</t>
  </si>
  <si>
    <t>NJ039A-A-02、NJ039A-A-04、NJ039A-A-12、NJ039A-A-14、NJ039A-A-15、NJ039A-B-04、NJ039A-B-14、NJ039A-C-04、NJ039A-C-08、NJ039A-D-14、NJ039A-E-02、NJ039A-E-04、NJ039A-E-05、NJ039A-E-14、NJ039A-F-05、NJ039A-F-06、NJ039A-H-02、NJ039A-H-09、NJ039B-C-12、NJ039B-D-01、NJ039B-D-02、NJ039B-D-10、NJ039B-D-17、NJ039B-E-08、NJ039B-E-09、NJ039B-E-11、NJ039B-F-02、NJ039B-F-03、NJ039B-F-14、NJ039B-F-15、NJ039B-F-17、NJ039B-F-18、NJ0311C-B-04、NJ0311C-C-10、NJ0311C-C-11、NJ0311C-C-17、NJ0311C-C-18、NJ0311C-F-15、NJ0311C-F-16、NJ0311C-G-01、NJ0311C-G-08、NJ0311C-I-09、NJ0311C-J-10、NJ0311C-K-16、NJ0311D-A-06、NJ0311D-B-01、NJ0311D-B-03、NJ0311D-B-07、NJ0311D-B-08、NJ0311D-E-13、NJ0311D-G-01、NJ0311D-G-02、NJ0311D-G-04、NJ0311D-G-05、NJ0311A-A-02、NJ0311A-A-04、NJ0311A-A-05、NJ0311A-A-06、NJ0311A-A-08、NJ0311A-A-10、NJ0311A-A-11、NJ0311A-A-14、NJ0311A-A-15、NJ0311A-B-02、NJ0311A-B-03、NJ0311A-B-05、NJ0311A-B-06、NJ0311A-B-07、NJ0311A-B-11、NJ0311A-B-13、NJ0311A-B-14、NJ0311A-E-01、NJ0311A-E-02、NJ0311A-E-07、NJ0311A-E-11、NJ0311A-E-12、NJ0311A-E-14、NJ0311A-F-10、NJ0311A-G-11、NJ0311A-H-11、NJ0311A-H-12、NJ0311A-I-03、NJ0311B-A-06、NJ0311B-C-09、NJ0311B-C-10、NJ0311B-C-13、NJ0311B-E-03、NJ0311B-E-04、NJ0311B-F-01、NJ0311B-F-10、NJ0311B-G-06、NJ0311B-H-04、NJ0311B-H-09、NJ0311B-H-13、NJ0311B-J-07、NJ0311B-J-08、NJ0311B-J-11、NJ0311B-K-07、NJ0311B-K-08、NJ0311B-K-19、NJ0311B-K-20、NJ0310B-A-05、NJ0310B-B-04、NJ0310B-B-05、NJ0310B-B-06、NJ0310B-D-08、NJ0310B-D-09、NJ0310B-D-17、NJ0310B-E-11、NJ0310B-F-14、NJ0310B-F-15、NJ0310B-F-20、NJ0310B-G-04、NJ0310B-G-05、NJ0310B-H-08、NJ0310B-I-04、NJ0310B-I-05、NJ0310B-I-06、NJ0310B-I-13、NJ0310B-I-14、NJ0310B-J-06、NJ0310B-J-07、NJ0310B-J-13、NJ0310B-J-17、NJ0310B-J-18、NJ0310B-K-09、NJ0310B-K-10、NJ0310B-K-11、NJ0310B-K-15、NJ0310A-A-11、NJ0310A-B-02、NJ0310A-B-03、NJ0310A-B-05、NJ0310A-B-13、NJ0310A-C-05、NJ0310A-C-06、NJ0310A-C-08、NJ0310A-C-09、NJ0310A-C-10、NJ0310A-D-02、NJ0310A-D-03、NJ0310A-D-06、NJ0310A-D-14、NJ0310A-E-08、NJ0310A-E-13、NJ0310A-E-14、NJ0310A-F-01、NJ0310A-F-02、NJ0310A-F-04、NJ0310A-F-10、NJ0310A-I-07、NJ0310A-I-12、NJ039B-G-02、NJ039B-G-03、NJ039B-G-04、NJ039B-G-05、NJ039B-G-11、NJ039B-G-15、NJ039B-H-05、NJ039B-I-03、NJ039B-I-04、NJ039B-I-05、NJ039B-I-07、NJ039B-I-09、NJ039B-I-10、NJ039B-J-02、NJ039B-J-04、NJ039B-J-06、NJ039B-J-07、NJ039B-J-09、NJ039B-J-11、NJ039B-J-12、NJ039B-J-14、NJ039B-J-17、NJ039B-J-19、NJ039B-J-20、NJ039B-K-02、NJ039B-K-03、NJ039B-K-12、NJ039B-K-13、NJ039B-K-15、NJ039B-K-17</t>
  </si>
  <si>
    <t>NJ038E-A-01、NJ038E-A-03、NJ038E-B-01、NJ038E-B-03、NJ038E-B-04、NJ038D-A-09、NJ038D-A-10、NJ038D-B-08、NJ038D-C-12、NJ038D-D-02、NJ038D-D-09、NJ038D-E-03、NJ038D-E-09、NJ038D-F-08、NJ038D-G-02、NJ038D-G-04、NJ038D-G-10、NJ038D-G-11、NJ038D-G-12、NJ038D-H-08、NJ038C-A-18、NJ038C-A-19、NJ038C-B-01、NJ038C-B-06、NJ038C-C-10、NJ038C-D-07、NJ038C-D-12、NJ038C-D-14、NJ038C-D-18、NJ038C-E-04、NJ038B-A-04、NJ038B-C-08、NJ038B-D-06、NJ038B-E-18、NJ038A-C-07、NJ038A-D-05、NJ038A-E-01、NJ038A-E-08、NJ038A-F-04、NJ038A-G-09、NJ038A-G-10、NJ038A-G-12、NJ038A-G-13、NJ038A-G-14、NJ038A-H-12、NJ038A-H-13</t>
  </si>
  <si>
    <t>NJ038E-A-05、NJ038E-B-05、NJ038D-A-13、NJ038D-F-02、NJ038D-F-07、NJ038D-F-11、NJ038D-G-03、NJ038C-A-12、NJ038C-B-04、NJ038C-B-10、NJ038C-B-13、NJ038C-C-12、NJ038C-D-16、NJ038C-E-06、NJ038C-F-13、NJ038C-G-02、NJ038C-G-08、NJ038C-G-19、NJ038C-H-08、NJ038C-H-10、NJ038C-H-12、NJ038C-H-16、NJ038C-H-18、NJ038C-H-19、NJ038B-B-02、NJ038B-D-04、NJ038B-D-10、NJ038B-D-18、NJ038B-D-19、NJ038B-E-04、NJ038B-E-14、NJ038B-E-16、NJ038A-B-02、NJ038A-C-11、NJ038A-D-09、NJ038A-E-11、NJ038A-H-03</t>
  </si>
  <si>
    <t>NJ038E-A-04、NJ038E-A-06、NJ038E-B-06、NJ038D-A-02、NJ038D-A-03、NJ038D-A-04、NJ038D-A-05、NJ038D-A-06、NJ038D-D-01、NJ038D-E-10、NJ038D-F-12、NJ038D-G-05、NJ038D-G-06、NJ038D-G-09、NJ038D-H-11、NJ038D-H-12、NJ038C-A-08、NJ038C-A-10、NJ038C-A-11、NJ038C-B-09、NJ038C-E-03、NJ038C-G-07、NJ038C-H-09、NJ038C-H-11、NJ038C-H-15、NJ038C-H-17、NJ038C-H-20、NJ038B-A-03、NJ038B-A-10、NJ038B-A-12、NJ038B-A-13、NJ038B-A-14、NJ038B-A-19、NJ038B-A-20、NJ038B-B-01、NJ038B-B-10、NJ038B-C-01、NJ038B-C-02、NJ038B-C-07、NJ038B-D-02、NJ038B-D-09、NJ038B-D-20、NJ038B-E-11、NJ038B-E-12、NJ038B-F-05、NJ038B-F-07、NJ038A-A-05、NJ038A-A-06、NJ038A-A-07、NJ038A-A-08、NJ038A-B-01、NJ038A-C-03、NJ038A-C-08、NJ038A-C-12、NJ038A-D-01、NJ038A-D-02、NJ038A-E-13、NJ038A-F-05、NJ038A-F-09、NJ038A-G-02、NJ038A-H-04、NJ038A-H-07、NJ038A-H-08、NJ038A-H-09、NJ038A-H-10</t>
  </si>
  <si>
    <t>182315IDC00068</t>
  </si>
  <si>
    <t>南京新港-南京二长</t>
  </si>
  <si>
    <t>G00160983：南京市栖霞区仙新东路20号百度光交箱紫泉物流园北面南京市建邺区江东中路49号二长机房8层北京百度网络科技有限公司</t>
  </si>
  <si>
    <t>G00160997：南京市栖霞区仙新东路20号百度光交箱紫泉物流园外恒业路南京市建邺区江东中路49号二长机房8层北京百度网络科技有限公司</t>
  </si>
  <si>
    <t>南京新港-南京吉山</t>
  </si>
  <si>
    <t>L20230910004</t>
  </si>
  <si>
    <t>南京凤凰NJ02</t>
  </si>
  <si>
    <t>NJ022E-F-10、NJ022E-F-11</t>
  </si>
  <si>
    <t>NJ023B-A-05、NJ023B-C-13、NJ023B-D-10、NJ023B-E-04、NJ023B-E-07、NJ023B-F-03、NJ023B-F-05、NJ023B-F-11、NJ023B-H-01、NJ023B-H-06</t>
  </si>
  <si>
    <t>NJ022D-C-10、NJ022E-B-06、NJ022E-B-10、NJ022E-B-15、NJ022E-C-01、NJ022E-C-02、NJ022E-C-10、NJ022E-C-12、NJ022E-I-07、NJ022E-I-11、NJ023B-A-02、NJ023B-A-04、NJ023B-A-14、NJ023B-A-17、NJ023B-B-04、NJ023B-B-13、NJ023B-C-04、NJ023B-D-16、NJ023B-D-18、NJ023B-E-11、NJ023B-F-01、NJ023B-G-09、NJ023B-H-03、NJ023B-H-05、NJ023F-C-06、NJ023F-C-11、NJ023F-D-04、NJ023F-D-06、NJ023F-D-16、NJ022C-F-06、NJ022C-F-09、NJ022C-F-13、NJ022C-F-14、NJ022C-F-28、NJ022C-G-02、NJ022C-G-07、NJ022C-G-12、NJ022C-G-13、NJ022C-G-23、NJ022C-G-25、NJ022C-G-27、NJ022C-H-04、NJ022C-H-05、NJ022C-H-07、NJ022C-H-09、NJ022C-H-10、NJ022C-H-12、NJ022C-H-14、NJ022C-H-15、NJ023E-A-06、NJ023E-A-09、NJ023E-B-05、NJ023E-B-13、NJ023E-D-01、NJ023E-D-03、NJ023E-D-05、NJ023E-D-07、NJ023E-D-08、NJ023E-D-13</t>
  </si>
  <si>
    <t>NJ023C-A-01、NJ023C-A-07、NJ023C-A-10、NJ023C-A-23、NJ023C-A-25、NJ023C-A-32、NJ023C-B-12、NJ023C-C-22、NJ023C-C-25、NJ023C-F-09、NJ023C-G-03、NJ023C-G-04、NJ023C-G-06、NJ023C-G-09、NJ023C-G-12、NJ023C-G-16、NJ023C-H-02、NJ023C-H-03、NJ023C-H-05、NJ023C-H-06、NJ023C-H-10、NJ023C-H-13、NJ023C-H-15、NJ023C-H-22</t>
  </si>
  <si>
    <t>NJ023A-H-01、NJ023A-H-02、NJ023C-A-01、NJ023C-A-07、NJ023C-A-10、NJ023C-A-23、NJ023C-A-25、NJ023C-A-32、NJ023C-B-12、NJ023C-C-22、NJ023C-C-25、NJ023C-F-09、NJ023C-G-03、NJ023C-G-04、NJ023C-G-06、NJ023C-G-09、NJ023C-G-12、NJ023C-G-16、NJ023C-H-02、NJ023C-H-03、NJ023C-H-05、NJ023C-H-06、NJ023C-H-10、NJ023C-H-13、NJ023C-H-15、NJ023C-H-22</t>
  </si>
  <si>
    <t>第一至四批。NJ022A-A-01、NJ022A-A-02、NJ022A-A-09、NJ022A-A-10、NJ022A-A-11、NJ022A-A-12、NJ022A-A-13、NJ022A-A-14、NJ022A-B-02、NJ022A-B-04、NJ022A-B-09、NJ022A-B-11、NJ022A-C-01、NJ022A-C-02、NJ022A-C-03、NJ022A-C-04、NJ022A-C-08、NJ022A-C-09、NJ022A-C-13、NJ022A-D-01、NJ022A-D-02、NJ022A-D-07、NJ022A-D-09、NJ022A-D-12、NJ022A-D-14、NJ022A-D-15、NJ022A-D-16、NJ022A-D-17、NJ022A-D-19、NJ022A-E-09、NJ022A-E-14、NJ022A-F-03、NJ022A-F-04、NJ022A-F-05、NJ022A-F-07、NJ022A-F-09、NJ022A-F-10、NJ022A-F-12、NJ022A-F-19、NJ022A-G-07、NJ022A-G-14、NJ022A-H-07、NJ022B-A-04、NJ022B-A-05、NJ022B-A-06、NJ022B-A-07、NJ022B-A-08、NJ022B-A-09、NJ022B-A-10、NJ022B-A-14、NJ022B-A-15、NJ022B-A-19、NJ022B-B-09、NJ022B-B-10、NJ022B-C-05、NJ022B-C-10、NJ022B-D-02、NJ022B-D-04、NJ022B-D-05、NJ022B-D-06、NJ022B-D-07、NJ022B-D-17、NJ022B-E-01、NJ022B-E-04、NJ022B-E-06、NJ022B-E-12、NJ022B-E-13、NJ022B-E-14、NJ022B-E-15、NJ022B-E-16、NJ022B-F-01、NJ022B-F-05、NJ022B-F-09、NJ022B-G-02、NJ022B-G-03、NJ022B-G-04、NJ022B-G-05、NJ022B-G-07、NJ022B-G-12、NJ022B-G-13、NJ022B-G-14、NJ022B-H-02、NJ022B-H-03、NJ022B-H-04、NJ022B-H-06、NJ022B-H-08、NJ022B-H-09、NJ022B-H-12、NJ022C-A-01、NJ022C-A-02、NJ022C-A-03、NJ022C-A-04、NJ022C-A-21、NJ022C-A-22、NJ022C-A-23、NJ022C-A-24、NJ022C-A-25、NJ022C-A-26、NJ022C-A-28、NJ022C-A-29、NJ022C-A-30、NJ022C-A-31、NJ022C-A-32、NJ022C-A-33、NJ022C-B-01、NJ022C-B-02、NJ022C-B-03、NJ022C-B-06、NJ022C-B-09、NJ022C-B-11、NJ022C-B-12、NJ022C-B-15、NJ022C-B-16、NJ022C-B-17、NJ022C-B-18、NJ022C-B-19、NJ022C-B-20、NJ022C-B-21、NJ022C-C-01、NJ022C-C-02、NJ022C-C-03、NJ022C-C-04、NJ022C-C-05、NJ022C-C-06、NJ022C-C-09、NJ022C-C-10、NJ022C-C-11、NJ022C-C-17、NJ022C-C-18、NJ022C-C-19、NJ022C-C-20、NJ022C-C-21、NJ022C-C-22、NJ022C-C-23、NJ022C-C-24、NJ022C-D-01、NJ022C-D-02、NJ022C-D-03、NJ022C-D-04、NJ022C-D-05、NJ022C-D-06、NJ022C-D-07、NJ022C-D-08、NJ022C-D-09、NJ022C-D-12、NJ022C-D-13、NJ022C-D-14、NJ022C-D-15、NJ022C-D-16、NJ022C-D-17、NJ022C-D-18、NJ022C-D-19、NJ022C-D-20、NJ022C-D-21、NJ022C-D-23、NJ022C-D-26、NJ022C-D-29、NJ022C-D-31、NJ022C-D-33、NJ022C-E-02、NJ022C-E-03、NJ022C-E-04、NJ022C-E-05、NJ022C-E-08、NJ022C-E-09、NJ022C-E-12、NJ022C-E-13、NJ022C-E-14、NJ022C-E-15、NJ022C-E-16、NJ022C-E-17、NJ022C-E-18、NJ022C-E-21、NJ022C-E-22、NJ022C-E-23、NJ022C-E-24、NJ022C-E-25、NJ022C-E-27、NJ022C-F-02、NJ022C-F-03、NJ022C-F-04、NJ022C-F-05、NJ022C-F-08、NJ022C-F-10、NJ022C-F-11、NJ022C-F-12、NJ022C-F-17、NJ022C-F-18、NJ022C-F-21、NJ022C-F-23、NJ022C-F-24、NJ022C-G-03、NJ022C-G-06、NJ022C-G-11、NJ022C-G-14、NJ022C-G-15、NJ022C-G-16、NJ022C-G-17、NJ022C-G-20、NJ022C-G-21、NJ022C-G-22、NJ022C-G-24、NJ022C-G-26、NJ022C-H-01、NJ022C-H-02、NJ022C-H-03、NJ022C-H-11、NJ022C-H-13、NJ022C-H-16、NJ022C-H-17、NJ022C-H-19、NJ022C-H-20、NJ022C-H-24、NJ022D-A-01、NJ022D-A-14、NJ022D-B-01、NJ022D-B-02、NJ022D-B-10、NJ022D-C-02、NJ022D-C-03、NJ022D-C-08、NJ022D-C-09、NJ022D-C-11、NJ022D-C-12、NJ022D-C-13、NJ022D-D-01、NJ022D-D-02、NJ022D-D-04、NJ022D-D-08、NJ022D-E-13、NJ022D-E-14、NJ022D-F-01、NJ022D-F-04、NJ022D-F-05、NJ022D-F-06、NJ022D-F-08、NJ022D-F-10、NJ022D-F-11、NJ022D-F-12、NJ022D-F-19、NJ022D-G-01、NJ022D-G-05、NJ022D-G-06、NJ022D-G-07、NJ022D-G-09、NJ022D-G-13、NJ022D-G-14、NJ022D-H-01、NJ022D-H-02、NJ022D-H-03、NJ022D-H-08、NJ022D-I-01、NJ022D-I-04、NJ022D-I-05、NJ022D-I-06、NJ022D-I-07、NJ022D-I-08、NJ022D-I-09、NJ022D-I-14、NJ022D-I-15、NJ022D-I-16、NJ022E-A-01、NJ022E-A-03、NJ022E-A-05、NJ022E-A-06、NJ022E-A-07、NJ022E-A-09、NJ022E-A-10、NJ022E-A-11、NJ022E-A-12、NJ022E-A-15、NJ022E-A-16、NJ022E-A-18、NJ022E-B-01、NJ022E-B-04、NJ022E-B-07、NJ022E-B-11、NJ022E-B-14、NJ022E-C-03、NJ022E-C-04、NJ022E-C-06、NJ022E-C-07、NJ022E-C-08、NJ022E-C-09、NJ022E-C-11、NJ022E-C-13、NJ022E-C-14、NJ022E-C-15、NJ022E-D-01、NJ022E-D-02、NJ022E-D-05、NJ022E-D-06、NJ022E-D-07、NJ022E-D-08、NJ022E-D-11、NJ022E-D-12、NJ022E-D-13、NJ022E-D-14、NJ022E-D-15、NJ022E-D-16、NJ022E-D-17、NJ022E-D-18、NJ022E-H-02、NJ022E-H-03、NJ022E-H-04、NJ022E-H-06、NJ022E-H-07、NJ022E-H-08、NJ022E-H-12、NJ022E-I-03、NJ022E-I-04、NJ022E-I-08、NJ022E-I-13、NJ022E-I-14、NJ022E-I-15、NJ022E-I-17、NJ022E-I-18、NJ022F-G-02、NJ022F-G-06、NJ022F-G-07、NJ022F-G-15、NJ022F-G-16、NJ022F-G-19、NJ022F-G-20、NJ022F-G-21、NJ022F-G-22、NJ022F-G-23、NJ022F-G-24、NJ022F-G-25、NJ022F-G-26、NJ022F-H-01、NJ022F-H-02、NJ022F-H-03、NJ022F-H-05、NJ022F-H-06、NJ022F-H-07、NJ022F-H-09、NJ022F-H-10、NJ022F-H-15、NJ022F-H-24、NJ022F-H-25、NJ023A-A-01、NJ023A-A-02、NJ023A-A-08、NJ023A-A-13、NJ023A-A-14、NJ023A-A-16、NJ023A-A-17、NJ023A-A-18、NJ023A-A-19、NJ023A-B-01、NJ023A-B-02、NJ023A-B-04、NJ023A-B-05、NJ023A-B-06、NJ023A-B-07、NJ023A-B-09、NJ023A-B-10、NJ023A-B-12、NJ023A-C-01、NJ023A-C-02、NJ023A-C-03、NJ023A-C-05、NJ023A-C-07、NJ023A-C-08、NJ023A-C-09、NJ023A-C-10、NJ023A-C-11、NJ023A-C-12、NJ023A-D-01、NJ023A-D-03、NJ023A-D-04、NJ023A-D-05、NJ023A-D-06、NJ023A-D-07、NJ023A-D-08、NJ023A-D-09、NJ023A-D-10、NJ023A-D-13、NJ023A-D-14、NJ023A-D-15、NJ023A-D-17、NJ023A-D-18、NJ023A-E-05、NJ023A-E-09、NJ023A-E-10、NJ023A-E-11、NJ023A-E-12、NJ023A-E-13、NJ023A-E-14、NJ023A-F-01、NJ023A-F-03、NJ023A-F-04、NJ023A-F-05、NJ023A-F-06、NJ023A-F-07、NJ023A-F-09、NJ023A-F-10、NJ023A-F-11、NJ023A-F-12、NJ023A-F-13、NJ023A-F-14、NJ023A-F-15、NJ023A-F-16、NJ023A-F-17、NJ023A-G-02、NJ023A-G-03、NJ023A-G-04、NJ023A-G-06、NJ023A-G-09、NJ023A-G-11、NJ023A-G-12、NJ023A-G-13、NJ023A-H-03、NJ023A-H-04、NJ023A-H-06、NJ023A-H-07、NJ023A-H-08、NJ023A-H-10、NJ023A-H-11、NJ023A-H-12、NJ023B-A-06、NJ023B-A-07、NJ023B-A-08、NJ023B-A-09、NJ023B-A-10、NJ023B-A-11、NJ023B-A-12、NJ023B-A-13、NJ023B-A-15、NJ023B-A-16、NJ023B-A-18、NJ023B-A-19、NJ023B-B-05、NJ023B-B-06、NJ023B-B-07、NJ023B-B-09、NJ023B-B-10、NJ023B-B-14、NJ023B-C-01、NJ023B-C-02、NJ023B-C-05、NJ023B-C-06、NJ023B-C-07、NJ023B-C-08、NJ023B-C-09、NJ023B-C-11、NJ023B-D-03、NJ023B-D-04、NJ023B-D-05、NJ023B-D-06、NJ023B-D-08、NJ023B-D-09、NJ023B-D-11、NJ023B-D-12、NJ023B-D-13、NJ023B-D-14、NJ023B-D-15、NJ023B-D-17、NJ023B-D-19、NJ023B-E-01、NJ023B-E-02、NJ023B-E-03、NJ023B-E-05、NJ023B-E-06、NJ023B-E-08、NJ023B-E-09、NJ023B-E-10、NJ023B-E-12、NJ023B-E-13、NJ023B-E-14、NJ023B-E-15、NJ023B-E-16、NJ023B-F-02、NJ023B-F-04、NJ023B-F-06、NJ023B-F-07、NJ023B-F-08、NJ023B-F-09、NJ023B-F-10、NJ023B-F-12、NJ023B-F-13、NJ023B-F-14、NJ023B-F-15、NJ023B-F-16、NJ023B-F-17、NJ023B-F-18、NJ023B-F-19、NJ023B-G-01、NJ023B-G-02、NJ023B-G-03、NJ023B-G-04、NJ023B-G-05、NJ023B-G-06、NJ023B-G-10、NJ023B-G-11、NJ023B-G-12、NJ023B-G-13、NJ023B-G-14、NJ023B-H-02、NJ023B-H-04、NJ023B-H-07、NJ023B-H-08、NJ023B-H-09、NJ023B-H-10、NJ023B-H-11、NJ023B-H-12、NJ023B-H-13、NJ023C-A-22、NJ023C-A-28、NJ023C-A-29、NJ023C-B-17、NJ023C-B-18、NJ023C-B-19、NJ023C-B-20、NJ023C-B-21、NJ023C-B-22、NJ023C-B-24、NJ023C-B-26、NJ023C-C-04、NJ023C-C-09、NJ023C-C-12、NJ023C-C-23、NJ023C-C-24、NJ023C-C-26、NJ023C-D-07、NJ023C-D-12、NJ023C-D-20、NJ023C-D-21、NJ023C-D-22、NJ023C-E-26、NJ023C-F-01、NJ023C-F-07、NJ023C-F-08、NJ023C-F-10、NJ023C-F-11、NJ023C-F-12、NJ023C-F-15、NJ023C-F-16、NJ023C-F-17、NJ023C-F-18、NJ023C-F-19、NJ023C-F-22、NJ023C-F-23、NJ023C-F-26、NJ023C-F-27、NJ023C-F-28、NJ023C-F-29、NJ023C-F-32、NJ023C-F-33、NJ023C-G-07、NJ023C-G-10、NJ023C-G-11、NJ023C-G-13、NJ023C-G-17、NJ023C-G-20、NJ023C-G-21、NJ023C-G-22、NJ023C-G-25、NJ023C-H-01、NJ023C-H-08、NJ023C-H-11、NJ023C-H-12、NJ023C-H-14、NJ023C-H-17、NJ023C-H-18、NJ023C-H-19、NJ023C-H-20、NJ023C-H-21、NJ023C-H-23、NJ023C-H-24、NJ023D-A-01、NJ023D-A-02、NJ023D-A-03、NJ023D-A-04、NJ023D-A-05、NJ023D-A-07、NJ023D-A-08、NJ023D-A-09、NJ023D-A-10、NJ023D-A-11、NJ023D-A-12、NJ023D-A-14、NJ023D-A-18、NJ023D-A-19、NJ023D-B-03、NJ023D-B-06、NJ023D-B-08、NJ023D-B-11、NJ023D-B-12、NJ023D-B-13、NJ023D-C-01、NJ023D-C-06、NJ023D-C-07、NJ023D-C-08、NJ023D-C-11、NJ023D-D-01、NJ023D-D-02、NJ023D-D-07、NJ023D-D-08、NJ023D-D-09、NJ023D-D-10、NJ023D-D-11、NJ023D-D-12、NJ023D-D-15、NJ023D-D-16、NJ023D-D-17、NJ023D-D-18、NJ023D-D-19、NJ023D-E-01、NJ023D-E-05、NJ023D-E-06、NJ023D-E-07、NJ023D-E-08、NJ023D-E-09、NJ023D-E-10、NJ023D-E-11、NJ023D-E-12、NJ023D-E-13、NJ023D-E-14、NJ023D-E-15、NJ023D-F-01、NJ023D-F-02、NJ023D-F-03、NJ023D-F-04、NJ023D-F-05、NJ023D-F-09、NJ023D-F-10、NJ023D-F-11、NJ023D-F-12、NJ023D-F-13、NJ023D-F-14、NJ023D-F-15、NJ023D-F-16、NJ023D-F-17、NJ023D-F-18、NJ023D-F-19、NJ023D-G-01、NJ023D-G-02、NJ023D-G-03、NJ023D-G-04、NJ023D-G-05、NJ023D-G-06、NJ023D-G-07、NJ023D-G-08、NJ023D-G-09、NJ023D-G-11、NJ023D-G-12、NJ023D-G-13、NJ023D-H-01、NJ023D-H-02、NJ023D-H-03、NJ023D-H-04、NJ023D-H-05、NJ023D-H-06、NJ023D-H-07、NJ023D-H-08、NJ023D-H-09、NJ023D-H-10、NJ023D-H-11、NJ023D-H-13、NJ023D-I-01、NJ023D-I-02、NJ023D-I-03、NJ023D-I-04、NJ023D-I-05、NJ023D-I-07、NJ023D-I-08、NJ023D-I-09、NJ023D-I-12、NJ023D-I-15、NJ023D-I-18、NJ023D-I-19、NJ023E-A-01、NJ023E-A-02、NJ023E-A-03、NJ023E-A-04、NJ023E-A-05、NJ023E-A-07、NJ023E-A-14、NJ023E-A-15、NJ023E-A-16、NJ023E-A-17、NJ023E-A-18、NJ023E-B-01、NJ023E-B-02、NJ023E-B-03、NJ023E-B-04、NJ023E-B-06、NJ023E-B-07、NJ023E-B-11、NJ023E-B-12、NJ023E-B-14、NJ023E-B-15、NJ023E-C-01、NJ023E-C-02、NJ023E-C-03、NJ023E-C-04、NJ023E-C-05、NJ023E-C-10、NJ023E-C-12、NJ023E-D-02、NJ023E-D-04、NJ023E-D-06、NJ023E-D-09、NJ023E-D-14、NJ023E-D-15、NJ023E-G-01、NJ023E-G-02、NJ023E-G-03、NJ023E-G-04、NJ023E-G-05、NJ023E-G-08、NJ023E-G-09、NJ023E-G-10、NJ023E-G-11、NJ023E-G-12、NJ023E-G-14、NJ023E-G-15、NJ023E-H-02、NJ023E-H-03、NJ023E-H-04、NJ023E-H-05、NJ023E-H-07、NJ023E-H-08、NJ023E-H-09、NJ023E-H-10、NJ023E-H-11、NJ023E-H-12、NJ023E-H-13、NJ023E-H-14、NJ023E-H-15、NJ023E-I-02、NJ023E-I-04、NJ023E-I-05、NJ023E-I-07、NJ023E-I-08、NJ023E-I-09、NJ023E-I-11、NJ023E-I-15、NJ023E-I-16、NJ023E-I-17、NJ023E-I-18、NJ023F-A-01、NJ023F-A-02、NJ023F-A-03、NJ023F-A-04、NJ023F-A-05、NJ023F-A-07、NJ023F-A-08、NJ023F-A-11、NJ023F-A-13、NJ023F-A-15、NJ023F-A-16、NJ023F-A-17、NJ023F-A-18、NJ023F-A-19、NJ023F-A-20、NJ023F-A-23、NJ023F-A-26、NJ023F-A-27、NJ023F-A-28、NJ023F-A-29、NJ023F-A-30、NJ023F-A-31、NJ023F-A-32、NJ023F-B-01、NJ023F-B-02、NJ023F-B-07、NJ023F-B-08、NJ023F-B-10、NJ023F-B-12、NJ023F-B-13、NJ023F-B-15、NJ023F-B-17、NJ023F-B-19、NJ023F-B-20、NJ023F-B-22、NJ023F-B-23、NJ023F-B-24、NJ023F-B-25、NJ023F-B-26、NJ023F-C-01、NJ023F-C-02、NJ023F-C-05、NJ023F-C-07、NJ023F-C-08、NJ023F-C-09、NJ023F-C-10、NJ023F-C-12、NJ023F-C-13、NJ023F-C-16、NJ023F-C-18、NJ023F-C-21、NJ023F-C-22、NJ023F-D-02、NJ023F-D-03、NJ023F-D-05、NJ023F-D-07、NJ023F-D-08、NJ023F-D-09、NJ023F-D-10、NJ023F-D-11、NJ023F-D-12、NJ023F-D-13、NJ023F-D-14、NJ023F-D-15、NJ023F-D-17、NJ023F-D-19、NJ023F-D-20、NJ023F-D-23、NJ023F-D-25、NJ023F-D-26、NJ023F-D-27、NJ023F-D-30、NJ023F-D-31、NJ023F-D-32、NJ023F-D-33、NJ023F-E-01、NJ023F-E-02、NJ023F-E-03、NJ023F-E-05、NJ023F-E-06、NJ023F-E-08、NJ023F-E-09、NJ023F-E-10、NJ023F-E-11、NJ023F-E-14、NJ023F-E-15、NJ023F-E-16、NJ023F-E-17、NJ023F-E-18、NJ023F-E-19、NJ023F-E-20、NJ023F-E-21、NJ023F-E-22、NJ023F-E-23、NJ023F-E-25、NJ023F-E-26、NJ023F-F-02、NJ023F-F-03、NJ023F-F-04、NJ023F-F-05、NJ023F-F-06、NJ023F-F-07、NJ023F-F-08、NJ023F-F-09、NJ023F-F-11、NJ023F-F-13、NJ023F-F-14、NJ023F-F-15、NJ023F-F-16、NJ023F-F-17、NJ023F-F-19、NJ023F-F-20、NJ023F-F-21、NJ023F-F-23、NJ023F-F-24、NJ023F-F-25、NJ023F-F-28、NJ023F-F-29、NJ023F-F-30、NJ023F-F-31、NJ023F-F-33、NJ023F-G-01、NJ023F-G-02、NJ023F-G-03、NJ023F-G-04、NJ023F-G-06、NJ023F-G-07、NJ023F-G-08、NJ023F-G-09、NJ023F-G-10、NJ023F-G-11、NJ023F-G-12、NJ023F-G-13、NJ023F-G-14、NJ023F-G-16、NJ023F-G-17、NJ023F-G-19、NJ023F-G-22、NJ023F-G-24、NJ023F-G-25、NJ023F-G-26、NJ023F-H-01、NJ023F-H-06、NJ023F-H-07、NJ023F-H-08、NJ023F-H-09、NJ023F-H-10、NJ023F-H-11、NJ023F-H-12、NJ023F-H-13、NJ023F-H-16、NJ023F-H-18、NJ023F-H-19、NJ023F-H-20、NJ023F-H-21、NJ023F-H-22、NJ023F-H-23、NJ023F-H-24、NJ023F-H-25、NJ023F-I-01、NJ023F-I-04、NJ023F-I-05、NJ023F-I-06、NJ023F-I-10、NJ023F-I-11、NJ023F-I-12、NJ023F-I-13、NJ023F-I-14、NJ023F-I-15、NJ023F-I-16、NJ023F-I-19、NJ023F-I-21、NJ023F-I-22、NJ023F-I-23、NJ023F-I-25、NJ023F-I-26、NJ023F-I-27、NJ023F-I-28、NJ023F-I-29、NJ023F-I-30、NJ023F-I-31、NJ023F-I-32、NJ023F-I-33、NJ022A-A-07、NJ022A-A-15、NJ022A-B-05、NJ022A-B-06、NJ022A-B-07、NJ022A-B-08、NJ022A-B-10、NJ022A-B-12、NJ022A-B-13、NJ022A-C-10、NJ022A-C-11、NJ022A-D-03、NJ022A-D-04、NJ022A-D-05、NJ022A-D-06、NJ022A-D-08、NJ022A-D-13、NJ022A-D-18、NJ022A-E-03、NJ022A-E-04、NJ022A-E-05、NJ022A-E-06、NJ022A-E-07、NJ022A-E-10、NJ022A-E-11、NJ022A-E-12、NJ022A-E-13、NJ022A-F-01、NJ022A-F-06、NJ022A-F-11、NJ022A-F-14、NJ022A-F-18、NJ022A-G-01、NJ022A-G-09、NJ022A-H-08、NJ022A-H-10、NJ022B-A-13、NJ022B-B-08、NJ022B-B-13、NJ022B-B-14、NJ022B-C-06、NJ022B-C-07、NJ022B-C-09、NJ022B-C-11、NJ022B-C-12、NJ022B-C-14、NJ022B-D-01、NJ022B-D-10、NJ022B-D-11、NJ022B-D-12、NJ022B-E-05、NJ022B-E-08、NJ022B-F-14、NJ022B-F-17、NJ022B-F-18、NJ022B-H-01、NJ022C-A-09、NJ022C-A-16、NJ022C-A-17、NJ022C-A-18、NJ022C-A-19、NJ022C-A-20、NJ022C-A-27、NJ022C-B-07、NJ022C-B-08、NJ022C-B-10、NJ022C-B-13、NJ022C-B-14、NJ022C-B-22、NJ022C-B-23、NJ022C-B-24、NJ022C-B-25、NJ022C-B-26、NJ022C-C-15、NJ022C-C-16、NJ022C-D-10、NJ022C-D-11、NJ022C-D-22、NJ022C-D-24、NJ022C-D-25、NJ022C-D-27、NJ022C-D-28、NJ022C-E-01、NJ022C-E-06、NJ022C-E-07、NJ022C-E-10、NJ022C-E-11、NJ022C-E-19、NJ022C-E-20、NJ022C-E-26、NJ022C-F-15、NJ022C-F-16、NJ022C-F-19、NJ022C-F-20、NJ022C-F-26、NJ022C-F-27、NJ022C-F-29、NJ022C-F-30、NJ022C-F-31、NJ022C-F-32、NJ022C-F-33、NJ022C-G-01、NJ022C-G-04、NJ022C-G-08、NJ022C-G-09、NJ022C-G-10、NJ022C-G-18、NJ022C-G-19、NJ022C-H-06、NJ022C-H-18、NJ022C-H-21、NJ022D-A-02、NJ022D-A-05、NJ022D-A-06、NJ022D-A-07、NJ022D-A-08、NJ022D-A-09、NJ022D-A-15、NJ022D-A-16、NJ022D-B-05、NJ022D-B-13、NJ022D-C-07、NJ022D-D-03、NJ022D-D-09、NJ022D-D-10、NJ022D-D-14、NJ022D-D-15、NJ022D-D-19、NJ022D-E-01、NJ022D-E-02、NJ022D-E-04、NJ022D-E-05、NJ022D-E-06、NJ022D-E-07、NJ022D-E-08、NJ022D-E-09、NJ022D-E-10、NJ022D-E-11、NJ022D-E-12、NJ022D-F-07、NJ022D-G-02、NJ022D-G-08、NJ022D-G-10、NJ022D-G-11、NJ022D-G-12、NJ022D-H-04、NJ022D-H-06、NJ022D-H-12、NJ022D-I-02、NJ022D-I-12、NJ022D-I-13、NJ022E-A-02、NJ022E-A-04、NJ022E-A-08、NJ022E-A-13、NJ022E-A-14、NJ022E-A-17、NJ022E-B-12、NJ022E-B-13、NJ022E-D-03、NJ022E-D-04、NJ022E-H-01、NJ022E-H-05、NJ022E-H-13、NJ022E-I-05、NJ022E-I-06、NJ022E-I-12、NJ022E-I-16、NJ022F-G-11、NJ022F-H-04、NJ022F-H-08、NJ022F-H-17、NJ022F-H-18、NJ022F-H-19、NJ022F-H-26、NJ023A-A-04、NJ023A-A-10、NJ023A-A-11、NJ023A-A-15、NJ023A-D-02、NJ023A-D-11、NJ023A-D-12、NJ023A-D-19、NJ023A-F-02、NJ023A-F-08、NJ023A-F-18、NJ023A-F-19、NJ023A-G-01、NJ023A-G-07、NJ023A-G-08、NJ023A-H-05、NJ023A-H-09、NJ023B-B-08、NJ023B-C-12、NJ023C-C-07、NJ023C-F-02、NJ023C-F-03、NJ023C-F-20、NJ023C-F-21、NJ023C-F-30、NJ023C-F-31、NJ023C-G-02、NJ023C-G-26、NJ023C-G-27、NJ023D-A-15、NJ023D-B-02、NJ023D-B-04、NJ023D-B-07、NJ023D-B-09、NJ023D-B-10、NJ023D-D-05、NJ023D-D-06、NJ023D-F-06、NJ023D-F-07、NJ023D-F-08、NJ023D-G-10、NJ023D-I-06、NJ023D-I-10、NJ023D-I-11、NJ023D-I-13、NJ023D-I-14、NJ023E-A-10、NJ023E-A-11、NJ023E-C-06、NJ023E-C-11、NJ023E-I-03、NJ023E-I-06、NJ023E-I-10、NJ023E-I-13、NJ023F-A-09、NJ023F-A-10、NJ023F-A-12、NJ023F-A-21、NJ023F-A-22、NJ023F-A-24、NJ023F-A-25、NJ023F-A-33、NJ023F-B-09、NJ023F-B-11、NJ023F-B-18、NJ023F-B-21、NJ023F-C-04、NJ023F-C-14、NJ023F-C-15、NJ023F-C-23、NJ023F-C-24、NJ023F-D-01、NJ023F-D-18、NJ023F-D-21、NJ023F-D-22、NJ023F-D-24、NJ023F-D-28、NJ023F-E-04、NJ023F-E-07、NJ023F-E-24、NJ023F-F-01、NJ023F-F-12、NJ023F-F-18、NJ023F-F-26、NJ023F-F-27、NJ023F-G-23、NJ023F-H-04、NJ023F-H-14、NJ023F-H-15、NJ023F-H-17、NJ023F-H-26、NJ023F-I-02、NJ023F-I-03、NJ023F-I-07、NJ023F-I-08、NJ023F-I-09、NJ023F-I-17、NJ023F-I-18、NJ023F-I-20、NJ022A-A-16、NJ022A-A-17、NJ022A-B-03、NJ022A-F-17、NJ022A-G-02、NJ022A-H-02、NJ022A-H-05、NJ022B-A-18、NJ022B-B-03、NJ022B-B-04、NJ022B-B-05、NJ022B-E-07、NJ022B-E-09、NJ022B-F-12、NJ022B-F-13、NJ022B-H-05、NJ022C-A-11、NJ022C-A-12、NJ022C-A-13、NJ022C-A-14、NJ022C-A-15、NJ022C-B-04、NJ022C-B-05、NJ022C-C-07、NJ022C-C-08、NJ022C-C-12、NJ022C-C-25、NJ022C-C-26、NJ022C-D-30、NJ022C-F-07、NJ022C-G-05、NJ022C-H-08、NJ022C-H-22、NJ022C-H-23、NJ022D-A-03、NJ022D-C-04、NJ022D-C-05、NJ022D-C-06、NJ022D-D-12、NJ022D-D-18、NJ022D-F-18、NJ022D-G-03、NJ022D-G-04、NJ022D-H-07、NJ022D-H-09、NJ022D-H-10、NJ022D-H-11、NJ022D-I-17、NJ022D-I-18、NJ022D-I-19、NJ022E-B-08、NJ022E-B-09、NJ022E-I-02、NJ022F-G-01、NJ022F-G-05、NJ023A-A-12、NJ023A-B-03、NJ023A-B-08、NJ023A-C-06、NJ023A-E-07、NJ023A-E-15、NJ023A-G-05、NJ023B-C-03、NJ023B-G-07、NJ023C-B-08、NJ023C-B-09、NJ023C-B-10、NJ023C-B-11、NJ023C-B-23、NJ023C-B-25、NJ023C-C-08、NJ023C-C-10、NJ023C-C-11、NJ023C-C-13、NJ023C-C-14、NJ023C-C-15、NJ023C-C-16、NJ023C-C-17、NJ023C-C-18、NJ023C-C-19、NJ023C-C-20、NJ023C-C-21、NJ023C-D-03、NJ023C-D-04、NJ023C-D-06、NJ023C-D-17、NJ023C-D-18、NJ023C-D-19、NJ023C-D-26、NJ023C-D-27、NJ023C-D-28、NJ023C-D-30、NJ023C-E-01、NJ023C-E-02、NJ023C-E-03、NJ023C-E-04、NJ023C-E-05、NJ023C-E-06、NJ023C-E-08、NJ023C-E-09、NJ023C-E-14、NJ023C-E-19、NJ023C-F-04、NJ023C-F-05、NJ023C-F-06、NJ023C-F-13、NJ023C-F-14、NJ023C-F-24、NJ023C-F-25、NJ023C-G-14、NJ023C-G-15、NJ023C-G-18、NJ023C-G-19、NJ023C-G-23、NJ023C-G-24、NJ023C-H-04、NJ023C-H-07、NJ023C-H-09、NJ023D-A-16、NJ023D-A-17、NJ023D-C-09、NJ023D-D-13、NJ023D-D-14、NJ023D-I-16、NJ023E-A-08、NJ023E-G-06、NJ023E-G-07、NJ023E-H-01、NJ023E-H-06、NJ023F-C-17、NJ023F-C-19、NJ023F-C-20、NJ023F-E-12、NJ023F-E-27、NJ023F-G-05、NJ023F-H-02、NJ023F-H-03、NJ022F-G-03、NJ022F-G-04、NJ022F-G-08、NJ022F-G-09、NJ022F-G-10、NJ022F-G-12、NJ022F-G-13、NJ022F-G-14、NJ022F-G-17、NJ022F-G-18、NJ022F-H-11、NJ022F-H-12、NJ022F-H-13、NJ022F-H-14、NJ022F-H-16、NJ022F-H-20、NJ022F-H-21、NJ022F-H-22、NJ022F-H-23、NJ022D-B-08、NJ022D-B-09、NJ022D-B-11、NJ022D-B-12、NJ022D-C-01、NJ022D-D-05、NJ022D-D-06、NJ022D-D-07、NJ022D-D-11、NJ022D-D-13、NJ022D-D-17、NJ022D-E-03、NJ022D-F-03、NJ022D-F-09、NJ022D-F-15、NJ022D-F-16、NJ022D-F-17、NJ022D-H-13、NJ022D-I-03、NJ022D-I-10、NJ022D-I-11、NJ022E-B-02、NJ022E-B-03、NJ022E-B-05、NJ022E-C-05、NJ022E-D-09、NJ022E-D-10、NJ023B-A-03、NJ023B-B-01、NJ023B-B-02、NJ023B-B-03、NJ023B-B-12、NJ023B-C-10、NJ023B-C-14、NJ023B-D-01、NJ023B-D-02、NJ023B-D-07、NJ023B-G-08、NJ023A-A-03、NJ023A-A-05、NJ023A-A-06、NJ023A-A-07、NJ023A-A-09、NJ023A-C-04、NJ023A-D-16、NJ023A-E-02、NJ023A-E-03、NJ023A-E-04、NJ023A-E-06、NJ023A-E-08、NJ023A-G-10、NJ023F-C-03、NJ023F-C-25、NJ023F-C-26、NJ023F-D-29、NJ023F-E-13、NJ023F-F-22、NJ023F-G-15、NJ023F-G-18、NJ023F-G-20、NJ023F-G-21、NJ023F-H-05、NJ023F-I-24、NJ023D-A-06、NJ023D-A-13、NJ023D-B-01、NJ023D-B-05、NJ023D-C-02、NJ023D-C-03、NJ023D-C-04、NJ023D-C-05、NJ023D-C-10、NJ023D-C-12、NJ023D-C-13、NJ023D-D-03、NJ023D-D-04、NJ023D-E-04、NJ023D-H-12、NJ023D-I-17、NJ023E-A-12、NJ023E-A-13、NJ023E-B-08、NJ023E-B-09、NJ023E-B-10、NJ023E-G-13、NJ023E-I-12、NJ023E-I-14、NJ023F-A-06、NJ023F-A-14、NJ023F-B-03、NJ023F-B-04、NJ023F-B-05、NJ023F-B-14、NJ023F-B-16、NJ023C-A-02、NJ023C-A-03、NJ023C-A-04、NJ023C-A-05、NJ023C-A-06、NJ023C-A-08、NJ023C-A-09、NJ023C-A-11、NJ023C-A-12、NJ023C-A-13、NJ023C-A-14、NJ023C-A-15、NJ023C-A-16、NJ023C-A-17、NJ023C-A-18、NJ023C-A-19、NJ023C-A-20、NJ023C-A-21、NJ023C-A-24、NJ023C-A-26、NJ023C-A-27、NJ023C-A-30、NJ023C-A-31、NJ023C-A-33、NJ023C-B-01、NJ023C-B-02、NJ023C-B-03、NJ023C-B-04、NJ023C-B-05、NJ023C-B-06、NJ023C-B-07、NJ023C-B-13、NJ023C-B-14、NJ023C-B-15、NJ023C-B-16、NJ023C-C-01、NJ023C-C-02、NJ023C-C-03、NJ023C-C-05、NJ023C-C-06、NJ023C-D-01、NJ023C-D-02、NJ023C-D-05、NJ023C-D-08、NJ023C-D-09、NJ023C-D-10、NJ023C-D-11、NJ023C-D-13、NJ023C-D-14、NJ023C-D-15、NJ023C-D-16、NJ023C-D-23、NJ023C-D-24、NJ023C-D-25、NJ023C-D-29、NJ023C-D-31、NJ023C-D-32、NJ023C-D-33、NJ023C-E-07、NJ023C-E-10、NJ023C-E-11、NJ023C-E-12、NJ023C-E-13、NJ023C-E-15、NJ023C-E-16、NJ023C-E-17、NJ023C-E-18、NJ023C-E-20、NJ023C-E-21、NJ023C-E-23、NJ023C-E-24、NJ023C-E-25、NJ023C-G-01、NJ023C-G-05、NJ023C-G-08、NJ023C-H-16</t>
    <phoneticPr fontId="3" type="noConversion"/>
  </si>
  <si>
    <t>第五批。NJ022A-D-10、NJ022B-C-08、NJ022B-C-03、NJ022B-C-04、NJ022B-C-01、NJ022B-C-02、NJ022B-C-13、NJ023A-E-01、NJ022A-E-02、NJ022A-E-01、NJ022A-E-08、NJ022B-G-01、NJ022B-G-08、NJ022B-G-09、NJ022B-G-06、NJ022B-G-10、NJ022B-G-11、NJ022C-A-10、NJ022C-A-05、NJ022C-A-08、NJ022C-A-06、NJ022C-A-07、NJ022C-F-01、NJ022B-H-07、NJ022B-H-11、NJ022B-H-10、NJ022B-D-08、NJ022B-D-09、NJ022B-D-03、NJ022B-D-19、NJ022B-D-18、NJ022B-D-15、NJ022B-D-16、NJ022B-D-13、NJ022B-D-14、NJ022A-F-15、NJ022A-F-13、NJ022A-F-16、NJ022A-F-02、NJ022A-F-08、NJ022D-A-17、NJ022D-A-11、NJ022D-A-10、NJ022D-A-13、NJ022D-A-12、NJ022D-A-19、NJ022D-A-18、NJ022E-H-11、NJ022E-H-10、NJ022A-G-03、NJ022A-G-05、NJ022A-G-04、NJ022A-G-06、NJ022A-G-08、NJ022A-G-13、NJ022A-G-10、NJ022A-G-12、NJ022A-G-11、NJ022B-E-02、NJ022B-E-03、NJ022B-E-11、NJ022B-E-10、NJ022D-B-04、NJ022D-B-03、NJ022E-I-10、NJ022E-I-09、NJ022B-A-17、NJ022B-A-16、NJ022B-A-12、NJ022B-A-11、NJ022B-A-03、NJ022B-A-02、NJ023A-B-11、NJ022A-C-05、NJ022A-C-07、NJ022A-C-06、NJ022A-C-12、NJ022B-B-07、NJ022B-B-06、NJ022B-B-02、NJ022B-B-01、NJ022B-B-12、NJ022B-B-11、NJ022B-F-07、NJ022B-F-06、NJ022B-F-08、NJ022B-F-03、NJ022B-F-02、NJ022B-F-04、NJ022B-F-10、NJ022B-F-11、NJ022B-F-16、NJ022B-F-15、NJ022A-H-11、NJ022A-H-12、NJ022A-H-04、NJ022A-H-03、NJ022A-H-06、NJ022A-H-09</t>
    <phoneticPr fontId="3" type="noConversion"/>
  </si>
  <si>
    <t>第六批。NJ022A-A-03、NJ022A-A-08、NJ022A-A-04、NJ022E-H-09、NJ022D-F-14</t>
    <phoneticPr fontId="3" type="noConversion"/>
  </si>
  <si>
    <t>第七批。NJ022A-D-11、NJ022C-F-22、NJ022C-F-25、NJ022A-A-05、NJ022A-A-06、NJ023B-B-11、NJ022A-B-01、NJ022D-A-04、NJ022D-F-13、NJ022D-B-07、NJ022D-B-06、NJ023D-E-03、NJ023D-E-02、NJ022A-H-01</t>
    <phoneticPr fontId="3" type="noConversion"/>
  </si>
  <si>
    <t>第八批。NJ022D-H-05、NJ022A-A-19、NJ022A-A-18、NJ022D-F-02、NJ022C-C-14、NJ022C-C-13、NJ022C-D-32</t>
    <phoneticPr fontId="3" type="noConversion"/>
  </si>
  <si>
    <t>第九批。NJ022E-G-06、NJ022E-G-07、NJ022E-G-08、NJ022E-G-10、NJ022E-G-12、NJ022E-G-13、NJ022E-G-15、NJ023F-B-06</t>
    <phoneticPr fontId="3" type="noConversion"/>
  </si>
  <si>
    <t>第十批。NJ022D-D-16、NJ022E-H-14、NJ022E-H-15、NJ023F-F-10、NJ023F-F-32</t>
    <phoneticPr fontId="3" type="noConversion"/>
  </si>
  <si>
    <t>2023.10计提在江苏凤凰主体上。202309 NJ02暂按500A计提。单机柜用电若超出标准电流120%，超出部分按300元/A结算。</t>
    <phoneticPr fontId="3" type="noConversion"/>
  </si>
  <si>
    <t>ZYT202309250044</t>
  </si>
  <si>
    <t>181915IDC00118</t>
  </si>
  <si>
    <t>南京吉山机房核心区域-百度南京凤凰NJM2机房核心</t>
  </si>
  <si>
    <t>线路编号：025G00136352A。[南京吉山机房核心区域 ]到[百度南京凤凰NJM2机房核心区域]路由一，72.3km？72.4km？</t>
  </si>
  <si>
    <t>[南京吉山机房核心区域 ]到[南京市建宁路30号金桥管理办公楼5楼百度中转机房]，49.1km</t>
  </si>
  <si>
    <t>线路编号：025G00136355A。[南京吉山机房核心区域 ]到[百度南京凤凰NJM2机房核心区域]路由二，47.8km</t>
  </si>
  <si>
    <t>182215IDC00529</t>
  </si>
  <si>
    <t>南京吉山-昆山万国 NJJS-SZWG</t>
  </si>
  <si>
    <t>NJJS-WGM2B；8M。线路编号：025M20626385A</t>
  </si>
  <si>
    <t>苏州二长局-昆山万国机房 NJ03-SZWG</t>
  </si>
  <si>
    <t>Nj03-WGM2B；8M。线路编号：025M20626382A</t>
  </si>
  <si>
    <t>苏州万国-南京凤凰 SZWG-NJ02</t>
  </si>
  <si>
    <t>SZWG-M2NJ；8M。线路编号：025M20626383A</t>
  </si>
  <si>
    <t>太湖机房-南京凤凰 SZTH-NJ02</t>
  </si>
  <si>
    <t>SZTH-NJM2A ；8M。线路编号：025M20626381A</t>
  </si>
  <si>
    <t>凤凰-华东金融云外高桥</t>
  </si>
  <si>
    <t>线路编号：025M20651397A（ETN0521NP）</t>
  </si>
  <si>
    <t>2023/8/31退租8M管理网电路。线路一：NJJS-WGM2B；8M。线路编号：025M20626385A。线路二：Nj03-WGM2B；8M。线路编号：025M20626382A。线路三：SZWG-M2NJ；8M。线路编号：025M20626383A。线路四：SZTH-NJM2A ；8M。线路编号：025M20626381A。线路五：线路编号：025M20651397A（ETN0521NP）。</t>
    <phoneticPr fontId="3" type="noConversion"/>
  </si>
  <si>
    <t>中国电信股份有限公司宁波分公司</t>
  </si>
  <si>
    <t>宁波电信</t>
  </si>
  <si>
    <t>L20220305002</t>
  </si>
  <si>
    <t>宁波</t>
  </si>
  <si>
    <t>NB01</t>
  </si>
  <si>
    <t>CDN使用，带宽保底132G，每6G送1个机架，免费22个
2020.3更新机房名称，原NB01共536个，拆分为CBUCDNNBCT 12个，NB01 11个和NB01 513个：NB01205-H-01~NB01205-H-11</t>
  </si>
  <si>
    <t>CDN使用，带宽保底132G，每6G送1个机架，免费22个
宁波2电信二级(NB2CTCACHE)退160G，退11个机架
NB01205-H-11、NB01205-H-10、NB01205-H-09、NB01205-H-08、NB01205-H-07、NB01205-H-06、NB01205-H-05、NB01205-H-04、NB01205-H-03、NB01205-H-01、NB01205-H-02</t>
  </si>
  <si>
    <t>182315IDC00258</t>
  </si>
  <si>
    <t>宁波电信SSL</t>
  </si>
  <si>
    <t>CDNNBCT2</t>
  </si>
  <si>
    <t>根据2021.10.13与宁波电信对 IPV4及互联IP的核对结果（已包含NB5CT 9.16扩容的IP），CDN（不含边缘计算）共使用1776个，BEC使用640个，SSL使用780个，共3196个，运营商免费提供3196个，IP全部免费
SSL使用IP段为：183.131.53.172/30*（互联地址）、
115.231.186.0/23、
183.131.53.176/29*（互联地址）、
122.246.5.0/24</t>
  </si>
  <si>
    <t>宁波5电信</t>
  </si>
  <si>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phoneticPr fontId="3" type="noConversion"/>
  </si>
  <si>
    <t>L20230223030</t>
  </si>
  <si>
    <t>宁波4电信</t>
  </si>
  <si>
    <t>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</si>
  <si>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2022.6.30【CDN退租】CDN浙江宁波电信退租IP (NB4CT)：115.238.187.0/24，183.136.137.0/27</t>
  </si>
  <si>
    <t>宁波
NB2CTCACHE</t>
  </si>
  <si>
    <t>宁波电信CACHE2</t>
  </si>
  <si>
    <t>2023.8与SYS核对更新备注，使用544个IP， 183.131.63.0/24, 183.131.62.0/24,115.231.178.160/27 。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phoneticPr fontId="3" type="noConversion"/>
  </si>
  <si>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</si>
  <si>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2023.8更新IP段，互联IP 176个：122.227.251.160/27*（互联地址）、
183.131.50.192/26*（互联地址）、
115.231.179.80/29*（互联地址）、
115.231.179.48/28*（互联地址）、
122.227.251.128/27*（互联地址）、
115.231.179.64/28*（互联地址）、
115.231.179.40/29*（互联地址）。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</si>
  <si>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2023.8与SYS核对更新备注，截止2023.8使用640个IP，183.131.37.0/24,122.246.16.128/25,115.231.179.128/25,122.227.228.0/25。
2022/7/31退租115.231.41.0/24,115.238.189.0/24,122.227.228.0/24</t>
  </si>
  <si>
    <t>BEC：240e:00f7:a000:0212::/64</t>
    <phoneticPr fontId="3" type="noConversion"/>
  </si>
  <si>
    <t>CBUCDNNBCT</t>
  </si>
  <si>
    <t>从2022.8开始使用25个，免费22个，收费3个。NB5CT 2021/12/15扩容1个机架：BECNB5CT5F-A-10，于2021.12.15开始计费
按照甲方每保底到达6G，乙方配备1个机柜，超出配备范围的机柜数量按照4700元/柜/月进行收费。可免费送22个机柜</t>
  </si>
  <si>
    <t>从2022.8开始使用25个，免费22个，收费3个。NB5CT 2022/1/15扩容1个机架：BECNBCT3F-A-09，于2022.1.15开始计费
按照甲方每保底到达6G，乙方配备1个机柜，超出配备范围的机柜数量按照4700元/柜/月进行收费。可免费送22个机柜</t>
  </si>
  <si>
    <t>NBCT23F-G-09  
NBCT23F-G-10</t>
  </si>
  <si>
    <t>L20230504024</t>
  </si>
  <si>
    <t>从2022.8开始使用25个，免费22个，收费3个。截止2022.2使用的机架编号为：NBCT3F-4-J4、NBCT3F-4-J1、NBCT3F-4-J2、NBCT3F-4-J3
CDN使用，带宽保底132G，每6G送1个机架，免费22个
2020.3更新机房名称，原NB01共536个，拆分为CBUCDNNBCT 12个，NB01 11个和NB01 513个：NB5CT5F-A-10、NB5CT5F-A-06、NB5CT5F-A-07、NB5CT5F-A-08、NB5CT5F-A-09、NB5CT5F-A-03、NB5CT5F-A-04、NB5CT5F-A-05、NBCT3F-4-J4、NBCT3F-4-J1、NBCT3F-4-J2、NBCT3F-4-J3</t>
  </si>
  <si>
    <t>从2022.8开始使用25个，免费22个，收费3个。截止2022.2使用的机架编号为：NB5CT5F-A-10、NB5CT5F-A-06、NB5CT5F-A-07、NB5CT5F-A-08、NB5CT5F-A-09、NB5CT5F-A-03、NB5CT5F-A-04、NB5CT5F-A-05
CDN使用，带宽保底132G，每6G送1个机架，免费22个
2020.3更新机房名称，原NB01共536个，拆分为CBUCDNNBCT 12个，NB01 11个和NB01 513个：NB5CT5F-A-10、NB5CT5F-A-06、NB5CT5F-A-07、NB5CT5F-A-08、NB5CT5F-A-09、NB5CT5F-A-03、NB5CT5F-A-04、NB5CT5F-A-05、NBCT3F-4-J4、NBCT3F-4-J1、NBCT3F-4-J2、NBCT3F-4-J3</t>
  </si>
  <si>
    <t>CDN使用，带宽保底132G，每6G送1个机架，免费22个。
宁波4电信(NB4CT)退租80G，退4个机架：NBCT3F-4-J4、NBCT3F-4-J3、NBCT3F-4-J2、NBCT3F-4-J1</t>
  </si>
  <si>
    <t>CDN使用，带宽保底132G，每6G送1个机架，免费22个
2020/9/16宁波4电信(NB4CT)重新上线80G，开通4个机架：NBCT3F-4-J4、NBCT3F-4-J3、NBCT3F-4-J2、NBCT3F-4-J1</t>
  </si>
  <si>
    <t>2022.6.30【CDN退租】CDN浙江宁波电信退租机柜 (NB4CT)：NBCT3F-4-J4、NBCT3F-4-J3、NBCT3F-4-J2、NBCT3F-4-J1</t>
  </si>
  <si>
    <t>CDN使用，带宽保底132G，每6G送1个机架，免费22个
2020/8/1宁波2电信二级(NB2CTCACHE)重新上线160G，开通11个机架，其中收费3个，8个免费
NB01205-H-04、NB01205-H-05、NB01205-H-06、NB01205-H-07、NB01205-H-08、NB01205-H-09、NB01205-H-10、NB01205-H-11</t>
  </si>
  <si>
    <t>从2022.8开始使用25个，免费22个，收费3个。CDN使用，带宽保底132G，每6G送1个机架，免费22个。
2020/8/1宁波2电信二级(NB2CTCACHE)重新上线160G，开通11个机架，其中收费3个,8个免费
NB01205-H-03、NB01205-H-01、NB01205-H-02（NB2CT205-H-01、NB2CT205-H-02、NB2CT205-H-03 SYS侧是这3个机柜编号）</t>
  </si>
  <si>
    <t>从2022.8开始使用25个，免费22个，收费3个。CDN使用，带宽保底132G，每6G送1个机架，免费22个
2021/5/31退租3个机架：NB5CT5F-A-08、NB5CT5F-A-09、NB5CT5F-A-10</t>
  </si>
  <si>
    <t>CDN使用，带宽保底132G，每6G送1个机架，免费22个。
边缘计算BECNB5CT5F-A-01、 
BECNB5CT5F-A-02</t>
  </si>
  <si>
    <t>2021/8/31退租8个机柜：NB01205-H-11、NB01205-H-10、NB01205-H-09、NB01205-H-08、NB01205-H-07、NB01205-H-06、NB01205-H-05、NB01205-H-04</t>
  </si>
  <si>
    <t>从2022.8开始使用25个，免费22个，收费3个。2021/8/31退租8个机柜：NB01205-H-11、NB01205-H-10、NB01205-H-09、NB01205-H-08、NB01205-H-07、NB01205-H-06、NB01205-H-05、NB01205-H-04</t>
  </si>
  <si>
    <t>NB2CT2F-H-04、NB2CT2F-H-05</t>
    <phoneticPr fontId="3" type="noConversion"/>
  </si>
  <si>
    <t>【CDN新建】浙江宁波电信二级  扩容0G  2022-05-27 节点正式上线新增机柜  (NB2CTCACHE)：NB2CT3F-A-08。此机柜属于B2传输机柜，前期一直未计费，经商务沟通，确认从2023.9.1开始计费</t>
    <phoneticPr fontId="3" type="noConversion"/>
  </si>
  <si>
    <t>2023.10修改电流为16A后操作开通</t>
    <phoneticPr fontId="3" type="noConversion"/>
  </si>
  <si>
    <t>从2022.8开始使用25个，免费22个，收费3个。CDN使用，带宽保底132G，每6G送1个机架，免费22个。SSL6个全部收费
NBCT23F-F-09
NBCT23F-F-10
NBCT23F-F-11
CDNNBCT23F-G-11
CDNNBCT23F-G-09
CDNNBCT23F-G-10</t>
  </si>
  <si>
    <t>从2022.8开始使用25个，免费22个，收费3个。NBCT23F-G-11</t>
  </si>
  <si>
    <t>从2022.8开始使用25个，免费22个，收费3个。宁波电信边缘计算节点新增1个机架，128个IP，于2021-04-14正式开通，2021.5.16开始计费：BECNBCT3F-A-11</t>
  </si>
  <si>
    <t>从2022.8开始使用25个，免费22个，收费3个。NB5CT 2021/10/1扩容12个机架，其中5个收费：BECNBCT3F-B-08、
BECNBCT3F-B-09、
BECNBCT3F-B-10、
BECNBCT3F-B-11、
BECNBCT3F-A-12
按照甲方每保底到达6G，乙方配备1个机柜，超出配备范围的机柜数量按照4700元/柜/月进行收费。可免费送22个机柜</t>
  </si>
  <si>
    <t>NB5CT 2021/10/1扩容12个机架其中7个免费：BECNBCT3F-B-01、
BECNBCT3F-B-02、
BECNBCT3F-B-03、
BECNBCT3F-B-04、
BECNBCT3F-B-05、
BECNBCT3F-B-06、
BECNBCT3F-B-07
按照甲方每保底到达6G，乙方配备1个机柜，超出配备范围的机柜数量按照4700元/柜/月进行收费。可免费送22个机柜</t>
  </si>
  <si>
    <t>从2022.8开始使用25个，免费22个，收费3个。NB5CT5F-A-06,NB5CT5F-A-05,NB5CT5F-A-04,NB5CT5F-A-03,NB5CT5F-A-07</t>
  </si>
  <si>
    <t>【BEC退租】BEC浙江宁波电信退租机柜 (NB5CT)：BECNBCT3F-B-01、BECNBCT3F-B-07、BECNBCT3F-B-10</t>
    <phoneticPr fontId="3" type="noConversion"/>
  </si>
  <si>
    <t>中国电信股份有限公司青岛分公司</t>
  </si>
  <si>
    <t>青岛电信</t>
  </si>
  <si>
    <t>L20230805007</t>
    <phoneticPr fontId="3" type="noConversion"/>
  </si>
  <si>
    <t>济南市天桥区蓝翔路15号 时代总部基地 三期18号楼1单元电信机房-青岛市高新区蓝湾创业产业园 E2栋一楼 B05-08机柜</t>
  </si>
  <si>
    <t>200G</t>
  </si>
  <si>
    <t>2023.10调整单价。用于CDN数据传输：济南市天桥区蓝翔路15号 时代总部基地 三期18号楼1单元电信机房-青岛市高新区蓝湾创业产业园 E2栋一楼 B05-08机柜，2条，各100G，共200G</t>
    <phoneticPr fontId="3" type="noConversion"/>
  </si>
  <si>
    <t>2023.9合同于9.10到期，到期后降到单价75000,10月修改计提金额</t>
    <phoneticPr fontId="3" type="noConversion"/>
  </si>
  <si>
    <t>L20230311035</t>
  </si>
  <si>
    <t>青岛-济南200G</t>
  </si>
  <si>
    <t>2022.11根据预审合同调整单价。青岛市高新区蓝湾创业产业园 E2栋一楼 B05-08机柜-济南经七纬五机房 2条，各100G，共200G</t>
  </si>
  <si>
    <t>L20230331002</t>
  </si>
  <si>
    <t>存量8条，1月24日新增8条：山东省青岛市高新区 蓝湾创业产业园 E2栋一楼-山东省青岛市李沧区移动万年泉路IDC机房 15条；青岛电信-青岛联通 1条</t>
  </si>
  <si>
    <t>山东省青岛市高新区 蓝湾创业产业园 E2栋一楼-山东省青岛市崂山区 株洲路168号 株洲路核心机房 3-6房间 4条；
山东省青岛市高新区 蓝湾创业产业园 E2栋一楼-山东省青岛市李沧区移动万年泉路IDC机房 8条</t>
  </si>
  <si>
    <t>联通6条：山东省青岛市高新区 蓝湾创业产业园 E2栋一楼-山东省青岛市高新区 蓝湾创业产业园 E2栋一楼
移动4条：山东省青岛市高新区 蓝湾创业产业园 E2栋一楼-山东省青岛市李沧区移动万年泉路IDC机房</t>
  </si>
  <si>
    <t>电信至移动6条光纤，青岛电信高新区百度三线-万年泉路移动云工厂</t>
  </si>
  <si>
    <t>青岛电信SSL</t>
  </si>
  <si>
    <t>SSLQDCT</t>
  </si>
  <si>
    <t>历史开通
2021/1/1</t>
  </si>
  <si>
    <t>SSLQDCT3F-A-03、SSLQDCT3F-A-02</t>
    <phoneticPr fontId="3" type="noConversion"/>
  </si>
  <si>
    <t>2021.1.1开通SSLQDCT3F-A-05</t>
    <phoneticPr fontId="3" type="noConversion"/>
  </si>
  <si>
    <t>免费1个机柜，SSLQDCT3F-A-04(运营商记录02免费，04收费)</t>
  </si>
  <si>
    <t>2023/8/31节点退租。SSLQDCT3F-A-03、SSLQDCT3F-A-02、SSLQDCT3F-A-05</t>
    <phoneticPr fontId="3" type="noConversion"/>
  </si>
  <si>
    <t>2023/8/31节点退租。SSLQDCT3F-A-04</t>
    <phoneticPr fontId="3" type="noConversion"/>
  </si>
  <si>
    <t>SSL节点共使用768个IP，赠送32个，收费736个（150.138.149.0/24,150.138.150.0/24,150.138.151.0/24）</t>
    <phoneticPr fontId="3" type="noConversion"/>
  </si>
  <si>
    <t>2023.4.30退租IP：
SSL节点共使用768个IP，赠送32个，收费736个（150.138.149.0/24,150.138.150.0/24,150.138.151.0/24）</t>
    <phoneticPr fontId="3" type="noConversion"/>
  </si>
  <si>
    <t>2023/8/31节点退租：150.138.149.0/24、150.138.151.0/24。SSL节点共使用768个IP，赠送32个，收费736个（150.138.149.0/24,150.138.150.0/24,150.138.151.0/24）</t>
    <phoneticPr fontId="3" type="noConversion"/>
  </si>
  <si>
    <t>2023/8/31节点退租：150.138.149.0/24、150.138.151.0/24。SSL节点共使用768个IP，赠送32个，收费736个。SSL节点共使用768个IP，赠送32个，收费736个（150.138.149.0/24,150.138.150.0/24,150.138.151.0/24）</t>
    <phoneticPr fontId="3" type="noConversion"/>
  </si>
  <si>
    <t>青岛4电信</t>
  </si>
  <si>
    <t>CDNQDCT3</t>
  </si>
  <si>
    <t>双方核对一致，青岛4电信使用8个免费机柜：QD4CT2F-204-11、QD4CT2F-204-10、QD4CT2F-204-09、QD4CT2F-204-08、QD4CT2F-204-05、QD4CT2F-204-04、QD4CT2F-204-03、QD4CT2F-204-02</t>
    <phoneticPr fontId="3" type="noConversion"/>
  </si>
  <si>
    <t>青岛三级电信</t>
  </si>
  <si>
    <t>青岛三级</t>
  </si>
  <si>
    <t>CDNQDCT</t>
  </si>
  <si>
    <t>2023.3经与SYS核对，调整机架编号，由QD3CT1F-A05-09、QD3CT1F-A05-10、QD3CT1F-A05-11调整为BECQDCT-A05-09、BECQDCT-A05-10、BECQDCT-A05-11；
双方核对一致，青岛2电信使用10个免费机柜：QD2CT1F-A05-05、QD2CT1F-A05-08、QD2CT1F-A05-07、QD2CT1F-A05-06、QD2CT1F-A05-04、QD2CT1F-A05-03、QD2CT1F-A05-02、QD3CT1F-A05-09、QD3CT1F-A05-10、QD3CT1F-A05-11</t>
  </si>
  <si>
    <t>2023.3经与SYS核对，调整机架编号，由QD3CT1F-A05-09、QD3CT1F-A05-10、QD3CT1F-A05-11调整为BECQDCT-A05-09、BECQDCT-A05-10、BECQDCT-A05-11；
青岛2电信于2021.6.30退租7个机柜，退租后剩余3个机柜目前为青岛三线BEC使用
QD2CT1F-A05-05、QD2CT1F-A05-08、QD2CT1F-A05-07、QD2CT1F-A05-06、QD2CT1F-A05-04、QD2CT1F-A05-03、QD2CT1F-A05-02</t>
  </si>
  <si>
    <t>青岛2电信</t>
  </si>
  <si>
    <t>青岛电信2</t>
  </si>
  <si>
    <t>青岛2电信实际使用576个IP</t>
  </si>
  <si>
    <t>青岛2电信于2021.6.30退租288个IP
140.249.32.0/24 140.249.35.0/27</t>
  </si>
  <si>
    <t>双方核对一致，青岛三级电信使用17个免费机柜：E2-B06-16、E2-B05-16、E2-B05-15、E2-B05-14、E2-B05-13、E2-B05-12、E2-B05-11、E2-B05-10、E2-B05-09、E2-B05-07、E2-B05-06、E2-B05-05、E2-B05-04、E2-B05-03、E2-B05-02、E2-B06-15、E2-B05-08</t>
  </si>
  <si>
    <t>2023.8经与SYS核对，更新IP数量为544个，补录资源。CDN使用150.138.138.0/24,150.138.139.0/24 ,140.249.11.224/27</t>
    <phoneticPr fontId="3" type="noConversion"/>
  </si>
  <si>
    <t>边缘计算使用：140.249.33.0/24</t>
  </si>
  <si>
    <t>CDNQDCT3机房，于2020-11-23退租3个机柜QD4CT2F-204-09、QD4CT2F-204-10、QD4CT2F-204-11</t>
  </si>
  <si>
    <t>2021.4.9边缘计算新增2个机柜，免费
BECQD4CT2F-02-09、BECQD4CT2F-02-10</t>
    <phoneticPr fontId="3" type="noConversion"/>
  </si>
  <si>
    <t>【BEC退租】BEC山东青岛电信退租机柜 (QD4CT)：BECQD4CT2F-02-09、BECQD4CT2F-02-10</t>
    <phoneticPr fontId="3" type="noConversion"/>
  </si>
  <si>
    <t>【CDN退租】CDN山东青岛电信退租信息 (QD4CT)，退租2个机柜：QD4CT2F-204-08、QD4CT2F-204-02</t>
    <phoneticPr fontId="3" type="noConversion"/>
  </si>
  <si>
    <r>
      <t>青岛4电信实际使用544个IP：</t>
    </r>
    <r>
      <rPr>
        <sz val="10"/>
        <color rgb="FFFF0000"/>
        <rFont val="微软雅黑"/>
        <family val="2"/>
        <charset val="134"/>
      </rPr>
      <t>140.249.244.0/24</t>
    </r>
    <r>
      <rPr>
        <sz val="10"/>
        <rFont val="微软雅黑"/>
        <family val="2"/>
        <charset val="134"/>
      </rPr>
      <t>;140.249.246.0/24;140.249.245.0/27</t>
    </r>
    <phoneticPr fontId="3" type="noConversion"/>
  </si>
  <si>
    <t>2023.9.302021.4.9边缘计算新增128个IP，免费140.249.225.128/25</t>
    <phoneticPr fontId="3" type="noConversion"/>
  </si>
  <si>
    <t>2021.8.13边缘计算新增128个IP，免费140.249.250.0/25</t>
  </si>
  <si>
    <r>
      <t>【CDN退租】CDN山东青岛电信退租信息 (QD4CT)，退租IP：</t>
    </r>
    <r>
      <rPr>
        <sz val="10"/>
        <color rgb="FFFF0000"/>
        <rFont val="微软雅黑"/>
        <family val="2"/>
        <charset val="134"/>
      </rPr>
      <t>140.249.244.128/25</t>
    </r>
    <r>
      <rPr>
        <sz val="10"/>
        <rFont val="微软雅黑"/>
        <family val="2"/>
        <charset val="134"/>
      </rPr>
      <t xml:space="preserve"> 、140.249.246.0/24</t>
    </r>
    <phoneticPr fontId="3" type="noConversion"/>
  </si>
  <si>
    <t>【BEC退租转CDN】BEC山东青岛电信退租256个IP(QD4CT)，转CDN使用：140.249.225.128/25、140.249.250.0/25</t>
    <phoneticPr fontId="3" type="noConversion"/>
  </si>
  <si>
    <t>CDN</t>
    <phoneticPr fontId="3" type="noConversion"/>
  </si>
  <si>
    <t>2023.9.30【BEC退租转CDN】BEC：240E:0945:0005:0001::/64</t>
    <phoneticPr fontId="3" type="noConversion"/>
  </si>
  <si>
    <t>青岛滨海电信</t>
  </si>
  <si>
    <t>QDBH</t>
  </si>
  <si>
    <t>合同预审，IDC使用768个IP</t>
  </si>
  <si>
    <t>中国电信股份有限公司上海分公司</t>
  </si>
  <si>
    <t>上海电信</t>
  </si>
  <si>
    <t>182115IDC00264</t>
  </si>
  <si>
    <t>上海电信SSL</t>
  </si>
  <si>
    <t>SSLSHCT</t>
  </si>
  <si>
    <t>SHCT6F-I-06、SHCT6F-I-05、SHCT6F-I-08、SHCT6F-I-07、SHCT6F-I-09、SHCT6F-I-04、SHCT6F-E-09、SHCT6F-I-16、SHCT6F-I-17、SHCT6F-I-18</t>
  </si>
  <si>
    <t>SHCT6F-H-22、SHCT6F-H-23、SHCT6F-H-24、SHCT6F-H-25、SHCT6F-H-17、SHCT6F-H-26</t>
  </si>
  <si>
    <t>退3个SSL机柜，11月多计提已在付款时冲销：SHCT6F-I-16    SHCT6F-I-17    SHCT6F-I-18</t>
  </si>
  <si>
    <t>SHCT6F-I-04、SHCT6F-I-05、SHCT6F-I-06、SHCT6F-I-07、SHCT6F-I-08、SHCT6F-I-09、SHCT6F-H-17、SHCT6F-H-22、SHCT6F-H-23、SHCT6F-H-24、SHCT6F-H-25、SHCT6F-H-26、SHCT6F-E-09</t>
  </si>
  <si>
    <t>上海电信-电路</t>
  </si>
  <si>
    <t>182115IDC00546</t>
  </si>
  <si>
    <t>上海外高桥保税区华京路6号90号楼404房间机架位SHWGQ404-E-06-24-上海市浦东新区浦东南路528号3楼机房</t>
  </si>
  <si>
    <t>30M</t>
  </si>
  <si>
    <t>上海外高桥保税区华京路6号90号楼404房间机架位SHWGQ404-E-06-24-上海市浦东新区浦东南路528号3楼机房30M电路</t>
  </si>
  <si>
    <t>SHWGQ-隆昌路</t>
  </si>
  <si>
    <t>20M</t>
  </si>
  <si>
    <t>上海外高桥保税区华京路6号90号楼404房间机架位SHWGQ404-E-06-24-上海市杨浦区隆昌路619号9号楼3楼</t>
  </si>
  <si>
    <t>L20230527001</t>
  </si>
  <si>
    <t>上海电信-华信</t>
  </si>
  <si>
    <t>CDNSHCT</t>
  </si>
  <si>
    <t>12A</t>
  </si>
  <si>
    <t>SHCT8F-C-01、SHCT8F-C-07、SHCT8F-C-08、SHCT8F-C-09</t>
  </si>
  <si>
    <t>182215IDC00692，有效期至2023-05-31</t>
    <phoneticPr fontId="3" type="noConversion"/>
  </si>
  <si>
    <t>2022.8机柜转为SSL使用。SHCT8F-C-02、SHCT8F-C-03、SHCT8F-C-04、SHCT8F-C-05、SHCT8F-C-06</t>
  </si>
  <si>
    <t>19.7.8扩容160G,开通4个机柜。SHCT8F-C-12,SHCT8F-C-13,SHCT8F-C-14,SHCT8F-C-15</t>
  </si>
  <si>
    <t>上海4电信</t>
  </si>
  <si>
    <t>新建240G，增加6个机柜，2019/7/14计费。SH4CT8FIDC-D-02、SH4CT8FIDC-D-03、SH4CT8FIDC-D-04、SH4CT8FIDC-D-05、SH4CT8FIDC-D-06、SH4CT8FIDC-D-07</t>
  </si>
  <si>
    <t>【CDN退租】CDN上海上海电信退租信息 (SH4CT)：SH4CT8FIDC-D-05、SH4CT8FIDC-D-06、SH4CT8FIDC-D-07、SH4CT8FIDC-D-02</t>
  </si>
  <si>
    <t>边缘计算
BECSH4CT8FIDC-D-08、
BECSH4CT8FIDC-C-16</t>
  </si>
  <si>
    <t>上海电信边缘计算节点扩容（SH4CT）,新增一个机柜BECSH4CT8FIDC-B-14</t>
  </si>
  <si>
    <t>上海电信退租机柜：SHCT8F-C-09、SHCT8F-C-08、SHCT8F-C-01、SHCT8F-C-12</t>
  </si>
  <si>
    <t>SHCT8F-C-13、SHCT8F-C-14,、SHCT8F-C-15</t>
  </si>
  <si>
    <t>SHCT8F-C-07</t>
  </si>
  <si>
    <t>2022.8开始使用1440个，免费192个，收费1248个。
SSL实际使用IP 1024个：180.163.113.0/24、180.163.188.0/24、101.227.206.0/24、101.227.207.0/24。
从2020.1开始使用768个IP，免费768个</t>
  </si>
  <si>
    <t>2022.8开始使用1440个，免费192个，收费1248个。
SSL实际使用IP 1024个：180.163.113.0/24、180.163.188.0/24、101.227.206.0/24、101.227.207.0/24。</t>
  </si>
  <si>
    <t>2022.8开始使用1440个，免费192个，收费1248个。
SSL实际使用IP 1024个：180.163.113.0/24、180.163.188.0/24、101.227.206.0/24、101.227.207.0/24。2020/8/31退租3个C IP：180.163.153.0/24；180.163.154.0/24；180.163.189.0/24</t>
  </si>
  <si>
    <t>2023.5预计退租带宽40G，退租后剩余20G，等比折算可送64个。2022.8开始使用1440个，免费192个，收费1248个。
新合同约定送832个，实际使用832个，其中SH4CT使用：114.80.31.0/27;114.80.30.0/24</t>
  </si>
  <si>
    <t>2022.8开始使用1440个，免费192个，收费1248个。</t>
  </si>
  <si>
    <t>2022.8开始使用1440个，免费192个，收费1248个。
新合同约定送832个，实际使用832个，其中SHCT使用:180.163.199.0/24;180.163.198.0/24；114.80.31.192/27</t>
  </si>
  <si>
    <t>2022.8开始使用1440个，免费192个，收费1248个。
180.163.198.0/24 180.163.199.0/24 114.80.31.192/27</t>
  </si>
  <si>
    <t xml:space="preserve">2022.8开始使用1440个，免费192个，收费1248个。
边缘计算新增128个IP
180.153.129.128/25 </t>
  </si>
  <si>
    <t>【CDN退租】CDN上海上海电信退租信息 (SH4CT)：114.80.30.128/25</t>
  </si>
  <si>
    <t>中国电信股份有限公司苏州分公司</t>
  </si>
  <si>
    <t>L20231030002</t>
  </si>
  <si>
    <t>太湖机房二期</t>
  </si>
  <si>
    <t>SZTH3D-D8-02</t>
  </si>
  <si>
    <t>SZTH3C-C1-06，SZTH3C-C1-08,SZTH3C-C1-11,SZTH3C-C1-13,SZTH3C-C2-06,SZTH3C-C2-08,SZTH3C-C2-11,SZTH3C-C2-13</t>
  </si>
  <si>
    <t>SZTH3A-A2-16,SZTH3B-B1-18,SZTH3C-C8-01,SZTH3D-D8-01,SZTH3C-C3-17~20</t>
  </si>
  <si>
    <t>SZTH3D-D1-01~11</t>
  </si>
  <si>
    <t>SZTH3D-D1-12</t>
  </si>
  <si>
    <t>SZTH3C-C3-13~23</t>
  </si>
  <si>
    <t>SZTH3D-D1-13~22,SZTH3D-D2-01~19,SZTH3D-D5-03~22,SZTH3D-D6-01~05,SZTH3D-D4-03~05</t>
  </si>
  <si>
    <t>SZTH3D-D4-18~19,SZTH3D-D6-10~12,SZTH3D-D2-20 ,SZTH3D-D3-01~04</t>
  </si>
  <si>
    <t>SZTH3D-D8-03~11,SZTH3B-B8-07~09</t>
  </si>
  <si>
    <t>SZTH3B-B1-08~14,SZTH3B-B8-01~03</t>
  </si>
  <si>
    <t>SZTH3D-D3-11~18,SZTH3D-D6-06~09,SZTH3D-D5-01~02,SZTH3D-D3-09~10,SZTH3D-D3-19,SZTH3D-D4-01,SZTH3D-D4-06~11</t>
  </si>
  <si>
    <t>SZTH3D-D4-12~17,SZTH3D-D4-20~22,SZTH3B-B1-01~03</t>
  </si>
  <si>
    <t>SZTH3D-D2-21,SZTH3D-D3-05~07</t>
  </si>
  <si>
    <t>SZTH3B-B1-04~07  SZTH3D-D4-02</t>
  </si>
  <si>
    <t>SZTH3D-D3-08，SZTH3B-B2-14~15</t>
  </si>
  <si>
    <t>SZTH3B-B1-15~17，SZTH3B-B2-01~05,07，08</t>
  </si>
  <si>
    <t>SZTH3B-B2-06，SZTH3D-D6-13~15，SZTH3B-B2-16，SZTH3B-B2-17</t>
  </si>
  <si>
    <t>SZTH3B-B8-04~05</t>
  </si>
  <si>
    <t>SZTH3B-B7-01，02；SZTH3B-B8-10~13,17,18；SZTH3B-B8-06</t>
  </si>
  <si>
    <t>SZTH3B-B8-12~13</t>
  </si>
  <si>
    <t>SZTH3B-B7-03~15</t>
  </si>
  <si>
    <t>SZTH3B-B2-13,SZTH3B-B2-09~12，SZTH3B-B3-01</t>
  </si>
  <si>
    <t>SZTH3C-C5-01~05</t>
  </si>
  <si>
    <t>SZTH3C-C5-19~21,SZTH3C-C6-01</t>
  </si>
  <si>
    <t>SZTH3C-C5-06~18,SZTH3B-B7-16,SZTH3B-D7-17,SZTH3D-D8-12~19,SZTH3D-D7-05</t>
  </si>
  <si>
    <t>SZTH3B-B3-13~17</t>
  </si>
  <si>
    <t>SZTH3B-B3-18，SZTH3B-B4-01</t>
  </si>
  <si>
    <t>SZTH3D-D7-6~19</t>
  </si>
  <si>
    <t>SZTH3B-B3-,3~4，SZTH3B-B3-6~12，SZTH3C-C6-14~17</t>
  </si>
  <si>
    <t>SZTH3B-B3-2,SZTH3C-C6-02~12</t>
  </si>
  <si>
    <t>SZTH3B-C6-13</t>
  </si>
  <si>
    <t>SZTH4C-C1-7,SZTH4C-C1-9,SZTH4C-C1-10,SZTH4C-C1-12,SZTH4C-C2-6,SZTH4C-C2-8,SZTH4C-C2-11,SZTH4C-C2-13。</t>
  </si>
  <si>
    <t>SZTH4C-C8-01,SZTH4A-A2-16,SZTH4B-B1-18,SZTH4D-D8-01。</t>
  </si>
  <si>
    <t>SZTH3C-C7-01~15,SZTH3C-D7-20</t>
  </si>
  <si>
    <t>SZTH3C-C7-16,SZTH3C-B4-04</t>
  </si>
  <si>
    <t>SZTH3B-B6-03~09,SZTH3B-B4-06,SZTH3B-D7-21</t>
  </si>
  <si>
    <t xml:space="preserve">SZTH3C-C7-19
SZTH3C-C7-20
SZTH3C-C7-21
SZTH3C-C8-07
SZTH3C-C8-08
SZTH3C-C8-09
SZTH3C-C8-10
</t>
  </si>
  <si>
    <t xml:space="preserve">SZTH3B-B4-3
SZTH3B-B4-8
</t>
  </si>
  <si>
    <t>SZTH3C-C8-11</t>
  </si>
  <si>
    <t xml:space="preserve">SZTH3C-C8-12
SZTH3C-C8-13
SZTH3D-D2-22
</t>
  </si>
  <si>
    <t xml:space="preserve">SZTH3B-B6-2
SZTH3B-B8-14
SZTH3B-B8-15
SZTH3B-B8-16
</t>
  </si>
  <si>
    <t>SZTH3B-B4-09</t>
  </si>
  <si>
    <t>SZTH3B-B6-16</t>
  </si>
  <si>
    <t>SZTH3B-B4-07、SZTH3C-C6-18、SZTH3C-C8-02、SZTH3C-C8-03</t>
  </si>
  <si>
    <t>SZTH4C-C1-7~12、SZTH4C-C2-6\8\11\13、SZTH4C-C8-1、SZTH4A-A2-16、SZTH4B-B1-18</t>
  </si>
  <si>
    <t>SZTH3B-B6-10~14</t>
  </si>
  <si>
    <t>SZTH3C-C7-17~18、SZTH3C-C8-4</t>
  </si>
  <si>
    <t>SZTH4C-C1-14~17</t>
  </si>
  <si>
    <t>跟运营商核对后，按核对后的清单更新计提表。清单中20A 单价5950共32个</t>
  </si>
  <si>
    <t xml:space="preserve">20190520开通:
SZTH3B-B5-06
SZTH3C-C8-14
SZTH3C-C8-15
</t>
  </si>
  <si>
    <t xml:space="preserve">20190521开通:
SZTH3A-A1-01
SZTH3A-A1-02
SZTH3A-A1-03
SZTH3A-A1-04
SZTH3A-A1-05
SZTH3A-A1-06
SZTH3A-A1-07
</t>
  </si>
  <si>
    <t>SZTH3B-B5-09·14</t>
  </si>
  <si>
    <t>跟运营商核对后，按核对后的清单更新计提表。清单中40A 单价11700共577个</t>
  </si>
  <si>
    <t>SZTH3A-A1-10 SZTH3B-B4-11</t>
  </si>
  <si>
    <t>SZTH3B-B5-08 SZTH3B-B6-17</t>
  </si>
  <si>
    <t>SZTH3A-A1-08 SZTH3A-A1-09 SZTH3B-B5-07 SZTH4C-C3-02</t>
  </si>
  <si>
    <t>SZTH3B-B4-10</t>
  </si>
  <si>
    <t>19.7.26开通1个SZTH3B-B5-05</t>
  </si>
  <si>
    <t>SZTH3A-A1-11</t>
  </si>
  <si>
    <t>与运营商协商从2022.6.1开始计费。按SYS提供的数据：19.8.9开通2个，SZTH3B-B6-18 SZTH3B-B4-16</t>
  </si>
  <si>
    <t>19.8.19开通15个：SZTH4C-C6-02~10；SZTH3C-C8-16~18；SZTH4C-C6-01、SZTH4C-C6-11、SZTH4C-C6-12</t>
  </si>
  <si>
    <t>与运营商协商从2022.6.1开始计费。按SYS提供的数据：19.8.28开通1个：SZTH3B-B5-04。</t>
  </si>
  <si>
    <t>SZTH3B-B4-14</t>
  </si>
  <si>
    <t>SZTH4C-C1-14、SZTH4C-C2-14</t>
  </si>
  <si>
    <t>SZTH3C-C3-14、SZTH4C-C1-15~SZTH4C-C1-17、SZTH4C-C2-15~SZTH4C-C2-17</t>
  </si>
  <si>
    <t>19.8.29关闭5个机柜。SZTH3B-B7-02 SZTH3B-B7-03 SZTH3B-B7-08 SZTH3B-B7-12 SZTH3B-B7-13</t>
  </si>
  <si>
    <t>SZTH4C-C1-15 SZTH4C-C1-16 SZTH4C-C2-15 SZTH4C-C2-16</t>
  </si>
  <si>
    <t>SZTH4C-C3-05  SZTH4C-C3-06</t>
  </si>
  <si>
    <t>SZTH4C-C3-03  SZTH4C-C3-04</t>
  </si>
  <si>
    <t>与运营商协商从2022.6.1开始计费。19.10添加在计提表中，SZTH3D-D7-04,RMS状态为开通，盘点结果为开通，线上也关联了这个资源</t>
  </si>
  <si>
    <t>SZTH3B-B7-12</t>
  </si>
  <si>
    <t>SZTH3D-D7-22、SZTH4C-C3-08、SZTH4C-C3-10</t>
  </si>
  <si>
    <t>SZTH3A-A2-04</t>
  </si>
  <si>
    <t>SZTH3B-B5-01、SZTH3B-B5-02、SZTH3B-B5-03</t>
  </si>
  <si>
    <t>SZTH3B-B7-08</t>
  </si>
  <si>
    <t>SZTH3A-A2-05、SZTH4C-C5-01、SZTH4C-C5-02、SZTH4C-C5-03、SZTH4C-C5-04</t>
  </si>
  <si>
    <t>SZTH4C-C4-02、SZTH4C-C4-03</t>
  </si>
  <si>
    <t>SZTH3B-B4-12、SZTH3B-B4-13、SZTH3B-B4-15</t>
  </si>
  <si>
    <t>SZTH4C-C3-09</t>
  </si>
  <si>
    <t>SZTH3B-B7-13、SZTH3B-B7-02、SZTH3B-B7-03</t>
  </si>
  <si>
    <t>SZTH4C-C4-07</t>
  </si>
  <si>
    <t>SZTH4C-C4-08</t>
  </si>
  <si>
    <t>SZTH4C-C6-13、SZTH4C-C6-14、SZTH4C-C6-15</t>
  </si>
  <si>
    <t>SZTH4C-C5-09、SZTH4C-C5-10、SZTH4C-C5-11、SZTH4C-C5-12、SZTH4C-C5-13、SZTH4C-C5-14</t>
  </si>
  <si>
    <t>与运营商协商从2022.6.1开始计费。SZTH4C-C5-08。</t>
  </si>
  <si>
    <t>SZTH-云托管</t>
  </si>
  <si>
    <t>SZTH3C-C3-01</t>
  </si>
  <si>
    <t>SZTH3C-C1-01</t>
  </si>
  <si>
    <t>SZTH4C-C1-04、SZTH4C-C1-05、SZTH4C-C2-02</t>
  </si>
  <si>
    <t>SZTH3C-C3-02</t>
  </si>
  <si>
    <t>SZTH3A-A2-12、SZTH3A-A2-13</t>
  </si>
  <si>
    <t>SZTH3A-A2-14</t>
  </si>
  <si>
    <t>SZTH3B-B4-07</t>
  </si>
  <si>
    <t>SZTH4C-C1-02、SZTH4C-C1-03</t>
  </si>
  <si>
    <t>SZTH4C-C5-15</t>
  </si>
  <si>
    <t>SZTH3C-C4-01、SZTH3C-C4-02、SZTH3C-C4-03、SZTH3C-C4-04、SZTH3C-C4-05</t>
  </si>
  <si>
    <t>SZTH3B-B4-17、SZTH3B-B4-18、SZTH4C-C4-10、SZTH4C-C4-11</t>
  </si>
  <si>
    <t>SZTH3C-C3-03</t>
  </si>
  <si>
    <t>SZTH4C-C6-16、SZTH4C-C6-17</t>
  </si>
  <si>
    <t>SZTH4C-C6-18</t>
  </si>
  <si>
    <t>SZTH4C-C5-16、SZTH4C-C5-18</t>
  </si>
  <si>
    <t>SZTH4C-C5-05</t>
  </si>
  <si>
    <t>SZTH4C-C7-12</t>
  </si>
  <si>
    <t>SZTH4C-C2-04、SZTH4C-C2-05</t>
  </si>
  <si>
    <t>SZTH4B-B1-01、SZTH4B-B1-02</t>
  </si>
  <si>
    <t>SZTH4C-C5-17、SZTH4C-C5-19、SZTH4C-C5-20、SZTH4C-C5-21</t>
  </si>
  <si>
    <t>202010SYS更新开通时间，拆分计提行。9月反馈20209/9/14开通27个，实际为2020/9/4开通17个，20209/9/14开通10个，SZTH4B-B2-01、SZTH4B-B2-02、SZTH4B-B2-03、SZTH4B-B2-04、SZTH4B-B2-05、SZTH4B-B2-06、SZTH4B-B2-07、SZTH4B-B2-08、SZTH4B-B2-09、SZTH4B-B2-10、SZTH4B-B2-11、SZTH4B-B2-12、SZTH4B-B2-13、SZTH4B-B2-14、SZTH4B-B2-15、SZTH4B-B2-16、SZTH4B-B2-17</t>
  </si>
  <si>
    <t>202010SYS更新开通时间，拆分计提行。9月反馈20209/9/14开通27个，实际为2020/9/4开通17个，20209/9/14开通10个
SZTH4B-B3-09、SZTH4B-B3-10、SZTH4B-B3-11、SZTH4B-B3-12、SZTH4B-B3-13、SZTH4B-B3-14、SZTH4B-B3-15、SZTH4B-B3-16、SZTH4B-B3-17、SZTH4B-B3-18</t>
  </si>
  <si>
    <t>SZTH4B-B4-17、SZTH4B-B4-10、SZTH4B-B4-09、SZTH4B-B4-11、SZTH4B-B4-12、SZTH4B-B4-13、SZTH4B-B4-14、SZTH4B-B4-15、SZTH4B-B4-16、SZTH4B-B4-18</t>
  </si>
  <si>
    <t>SZTH4B-B2-18、SZTH4B-B5-01、SZTH4B-B5-02、SZTH4B-B5-03、SZTH4B-B5-04、SZTH4B-B5-05、SZTH4B-B5-06、SZTH4B-B5-07、SZTH4B-B5-08、SZTH4B-B5-09、SZTH4B-B5-10、SZTH4B-B5-11、SZTH4B-B5-12、SZTH4B-B5-13、SZTH4B-B5-14、SZTH4B-B6-01、SZTH4B-B6-02、SZTH4B-B6-03、SZTH4B-B6-04、SZTH4B-B6-05、SZTH4B-B6-06、SZTH4B-B6-07、SZTH4B-B6-08、SZTH4B-B6-09、SZTH4B-B6-10、SZTH4B-B6-11、SZTH4B-B6-12、SZTH4B-B6-13、SZTH4B-B6-14、SZTH4B-B6-15、SZTH4B-B6-16、SZTH4B-B6-17、SZTH4B-B6-18</t>
  </si>
  <si>
    <t>SZTH4B-B1-07、SZTH4B-B1-08、SZTH4B-B1-09</t>
  </si>
  <si>
    <t>SZTH4B-B1-10、SZTH4B-B1-11、SZTH4B-B1-12、SZTH4B-B1-13、SZTH4B-B1-14、SZTH4B-B1-15、SZTH4B-B1-16、SZTH4B-B1-17、SZTH4B-B1-05、SZTH4B-B1-06</t>
  </si>
  <si>
    <t>SZTH4C-C7-16</t>
  </si>
  <si>
    <t>2020/10/14开通，计费18天。SZTH4B-B4-01、SZTH4B-B4-02、SZTH4B-B4-03、SZTH4B-B4-04、SZTH4B-B4-05</t>
  </si>
  <si>
    <t>2020/10/15开通，计费17天。SZTH4B-B3-01、SZTH4B-B3-02、SZTH4B-B3-03、SZTH4B-B3-04、SZTH4B-B3-05、SZTH4B-B3-06、SZTH4B-B3-07</t>
  </si>
  <si>
    <t>2020/11/10开通，计费21天：SZTH4A-A1-06</t>
  </si>
  <si>
    <t>2020/11/12开通，计费19天
SZTH3C-C3-04、SZTH3C-C3-05、SZTH3C-C3-06、SZTH3C-C3-07、SZTH3C-C3-08、SZTH3C-C3-09、SZTH3C-C3-10、SZTH3C-C4-08、SZTH3C-C4-09、SZTH3C-C4-10、SZTH3C-C4-11、SZTH4A-A1-01、SZTH4A-A1-02、SZTH4A-A1-03、SZTH4A-A1-04、SZTH4A-A1-05、SZTH4A-A1-07、SZTH4A-A1-08、SZTH4A-A1-09、SZTH4A-A1-10、SZTH4A-A1-11、SZTH4A-A1-12、SZTH4A-A1-13、</t>
  </si>
  <si>
    <t>SZTH4A-A2-05、SZTH4A-A2-04、SZTH4A-A2-03、SZTH4A-A2-02、SZTH4A-A2-01、SZTH4A-A1-16、SZTH4A-A1-15</t>
  </si>
  <si>
    <t>2020/12/8开通，计费24天
SZTH4A-A2-06、SZTH4A-A2-07、SZTH4A-A2-08、SZTH4A-A2-09、SZTH4A-A2-10、SZTH4A-A2-11、SZTH4A-A2-12、SZTH4A-A2-13、SZTH4A-A2-14</t>
  </si>
  <si>
    <t>2020/12/8开通，计费17天。SZTH4A-A2-15</t>
  </si>
  <si>
    <t>2020/12/14开通，计费18天：SZTH4B-B3-08、SZTH4B-B4-06、SZTH4B-B4-07、SZTH4B-B4-08</t>
  </si>
  <si>
    <t>SYS20210222更新SZTH18个机架开通时间，由原2021/1/30开通，更新为2020/12/30
SZTH4C-C3-11、SZTH4C-C3-12、SZTH4C-C3-13、SZTH4C-C3-14、SZTH4C-C3-15、SZTH4C-C3-16、SZTH4C-C3-17、SZTH4C-C3-18、SZTH4C-C4-12、SZTH4C-C4-13、SZTH4C-C4-14、SZTH4C-C4-15、SZTH4C-C4-16、SZTH4C-C4-17、SZTH4C-C4-18、SZTH4C-C4-19、SZTH4C-C4-20、SZTH4C-C4-21</t>
  </si>
  <si>
    <t>2021/2/3开通，计费26天：SZTH4B-B1-03</t>
  </si>
  <si>
    <t>2021/2/24开通，计费5天：SZTH4B-B1-04</t>
  </si>
  <si>
    <t>2021/3/15开通，3月计费17天：
SZTH4C-C7-14、SZTH4C-C7-15</t>
  </si>
  <si>
    <t>2021/3/26开通，3月计费6天
SZTH4B-B7-12、SZTH4B-B7-13、SZTH4B-B7-14、SZTH4B-B7-15、SZTH4B-B7-16、SZTH4B-B7-17、SZTH4B-B7-18</t>
  </si>
  <si>
    <t>2021/4/15开通，4月计费16天：SZTH4B-B8-01、SZTH4B-B8-02、SZTH4B-B8-03、SZTH4B-B8-04、SZTH4B-B8-05</t>
  </si>
  <si>
    <t>2021/4/2开通，4月计费29天：SZTH4C-C1-17、SZTH4C-C2-17</t>
  </si>
  <si>
    <t>2021/5/11关闭，5月冲销20天费用：SZTH3A-A2-14</t>
  </si>
  <si>
    <t>2021/5/17关闭，5月冲销14天费用：SZTH3A-A1-08、SZTH3A-A1-09、SZTH3A-A1-10</t>
  </si>
  <si>
    <t>2021/5/27关闭，5月冲销4天费用：SZTH4B-B1-03</t>
  </si>
  <si>
    <t>202106调整计提行，5月计提表为开19个，拆分成15+4个：SZTH3A-A1-08、SZTH3A-A1-09、SZTH3A-A1-10、SZTH3A-A2-14（当月关闭当月开通的还在正式合同上）</t>
  </si>
  <si>
    <t>太湖机房二期4楼</t>
  </si>
  <si>
    <t>2021/7/13开通，7月计费19天：SZTH4C-C1-18、SZTH4C-C2-18</t>
  </si>
  <si>
    <t>太湖机房二期3楼</t>
  </si>
  <si>
    <t>2021/7/28关闭机架，冲销3天费用：SZTH3C-C3-03</t>
  </si>
  <si>
    <t>2021/10/13开通机架，10月计费19天：SZTH4C-C1-01</t>
  </si>
  <si>
    <t>与运营商协商从2022.6.1开始计费。SZTH3C-C8-19、SZTH3C-C8-20、SZTH3C-C8-21
2021.11运营商盘点发现该机架未计费，经核对开通时间与电流与SYS记录一致，追诉期3个，从2021.8开始计费
运营商账单中无此机架。</t>
  </si>
  <si>
    <t>SZTH4C-C2-03</t>
  </si>
  <si>
    <t>SZTH3C-C4-02、SZTH3C-C4-03、SZTH3C-C4-04、SZTH3C-C4-05</t>
  </si>
  <si>
    <t>SZTH4C-C3-13、SZTH4C-C3-14、SZTH4C-C3-16、SZTH4C-C4-12、SZTH4C-C4-13、SZTH4C-C4-14、SZTH4C-C4-15、SZTH4C-C4-16</t>
  </si>
  <si>
    <t>SZTH4C-C2-05</t>
  </si>
  <si>
    <t>SZTH3C-C4-01</t>
  </si>
  <si>
    <t>SZTH3C-C5-01、SZTH3C-C5-02、SZTH3C-C5-03、SZTH3C-C5-04、SZTH3C-C5-07、SZTH3C-C5-08、SZTH3C-C5-09、SZTH3C-C5-10、SZTH3C-C5-12、SZTH3C-C5-13、SZTH3C-C5-14、SZTH3C-C5-15、SZTH3C-C5-16、SZTH3C-C5-17、SZTH3C-C5-18、SZTH3C-C5-20、SZTH3C-C5-21、SZTH3C-C6-01、SZTH3C-C6-03、SZTH3C-C6-04、SZTH3C-C6-05、SZTH3C-C6-06、SZTH3C-C6-07、SZTH3C-C6-08、SZTH3C-C6-09、SZTH3C-C6-10、SZTH3C-C6-11、SZTH3C-C6-13、SZTH3C-C6-14、SZTH3C-C6-15、SZTH3C-C6-16、SZTH3C-C6-18、SZTH3C-C7-01、SZTH3C-C7-04、SZTH3C-C7-05、SZTH3C-C7-06、SZTH3C-C7-08、SZTH3C-C7-09、SZTH3C-C7-10、SZTH3C-C7-12、SZTH3C-C7-13、SZTH3C-C7-16、SZTH3C-C7-17、SZTH3C-C7-19、SZTH3C-C8-02、SZTH3C-C8-03、SZTH3C-C8-04、SZTH3C-C8-05、SZTH3C-C8-07、SZTH3C-C8-09、SZTH3C-C8-11、SZTH3C-C8-12、SZTH3C-C8-13、SZTH3C-C8-14、SZTH3C-C8-15</t>
  </si>
  <si>
    <t>SZTH3C-C5-05、SZTH3C-C5-06、SZTH3C-C5-11、SZTH3C-C5-19、SZTH3C-C6-02、SZTH3C-C6-12、SZTH3C-C6-17、SZTH3C-C7-02、SZTH3C-C7-03、SZTH3C-C7-07、SZTH3C-C7-11、SZTH3C-C7-14、SZTH3C-C7-15、SZTH3C-C7-18、SZTH3C-C7-20、SZTH3C-C7-21、SZTH3C-C8-06、SZTH3C-C8-08、SZTH3C-C8-10、SZTH3C-C8-16、SZTH3C-C8-17、SZTH3C-C8-18、SZTH3C-C8-19、SZTH3C-C8-20、SZTH3C-C8-21</t>
  </si>
  <si>
    <t>SZTH3D-D1-01、SZTH3D-D1-02、SZTH3D-D1-03、SZTH3D-D1-04、SZTH3D-D1-05、SZTH3D-D1-06、SZTH3D-D1-07、SZTH3D-D1-08、SZTH3D-D1-09、SZTH3D-D1-10、SZTH3D-D1-11、SZTH3D-D1-12、SZTH3D-D1-13、SZTH3D-D1-14、SZTH3D-D1-15、SZTH3D-D1-16、SZTH3D-D1-17、SZTH3D-D1-18、SZTH3D-D1-19、SZTH3D-D1-20、SZTH3D-D1-21、SZTH3D-D1-22、SZTH3D-D2-01、SZTH3D-D2-02、SZTH3D-D2-03、SZTH3D-D2-04、SZTH3D-D2-05、SZTH3D-D2-06、SZTH3D-D2-07、SZTH3D-D2-08、SZTH3D-D2-09、SZTH3D-D2-10、SZTH3D-D2-11、SZTH3D-D2-12、SZTH3D-D2-13、SZTH3D-D2-14、SZTH3D-D2-15、SZTH3D-D2-16、SZTH3D-D2-17、SZTH3D-D2-18、SZTH3D-D2-19、SZTH3D-D2-20、SZTH3D-D2-21、SZTH3D-D2-22、SZTH3D-D3-01、SZTH3D-D3-02、SZTH3D-D3-03、SZTH3D-D3-04、SZTH3D-D3-05、SZTH3D-D3-06、SZTH3D-D3-07、SZTH3D-D3-08、SZTH3D-D3-09、SZTH3D-D3-10、SZTH3D-D3-11、SZTH3D-D3-12、SZTH3D-D3-13、SZTH3D-D3-14、SZTH3D-D3-15、SZTH3D-D3-16、SZTH3D-D3-17、SZTH3D-D3-18、SZTH3D-D3-19、SZTH3D-D4-01、SZTH3D-D4-02、SZTH3D-D4-03、SZTH3D-D4-04、SZTH3D-D4-05、SZTH3D-D4-06、SZTH3D-D4-07、SZTH3D-D4-08、SZTH3D-D4-09、SZTH3D-D4-10、SZTH3D-D4-11、SZTH3D-D4-12、SZTH3D-D4-13、SZTH3D-D4-14、SZTH3D-D4-15、SZTH3D-D4-16、SZTH3D-D4-17、SZTH3D-D4-18、SZTH3D-D4-19、SZTH3D-D4-20、SZTH3D-D4-21、SZTH3D-D4-22、SZTH3D-D5-01、SZTH3D-D5-02、SZTH3D-D5-03、SZTH3D-D5-04、SZTH3D-D5-05、SZTH3D-D5-06、SZTH3D-D5-07、SZTH3D-D5-08、SZTH3D-D5-09、SZTH3D-D5-10、SZTH3D-D5-11、SZTH3D-D5-12、SZTH3D-D5-13、SZTH3D-D5-14、SZTH3D-D5-15、SZTH3D-D5-16、SZTH3D-D5-17、SZTH3D-D5-18、SZTH3D-D5-19、SZTH3D-D5-20、SZTH3D-D5-21、SZTH3D-D5-22、SZTH3D-D6-01、SZTH3D-D6-02、SZTH3D-D6-03、SZTH3D-D6-04、SZTH3D-D6-05、SZTH3D-D6-06、SZTH3D-D6-07、SZTH3D-D6-08、SZTH3D-D6-09、SZTH3D-D6-10、SZTH3D-D6-11、SZTH3D-D6-12、SZTH3D-D6-13、SZTH3D-D6-14、SZTH3D-D6-15、SZTH3D-D6-16、SZTH3D-D6-17、SZTH3D-D6-18、SZTH3D-D6-19、SZTH3D-D7-01、SZTH3D-D7-02、SZTH3D-D7-03、SZTH3D-D7-04、SZTH3D-D7-05、SZTH3D-D7-06、SZTH3D-D7-07、SZTH3D-D7-08、SZTH3D-D7-09、SZTH3D-D7-10、SZTH3D-D7-11、SZTH3D-D7-12、SZTH3D-D7-13、SZTH3D-D7-14、SZTH3D-D7-15、SZTH3D-D7-16、SZTH3D-D7-17、SZTH3D-D7-18、SZTH3D-D7-19、SZTH3D-D7-20、SZTH3D-D7-21、SZTH3D-D7-22、SZTH3D-D8-02、SZTH3D-D8-03、SZTH3D-D8-04、SZTH3D-D8-05、SZTH3D-D8-06、SZTH3D-D8-07、SZTH3D-D8-08、SZTH3D-D8-09、SZTH3D-D8-10、SZTH3D-D8-11、SZTH3D-D8-12、SZTH3D-D8-13、SZTH3D-D8-14、SZTH3D-D8-15、SZTH3D-D8-16、SZTH3D-D8-17、SZTH3D-D8-18、SZTH3D-D8-19、SZTH3D-D8-20、SZTH3D-D8-21、SZTH3D-D8-22</t>
  </si>
  <si>
    <t>SZTH3C-C4-16、SZTH3C-C4-17、SZTH3C-C4-18、SZTH3C-C4-19、SZTH3C-C4-20、SZTH3C-C4-21、SZTH3C-C4-22、SZTH3C-C4-23</t>
  </si>
  <si>
    <t>SZTH4B-B1-01、SZTH4B-B1-02、SZTH4B-B1-04、SZTH4B-B1-05、SZTH4B-B1-06、SZTH4B-B1-12、SZTH4B-B1-13、SZTH4B-B1-14、SZTH4B-B1-16、SZTH4B-B1-17、SZTH4B-B2-01、SZTH4B-B2-02、SZTH4B-B2-03、SZTH4B-B2-05、SZTH4B-B2-06、SZTH4B-B2-07、SZTH4B-B2-08、SZTH4B-B2-09、SZTH4B-B2-10、SZTH4B-B2-11、SZTH4B-B2-12、SZTH4B-B2-13、SZTH4B-B2-15、SZTH4B-B2-18、SZTH4B-B3-09、SZTH4B-B3-10、SZTH4B-B3-11、SZTH4B-B3-12、SZTH4B-B3-13、SZTH4B-B3-14、SZTH4B-B3-15、SZTH4B-B3-16、SZTH4B-B3-17、SZTH4B-B3-18、SZTH4B-B4-09、SZTH4B-B4-10、SZTH4B-B4-11、SZTH4B-B4-12、SZTH4B-B4-13、SZTH4B-B4-14、SZTH4B-B4-15、SZTH4B-B4-16、SZTH4B-B4-18、SZTH4B-B5-01、SZTH4B-B5-02、SZTH4B-B5-03、SZTH4B-B5-04、SZTH4B-B5-05、SZTH4B-B5-06、SZTH4B-B5-07、SZTH4B-B5-08、SZTH4B-B5-09、SZTH4B-B5-10、SZTH4B-B5-11、SZTH4B-B5-12、SZTH4B-B5-13、SZTH4B-B5-14、SZTH4B-B6-02、SZTH4B-B6-03、SZTH4B-B6-04、SZTH4B-B6-05、SZTH4B-B6-07、SZTH4B-B6-08、SZTH4B-B6-09、SZTH4B-B6-10、SZTH4B-B6-11、SZTH4B-B6-12、SZTH4B-B6-13、SZTH4B-B6-14、SZTH4B-B6-15、SZTH4B-B6-16</t>
  </si>
  <si>
    <t>SZTH4B-B6-01、SZTH4B-B6-17、SZTH4B-B4-17、SZTH4B-B2-17、SZTH4B-B2-16、SZTH4B-B2-14、SZTH4B-B1-15、SZTH4B-B1-10、SZTH4B-B1-11、SZTH4B-B6-18、SZTH4B-B1-07、SZTH4B-B1-08、SZTH4B-B1-09、SZTH4B-B6-06</t>
  </si>
  <si>
    <t>SZTH4C-C5-01、SZTH4C-C5-02、SZTH4C-C5-03、SZTH4C-C5-04、SZTH4C-C5-05、SZTH4C-C5-08、SZTH4C-C5-09、SZTH4C-C5-10、SZTH4C-C5-11、SZTH4C-C5-12、SZTH4C-C5-13、SZTH4C-C5-14、SZTH4C-C5-15、SZTH4C-C5-16、SZTH4C-C5-17、SZTH4C-C5-18、SZTH4C-C5-19、SZTH4C-C5-20、SZTH4C-C5-21、SZTH4C-C6-01、SZTH4C-C6-02、SZTH4C-C6-03、SZTH4C-C6-04、SZTH4C-C6-05、SZTH4C-C6-06、SZTH4C-C6-07、SZTH4C-C6-08、SZTH4C-C6-09、SZTH4C-C6-10、SZTH4C-C6-11、SZTH4C-C6-12、SZTH4C-C6-16、SZTH4C-C6-17、SZTH4C-C6-18、SZTH4C-C7-01、SZTH4C-C7-02、SZTH4C-C7-03、SZTH4C-C7-04、SZTH4C-C7-05、SZTH4C-C7-06、SZTH4C-C7-07、SZTH4C-C7-08、SZTH4C-C7-09、SZTH4C-C7-10、SZTH4C-C7-12、SZTH4C-C7-14、SZTH4C-C7-15、SZTH4C-C7-16、SZTH4C-C8-02、SZTH4C-C8-03、SZTH4C-C8-04、SZTH4C-C8-06、SZTH4C-C8-07、SZTH4C-C8-08、SZTH4C-C8-09、SZTH4C-C8-10、SZTH4C-C8-11、SZTH4C-C8-13、SZTH4C-C8-14、SZTH4C-C8-15、SZTH4C-C8-16、SZTH4C-C8-17、SZTH4C-C8-18、SZTH4C-C8-19、SZTH4C-C8-20、SZTH4C-C8-21、SZTH4D-D1-01、SZTH4D-D1-03、SZTH4D-D1-04、SZTH4D-D1-05、SZTH4D-D1-06、SZTH4D-D1-08、SZTH4D-D1-09、SZTH4D-D1-10、SZTH4D-D1-11、SZTH4D-D1-12、SZTH4D-D1-15、SZTH4D-D1-16、SZTH4D-D1-17、SZTH4D-D1-18、SZTH4D-D1-19、SZTH4D-D1-20、SZTH4D-D1-21、SZTH4D-D1-22、SZTH4D-D2-01、SZTH4D-D2-02、SZTH4D-D2-03、SZTH4D-D2-04、SZTH4D-D2-05、SZTH4D-D2-06、SZTH4D-D2-07、SZTH4D-D2-08、SZTH4D-D2-09、SZTH4D-D2-10、SZTH4D-D2-11、SZTH4D-D2-12、SZTH4D-D2-13、SZTH4D-D2-14、SZTH4D-D2-15、SZTH4D-D2-16、SZTH4D-D2-17、SZTH4D-D2-18、SZTH4D-D2-19、SZTH4D-D2-20、SZTH4D-D2-21、SZTH4D-D2-22、SZTH4D-D3-01、SZTH4D-D3-02、SZTH4D-D3-03、SZTH4D-D3-04、SZTH4D-D3-05、SZTH4D-D3-06、SZTH4D-D3-07、SZTH4D-D3-08、SZTH4D-D3-09、SZTH4D-D3-10、SZTH4D-D3-11、SZTH4D-D3-12、SZTH4D-D3-13、SZTH4D-D3-14、SZTH4D-D3-15、SZTH4D-D3-16、SZTH4D-D3-17、SZTH4D-D3-18、SZTH4D-D3-19、SZTH4D-D4-01、SZTH4D-D4-02、SZTH4D-D4-03、SZTH4D-D4-04、SZTH4D-D4-05、SZTH4D-D4-06、SZTH4D-D4-07、SZTH4D-D4-08、SZTH4D-D4-09、SZTH4D-D4-10、SZTH4D-D4-11、SZTH4D-D4-12、SZTH4D-D4-13、SZTH4D-D4-14、SZTH4D-D4-15、SZTH4D-D4-16、SZTH4D-D4-17、SZTH4D-D4-18、SZTH4D-D4-19、SZTH4D-D4-20、SZTH4D-D4-21、SZTH4D-D4-22、SZTH4D-D5-01、SZTH4D-D5-02、SZTH4D-D5-03、SZTH4D-D5-04、SZTH4D-D5-05、SZTH4D-D5-06、SZTH4D-D5-07、SZTH4D-D5-08、SZTH4D-D5-09、SZTH4D-D5-10、SZTH4D-D5-11、SZTH4D-D5-12、SZTH4D-D5-13、SZTH4D-D5-14、SZTH4D-D5-15、SZTH4D-D5-16、SZTH4D-D5-17、SZTH4D-D5-18、SZTH4D-D5-19、SZTH4D-D5-20、SZTH4D-D5-21、SZTH4D-D5-22、SZTH4D-D6-01、SZTH4D-D6-02、SZTH4D-D6-03、SZTH4D-D6-04、SZTH4D-D6-05、SZTH4D-D6-06、SZTH4D-D6-07、SZTH4D-D6-08、SZTH4D-D6-09、SZTH4D-D6-10、SZTH4D-D6-11、SZTH4D-D6-12、SZTH4D-D6-13、SZTH4D-D6-14、SZTH4D-D6-15、SZTH4D-D6-16、SZTH4D-D6-17、SZTH4D-D6-18、SZTH4D-D6-19、SZTH4D-D7-01、SZTH4D-D7-02、SZTH4D-D7-03、SZTH4D-D7-04、SZTH4D-D7-05、SZTH4D-D7-07、SZTH4D-D7-08、SZTH4D-D7-11、SZTH4D-D7-12、SZTH4D-D7-13、SZTH4D-D7-14、SZTH4D-D7-15、SZTH4D-D7-16、SZTH4D-D7-17、SZTH4D-D7-18、SZTH4D-D7-19、SZTH4D-D7-20、SZTH4D-D7-21、SZTH4D-D7-22、SZTH4D-D8-02、SZTH4D-D8-03、SZTH4D-D8-04、SZTH4D-D8-05、SZTH4D-D8-06、SZTH4D-D8-07、SZTH4D-D8-08、SZTH4D-D8-09、SZTH4D-D8-10、SZTH4D-D8-11、SZTH4D-D8-12、SZTH4D-D8-13、SZTH4D-D8-14、SZTH4D-D8-15、SZTH4D-D8-16、SZTH4D-D8-17、SZTH4D-D8-18、SZTH4D-D8-19、SZTH4D-D8-20、SZTH4D-D8-21、SZTH4D-D8-22</t>
  </si>
  <si>
    <t>SZTH4C-C6-13、SZTH4C-C6-14、SZTH4C-C6-15、SZTH4C-C8-05、SZTH4C-C8-12、SZTH4D-D1-02、SZTH4D-D1-07、SZTH4D-D1-13、SZTH4D-D1-14、SZTH4D-D7-06、SZTH4D-D7-09、SZTH4D-D7-10</t>
  </si>
  <si>
    <t>SZTH4B-B2-04</t>
  </si>
  <si>
    <t>SZTH4B-B1-18</t>
  </si>
  <si>
    <t>SZTH3C-C8-01、SZTH3D-D8-01</t>
  </si>
  <si>
    <t>SZTH3C-C1-01。此机柜运营商反馈2022.11.9下电，2023.5经与SYS核实，并未下电，本月恢复开通状态</t>
  </si>
  <si>
    <t>SZTH3C-C4-01。此机柜运营商反馈2022.11.9下电，2023.5经与SYS核实，并未下电，本月恢复开通状态</t>
  </si>
  <si>
    <t>2023.7与SYS确认，SZTH3C-C4-01与SZTH1D3C-04-01为同一机柜，计提重复，本月对旧编号操作关闭，新编号的开通时间为5.10，故旧编号的关闭时间为5.9</t>
  </si>
  <si>
    <t>181915IDC00358</t>
  </si>
  <si>
    <t>苏州4电信</t>
  </si>
  <si>
    <t>使用288个IP，均免费。180.97.198.0/24;58.211.8.96/27</t>
  </si>
  <si>
    <t>182115IDC00526</t>
    <phoneticPr fontId="3" type="noConversion"/>
  </si>
  <si>
    <t>苏州太湖数据中心SZTH-常熟普洛斯物流园</t>
  </si>
  <si>
    <t>8芯</t>
  </si>
  <si>
    <t>2021/8/10开通太湖数据中心到常熟普洛斯物流园4条裸光纤，每条100KM，共400KM，每公里200元。8月计费22天
租纤业务编号：G00246202A、G00246207A、G00246210A、G00246213A</t>
  </si>
  <si>
    <t>SZTH4C-C5-06、SZTH4C-C5-07、SZTH4C-C7-11、SZTH4C-C7-13、SZTH4C-C7-17、SZTH4C-C7-18、SZTH4C-C7-19、SZTH4C-C7-20、SZTH4C-C7-21</t>
  </si>
  <si>
    <t>布线柜不收费。SZTH3C-C1-05、SZTH3C-C1-07、SZTH3C-C1-09、SZTH3C-C1-10、SZTH3C-C1-12、SZTH3C-C1-14、SZTH3C-C2-05、SZTH3C-C2-07、SZTH3C-C2-09、SZTH3C-C2-10、SZTH3C-C2-12、SZTH3C-C2-14、SZTH4C-C1-06、SZTH4C-C1-08、SZTH4C-C1-11、SZTH4C-C1-13、SZTH4C-C2-07、SZTH4C-C2-09、SZTH4C-C2-10、SZTH4C-C2-12</t>
  </si>
  <si>
    <t>SZTH4B-B8-06、SZTH4B-B8-07、SZTH4B-B8-08、SZTH4B-B8-09、SZTH4B-B8-10、SZTH4B-B8-11、SZTH4B-B8-12、SZTH4B-B8-13、SZTH4B-B8-14、SZTH4B-B8-15、SZTH4B-B8-16、SZTH4B-B8-17、SZTH4B-B8-18</t>
  </si>
  <si>
    <t>SZTH4C-C7-13、SZTH4C-C7-17、SZTH4C-C7-18、SZTH4C-C7-19、SZTH4B-B7-02、SZTH4B-B7-03、SZTH4B-B7-04、SZTH4B-B7-05、SZTH4B-B7-06、SZTH4B-B7-07、SZTH4B-B7-08、SZTH4B-B7-09、SZTH4B-B7-10、SZTH4B-B7-11、SZTH4B-B7-01</t>
  </si>
  <si>
    <t>SZTH4C-C7-20、SZTH4C-C7-21</t>
  </si>
  <si>
    <t>SZTH4C-C7-11、SZTH4C-C5-06</t>
  </si>
  <si>
    <t>SZTH3C-C4-06</t>
  </si>
  <si>
    <t>SZTH4C-C5-07</t>
  </si>
  <si>
    <t>202106调整计提行，5月计提表为开19个，拆分成15+4个：SZTH3A-A1-12、SZTH3A-A1-13、SZTH3A-A1-14、SZTH3A-A1-15、SZTH3A-A1-16、SZTH3A-A2-01、SZTH3A-A2-02、SZTH3A-A2-03、SZTH3A-A2-06、SZTH3A-A2-07、SZTH3A-A2-08、SZTH3A-A2-09、SZTH3A-A2-10、SZTH3A-A2-11、SZTH3A-A2-15</t>
  </si>
  <si>
    <t>SZTH4C-C4-21</t>
  </si>
  <si>
    <t>SZTH3C-C3-15</t>
  </si>
  <si>
    <t>太湖机房二期4楼</t>
    <phoneticPr fontId="3" type="noConversion"/>
  </si>
  <si>
    <t>经与SYS核实，SZTH4D-D8-01改造未关电，改造后继续使用，改造后机柜编号为SZTH1D4D-08-01。9月对旧编号操作关闭，新编号操作开通</t>
    <phoneticPr fontId="3" type="noConversion"/>
  </si>
  <si>
    <t>L20221005004</t>
  </si>
  <si>
    <t>太湖机房一期</t>
  </si>
  <si>
    <t>202001计提数量由137调整为135，减少2个，调整后线上合计计提机架615个，与2019.9.18财务盘点结果一致
20A机柜6000，其他机柜单价计算公式为6000+（电流-20A）*300</t>
  </si>
  <si>
    <t>FYT202309250002-93,900.00关联166A；FYT202309250001-76,800.00关联32A</t>
    <phoneticPr fontId="3" type="noConversion"/>
  </si>
  <si>
    <t>181615IDC00192，有效期2022-10-30</t>
    <phoneticPr fontId="3" type="noConversion"/>
  </si>
  <si>
    <t>28A</t>
  </si>
  <si>
    <t>37A</t>
  </si>
  <si>
    <t>SZTH2D-D4-17</t>
  </si>
  <si>
    <t xml:space="preserve">SZTH2C-C8-01、SZTH2C-C8-02 、SZTH2C-C9-17 、SZTH2C-C9-18 、SZTH2C-C9-19 、SZTH2C-C9-20、SZTH2C-C9-21 、SZTH2C-C9-22、SZTH2C-C9-23、SZTH2C-C9-24 </t>
  </si>
  <si>
    <t>SZTH2B-B1-01、SZTH2B-B2-11、SZTH2B-B2-12、SZTH2B-B2-13、SZTH2B-B2-14、SZTH2B-B2-15</t>
  </si>
  <si>
    <t xml:space="preserve">SZTH2D-D5-06、SZTH2D-D5-07、SZTH2D-D5-08、SZTH2D-D5-09、SZTH2D-D5-10 </t>
  </si>
  <si>
    <t>SZTH2D-D5-12、SZTH2D-D6-13、SZTH2D-D6-15、SZTH2D-D6-16、SZTH2D-D6-18、SZTH2D-D6-19、SZTH2D-D6-21</t>
  </si>
  <si>
    <t>SZTH2B-B2-16 
SZTH2A-A1-07</t>
  </si>
  <si>
    <t>SZTH2D-D8-01、SZTH2D-D8-02、 SZTH2D-D8-03</t>
  </si>
  <si>
    <t xml:space="preserve">SZTH2C-C5-10 </t>
  </si>
  <si>
    <t xml:space="preserve">SZTH2C-C5-07、SZTH2C-C5-08 SZTH2C-C5-09 </t>
  </si>
  <si>
    <t>SZTH2B-B9-05、SZTH2B-B9-06、SZTH2B-B9-07</t>
  </si>
  <si>
    <t>SZTH2B-B9-02、SZTH2B-B9-03、SZTH2B-B9-04</t>
  </si>
  <si>
    <t xml:space="preserve">SZTH2D-D4-18、SZTH2D-D4-19、SZTH2D-D7-01、SZTH2D-D7-02 、SZTH2D-D7-03、 SZTH2D-D7-04 </t>
  </si>
  <si>
    <t>SZTH2A-A1-08</t>
  </si>
  <si>
    <t xml:space="preserve">SZTH2D-D7-17 、SZTH2D-D7-18 、SZTH2D-D7-19 </t>
  </si>
  <si>
    <t>SZTH2D-D7-08</t>
  </si>
  <si>
    <t xml:space="preserve">SZTH2C-C5-11、SZTH2C-C5-12、SZTH2C-C6-07、SZTH2C-C6-08 、SZTH2C-C6-09 、SZTH2C-C6-10 </t>
  </si>
  <si>
    <t xml:space="preserve">SZTH2D-D5-11、SZTH2D-D6-14、SZTH2D-D6-17、SZTH2D-D6-20 </t>
  </si>
  <si>
    <t>SZTH2D-D5-13、SZTH2D-D5-14、SZTH2D-D5-15、SZTH2D-D5-16</t>
  </si>
  <si>
    <t>SZTH2D-D5-17、SZTH2D-D5-18、SZTH2D-D5-19、SZTH2D-D5-20、SZTH2D-D5-21、SZTH2D-D5-22、SZTH2D-D5-23、SZTH2D-D5-24</t>
  </si>
  <si>
    <t>SZTH2B-B2-17、SZTH2B-B2-18、SZTH2B-B2-19、SZTH2B-B2-20</t>
  </si>
  <si>
    <t>SZTH2B-B2-10、SZTH2B-B3-01、SZTH2B-B3-02、SZTH2B-B3-03、SZTH2B-B3-04</t>
  </si>
  <si>
    <t xml:space="preserve">D6-22 D6-23 D6-24 D7-11 D7-12 D7-13 D7-14  </t>
  </si>
  <si>
    <t>SZTH2D-D8-04</t>
  </si>
  <si>
    <t>SZTH2B-B5-01、SZTH2B-B5-02 、SZTH2B-B5-03 、SZTH2B-B5-04 、SZTH2B-B5-05 、SZTH2B-B5-06 、SZTH2B-B5-07 、SZTH2B-B5-08 、SZTH2B-B5-09 、SZTH2B-B5-10。</t>
  </si>
  <si>
    <t xml:space="preserve">SZTH2C-C8-04、SZTH2C-C8-05 、SZTH2C-C8-06 、SZTH2C-C8-07、SZTH2C-C8-08 、SZTH2C-C8-09 、SZTH2C-C8-10 、SZTH2C-C8-11 、SZTH2C-C8-12 、SZTH2C-C8-13 、SZTH2C-C8-14 、SZTH2C-C8-15 </t>
  </si>
  <si>
    <t>SZTH2C-C6-03、SZTH2C-C6-04、SZTH2C-C6-05、SZTH2C-C6-06</t>
  </si>
  <si>
    <t>SZTH2C-C6-02</t>
  </si>
  <si>
    <t>SZTH2D-D4-20、SZTH2D-D7-10、SZTH2D-D7-15、SZTH2D-D7-16、SZTH2D-D7-20、SZTH2B-B3-17</t>
  </si>
  <si>
    <t>SZTH2B-B5-11~SZTH2B-B5-17，SZTH2B-B6-14~SZTH2B-B6-16</t>
  </si>
  <si>
    <t>SZTH2B-B3-05、SZTH2B-B3-06、SZTH2B-B3-07、SZTH2B-B4-10、SZTH2B-B4-11、SZTH2B-B4-12、SZTH2B-B4-13 、SZTH2B-B4-14、SZTH2B-B4-15、SZTH2B-B4-16 、SZTH2B-B4-17、SZTH2B-B4-18、SZTH2B-B4-19、SZTH2B-B4-20</t>
  </si>
  <si>
    <t>SZTH2D-D9-05、SZTH2D-D9-06、SZTH2D-D9-07、SZTH2D-D9-08、SZTH2D-D9-09、SZTH2D-D9-10、SZTH2D-D9-13、SZTH2D-D9-14、SZTH2D-D9-15、SZTH2D-D9-16、SZTH2D-D9-17、
SZTH2D-D9-18、SZTH2D-D9-19、SZTH2D-D9-20 、SZTH2D-D9-21 、SZTH2D-D9-22、SZTH2D-D9-23、SZTH2D-D9-24</t>
  </si>
  <si>
    <t xml:space="preserve">SZTH2B-B5-18 </t>
  </si>
  <si>
    <t>SZTH2B-B4-01、SZTH2B-B4-02 、SZTH2B-B4-03、SZTH2B-B4-04、SZTH2B-B4-05、SZTH2B-B4-06、SZTH2B-B4-07、SZTH2B-B4-08、SZTH2B-B4-09</t>
  </si>
  <si>
    <t>SZTH2B-B3-08、SZTH2B-B3-09、SZTH2B-B3-10 、SZTH2B-B3-11 、SZTH2B-B3-12、SZTH2B-B3-13 、SZTH2B-B3-14、SZTH2B-B3-15、SZTH2B-B3-16</t>
  </si>
  <si>
    <t>SZTH2D-D7-05、SZTH2D-D7-06</t>
  </si>
  <si>
    <t>SZTH2C-C6-11</t>
  </si>
  <si>
    <t>SZTH2A-A1-09 、SZTH2A-A1-10</t>
  </si>
  <si>
    <t>SZTH2B-B2-01
SZTH2B-B2-02
SZTH2B-B2-03
SZTH2B-B2-04
SZTH2B-B2-05
SZTH2B-B2-06</t>
  </si>
  <si>
    <t>SZTH2C-C6-12~SZTH2C-C6-16</t>
  </si>
  <si>
    <t>SZTH2B-B6-09、SZTH2B-B6-10</t>
  </si>
  <si>
    <t>SZTH2B-B7-13、SZTH2B-B7-14</t>
  </si>
  <si>
    <t>SZTH2D-D8-15、SZTH2B-B6-12</t>
  </si>
  <si>
    <t>SZTH2D-D8-22
SZTH2D-D8-23
SZTH2D-D8-24
SZTH2D-D9-11
经核实，开通日期从10月31日，修改为11月3日</t>
  </si>
  <si>
    <t>SZTH2B-B7-10
SZTH2B-B7-11
SZTH2B-B7-12</t>
  </si>
  <si>
    <t>SZTH2A-A1-11、SZTH2A-A1-12、SZTH2A-A1-13
经核实，开通日期从11月1日，修改为11月2日</t>
  </si>
  <si>
    <t>SZTH2D-D8-13、SZTH2D-D8-14</t>
  </si>
  <si>
    <t>SZTH2D-D8-16
SZTH2D-D8-17
SZTH2D-D8-18
SZTH2D-D8-19</t>
  </si>
  <si>
    <t>SZTH2B-B3-18</t>
  </si>
  <si>
    <t>SZTH2D-D8-05
SZTH2D-D8-06
SZTH2D-D8-07
SZTH2D-D8-08
SZTH2D-D8-09
SZTH2D-D8-10
经核实，开通日期从11月15日，修改为11月16日</t>
  </si>
  <si>
    <t>SZTH2B-B7-15</t>
  </si>
  <si>
    <t xml:space="preserve">SZTH2B-B6-01 
SZTH2B-B6-02 
SZTH2B-B7-20 </t>
  </si>
  <si>
    <t>SZTH2B-B7-16
SZTH2B-B7-17
SZTH2B-B7-18
SZTH2B-B7-19</t>
  </si>
  <si>
    <t>SZTH2D-D8-20
SZTH2D-D8-21</t>
  </si>
  <si>
    <t>SZTH2B-B6-03
SZTH2B-B6-04
SZTH2B-B6-05
SZTH2B-B6-06
SZTH2B-B6-07</t>
  </si>
  <si>
    <t>SZTH2B-B7-02</t>
  </si>
  <si>
    <t xml:space="preserve">SZTH2B-B7-08 
SZTH2B-B7-09 </t>
  </si>
  <si>
    <t>SZTH2B-B8-19
SZTH2B-B8-20</t>
  </si>
  <si>
    <t>SZTH2C-C7-01
SZTH2C-C7-02
SZTH2C-C7-03
SZTH2C-C7-04
SZTH2C-C7-05</t>
  </si>
  <si>
    <t>SZTH2A-A1-14</t>
  </si>
  <si>
    <t>SZTH2A-A2-01
SZTH2A-A2-02
SZTH2A-A2-03
SZTH2A-A2-04
SZTH2A-A2-05
SZTH2A-A2-06</t>
  </si>
  <si>
    <t>SZTH2A-A3-07至SZTH2A-A3-13</t>
  </si>
  <si>
    <t xml:space="preserve">SZTH2A-A3-15至SZTH2A-A3-20
</t>
  </si>
  <si>
    <t>SZTH2B-B8-11至SZTH2B-B8-18</t>
  </si>
  <si>
    <t>SZTH2A-A2-11至SZTH2A-A2-13</t>
  </si>
  <si>
    <t>SZTH2A-A2-10</t>
  </si>
  <si>
    <t>SZTH2B-B7-06</t>
  </si>
  <si>
    <t>SZTH2B-B7-04
SZTH2B-B7-05</t>
  </si>
  <si>
    <t>SZTH2A-A4-01至SZTH2A-A4-13</t>
  </si>
  <si>
    <t>SZTH2A-A2-07
SZTH2A-A2-08
SZTH2A-A2-09
SZTH2A-A3-04
SZTH2A-A3-05 
SZTH2A-A3-06</t>
  </si>
  <si>
    <t>SZTH2A-A3-14
SZTH2A-A3-21
SZTH2A-A3-22</t>
  </si>
  <si>
    <t>SZTH2B-B7-07</t>
  </si>
  <si>
    <t>SZTH2B-B8-01至SZTH2B-B8-08
SZTH2A-A4-14至SZTH2A-A4-17</t>
  </si>
  <si>
    <t>SZTH2A-A3-03</t>
  </si>
  <si>
    <t>SZTH2A-A4-20</t>
  </si>
  <si>
    <t>SZTH2A-A3-01</t>
  </si>
  <si>
    <t>SZTH2C-C7-14
SZTH2C-C7-15</t>
  </si>
  <si>
    <t>SZTH2C-C7-11
SZTH2C-C7-12
SZTH2C-C7-13</t>
  </si>
  <si>
    <t>SZTH2C-C7-20</t>
  </si>
  <si>
    <t>SZTH2A-A4-18</t>
  </si>
  <si>
    <t>SZTH2C-C7-09</t>
  </si>
  <si>
    <t>SZTH2C-C7-08</t>
  </si>
  <si>
    <t>SZTH2A-A4-19</t>
  </si>
  <si>
    <t>SZTH2B-B8-09
SZTH2B-B8-10</t>
  </si>
  <si>
    <t>SZTH2B-B6-11</t>
  </si>
  <si>
    <t>SZTH2B-B6-08</t>
  </si>
  <si>
    <t>SZTH2B-B6-13</t>
  </si>
  <si>
    <t>SZTH2B-B2-07</t>
  </si>
  <si>
    <t>SZTH2D-D1-01</t>
  </si>
  <si>
    <t>SZTH2A-A2-14</t>
  </si>
  <si>
    <t>SZTH2B-B9-08
SZTH2B-B9-09
SZTH2B-B9-10
SZTH2A-A2-16 
SZTH2A-A2-17
SZTH2A-A2-18
SZTH2A-A2-19
SZTH2A-A2-20</t>
  </si>
  <si>
    <t>SZTH2C-C7-19</t>
  </si>
  <si>
    <t xml:space="preserve">SZTH2B-B2-08 
SZTH2B-B2-09 </t>
  </si>
  <si>
    <t>SZTH2A-A3-02</t>
  </si>
  <si>
    <t>SZTH2D-D9-12</t>
  </si>
  <si>
    <t>SZTH2B-B9-11
SZTH2B-B9-12
SZTH2B-B9-13</t>
  </si>
  <si>
    <t>SZTH2c-c7-17
SZTH2c-c7-18</t>
  </si>
  <si>
    <t>SZTH2B-B9-14</t>
  </si>
  <si>
    <t>SZTH2D-D8-11
SZTH2B-D8-12</t>
  </si>
  <si>
    <t xml:space="preserve">SZTH2B-B7-01 </t>
  </si>
  <si>
    <t>SZTH2B-B7-03</t>
  </si>
  <si>
    <t>SZTH2D-D1-02～04</t>
  </si>
  <si>
    <t>SZTH2C-C8-20~22</t>
  </si>
  <si>
    <t>SZTH2C-C8-16~18</t>
  </si>
  <si>
    <t>SZTH2C-C7-07~08</t>
  </si>
  <si>
    <t xml:space="preserve">SZTH2C-C7-06 
SZTH2C-C7-07 </t>
  </si>
  <si>
    <t xml:space="preserve">SZTH2C-C8-20 
SZTH2C-C8-21 
SZTH2C-C8-22 </t>
  </si>
  <si>
    <t>SZTH2C-C3-11</t>
  </si>
  <si>
    <t xml:space="preserve">SZTH2C-C3-10 
SZTH2C-C3-17 </t>
  </si>
  <si>
    <t>SZTH2C-C6-17</t>
  </si>
  <si>
    <t xml:space="preserve">SZTH2C-C3-18 
SZTH2C-C3-19 
SZTH2C-C6-18 
SZTH2C-C6-19 
SZTH2C-C6-20 
SZTH2C-C8-23 
SZTH2C-C8-24 </t>
  </si>
  <si>
    <t>SZTH2C-C3-12 
SZTH2C-C3-13 
SZTH2C-C3-14 
SZTH2C-C3-15
SZTH2C-C3-16 
SZTH2C-C4-12  
SZTH2C-C4-13  
SZTH2C-C4-14 
SZTH2C-C4-15 
SZTH2C-C4-16 
SZTH2C-C4-17 
SZTH2C-C4-18 
SZTH2C-C4-19</t>
  </si>
  <si>
    <t>SZTH2D-D1-23,SZTH2D-D1-24</t>
  </si>
  <si>
    <t>SZTH2C-C2-09,SZTH2C-C1-09</t>
  </si>
  <si>
    <t>SZTH2D-D1-09，SZTH2D-D1-10</t>
  </si>
  <si>
    <t>SZTH2D-D1-12，SZTH2D-D1-11</t>
  </si>
  <si>
    <t>SZTH2A-A1-18,SZTH2A-A1-17</t>
  </si>
  <si>
    <t>2018/5/4关闭8个。SZTH2C-C1-07~18,SZTH2C-C1-10,SZTH2C-C2-07~08,SZTH2C-C2-10，SZTH2C-C2-09,SZTH2C-C1-09</t>
  </si>
  <si>
    <t>SZTH2D-D1-23,SZTH2D-D1-24关闭2个。</t>
  </si>
  <si>
    <t>SZTH2C-C2-01 SZTH2C-C2-02</t>
  </si>
  <si>
    <t>2021/4/29开通，4月计费2天：SZTH2D-D1-19、SZTH2D-D1-20、SZTH2D-D1-21</t>
  </si>
  <si>
    <t>2021/4/30开通，4月计费1天：SZTH2D-D1-22</t>
  </si>
  <si>
    <t>2021/5/31开通，计费1天：SZTH2C-C4-21、SZTH2C-C8-19、SZTH2D-D1-23、SZTH2D-D1-24</t>
  </si>
  <si>
    <t>SZTH2D-D1-20</t>
  </si>
  <si>
    <t>布线机柜，免费</t>
  </si>
  <si>
    <t>SZTH2D-D1-01、SZTH2D-D1-02、SZTH2D-D1-03、SZTH2D-D1-04</t>
  </si>
  <si>
    <t>SZTH2B-B2-01、SZTH2B-B2-02、SZTH2B-B2-03、SZTH2B-B2-04、SZTH2B-B2-05、SZTH2B-B2-07、SZTH2B-B2-08、SZTH2B-B2-11、SZTH2B-B2-12、SZTH2B-B2-17、SZTH2B-B2-19、SZTH2B-B2-20、SZTH2B-B3-01、SZTH2B-B3-02、SZTH2B-B3-03、SZTH2B-B3-04、SZTH2B-B3-05、SZTH2B-B3-06、SZTH2B-B3-07、SZTH2B-B3-08、SZTH2B-B3-09、SZTH2B-B3-10、SZTH2B-B3-11、SZTH2B-B3-12、SZTH2B-B3-13、SZTH2B-B3-14、SZTH2B-B3-15、SZTH2B-B3-16、SZTH2B-B3-17、SZTH2B-B4-04、SZTH2B-B4-05、SZTH2B-B4-06、SZTH2B-B4-09、SZTH2B-B4-12、SZTH2B-B4-14、SZTH2B-B4-15、SZTH2B-B4-16、SZTH2B-B4-17、SZTH2B-B4-18、SZTH2B-B4-20、SZTH2B-B5-01、SZTH2B-B5-02、SZTH2B-B5-03、SZTH2B-B5-04、SZTH2B-B5-06、SZTH2B-B5-07、SZTH2B-B5-08、SZTH2B-B5-09、SZTH2B-B5-10、SZTH2B-B5-12、SZTH2B-B5-13、SZTH2B-B5-15、SZTH2B-B5-16、SZTH2B-B5-17、SZTH2B-B6-02、SZTH2B-B6-04、SZTH2B-B6-08、SZTH2B-B6-11、SZTH2B-B6-15、SZTH2B-B6-16、SZTH2B-B7-01、SZTH2B-B7-03、SZTH2B-B7-06、SZTH2B-B7-08、SZTH2B-B7-09、SZTH2B-B7-10、SZTH2B-B7-12、SZTH2B-B7-13、SZTH2B-B7-14、SZTH2B-B7-16、SZTH2B-B7-18、SZTH2B-B7-19、SZTH2B-B7-20、SZTH2B-B8-02、SZTH2B-B8-03、SZTH2B-B8-04、SZTH2B-B8-05、SZTH2B-B8-06、SZTH2B-B8-08、SZTH2B-B8-09、SZTH2B-B8-14、SZTH2B-B8-15、SZTH2B-B8-16、SZTH2B-B8-18、SZTH2B-B8-19、SZTH2B-B9-02、SZTH2B-B9-05、SZTH2B-B9-06、SZTH2B-B9-07、SZTH2B-B9-08、SZTH2B-B9-11、SZTH2B-B9-12、SZTH2B-B9-13、SZTH2B-B9-14、SZTH2B-B9-15、SZTH2B-B9-16</t>
  </si>
  <si>
    <t>SZTH2A-A4-20、SZTH2A-A4-18、SZTH2A-A4-17、SZTH2A-A4-16、SZTH2A-A4-15、SZTH2A-A4-14、SZTH2A-A4-13、SZTH2A-A4-12、SZTH2A-A4-11、SZTH2A-A4-10、SZTH2A-A4-09、SZTH2A-A4-08、SZTH2A-A4-05、SZTH2A-A4-04、SZTH2A-A4-03、SZTH2A-A3-20、SZTH2A-A3-19、SZTH2A-A3-18、SZTH2A-A3-17、SZTH2A-A3-16、SZTH2A-A3-15、SZTH2A-A3-14、SZTH2A-A3-13、SZTH2A-A3-12、SZTH2A-A3-11、SZTH2A-A3-10、SZTH2A-A3-09、SZTH2A-A3-08、SZTH2A-A3-07、SZTH2A-A3-06、SZTH2A-A3-05、SZTH2A-A3-04、SZTH2A-A3-03、SZTH2A-A2-20、SZTH2A-A2-19、SZTH2A-A2-18、SZTH2A-A2-17、SZTH2A-A2-16、SZTH2A-A2-11、SZTH2A-A2-09、SZTH2A-A2-08、SZTH2A-A2-07、SZTH2A-A2-05、SZTH2A-A2-04、SZTH2A-A2-03、SZTH2A-A2-01、SZTH2A-A1-20、SZTH2A-A1-17、SZTH2A-A1-13、SZTH2A-A1-12、SZTH2A-A1-11、SZTH2A-A1-09、SZTH2A-A1-07、SZTH2A-A1-06、SZTH2A-A1-04、SZTH2A-A1-03、SZTH2A-A1-02、SZTH2A-A1-01</t>
  </si>
  <si>
    <t>SZTH2D-D8-02、SZTH2D-D8-05、SZTH2D-D8-08、SZTH2D-D8-11、SZTH2D-D9-06、SZTH2D-D9-09、SZTH2D-D9-14、SZTH2D-D9-17、SZTH2D-D9-20、SZTH2D-D9-23、SZTH2B-B1-01、SZTH2B-B1-02、SZTH2B-B1-03、SZTH2B-B1-05、SZTH2B-B1-07、SZTH2B-B1-08、SZTH2B-B1-09、SZTH2B-B1-10、SZTH2B-B1-12、SZTH2B-B1-13、SZTH2B-B1-14、SZTH2B-B1-15、SZTH2B-B1-18、SZTH2B-B2-06、SZTH2B-B2-09、SZTH2B-B2-13、SZTH2B-B2-14、SZTH2B-B2-15、SZTH2B-B2-16、SZTH2B-B2-18、SZTH2B-B3-18、SZTH2B-B4-01、SZTH2B-B4-03、SZTH2B-B4-07、SZTH2B-B4-08、SZTH2B-B4-10、SZTH2B-B4-11、SZTH2B-B4-13、SZTH2B-B4-19、SZTH2B-B5-05、SZTH2B-B5-11、SZTH2B-B5-18、SZTH2B-B6-01、SZTH2B-B6-05、SZTH2B-B6-07、SZTH2B-B6-09、SZTH2B-B6-10、SZTH2B-B6-12、SZTH2B-B7-02、SZTH2B-B7-04、SZTH2B-B7-05、SZTH2B-B7-17、SZTH2B-B8-07、SZTH2B-B8-10、SZTH2B-B8-11、SZTH2B-B8-12、SZTH2B-B8-13、SZTH2B-B8-17、SZTH2B-B9-03、SZTH2B-B9-04、SZTH2B-B9-09、SZTH2B-B9-10、SZTH2B-B9-17、SZTH2B-B9-18</t>
  </si>
  <si>
    <t>SZTH2A-A1-08、SZTH2A-A1-10、SZTH2A-A1-14、SZTH2A-A1-18、SZTH2A-A1-21、SZTH2A-A2-02、SZTH2A-A2-06、SZTH2A-A2-10、SZTH2A-A2-12、SZTH2A-A2-13、SZTH2A-A2-14、SZTH2A-A3-01、SZTH2A-A3-02、SZTH2A-A3-21、SZTH2A-A3-22、SZTH2A-A4-01、SZTH2A-A4-02、SZTH2A-A4-06、SZTH2A-A4-07、SZTH2A-A4-19</t>
  </si>
  <si>
    <t>SZTH2B-B1-04、SZTH2B-B1-06、SZTH2B-B1-11、SZTH2B-B1-16、SZTH2B-B1-17、SZTH2B-B2-10、SZTH2B-B4-02、SZTH2B-B5-14、SZTH2B-B6-03、SZTH2B-B6-06、SZTH2B-B6-13、SZTH2B-B6-14、SZTH2B-B7-07、SZTH2B-B7-11、SZTH2B-B7-15、SZTH2B-B8-01、SZTH2B-B8-20、SZTH2A-A1-22</t>
  </si>
  <si>
    <t>SZTH2D-D8-01、SZTH2D-D8-03、SZTH2D-D8-04、SZTH2D-D8-06、SZTH2D-D8-07、SZTH2D-D8-09、SZTH2D-D8-10、SZTH2D-D8-12、SZTH2D-D8-13、SZTH2D-D8-14、SZTH2D-D8-15、SZTH2D-D8-16、SZTH2D-D8-17、SZTH2D-D8-18、SZTH2D-D8-19、SZTH2D-D8-20、SZTH2D-D8-21、SZTH2D-D8-22、SZTH2D-D8-23、SZTH2D-D8-24、SZTH2D-D9-03、SZTH2D-D9-04、SZTH2D-D9-05、SZTH2D-D9-07、SZTH2D-D9-08、SZTH2D-D9-10、SZTH2D-D9-11、SZTH2D-D9-12、SZTH2D-D9-13、SZTH2D-D9-15、SZTH2D-D9-16、SZTH2D-D9-18、SZTH2D-D9-19、SZTH2D-D9-21、SZTH2D-D9-22、SZTH2D-D9-24</t>
  </si>
  <si>
    <t>SZTH2D-D1-05、SZTH2D-D1-06、SZTH2D-D1-07、SZTH2D-D1-08、SZTH2D-D1-09、SZTH2D-D1-10、SZTH2D-D1-11、SZTH2D-D1-12、SZTH2D-D1-13、SZTH2D-D1-14、SZTH2D-D1-15、SZTH2D-D1-16、SZTH2D-D1-19、SZTH2D-D1-21、SZTH2D-D1-22、SZTH2D-D1-23、SZTH2D-D1-24、SZTH2D-D2-01、SZTH2D-D2-02、SZTH2D-D2-03、SZTH2D-D2-04、SZTH2D-D2-05、SZTH2D-D2-06、SZTH2D-D2-07、SZTH2D-D2-08、SZTH2D-D2-09、SZTH2D-D2-10、SZTH2D-D2-11、SZTH2D-D2-12、SZTH2D-D2-13、SZTH2D-D2-14、SZTH2D-D2-15、SZTH2D-D2-16、SZTH2D-D2-17、SZTH2D-D2-18、SZTH2D-D2-19、SZTH2D-D2-20、SZTH2D-D2-21、SZTH2D-D2-22、SZTH2D-D2-23、SZTH2D-D2-24、SZTH2D-D3-01、SZTH2D-D3-02、SZTH2D-D3-03、SZTH2D-D3-04、SZTH2D-D3-05、SZTH2D-D3-06、SZTH2D-D3-07、SZTH2D-D3-08、SZTH2D-D3-09、SZTH2D-D3-10、SZTH2D-D3-11、SZTH2D-D3-12、SZTH2D-D3-13、SZTH2D-D3-14、SZTH2D-D3-15、SZTH2D-D3-16、SZTH2D-D3-17、SZTH2D-D3-18、SZTH2D-D3-19、SZTH2D-D3-20、SZTH2D-D4-01、SZTH2D-D4-02、SZTH2D-D4-03、SZTH2D-D4-04、SZTH2D-D4-05、SZTH2D-D4-06、SZTH2D-D4-07、SZTH2D-D4-08、SZTH2D-D4-09、SZTH2D-D4-10、SZTH2D-D4-11、SZTH2D-D4-12、SZTH2D-D4-13、SZTH2D-D4-14、SZTH2D-D4-15、SZTH2D-D4-16、SZTH2D-D4-17、SZTH2D-D4-18、SZTH2D-D4-19、SZTH2D-D4-20、SZTH2D-D5-01、SZTH2D-D5-02、SZTH2D-D5-03、SZTH2D-D5-04、SZTH2D-D5-05、SZTH2D-D5-06、SZTH2D-D5-07、SZTH2D-D5-08、SZTH2D-D5-09、SZTH2D-D5-10、SZTH2D-D5-11、SZTH2D-D5-12、SZTH2D-D5-13、SZTH2D-D5-14、SZTH2D-D5-15、SZTH2D-D5-16、SZTH2D-D5-17、SZTH2D-D5-18、SZTH2D-D5-19、SZTH2D-D5-20、SZTH2D-D5-21、SZTH2D-D5-22、SZTH2D-D5-23、SZTH2D-D5-24、SZTH2D-D6-01、SZTH2D-D6-02、SZTH2D-D6-03、SZTH2D-D6-04、SZTH2D-D6-05、SZTH2D-D6-06、SZTH2D-D6-07、SZTH2D-D6-08、SZTH2D-D6-09、SZTH2D-D6-10、SZTH2D-D6-11、SZTH2D-D6-12、SZTH2D-D6-13、SZTH2D-D6-14、SZTH2D-D6-15、SZTH2D-D6-16、SZTH2D-D6-17、SZTH2D-D6-18、SZTH2D-D6-19、SZTH2D-D6-20、SZTH2D-D6-21、SZTH2D-D6-22、SZTH2D-D6-23、SZTH2D-D6-24、SZTH2D-D7-01、SZTH2D-D7-02、SZTH2D-D7-03、SZTH2D-D7-04、SZTH2D-D7-05、SZTH2D-D7-06、SZTH2D-D7-07、SZTH2D-D7-08、SZTH2D-D7-09、SZTH2D-D7-10、SZTH2D-D7-11、SZTH2D-D7-12、SZTH2D-D7-13、SZTH2D-D7-14、SZTH2D-D7-15、SZTH2D-D7-16、SZTH2D-D7-17、SZTH2D-D7-18、SZTH2D-D7-19、SZTH2D-D7-20</t>
  </si>
  <si>
    <t>SZTH2C-C4-21</t>
  </si>
  <si>
    <t>SZTH2C-C6-02、SZTH2C-C9-08</t>
  </si>
  <si>
    <t>SZTH2C-C4-21。此机柜未改造，按需求重新上线，暂不结算2023.5.18之后的费用，需要等新的商务条件</t>
  </si>
  <si>
    <t>SUZ4CT-N-09、SUZ4CT-N-10、SUZ4CT-N-11</t>
  </si>
  <si>
    <t>太湖机房二期（改造后）</t>
    <phoneticPr fontId="3" type="noConversion"/>
  </si>
  <si>
    <t>SZTH1D3C-08-01、SZTH1D3D-08-01、SZTH1D4B-01-18</t>
    <phoneticPr fontId="3" type="noConversion"/>
  </si>
  <si>
    <t>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phoneticPr fontId="3" type="noConversion"/>
  </si>
  <si>
    <t>SZTH1D4B-01-01</t>
    <phoneticPr fontId="3" type="noConversion"/>
  </si>
  <si>
    <t>SZTH1D4B-01-02、SZTH1D4B-01-03、SZTH1D4B-01-04、SZTH1D4B-01-05</t>
    <phoneticPr fontId="3" type="noConversion"/>
  </si>
  <si>
    <t>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phoneticPr fontId="3" type="noConversion"/>
  </si>
  <si>
    <t>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phoneticPr fontId="3" type="noConversion"/>
  </si>
  <si>
    <t>SZTH1D3C-05-16、SZTH1D3C-05-17、SZTH1D3C-06-10、SZTH1D3C-06-11、SZTH1D3C-06-12、SZTH1D3D-07-22、SZTH1D3D-08-02、SZTH1D3D-08-03、SZTH1D3D-08-04、SZTH1D3D-08-05、SZTH1D3D-08-06、SZTH1D3D-08-07、SZTH1D3D-08-08、SZTH1D3D-08-09</t>
    <phoneticPr fontId="3" type="noConversion"/>
  </si>
  <si>
    <t>SZTH1D3C-06-13、SZTH1D3C-06-14、SZTH1D3C-06-15、SZTH1D3C-07-08、SZTH1D3C-07-09、SZTH1D3D-08-10、SZTH1D3D-08-11、SZTH1D3D-08-12、SZTH1D3D-08-13、SZTH1D3D-08-14、SZTH1D3D-08-15、SZTH1D3D-08-16、SZTH1D3D-08-17、SZTH1D3D-08-18</t>
    <phoneticPr fontId="3" type="noConversion"/>
  </si>
  <si>
    <t>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phoneticPr fontId="3" type="noConversion"/>
  </si>
  <si>
    <t>SZTH1D3C-08-05、SZTH1D3C-08-06、SZTH1D4D-01-07、SZTH1D4D-01-09、SZTH1D4D-01-11、SZTH1D4D-01-12、SZTH1D4D-02-07、SZTH1D4D-02-09、SZTH1D4D-04-11、SZTH1D4D-04-12</t>
    <phoneticPr fontId="3" type="noConversion"/>
  </si>
  <si>
    <t>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phoneticPr fontId="3" type="noConversion"/>
  </si>
  <si>
    <t>SZTH1D4D-01-01、SZTH1D4D-01-02、SZTH1D4D-01-03、SZTH1D4D-01-04、SZTH1D4D-01-05、SZTH1D4D-01-06、SZTH1D4D-01-08、SZTH1D4D-01-10、SZTH1D4D-01-13、SZTH1D4D-01-14、SZTH1D4D-01-15、SZTH1D4D-01-16、SZTH1D4D-01-17、SZTH1D4D-01-18、SZTH1D4D-01-19、SZTH1D4D-01-20、SZTH1D4D-01-21、SZTH1D4D-01-22</t>
    <phoneticPr fontId="3" type="noConversion"/>
  </si>
  <si>
    <t>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phoneticPr fontId="3" type="noConversion"/>
  </si>
  <si>
    <t>SZTH1D4D-02-01、SZTH1D4D-02-02、SZTH1D4D-02-03、SZTH1D4D-02-04、SZTH1D4D-02-05、SZTH1D4D-02-06、SZTH1D4D-02-08、SZTH1D4D-02-10、SZTH1D4D-02-11、SZTH1D4D-02-12、SZTH1D4D-02-13、SZTH1D4D-02-14、SZTH1D4D-02-15、SZTH1D4D-02-16、SZTH1D4D-02-17、SZTH1D4D-02-18、SZTH1D4D-02-19、SZTH1D4D-02-20、SZTH1D4D-02-21</t>
    <phoneticPr fontId="3" type="noConversion"/>
  </si>
  <si>
    <t>SZTH1D3D-07-16</t>
    <phoneticPr fontId="3" type="noConversion"/>
  </si>
  <si>
    <t>SZTH1D4D-02-16、SZTH1D4D-02-17、SZTH1D4D-02-18、SZTH1D4D-02-19、SZTH1D4D-02-20、SZTH1D4D-02-21、</t>
  </si>
  <si>
    <t>太湖机房二期</t>
    <phoneticPr fontId="3" type="noConversion"/>
  </si>
  <si>
    <t>202310 太湖机房二期（改造前&amp;改造后）超电，暂按300A计提</t>
    <phoneticPr fontId="3" type="noConversion"/>
  </si>
  <si>
    <t>ZYT</t>
    <phoneticPr fontId="3" type="noConversion"/>
  </si>
  <si>
    <t>L20230320002</t>
  </si>
  <si>
    <t>苏州太湖-仙途</t>
  </si>
  <si>
    <t>苏州电信裸光纤，楼内客户间互联：苏州太湖-仙途</t>
  </si>
  <si>
    <t>未签署合同</t>
    <phoneticPr fontId="3" type="noConversion"/>
  </si>
  <si>
    <t>苏州太湖-同程</t>
  </si>
  <si>
    <t>苏州电信裸光纤，楼内客户间互联：苏州太湖-同程</t>
  </si>
  <si>
    <t>182215IDC00376</t>
  </si>
  <si>
    <t>苏州太湖SZTH-昆山M2B</t>
  </si>
  <si>
    <t>从  苏州市吕梁山路和金沙江路口太湖国际数据中心  到 苏州市昆山市花桥镇花桥经济技术开发区东城大道数据机房
2对芯，总长度201KM，每对芯每公里400元。400元*201KM=  80400</t>
  </si>
  <si>
    <t>从  苏州市吕梁山路和金沙江路口太湖国际数据中心  到 苏州市昆山市花桥镇花桥经济技术开发区东城大道数据机房
200 元/纤/KM*  2  纤数*  100  KM= 40000</t>
  </si>
  <si>
    <t>从  苏州市吕梁山路和金沙江路口太湖国际数据中心  到 苏州市昆山市花桥镇花桥经济技术开发区东城大道数据机房
200 元/纤/KM*  2  纤数*  140KM= 56000</t>
  </si>
  <si>
    <t>中国电信股份有限公司温州分公司</t>
  </si>
  <si>
    <t>温州电信</t>
  </si>
  <si>
    <t>L20221110002</t>
  </si>
  <si>
    <t>温州2电信</t>
  </si>
  <si>
    <t>CDNWZCT</t>
  </si>
  <si>
    <t>2022.6带宽20G，IP仍然免费
60.190.117.0/24;60.190.116.0/24</t>
  </si>
  <si>
    <t>182215IDC00250，有效期至2022-12-31</t>
    <phoneticPr fontId="3" type="noConversion"/>
  </si>
  <si>
    <t>温州10电信</t>
  </si>
  <si>
    <t>CDNWZCT2</t>
  </si>
  <si>
    <t>2022/2/1 新建WZ10CT，该节点为免费节点：115.223.16.0/24</t>
  </si>
  <si>
    <t>免费节点退租：115.223.16.0/24</t>
  </si>
  <si>
    <t>温州</t>
  </si>
  <si>
    <t>WZCT2F-H-01、WZCT2F-H-02、WZCT2F-H-03、WZCT2F-H-04、WZCT2F-H-05、WZCT2F-H-06、WZCT2F-H-07、WZCT2F-H-08、WZCT2F-I-01、WZCT2F-I-02、
WZCT2F-213-H09、
WZCT2F-213-H10、
WZCT2F-213-H11、
WZCT2F-213-H12、
WZCT2F-213-H13、
WZCT2F-213-H14</t>
  </si>
  <si>
    <t>WZ5CT2F-213H-15、WZ5CT2F-213H-16、WZ5CT2F-213H-17、WZ5CT2F-213H-18</t>
  </si>
  <si>
    <t>2019/12/31WZ5CT退租120G，退4个机柜，288个IP
WZ5CT2F-213H-15、WZ5CT2F-213H-16、WZ5CT2F-213H-17、WZ5CT2F-213H-18</t>
  </si>
  <si>
    <t>6个机架5.31退租。6-10月多计提的费用在付款时冲销
WZCT2F-213-H09、
WZCT2F-213-H10、
WZCT2F-213-H11、
WZCT2F-213-H12、
WZCT2F-213-H13、
WZCT2F-213-H14</t>
  </si>
  <si>
    <t>WZ8CT关闭，退租2个机柜:WZCT2F-I-02、WZCT2F-I-01</t>
  </si>
  <si>
    <t>温州电信2退租220G，同时退租6个机柜：WZCT2F-H-04、WZCT2F-H-08、WZCT2F-H-05、WZCT2F-H-03、WZCT2F-H-02、WZCT2F-H-01</t>
  </si>
  <si>
    <t>2022/6/24 WZ2CT退租1个机柜：WZCT2F-H-07</t>
  </si>
  <si>
    <t>2022/2/1 新建WZ10CT，该节点为免费节点：WZ10CT4F4C-B-03、WZ10CT4F4C-B-05、WZ10CT4F4C-B-04</t>
  </si>
  <si>
    <t>免费节点退租：WZ10CT4F4C-B-03、WZ10CT4F4C-B-05、WZ10CT4F4C-B-04</t>
  </si>
  <si>
    <t>中国联合网络通信有限公司常州市分公司</t>
  </si>
  <si>
    <t>常州联通</t>
  </si>
  <si>
    <t>182315IDC00116</t>
  </si>
  <si>
    <t>南京凤凰机房-昆山万国机房（一期）</t>
  </si>
  <si>
    <t>2023.2调整单价。南京凤凰机房-昆山万国机房（一期）存量裸光纤，长度由900.36，调整为913.36</t>
  </si>
  <si>
    <t>南京凤凰机房-昆山万国机房（二期）</t>
  </si>
  <si>
    <t>2023.2调整单价。南京凤凰机房-昆山万国机房（二期）扩容，新增2条2芯裸光纤.19.9.1开始计费</t>
  </si>
  <si>
    <t>南京凤凰机房-昆山万国机房（三期）</t>
  </si>
  <si>
    <t>2023.2调整单价。南京凤凰机房-昆山万国机房（三期）光纤，2021/2/1开始计费（ 江苏联通昆山-南京裸光纤，因剥离中信与联通城域部分，增加扬州汊河机房-南京新港机房-南京凤凰机房122.27KM，退租扬州-六合58.1KM，变更时间2021年2月1日。
      本次变更主要针对昆山-南京线路第一期进行线路变更
）</t>
  </si>
  <si>
    <t>南京凤凰机房-昆山万国机房（四期）扩容</t>
  </si>
  <si>
    <t>2023.2调整单价。扩容30.9KM:  原路由：无锡——苏州：75.1km
调整后：无锡——太湖：61.7km；太湖——苏州：44.3km
光纤长度增加：30.9km</t>
  </si>
  <si>
    <t>2023.2调整单价。南京凤凰机房-昆山万国机房（一期）存量机房占用费</t>
  </si>
  <si>
    <t>2023.2调整单价。南京凤凰机房-昆山万国机房（二期）扩容，新增6个机房</t>
  </si>
  <si>
    <t>中国联合网络通信有限公司福州市分公司</t>
  </si>
  <si>
    <t>福州联通</t>
  </si>
  <si>
    <t>182015IDC00159</t>
  </si>
  <si>
    <t>福州3联通</t>
  </si>
  <si>
    <t>CDNFZUN</t>
  </si>
  <si>
    <t>需要注意2020年2月开始共使用3个，每个万兆送一个，免费2个，收费1个。福州联通扩容80G资源，自2019年6月26日开始计费，存量和扩容的所有机架全部自2019年6月26日开始免费</t>
  </si>
  <si>
    <t>实际用7个，一个万兆送一个机柜。目前在用剩余共8个，IDC5 H02
IDC5 H03
IDC5 H04
IDC5 H05
IDC5 H06
长乐首占IDC1 C01
长乐首占IDC1 C02
长乐首占IDC1 C03</t>
  </si>
  <si>
    <t>云-福州</t>
  </si>
  <si>
    <t>CDNFZUN2</t>
  </si>
  <si>
    <t>福州联通扩容80G资源，自2019年6月26日开始计费，存量和扩容的所有机架全部自2019年6月26日开始免费，实际使用2个</t>
  </si>
  <si>
    <t xml:space="preserve">实际用3个，一个万兆送一个机柜。其中2020年4月21日开始FZ3UN5FIDC1-C-01，FZ3UN5FIDC1-C-03由CDN业务转换为边缘计算业务BECFZ3UN5FIDC1-C-01,BECFZ3UN5FIDC1-C-03
</t>
  </si>
  <si>
    <t>退租IDC5 F07，IDC5 F08，长乐首占IDC1 C04，长乐首占IDC1 C05</t>
  </si>
  <si>
    <t>退租IDC5 G05，IDC5 G06</t>
  </si>
  <si>
    <t>需要注意2020年1月31日退租5个，FZUN4F-H-02、FZUN4F-H-03、FZUN4F-H-04、FZUN4F-H-05、FZUN4F-H-06</t>
  </si>
  <si>
    <t xml:space="preserve"> CDNFZUN2</t>
  </si>
  <si>
    <t>2020409CDN业务下架FZ3UN5FIDC1-C-01，FZ3UN5FIDC1-C-03替换成边缘计算BECFZ3UN5FIDC1-C-01，BECFZ3UN5FIDC1-C-03</t>
  </si>
  <si>
    <t>截止2023.8CDN使用160个IP：36.250.239.0/25,58.22.109.224/27。
20191031退租。免费512个，与原合同合计赠送768个，超出部分按35元/个/月</t>
    <phoneticPr fontId="3" type="noConversion"/>
  </si>
  <si>
    <t>截止2023.8CDN使用160个IP：36.250.239.0/25,58.22.109.224/27。
ip共288个，收费32个，免费256个,其中20200420CDN关闭128个ip转为边缘计算</t>
    <phoneticPr fontId="3" type="noConversion"/>
  </si>
  <si>
    <t>截止2023.8CDN使用160个IP：36.250.239.0/25,58.22.109.224/27。
边缘计算，202007更新信息：20190420CDN退租128个转为边缘计算128个</t>
    <phoneticPr fontId="3" type="noConversion"/>
  </si>
  <si>
    <t>边缘计算，202007更新信息：20190420CDN退租128个转为边缘计算128个：36.250.239.128/25</t>
    <phoneticPr fontId="3" type="noConversion"/>
  </si>
  <si>
    <t>合同条款：IPV6:联通提供IPV6地址地址[1 ]个/60，其中免费[ 1]个/60，收费[ 0]个/60</t>
  </si>
  <si>
    <t>边缘计算BECFZ3UN5FIDC1-C-04（</t>
  </si>
  <si>
    <t>边缘计算128个：36.250.226.128/25</t>
    <phoneticPr fontId="3" type="noConversion"/>
  </si>
  <si>
    <t>边缘计算IPV6：2408:8748:A101:1001::/64</t>
    <phoneticPr fontId="3" type="noConversion"/>
  </si>
  <si>
    <t>中国联合网络通信有限公司杭州市分公司</t>
  </si>
  <si>
    <t>杭州联通</t>
  </si>
  <si>
    <t>182215IDC00346</t>
  </si>
  <si>
    <t>杭州2联通</t>
  </si>
  <si>
    <t>CDNHZUN3</t>
  </si>
  <si>
    <t>边缘计算节点新建，每个10GE端口核配1个标准机柜及64个IP地址，免费768个IP，超出每个50元，实际使用768个：101.67.21.0/24
101.67.22.0/24
101.67.23.0/24
2408:8740:c3fe:0010::/61
2408:8740:c3fe:0018::/62</t>
  </si>
  <si>
    <t>10调增保底，需重签合同</t>
    <phoneticPr fontId="3" type="noConversion"/>
  </si>
  <si>
    <t>101.67.22.0/24
101.67.21.0/24</t>
  </si>
  <si>
    <t>L20230223031</t>
  </si>
  <si>
    <t>【BEC扩容】杭州联通 扩容0G 2023-05-09 节点正式上线 (HZ2UN)，新增256个IP：101.67.22.0/24
首次开通120G，送768个IP，目前剩余带宽80G，可送512个</t>
  </si>
  <si>
    <t>无计费确认单</t>
    <phoneticPr fontId="3" type="noConversion"/>
  </si>
  <si>
    <t>182215IDC00346</t>
    <phoneticPr fontId="3" type="noConversion"/>
  </si>
  <si>
    <t>边缘计算节点新建，每个10GE端口核配1个标准机柜及64个IP地址，免费12个机柜，实际使用1个：BECHZ2UN-D-16</t>
  </si>
  <si>
    <t>BECHZ2UN-D-5
BECHZ2UN-D-6
BECHZ2UN-D-7
BECHZ2UN-D-8
BECHZ2UN-D-9
BECHZ2UN-D-10
BECHZ2UN-D-11
BECHZ2UN-D-12
BECHZ2UN-D-13
BECHZ2UN-D-14
BECHZ2UN-D-15</t>
    <phoneticPr fontId="3" type="noConversion"/>
  </si>
  <si>
    <t>BECHZ2UN-D-10
BECHZ2UN-D-13
BECHZ2UN-D-14
BECHZ2UN-D-15</t>
  </si>
  <si>
    <t>每10G送1个机柜和64个IP，共开通80G带宽可送512个。【BEC扩容】杭州联通 扩容256个IP 2023-06-06 节点正式上线 (HZ2UN)：101.67.21.0/24</t>
  </si>
  <si>
    <t>中国联合网络通信有限公司济南市分公司</t>
  </si>
  <si>
    <t>云-济南联通</t>
  </si>
  <si>
    <t>182215IDC00348</t>
  </si>
  <si>
    <t>济南三枢纽楼内线</t>
  </si>
  <si>
    <t>济南联通</t>
  </si>
  <si>
    <t>济南</t>
  </si>
  <si>
    <t>济南2联通</t>
  </si>
  <si>
    <t>CDNJNUN</t>
  </si>
  <si>
    <t>历史开通
2019/1/26</t>
  </si>
  <si>
    <t xml:space="preserve">2023.3与SYS核对，JN2UN共13个免费机柜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</si>
  <si>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JNUN2F-C-01、JNUN2F-C-02、JNUN2F-C-03、JNUN2F-C-04</t>
  </si>
  <si>
    <t>2023.经与SYS核对，济南2联通CDN免费13个机柜，实际使用4个。(JN2UN共13个免费机柜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JNUN2F-E-B1、JNUN2F-E-B2、JNUN2F-E-B3、JNUN2F-E-B4、JNUN2F-E-B5、JNUN2F-E-B10、JNUN2F-E-B11、JNUN2F-E-B12、JNUN2F-E-B13</t>
    <phoneticPr fontId="3" type="noConversion"/>
  </si>
  <si>
    <t>济南4联通</t>
  </si>
  <si>
    <t>JNGXUN</t>
  </si>
  <si>
    <t>2023.3经与SYS核对，JN4UN使用4个机柜：JNGXUN3F-B-12、JNGXUN3F-B-13、JNGXUN3F-B-14、JNGXUN3F-B-15；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</si>
  <si>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济南联通二级</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</si>
  <si>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</si>
  <si>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2022.1.1扩容3个边缘计算机柜
JNUN2F-A-11、JNUN2F-A-12、JNUN2F-B-14</t>
  </si>
  <si>
    <t>JNUN2F-A-11、JNUN2F-A-12、JNUN2F-B-14</t>
  </si>
  <si>
    <t>济南联通SSL</t>
  </si>
  <si>
    <t>CDNJN</t>
  </si>
  <si>
    <t>根据合同规定，CDN和SSL业务每2个万兆赠送1个机柜，一共64个万兆，合计赠送32个机柜。30个CDN机柜，2个SSL机柜。2021.6.25退租1个CDN免费机柜（JNUN2F-E-B14），运营商从SSL收费机柜中找一个替代免费JN4F-VC-09。更新为29个CDN机柜，3个SSL机柜。JN4F-VC-09、JN4F-VC-10、JN4F-VC-11；2021.10.1扩容60G，共700G带宽，依据合同免费35个机柜，SSL收费机柜中选3个作为免费机柜（JN4F-VG-09
JN4F-VG-10
JN4F-VC-08），更新为免费29个CDN机柜、6个SSL机柜。</t>
  </si>
  <si>
    <t>2021.10.1扩容60G，共700G带宽，依据合同免费35个机柜，SSL收费机柜中选3个作为免费机柜（JN4F-VG-09
JN4F-VG-10
JN4F-VC-08），更新为免费29个CDN机柜、6个SSL机柜。</t>
  </si>
  <si>
    <t>CDNJN、CDNJNUN</t>
  </si>
  <si>
    <t>1907已核对。共使用16个机柜，赠送2个，收费14个。2021.6.30退租1个CDN免费机柜，从SSL收费机柜中减去1个机柜费用;2021.10.1扩容60G，共700G带宽，依据合同再免费3个机柜，从SSL收费机柜中减去3个机柜。
JN4F-VA-12
JN4F-VA-13
JN4F-VA-14
JN4F-VA-15
JN4F-VA-16
JN4F-VA-17
JN4F-VG-05
JN4F-VG-06
JN4F-VG-07
JN4F-VG-08
JN4F-VC-09</t>
  </si>
  <si>
    <t>2021.6.25退租1个CDN免费机柜（JNUN2F-E-B14），运营商从SSL收费机柜中找一个替代免费JN4F-VC-09。</t>
  </si>
  <si>
    <t>JN4F-VA-12、JN4F-VA-13、JN4F-VA-14、JN4F-VA-15、JN4F-VA-16、JN4F-VA-17、JN4F-VG-05、JN4F-VG-06、JN4F-VG-07、JN4F-VG-08、JN4F-VG-09、JN4F-VG-10、JN4F-VC-08、JN4F-VC-09、JN4F-VC-10、JN4F-VC-11</t>
  </si>
  <si>
    <t>JNGXUN3F-A-06、JNGXUN3F-A-07、JNGXUN3F-A-08、JNGXUN3F-A-09、JNGXUN3F-A-10、JNGXUN3F-A-15、JNGXUN3F-B-01、JNGXUN3F-B-02</t>
  </si>
  <si>
    <t>历史开通
2017/1/20
2017/11/28</t>
  </si>
  <si>
    <t>共赠送18个C的IP：已使用：119.188.212.0/27;27.221.124.0/24</t>
  </si>
  <si>
    <t>共赠送18个C的IP：已使用：123.129.234.0/24</t>
  </si>
  <si>
    <t>共赠送18个C的IP：CDN已使用544个：123.129.248.0/27;119.188.176.0/24;119.188.177.0/24</t>
  </si>
  <si>
    <t>共赠送18个C的IP：BEC已使用：27.221.109.0/24;119.188.72.128/25</t>
  </si>
  <si>
    <t>赠送18个C的IP；SSL使用1088个（119.188.9.0/24,119.188.97.0/24,119.188.14.0/24,119.188.70.64/26,119.188.132.0/24）；</t>
  </si>
  <si>
    <t>119.188.97.0/24 
119.188.9.0/24   
119.188.14.0/24
119.188.132.0/24
60.217.232.0/24</t>
  </si>
  <si>
    <t>119.188.97.0/24 
119.188.9.0/24   
119.188.14.0/24
119.188.132.0/24
60.217.232.0/24
2408:8719:0064:0017::/64</t>
  </si>
  <si>
    <t>赠送18个C的IP；高防使用768个（119.188.178.0/24、119.188.179.0/24、119.188.131.128/25、60.217.242.128/25）；</t>
  </si>
  <si>
    <t>高防</t>
  </si>
  <si>
    <t>JNGXUN3F-A-01
JNGXUN3F-A-02
JNGXUN3F-A-03
JNGXUN3F-A-04
JNGXUN3F-A-05
JNGXUN3F-A-11
JNGXUN3F-A-12</t>
  </si>
  <si>
    <t>JNGXUN3F-A-13
JNGXUN3F-A-14</t>
  </si>
  <si>
    <t>高防IP代播</t>
  </si>
  <si>
    <t>高防</t>
    <phoneticPr fontId="3" type="noConversion"/>
  </si>
  <si>
    <t>济南三枢纽—恒基大厦</t>
  </si>
  <si>
    <t>济南市三枢纽三层西机房A4机柜-济南市经七纬五路75号全景恒基大厦308室</t>
  </si>
  <si>
    <t>CDNJNUN2</t>
  </si>
  <si>
    <t>免费，2020-12-11边缘计算新增128个IPV4；60.217.236.0/25</t>
  </si>
  <si>
    <t>2022.1.1边缘计算开通128个IP：
123.129.251.0/25</t>
  </si>
  <si>
    <t>JN2UN</t>
  </si>
  <si>
    <t>2022/3/31BEC退租128个IP
123.129.251.0/25</t>
  </si>
  <si>
    <t>BEC：2408:8719:0064:0018::/64</t>
    <phoneticPr fontId="3" type="noConversion"/>
  </si>
  <si>
    <t>济南三枢纽</t>
  </si>
  <si>
    <t>2021.4.25扩容1个9KW机柜，于2021.5.1开始计费JNGXUN3F-A-16</t>
  </si>
  <si>
    <t>济南6联通</t>
  </si>
  <si>
    <t>2021.10.1开通500G带宽、22个机柜、544个IP。临时免费节点（2021.10.1~2021.11.30）
JNUN4F-G-7、
JNUN4F-G-8、
JNUN4F-G-9、
JNUN4F-G-10、JNUN4F-G-11、JNUN4F-G-12、JNUN4F-G-13、JNUN4F-G-18、JNUN4F-G-19、JNUN4F-G-20、JNUN4F-G-21、JNUN4F-G-22、JNUN4F-G-23、JNUN4F-H-1、
JNUN4F-H-2、
JNUN4F-H-3、
JNUN4F-H-4、
JNUN4F-H-5、
JNUN4F-H-6、
JNUN4F-H-7、
JNUN4F-H-8、
JNUN4F-H-9</t>
  </si>
  <si>
    <t>2021.11.30退租</t>
  </si>
  <si>
    <t>百度机房—爱奇艺机房</t>
  </si>
  <si>
    <t>济南联通新增2条裸光纤，用于百度机房与爱奇艺机房互联，单价2000元/対芯/月，使用4芯共计4000元/月，开通日期为2022年2月23日，实际计费时间为2022年3月1日</t>
  </si>
  <si>
    <t>济南9联通</t>
  </si>
  <si>
    <t>CDNJNUN3</t>
  </si>
  <si>
    <t>【BEC新建】济南联通新建500G ，使用1个机柜：BECJN9UN-C-02、BECJN9UN-D-02</t>
  </si>
  <si>
    <t>L20211025001</t>
  </si>
  <si>
    <t>2021.10.1开通500G带宽、22个机柜、544个IP。临时免费节点（2021.10.1~2021.11.30）
119.188.195.0/24 27.221.107.0/24 27.221.102.160/27</t>
  </si>
  <si>
    <t>2021.11.30退租：119.188.195.0/24 27.221.107.0/24 27.221.102.160/27</t>
  </si>
  <si>
    <t>L20220710006</t>
  </si>
  <si>
    <t>济南8联通</t>
  </si>
  <si>
    <t>免费节点。【CDN新建】山东济南联通  新建100G  2022-07-01 节点正式上线  (JN8UN)：JN8UNN3FXN-E-01、JN8UNN3FXN-E-02、JN8UNN3FXN-E-03；2023.4.1SYS更新机柜编号为CDNJNUN2:3F:WS-E-CDN01、CDNJNUN2:3F:WS-E-CDN02、CDNJNUN2:3F:WS-E-CDN03</t>
  </si>
  <si>
    <t>免费节点。【CDN新建】山东济南联通  扩容40G  2023-04-01 节点正式上线  (JN8UN)，使用1个机柜：CDNJNUN2:3F:WS-E-CDN04</t>
  </si>
  <si>
    <t>免费节点。【CDN新建】山东济南联通  新建100G  2022-07-01 节点正式上线  (JN8UN)：39.91.182.0/24、119.188.96.0/27</t>
  </si>
  <si>
    <t>L20230131001</t>
  </si>
  <si>
    <t>2023.1更新IP，【BEC新建】济南联通新建500G ，使用2560个IP：218.57.21.0/24、123.129.201.0/24、123.129.202.0/24、123.129.199.0/24、119.188.114.0/24、119.188.195.0/24、119.188.135.0/24、119.188.137.0/24、119.188.64.0/24、119.188.65.0/24；IPV6:2408:8719:409:: /48</t>
  </si>
  <si>
    <t>182315IDC00370</t>
  </si>
  <si>
    <t>济南联通三枢纽至长清路由一</t>
  </si>
  <si>
    <t>济南联通三枢纽至长清路由一裸光纤，GX900980319</t>
  </si>
  <si>
    <t>济南联通三枢纽至长清路由二</t>
  </si>
  <si>
    <t>济南联通三枢纽至长清路由二裸光纤，GX90080322</t>
  </si>
  <si>
    <t>中国联合网络通信有限公司嘉兴市分公司</t>
  </si>
  <si>
    <t>嘉兴联通</t>
  </si>
  <si>
    <t>L20230511003</t>
  </si>
  <si>
    <t>CDNJIAXUN</t>
  </si>
  <si>
    <t xml:space="preserve"> 【BEC新建】嘉兴联通边缘计算节点新建100G (JIAXUN)，每万兆送64个IP，可送1280个，使用640个IP：101.68.219.0/24（在用）101.69.193.0/24（在用）101.69.205.128/25（在用），免费640个</t>
    <phoneticPr fontId="3" type="noConversion"/>
  </si>
  <si>
    <t>BEC,2408:8740:71FC:0500::/56</t>
  </si>
  <si>
    <t>10.1开通： 【BEC新建】嘉兴联通边缘计算节点新建100G正式交付  (JIAXUN)，送20个机柜，使用10个：BECJIAXUN-01-04、BECJIAXUN-01-05、BECJIAXUN-01-06、BECJIAXUN-01-07、BECJIAXUN-06-01、BECJIAXUN-06-02、BECJIAXUN-06-03、BECJIAXUN-06-04、BECJIAXUN-06-05、BECJIAXUN-06-06</t>
  </si>
  <si>
    <t>11.1开通： 【BEC新建】嘉兴联通边缘计算节点新建100G正式交付  (JIAXUN)，送20个机柜，使用10个：BECJIAXUN-02-11、BECJIAXUN-02-12、BECJIAXUN-02-13、BECJIAXUN-02-14、BECJIAXUN-02-15、BECJIAXUN-02-16、BECJIAXUN-02-17、BECJIAXUN-02-18、BECJIAXUN-02-19、BECJIAXUN-02-20</t>
  </si>
  <si>
    <t>中国联合网络通信有限公司江苏省分公司</t>
  </si>
  <si>
    <t>江苏联通-电路</t>
  </si>
  <si>
    <t>182015IDC00283</t>
  </si>
  <si>
    <t>北京M1-南京新港</t>
  </si>
  <si>
    <t>400G</t>
  </si>
  <si>
    <t>2020/12/1开通北京M1-南京新港400G电路</t>
  </si>
  <si>
    <t>中国联合网络通信有限公司金华市分公司</t>
  </si>
  <si>
    <t>金华联通</t>
  </si>
  <si>
    <t>L20230910001</t>
  </si>
  <si>
    <t>CDNJHUN</t>
  </si>
  <si>
    <t>【BEC新建】金华联通新增200G 节点正式上线  (JHUN)：
IPV4:101.69.97.0/24
101.69.98.0/24
101.69.99.0/24
60.12.147.0/24
60.12.156.0/24;</t>
    <phoneticPr fontId="3" type="noConversion"/>
  </si>
  <si>
    <t>【BEC新建】金华联通新增200G 节点正式上线  (JHUN)：
IPV6:2408:8740:41fc:400::/56。
每300M签约带宽可申请免费分配1个/56 ipv6前缀地址，不足300M按300M计，最大可免费申请分配256个/56 ipv6前缀地址。</t>
    <phoneticPr fontId="3" type="noConversion"/>
  </si>
  <si>
    <t>【BEC新建】金华联通新增200G 节点正式上线  (JHUN)：赠送20个，目前使用1个，BECJHUN-07-06</t>
  </si>
  <si>
    <t>【BEC扩容】BEC浙江金华联通扩容0G  2023-07-20节点正式上线  (BECJHUN)，新增5个机柜：CDNJHUN:1F:1L-04-BEC05、CDNJHUN:1F:1L-04-BEC06、CDNJHUN:1F:1L-04-BEC07、CDNJHUN:1F:1L-04-BEC08、CDNJHUN:1F:1L-04-BEC09</t>
  </si>
  <si>
    <t>L20230829009</t>
  </si>
  <si>
    <t>【BEC扩容】BEC浙江金华联通扩容0G2023-08-25节点正式上线 (BECJHUN)，扩容13个机柜：CDNJHUN:3F:E-D-BEC04、CDNJHUN:3F:E-D-BEC05、CDNJHUN:3F:E-D-BEC06、CDNJHUN:3F:E-D-BEC07、CDNJHUN:3F:E-D-BEC08、CDNJHUN:3F:E-D-BEC09、CDNJHUN:3F:E-D-BEC10、CDNJHUN:3F:E-D-BEC12、CDNJHUN:3F:E-D-BEC13、CDNJHUN:3F:E-D-BEC14、CDNJHUN:3F:E-D-BEC15、CDNJHUN:3F:E-D-BEC16、CDNJHUN:3F:E-D-BEC17</t>
    <phoneticPr fontId="3" type="noConversion"/>
  </si>
  <si>
    <t>连云港联通</t>
  </si>
  <si>
    <t>182315IDC00478</t>
  </si>
  <si>
    <t>连云港三线联通</t>
  </si>
  <si>
    <t>【BEC新建】连云港三线联通新建30G 2023-2-1节点正式上线  (LYGIXUN)：ipv4: 122.194.218.0/25、122.194.218.128/27
ipv6:
2408:873C:C001:0003::2/127
2408:873C:C010:0003::/64</t>
  </si>
  <si>
    <t>中国联合网络通信有限公司南京市分公司</t>
  </si>
  <si>
    <t>南京联通</t>
  </si>
  <si>
    <t>182115IDC00244</t>
  </si>
  <si>
    <t>上海移动金桥机房-南京凤凰机房</t>
  </si>
  <si>
    <t>宜春联通转签南京联通。上海移动金桥机房-南京凤凰机房400G电路</t>
  </si>
  <si>
    <t>本业务于2021年12月31日退租</t>
  </si>
  <si>
    <t>182115IDC00435</t>
  </si>
  <si>
    <t>南京新港-南京凤凰（张王庙一路由）</t>
  </si>
  <si>
    <t>依据新的商务谈判结果，2021.5调整开始计费时间，单价和长度。南京新港-南京凤凰（南京栖霞区仙新东路紫泉物流园南门-南京是下关区张王庙88号）</t>
  </si>
  <si>
    <t>南京新港-南京凤凰（张王庙二路由1）</t>
  </si>
  <si>
    <t>南京新港-南京凤凰（张王庙2）</t>
  </si>
  <si>
    <t>南京新港-南京凤凰（张王庙三路由）</t>
  </si>
  <si>
    <t>南京新港-江东二长一路由</t>
  </si>
  <si>
    <t>南京新港-江东二长二路由</t>
  </si>
  <si>
    <t>南京新港-吉山一路由</t>
  </si>
  <si>
    <t>南京新港-吉山二路由</t>
  </si>
  <si>
    <t>中国联合网络通信有限公司青岛市分公司</t>
  </si>
  <si>
    <t>青岛联通</t>
  </si>
  <si>
    <t>182215IDC00586</t>
    <phoneticPr fontId="3" type="noConversion"/>
  </si>
  <si>
    <t>青岛联通滨海数据中心百度-科技园机房</t>
  </si>
  <si>
    <t>100G</t>
  </si>
  <si>
    <t>青岛联通滨海数据中心百度QDBH-科技园机房BJKJY</t>
  </si>
  <si>
    <t>青岛联通滨海数据中心百度-M1</t>
  </si>
  <si>
    <t>青岛联通滨海数据中心百度QDBH-M1</t>
  </si>
  <si>
    <t>L20210323002</t>
  </si>
  <si>
    <t>青岛7联通</t>
  </si>
  <si>
    <t>CDNQD</t>
  </si>
  <si>
    <t>此节点免费，增量100G、开通4个机柜、288个IP，于2021-02-01开始正式切流量上线（QD7UN2F202-E-07、QD7UN2F202-E-06、QD7UN2F202-E-05、QD7UN2F202-E-08）</t>
  </si>
  <si>
    <t>此节点免费，于2022.1.12退租1个机柜（QD7UN2F202-E-08），免费机柜，运营商侧不退租</t>
  </si>
  <si>
    <t>此节点免费，于2022/11/18关停：QD7UN2F202-E-07、QD7UN2F202-E-06、QD7UN2F202-E-05</t>
  </si>
  <si>
    <t>QD7UN2F202-E-07、QD7UN2F202-E-06、QD7UN2F202-E-05</t>
  </si>
  <si>
    <t>此节点免费，IP段为2022.4核对后更新。增量100G、开通4个机柜、288个IP，于2021-02-01开始正式切流量上线（119.167.139.0/24
119.167.138.96/27
）</t>
  </si>
  <si>
    <t>此节点免费，于2022/11/18关停，119.167.139.0/24 119.167.138.96/27</t>
  </si>
  <si>
    <t>此节点免费：119.167.139.0/24 119.167.138.96/27</t>
  </si>
  <si>
    <t>L20220330004</t>
  </si>
  <si>
    <t>青岛滨海联通</t>
  </si>
  <si>
    <t>119.167.143.0/24
119.167.145.0/24
119.167.152.0/24
119.167.161.0/24
119.167.193.0/24
119.167.212.0/24
27.221.9.0/24接口地址，不包含进开通IP，正式合同182015IDC00246无IP合同行，故关联临时合同</t>
  </si>
  <si>
    <t>L20230204002</t>
  </si>
  <si>
    <t>青岛10联通</t>
  </si>
  <si>
    <t>CDNQD2</t>
  </si>
  <si>
    <t>2023/6/30临时关停。【CDN新建】山东青岛联通  新建120G  2023-02-01 节点正式上线  (QD10UN)：QD10UN2F204-A-08、QD10UN2F204-A-09、QD10UN2F204-A-07</t>
    <phoneticPr fontId="3" type="noConversion"/>
  </si>
  <si>
    <t>2023/6/30临时关停，线上资源未操作关闭。【CDN新建】山东青岛联通  新建120G  2023-02-01 节点正式上线  (QD10UN)：QD10UN2F204-A-08、QD10UN2F204-A-09、QD10UN2F204-A-07</t>
  </si>
  <si>
    <t>2023/6/30临时关停，线上资源未操作关闭。【CDN新建】山东青岛联通  新建120G  2023-02-01 节点正式上线  (QD10UN)：119.167.210.0/25、27.221.24.96/27</t>
  </si>
  <si>
    <t>2023/8/1重新开通，2023/6/30临时关停。【CDN新建】山东青岛联通  新建120G  2023-02-01 节点正式上线  (QD10UN)：QD10UN2F204-A-08、QD10UN2F204-A-09、QD10UN2F204-A-07</t>
    <phoneticPr fontId="3" type="noConversion"/>
  </si>
  <si>
    <t>2023/8/1重新开通，2023/6/30临时关停。【CDN新建】山东青岛联通  新建120G  2023-02-01 节点正式上线  (QD10UN)：119.167.210.0/25、27.221.24.96/27</t>
    <phoneticPr fontId="3" type="noConversion"/>
  </si>
  <si>
    <t>2023/8/1重新开通，2023/6/30临时关停。【CDN新建】山东青岛联通  新建120G  2023-02-01 节点正式上线  (QD10UN)：2408:8719:2000:0004::/64</t>
    <phoneticPr fontId="3" type="noConversion"/>
  </si>
  <si>
    <t>182315IDC00312</t>
  </si>
  <si>
    <t>滨海机房</t>
  </si>
  <si>
    <t>自2月7日起计费</t>
  </si>
  <si>
    <t>QDBH3E1-G-03、QDBH3E1-G-05、QDBH3E1-G-07、QDBH3E1-H-03、QDBH3E1-H-05、QDBH3E1-H-07。13.75W。自2月7日起计费</t>
  </si>
  <si>
    <t>QDBH3E1-G-11、QDBH3E1-H-11。6KW。自2月7日起计费</t>
  </si>
  <si>
    <t>8KW。自2月7日起计费</t>
  </si>
  <si>
    <t>3月1日开通2个机架</t>
  </si>
  <si>
    <t>5月11日开通2个机架</t>
  </si>
  <si>
    <t>5月31日开通2个机架</t>
  </si>
  <si>
    <t>6月1日开通1个机架</t>
  </si>
  <si>
    <t>6月22日开通19个机架</t>
  </si>
  <si>
    <t>6月25日开通1个机架</t>
  </si>
  <si>
    <t>6月27日开通1个机架</t>
  </si>
  <si>
    <t>7月20日开通9个机架</t>
  </si>
  <si>
    <t>7月25日开通4个机架</t>
  </si>
  <si>
    <t>8月23日开通13个机架</t>
  </si>
  <si>
    <t>8月24日开通1个机架</t>
  </si>
  <si>
    <t>8月27日开通7个机架</t>
  </si>
  <si>
    <t>9月3日开通11个机架</t>
  </si>
  <si>
    <t>9月12日开通10个机架</t>
  </si>
  <si>
    <t>9月17日开通1个机架</t>
  </si>
  <si>
    <t>10月31日开通12个4.4KW机架（编号：QDBH2E1-A-01~QDBH2E1-A-12）</t>
  </si>
  <si>
    <t>11月8日开通25个4.4KW机架（编号：QDBH2E1-B-05~QDBH2E1-B-17、QDBH2E1-C-05~QDBH2E1-C-15、QDBH2E1-A-17）</t>
  </si>
  <si>
    <t>11月12日开通2个4.4KW机架（编号：QDBH2E1-I-07、QDBH2E1-I-08）</t>
  </si>
  <si>
    <t>11月13日开通9个4.4KW机架（编号：QDBH2E1-C-01、QDBH2E1-A-13~QDBH2E1-A-16、QDBH2E1-B-01~QDBH2E1-B-04）</t>
  </si>
  <si>
    <t>11月20日开通2个4.4KW机架（编号：QDBH2E1-C-03、QDBH2E1-C-04）</t>
  </si>
  <si>
    <t>11月30日关闭2个机架自12月1日起不计费（编号：QDBH2E1-C-15、QDBH2E1-B-17）</t>
  </si>
  <si>
    <t>11月30日开通11个4.4KW机架（编号：QDBH2E1-D-01~QDBH2E1-D-10、QDBH2E1-D-12）</t>
  </si>
  <si>
    <t>12月2日开通1个4.4KW机架（编号：QDBH2E1-D-11）</t>
  </si>
  <si>
    <t>12月28日开通4个4.4KW机架（编号：QDBH2E1-N-03~QDBH2E1-N-06）</t>
  </si>
  <si>
    <t>2019年1月19日开通20个4.4KW机架（编号：QDBH2E1-D-13~16、QDBH2E1-E-01~16）</t>
  </si>
  <si>
    <t>2019年1月19日开通20个4.4KW机架（编号：QDBH2E1-F-01~14、QDBH2E1-G-01~06）</t>
  </si>
  <si>
    <t>2019年1月21日开通26个4.4KW机架（编号：QDBH2E1-D-17、QDBH2E1-E-17、QDBH2E1-F-15、QDBH2E1-G-07~17、QDBH2E1-H-01~12）</t>
  </si>
  <si>
    <t>2019年1月25日开通1个4.4KW机架（编号：QDBH2E1-N-02）</t>
  </si>
  <si>
    <t>2019年3月18日开通2个4.4KW机架（编号：QDBH2E1-I-09、QDBH2E1-I-10）</t>
  </si>
  <si>
    <t>2019年5月9日开通16个4.4KW机架（编号：QDBH2E1-L-01~QDBH2E1-L-14、QDBH2E1-M-01、QDBH2E1-M-03）</t>
  </si>
  <si>
    <t>2019年5月10日开通10个4.4KW机架（编号：QDBH2E1-M-05~QDBH2E1-M-12、QDBH2E1-M-02、QDBH2E1-M-04）</t>
  </si>
  <si>
    <t>2019年5月15日开通20个4.4KW机架（编号：QDBH2E1-K-13~QDBH2E1-K-16、QDBH2E1-M-13~QDBH2E1-M-16、QDBH2E1-N-07~QDBH2E1-N-16、QDBH2E1-K-03、QDBH2E1-K-04）</t>
  </si>
  <si>
    <t>2019年5月20日开通5个4.4KW机架（编号：QDBH2E1-B-17、QDBH2E1-C-15、QDBH2E1-L-15、QDBH2E1-M-17、QDBH2E1-N-17）</t>
  </si>
  <si>
    <t>7月费用。2019年5月31日开通12个4.4KW机架（编号：QDBH2E1-H-15、QDBH2E1-H-16、QDBH2E1-I-11、QDBH2E1-I-12、QDBH2E1-I-13、QDBH2E1-I-14、QDBH2E1-K-5至QDBH2E1-K-10）</t>
  </si>
  <si>
    <t>7月费用。2019年6月28日开通5个4.4KW机架（编号：QDBH2E1-H-17、QDBH2E1-I-15、QDBH2E1-J-17、QDBH2E1-K-11、QDBH2E1-K-12）</t>
  </si>
  <si>
    <t>8KW。2019年5月27日关闭1个8KW机架（编号：QDBH3E1-G-13）</t>
  </si>
  <si>
    <t>190710开通10个机架，7月22天的费用</t>
  </si>
  <si>
    <t>190716开通8个机架，7月16天的费用</t>
  </si>
  <si>
    <t>8月新增</t>
  </si>
  <si>
    <t>QDBH3E1-G-13。8KW</t>
  </si>
  <si>
    <t>2020-7月新增</t>
  </si>
  <si>
    <t>于2020.11.15日关闭，2020.11.16开始计费在度友科技下QDBH3E1-H-09</t>
  </si>
  <si>
    <t>QDBH3E1-G-08、QDBH3E1-H-08</t>
  </si>
  <si>
    <t>QDBH3E1-A-14、QDBH3E1-A-16、QDBH3E1-B-02、QDBH3E1-B-04、QDBH3E1-B-06、QDBH3E1-B-08、QDBH3E1-B-10、QDBH3E1-B-12、QDBH3E1-B-14、QDBH3E1-B-16、QDBH3E1-C-02、QDBH3E1-C-04、QDBH3E1-C-06、QDBH3E1-C-08、QDBH3E1-C-10、QDBH3E1-C-12、QDBH3E1-C-14、QDBH3E1-D-02、QDBH3E1-D-04、QDBH3E1-D-06、QDBH3E1-D-08、QDBH3E1-D-10、QDBH3E1-D-12、QDBH3E1-D-14、QDBH3E1-E-02、QDBH3E1-E-04、QDBH3E1-E-06、QDBH3E1-E-08、QDBH3E1-E-10、QDBH3E1-E-12、QDBH3E1-E-14、QDBH3E1-E-16、QDBH3E1-F-08、QDBH3E1-F-10、QDBH3E1-F-12、QDBH3E1-F-14</t>
  </si>
  <si>
    <t>滨海机房QDBH-百度济南中继POP点</t>
  </si>
  <si>
    <t>自2月13日起计费。滨海机房QDBH-百度济南中继POP点双路由</t>
  </si>
  <si>
    <t>182315IDC00308</t>
  </si>
  <si>
    <t>二枢纽IDC机房</t>
  </si>
  <si>
    <t>青岛5联通</t>
  </si>
  <si>
    <t>2023/6/30退租转代理带宽 IP退租转代理，机柜保留在直签可免费。2019年1月17日开通7个3.5KW机架:CDNQD202-I-01、CDNQD202-I-02、CDNQD202-I-03、CDNQD202-I-04、CDNQD202-I-05、CDNQD202-I-06、CDNQD202-H-10
2019年1月25日开通28个万兆后，新合同共97个万兆，赠送29个16A机柜+13个20A机柜，故自2月账期开始7个机柜免费。</t>
  </si>
  <si>
    <t>二枢纽机房</t>
  </si>
  <si>
    <t>青岛3联通</t>
  </si>
  <si>
    <t>每2个万兆赠送一个
CDNQD202-H-07、CDNQD202-H-06、CDNQD202-H-04、CDNQD202-H-05、
CDNQD202-H-03、CDNQD202-H-02、CDNQD202-H-01</t>
  </si>
  <si>
    <t>2021.8.13退租7个机柜；CDNQD202-H-07、CDNQD202-H-06、CDNQD202-H-04、CDNQD202-H-05、
CDNQD202-H-03、CDNQD202-H-02、CDNQD202-H-01</t>
  </si>
  <si>
    <t>青岛6联通</t>
  </si>
  <si>
    <t>2020.6.15新增2个机柜
QD6UN2F-H-08、QD6UN2F-H-09
于2022.1.20转为边缘计算使用</t>
  </si>
  <si>
    <t>2022.2.25新增2个机柜
QD6UN2F-I-11、QD6UN2F-H-11
实际核实可能为2020.6开通，于2022.2.25补交付邮件；2022.1.20转为边缘计算使用</t>
  </si>
  <si>
    <t>2022/5/31 节点全部退租：QD6UN2F-H-09、QD6UN2F-H-08、QD6UN2F-I-11、QD6UN2F-H-11</t>
  </si>
  <si>
    <t>2020.6.15新增288个IP
119.167.158.0/24；27.221.56.32/27。182015IDC00252约定IP地址免费 3680 个，收费 256 个，租用费： 20 元/月/个</t>
  </si>
  <si>
    <t>2022/5/31节点退租：119.167.158.0/24；27.221.56.32/27</t>
  </si>
  <si>
    <t xml:space="preserve">SSL机架 </t>
  </si>
  <si>
    <t>青岛联通SSL</t>
  </si>
  <si>
    <t>每2个万兆赠送一个；CDNQD202-E-02、CDNQD202-E-03、CDNQD202-E-04</t>
  </si>
  <si>
    <t>开通1个C（119.167.246.0/24）。182015IDC00252约定IP地址免费 3680 个，收费 256 个，租用费： 20 元/月/个</t>
  </si>
  <si>
    <t>2022/8/31节点下线，退租3个机柜：CDNQD202-E-02、CDNQD202-E-03、CDNQD202-E-04</t>
  </si>
  <si>
    <t>2022/8/31节点下线，退租IP:IPv4:
119.167.246.0/24；IPv6:2408:8719:2100:0005::/64</t>
  </si>
  <si>
    <t>青岛2联通</t>
  </si>
  <si>
    <t>QD01</t>
  </si>
  <si>
    <t>2023.8经与SYS核对更新机柜编号。新编号：CDNQD01:2F:204-A-CDN02、CDNQD01:2F:204-A-CDN03、CDNQD01:2F:204-A-CDN04、CDNQD01:2F:204-A-CDN05、CDNQD01:2F:204-A-CDN06；原编号：QD01204-A-02、QD01204-A-03、QD01204-A-04、QD01204-A-05、QD01204-A-06</t>
    <phoneticPr fontId="3" type="noConversion"/>
  </si>
  <si>
    <t xml:space="preserve">开通1个C
27.221.38.0/24 </t>
  </si>
  <si>
    <t>青岛三级联通</t>
  </si>
  <si>
    <t>2023.8经与SYS核对，青岛三级联通CDN使用288个IP，补录资源：27.221.27.0/24,27.221.29.0/27</t>
  </si>
  <si>
    <t>BEC使用：119.167.192.0/24。182015IDC00252约定IP地址免费 3680 个，收费 256 个，租用费： 20 元/月/个</t>
  </si>
  <si>
    <t>CDN使用：123.235.30.0/24,123.235.31.0/24,119.167.138.224/27 。182015IDC00252约定IP地址免费 3680 个，收费 256 个，租用费： 20 元/月/个</t>
  </si>
  <si>
    <t>2023/6/30退租转代理。 【CDN退租】CDN山东青岛联通退租信息 (QD5UN)：123.235.30.0/24、123.235.31.0/24、119.167.138.224/27</t>
  </si>
  <si>
    <t>青岛8联通</t>
  </si>
  <si>
    <t>2022.12.31节点退租。2022.9.1转移2个机柜至QD9UN：QD8UN2F-H-01、QD8UN2F-H-02</t>
  </si>
  <si>
    <t>青岛9联通</t>
  </si>
  <si>
    <t>2022.12.31节点退租。2022.9.1转移2个机柜至QD9UN：QD8UN2F-H-03、QD8UN2F-H-04</t>
  </si>
  <si>
    <t>2022.12.31节点退租。119.167.254.0/24 27.221.56.64/27。</t>
  </si>
  <si>
    <t>2022.12.31节点退租。2022.9.1从青岛8联通迁移160个IP至新建节点青岛9联通。119.167.224.0/25 119.167.138.192/27</t>
  </si>
  <si>
    <t>中国联合网络通信有限公司上海市分公司</t>
  </si>
  <si>
    <t>万国2017合约转签上海联通</t>
  </si>
  <si>
    <t>182115IDC00128</t>
  </si>
  <si>
    <t>2021/2/1由万国2017新合约转签至上海联通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</si>
  <si>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SZWG103-F-03、SZWG103-F-04、SZWG103-F-05、SZWG103-F-06、SZWG103-F-09、SZWG103-F-07、SZWG101-F-04、SZWG101-F-03、SZWG103-F-10、SZWG101-G-09</t>
  </si>
  <si>
    <t>SZWG101-G-09</t>
  </si>
  <si>
    <t>上海联通-电路</t>
  </si>
  <si>
    <t>182315IDC00086</t>
    <phoneticPr fontId="3" type="noConversion"/>
  </si>
  <si>
    <t>SHWGQ-上证（上海市浦东新区外高桥台中北路 8 号 148 机房）</t>
  </si>
  <si>
    <t>上海联通</t>
  </si>
  <si>
    <t>L20221215017</t>
  </si>
  <si>
    <t>CDNSHUN</t>
  </si>
  <si>
    <t>SHUN2F-G-01~SHUN2F-G-08</t>
  </si>
  <si>
    <t>182115IDC00448，有效期至2022-12-31</t>
    <phoneticPr fontId="3" type="noConversion"/>
  </si>
  <si>
    <t>SHUN2F-H-02、SHUN2F-H-03、SHUN2F-H-04</t>
  </si>
  <si>
    <t>2021/8/31上海联通搬迁，退租机柜：SHUN2F-H-03、SHUN2F-G-07、SHUN2F-G-08、SHUN2F-G-01、SHUN2F-G-02、SHUN2F-G-03、SHUN2F-G-04、SHUN2F-G-05、SHUN2F-G-06</t>
  </si>
  <si>
    <t>BEC退租：BECSHUN2F-G-10、BECSHUN2F-G-09</t>
  </si>
  <si>
    <t>上海联通搬迁后使用15个机架，从2021/9/1开始计费：SHUN2F-D4-05、SHUN2F-D4-06、SHUN2F-D4-07、SHUN2F-D4-08、SHUN2F-D4-09、SHUN2F-D4-10、SHUN2F-D4-11、SHUN2F-D4-12、SHUN2F-D4-13、SHUN2F-D4-14</t>
  </si>
  <si>
    <t>BEC退租：BECSHUN2F-D4-15</t>
  </si>
  <si>
    <t>2021/9/14退租4个机架：D4-31、D4-32、D4-33、D4-34（这4个机柜由于只用了9.1-9.14共14天即退租，RMS系统中未建立这4个机架编号，未对机架做开通，费用以正预提做进系统）</t>
  </si>
  <si>
    <t>SHUN2F-H-02 SHUN2F-H-04</t>
  </si>
  <si>
    <t>BEC退租：BECSHUN2F-G-09、BECSHUN2F-G-10</t>
  </si>
  <si>
    <t>SHUN2F-D4-14、SHUN2F-D4-13、SHUN2F-D4-12、SHUN2F-D4-11、SHUN2F-D4-10、SHUN2F-D4-09、SHUN2F-D4-08</t>
  </si>
  <si>
    <t>2014/1/14
2015/1/10</t>
  </si>
  <si>
    <t>CDN使用544个IP 均免费：112.65.203.0/24，112.65.204.0/24 ，140.206.233.32/27。合同约定免费提供832个IPv4地址,/64位IPv6地址</t>
  </si>
  <si>
    <t>BEC使用128个IP均免费:112.65.33.128/25</t>
  </si>
  <si>
    <t>CDN退租：112.65.204.0/24</t>
  </si>
  <si>
    <t>BEC：2408:870C:1060:0100::/56</t>
    <phoneticPr fontId="3" type="noConversion"/>
  </si>
  <si>
    <t>中国联合网络通信有限公司绍兴市分公司</t>
  </si>
  <si>
    <t>绍兴联通</t>
  </si>
  <si>
    <t>L20230306001</t>
  </si>
  <si>
    <t>绍兴3联通</t>
  </si>
  <si>
    <t>CDNSHAOXUN</t>
  </si>
  <si>
    <t>边缘计算。使用640个，116.148.204.0/24、116.148.205.0/24、116.148.206.0/25</t>
  </si>
  <si>
    <t>2023.5运营商记录开通10个机柜，与我司记录不一致，核实中</t>
    <phoneticPr fontId="3" type="noConversion"/>
  </si>
  <si>
    <t>边缘计算。2408:8740:5ef8:100::/56</t>
  </si>
  <si>
    <t>2023.5运营商记录开通10个机柜，与我司记录不一致，核实中</t>
  </si>
  <si>
    <t>5LC01-C-BEC01</t>
  </si>
  <si>
    <t>L20230330006</t>
  </si>
  <si>
    <t>绍兴2联通</t>
  </si>
  <si>
    <t>2018/6/20
2019/1/20</t>
  </si>
  <si>
    <t>2020.4.30退租40G后与SYS核对IP资源，共使用384个IP(CDN256，BEC128),每万兆送64个，共送256个，收费128个。CDN使用：123.157.149.0/25；123.157.149.128/27;123.157.149.160/27;123.157.149.192/26</t>
    <phoneticPr fontId="3" type="noConversion"/>
  </si>
  <si>
    <t>2020.4.30退租40G后与SYS核对IP资源，共使用384个IP,每万兆送64个，共送256个，收费128个。BEC使用101.69.223.128/25</t>
    <phoneticPr fontId="3" type="noConversion"/>
  </si>
  <si>
    <t>绍兴联通边缘计算节点新申请1个机架，128个IP于2021-04-12正式开通，从2021/5/1开始计费：101.69.223.0/25</t>
  </si>
  <si>
    <t>BEC</t>
    <phoneticPr fontId="3" type="noConversion"/>
  </si>
  <si>
    <t>2021/7/22退租96个IP：123.157.149.160/27，123.157.149.192/26</t>
  </si>
  <si>
    <t>BEC:2408:8740:61FF:0003::/64</t>
    <phoneticPr fontId="3" type="noConversion"/>
  </si>
  <si>
    <t>2018/6/20
2019/12/13</t>
  </si>
  <si>
    <t>共80G，每个万兆送1个机柜，共送4个，超出单价4000。目前CDN使用4个：SHAOXUN7F-B-01、SHAOXUN7F-B-02、SHAOXUN7F-B-03、SHAOXUN7F-B-04</t>
    <phoneticPr fontId="3" type="noConversion"/>
  </si>
  <si>
    <t>共80G，每个万兆送1个机柜，共送4个，超出单价4000。目前边缘计算使用 2个：BECSHAOXUN7F-B-05、BECSHAOXUN7F-B-06</t>
    <phoneticPr fontId="3" type="noConversion"/>
  </si>
  <si>
    <t xml:space="preserve">2020/4/30退2个，退租后使用机柜编号
SHAOXUN7F-B-03、 
SHAOXUN7F-B-04、
BECSHAOXUN7F-B-05
BECSHAOXUN7F-B-06
</t>
  </si>
  <si>
    <t>绍兴联通边缘计算节点新申请1个机架，128个IP于2021-04-12正式开通，从2021/5/1开始计费：BECSHAOX2UN7F-SB-07</t>
  </si>
  <si>
    <t>中国联合网络通信有限公司台州市分公司</t>
  </si>
  <si>
    <t>台州联通</t>
  </si>
  <si>
    <t>L20230711007</t>
  </si>
  <si>
    <t>CDNTZUN</t>
  </si>
  <si>
    <t>【BEC新建】台州联通新增100G 节点正式上线，新增320个IP V4：101.71.161.0/24；101.71.175.128/26。	
IPV4:每个10GE端口核配64个IP地址，共送1280个</t>
    <phoneticPr fontId="3" type="noConversion"/>
  </si>
  <si>
    <t>【BEC新建】台州联通新增100G 节点正式上线新增ipv6：2408:8742:51FF:5::/64。每300M签约带宽可申请免费分配1个/56 ipv6前缀地址，不足300M按300M计，最大可免费申请分配256个/56 ipv6前缀地址</t>
    <phoneticPr fontId="3" type="noConversion"/>
  </si>
  <si>
    <t>【BEC新建】台州联通新增100G 节点正式上线：BECTZUN-03-03。	
每个10GE端口核配1个标准机柜，共送20个</t>
  </si>
  <si>
    <t>中国联合网络通信有限公司温州市分公司</t>
  </si>
  <si>
    <t>温州联通</t>
  </si>
  <si>
    <t>182215IDC00342</t>
  </si>
  <si>
    <t>CDNWZUN</t>
  </si>
  <si>
    <t>2022/4/15
2022/4/28
2022/6/1
2022/12/15</t>
    <phoneticPr fontId="3" type="noConversion"/>
  </si>
  <si>
    <t>2022.5.24经核对，确认BEC温州联通使用2528个IP，每10G送64个IP，共500G带宽，免费3200个：101.69.132.192/26、101.69.134.0/25、101.69.134.128/27、101.69.134.160/27、101.69.134.192/27、101.69.134.224/27、101.69.135.0/25、101.69.139.0/24、123.159.204.48/28、123.159.204.64/27、123.159.204.96/28、123.159.205.0/26、123.159.205.112/28、123.159.205.128/26、123.159.205.64/27、123.159.205.96/28、123.159.206.0/25、123.159.206.128/26、123.159.206.192/26、211.91.52.0/24、101.69.133.0/24、123.159.205.192/27、101.69.128.0/24、101.69.129.0/24、101.69.130.0/24</t>
  </si>
  <si>
    <t>【BEC扩容】温州联通扩容128个IP：101.69.145.0/25。每10G送64个IP，共400G带宽，免费2560个IP。累计使用2656个，收费96个</t>
  </si>
  <si>
    <t>【BEC扩容】BEC浙江温州联通扩容0G 2023-6-26 节点正式上线 (BECWZUN )，开通256个IP：101.69.131.0/24</t>
  </si>
  <si>
    <t>FYT202309250003</t>
  </si>
  <si>
    <t>每月负预提冲销256*50=12800</t>
    <phoneticPr fontId="3" type="noConversion"/>
  </si>
  <si>
    <t>边缘计算节点新建，免费50个机柜：BECWZUN-03-06</t>
  </si>
  <si>
    <t>机柜实际使用数量需要和鸿斌核对</t>
  </si>
  <si>
    <t>2022.5.24经核对，确认温州联通使用IPv6:
1段/56: 2408:8742:31fc:100::/56
2段/60: 2408:8740:31FE:10::/60、2408:8740:31FE:20::/60、
5段/64: 2408:8740:31FF:2::/64、2408:8740:31FF:3::/64、2408:8740:32FF::/64、2408:8742:31FF:2::/64、2408:8742:31FF:3::/64</t>
  </si>
  <si>
    <t>中国联合网络通信有限公司无锡市分公司</t>
  </si>
  <si>
    <t>无锡联通</t>
  </si>
  <si>
    <t>182115IDC00628
L20230711014</t>
    <phoneticPr fontId="3" type="noConversion"/>
  </si>
  <si>
    <t>SZZJ-WGM2B</t>
  </si>
  <si>
    <t>2021/8/15开通，8月计费17天：SZZJ昆山市花桥镇金中路192号-WGM2B昆山市花桥经济技术开发区东城大道万国数据中心</t>
  </si>
  <si>
    <t>182115IDC00628，有效期至2023-08-02</t>
    <phoneticPr fontId="3" type="noConversion"/>
  </si>
  <si>
    <t>SZZJ-SZTH</t>
  </si>
  <si>
    <t>SZZJ-SZTH路由一</t>
  </si>
  <si>
    <t>SZZJ-SZTH中继站</t>
  </si>
  <si>
    <t>SZZJ-SZTH路由一1个中继站</t>
  </si>
  <si>
    <t>SZZJ-SZTH路由二</t>
  </si>
  <si>
    <t>SZZJ-SZTH路由二1个中继站</t>
  </si>
  <si>
    <t>SZZJ-SZTH路由三</t>
  </si>
  <si>
    <t>SZZJ-SZTH路由三1个中继站</t>
  </si>
  <si>
    <t>SZZJ-SZTH路由四</t>
  </si>
  <si>
    <t>SZZJ-WXTKY</t>
  </si>
  <si>
    <t>SZZJ-WXTKY路由一</t>
  </si>
  <si>
    <t>SZZJ-WXTKY中继站</t>
  </si>
  <si>
    <t>SZZJ-WXTKY路由一1个中继站</t>
  </si>
  <si>
    <t>SZZJ-WXTKY路由二</t>
  </si>
  <si>
    <t>SZZJ-WXTKY路由二1个中继站</t>
  </si>
  <si>
    <t>SZZJ-WXTKY路由三</t>
  </si>
  <si>
    <t>SZZJ-WXTKY路由三1个中继站</t>
  </si>
  <si>
    <t>SZZJ-WXTKY路由四</t>
  </si>
  <si>
    <t>SZZJ-WXTKY路由四1个中继站</t>
  </si>
  <si>
    <t>2023.3.31退租，SZZJ-WXTKY路由一</t>
  </si>
  <si>
    <t>2023.3.31退租，SZZJ-WXTKY路由一1个中继站</t>
  </si>
  <si>
    <t>2023.3.31退租，SZZJ-WXTKY路由二</t>
  </si>
  <si>
    <t>2023.3.31退租，SZZJ-WXTKY路由二1个中继站</t>
  </si>
  <si>
    <t>2023.3.31退租，SZZJ-WXTKY路由三</t>
  </si>
  <si>
    <t>2023.3.31退租，SZZJ-WXTKY路由三1个中继站</t>
  </si>
  <si>
    <t>2023.3.31退租，SZZJ-WXTKY路由四</t>
  </si>
  <si>
    <t>2023.3.31退租，SZZJ-WXTKY路由四1个中继站</t>
  </si>
  <si>
    <t>中国联合网络通信有限公司烟台市分公司</t>
  </si>
  <si>
    <t>烟台联通</t>
  </si>
  <si>
    <t>L20221106003</t>
  </si>
  <si>
    <t>烟台联通IDC机房</t>
  </si>
  <si>
    <t>XACDNYTUN</t>
  </si>
  <si>
    <t>YTUN4F-B-02、YTUN4F-B-03、YTUN4F-B-04、YTUN4F-B-01、YTUN4F-B-05、YTUN4F-B-06</t>
  </si>
  <si>
    <t>2021.10.31退租2个机柜，YTUN4F-B-05、YTUN4F-B-06</t>
  </si>
  <si>
    <t>免费使用288个，超出部分20元：123.130.123.0/24;123.130.119.128/27</t>
  </si>
  <si>
    <t>中国联合网络通信有限公司舟山市分公司</t>
  </si>
  <si>
    <t>舟山联通</t>
  </si>
  <si>
    <t>L20230711006</t>
  </si>
  <si>
    <t>CDNZHOUSUN</t>
  </si>
  <si>
    <t>【BEC新建】舟山联通新增100G ，每个10GE端口核配1个标准机柜及64个IP地址，可送640个，使用256个IP：116.148.168.0/24</t>
    <phoneticPr fontId="3" type="noConversion"/>
  </si>
  <si>
    <t>【BEC新建】舟山联通新增100G ，每个10GE端口核配1个标准机柜及64个IP地址，
新增 ipv6：2408:8740:B1FF:0005::0/64。
每300M签约带宽可申请免费分配1个/56 ipv6前缀地址，不足300M按300M计，最大可免费申请分配256个/56 ipv6前缀地址。</t>
    <phoneticPr fontId="3" type="noConversion"/>
  </si>
  <si>
    <t>【BEC新建】舟山联通新增100G ，每个10GE端口核配1个标准机柜及64个IP地址，可送10个机柜：BECZHOUSUN-E-01、BECZHOUSUN-E-04、BECZHOUSUN-A-07、BECZHOUSUN-A-08、BECZHOUSUN-A-09、BECZHOUSUN-A-10、BECZHOUSUN-B-08、BECZHOUSUN-B-09、BECZHOUSUN-B-10、BECZHOUSUN-B-11</t>
    <phoneticPr fontId="3" type="noConversion"/>
  </si>
  <si>
    <t>【BEC扩容】BEC浙江舟山联通扩容0G2023-08-25节点正式上线 (BECZHOUSHUN)，新增256个IP：116.148.169.0/24；
另，123.157.76.128/25是原有的网段,但是未在基础信息库录入,之前交付邮件也未添加，本次一并开通</t>
    <phoneticPr fontId="3" type="noConversion"/>
  </si>
  <si>
    <t>【BEC退租】BEC浙江舟山联通退租128个IP (ZHOUSHUN)：116.148.168.128/25</t>
    <phoneticPr fontId="3" type="noConversion"/>
  </si>
  <si>
    <t>【BEC扩容】BEC浙江舟山联通扩容0G2023-10-27节点正式上线，新增256个IP ，收费128个，免费128个(BECZHOUSHUN)：101.70.157.0/25、116.148.168.128/25。</t>
    <phoneticPr fontId="3" type="noConversion"/>
  </si>
  <si>
    <t>中国移动通信集团福建有限公司福州分公司</t>
    <phoneticPr fontId="3" type="noConversion"/>
  </si>
  <si>
    <t>福州移动</t>
  </si>
  <si>
    <t>L20221228012</t>
  </si>
  <si>
    <t>福州长乐</t>
  </si>
  <si>
    <t>CDNFZCM</t>
  </si>
  <si>
    <t>FZCM4F-D-10、FZCM4F-D-11</t>
  </si>
  <si>
    <t>合同已预审，待预审完成可提交合同，但合同有效期仅能到2024.4.30</t>
    <phoneticPr fontId="3" type="noConversion"/>
  </si>
  <si>
    <t>中国移动通信集团福建有限公司福州分公司</t>
  </si>
  <si>
    <t>新合同约定共赠送2880个，sys反馈使用288</t>
  </si>
  <si>
    <t>福州移动2</t>
  </si>
  <si>
    <t>CDNFZCM2</t>
  </si>
  <si>
    <t>FZ2CM2F-F-06</t>
  </si>
  <si>
    <t>已提交182315IDC00555</t>
    <phoneticPr fontId="3" type="noConversion"/>
  </si>
  <si>
    <t>FZ2CM2F-F-07、FZ2CM2F-F-08</t>
  </si>
  <si>
    <t>新合同约定共赠送2880个，sys反馈使用288:112.49.51.0/24、112.49.52.0/27</t>
  </si>
  <si>
    <t>112.49.51.0/24 112.49.52.0/27</t>
  </si>
  <si>
    <t>福州3移动</t>
  </si>
  <si>
    <t>FZ2CM2F-F-09、FZ2CM2F-F-10、FZ2CM2F-F-11</t>
  </si>
  <si>
    <t>新合同约定共赠送2880个，sys反馈使用288+边缘计算128（sys更新2020年7月开通的边缘计算在福州移动2）:112.49.48.0/24、112.49.26.192/27</t>
  </si>
  <si>
    <t xml:space="preserve">FZ2CM,2022.7.31退租288个IP
112.49.48.0/24 
112.49.26.192/27
</t>
  </si>
  <si>
    <t>新合同约定共赠送2880个，sys反馈使用288+边缘计算128（sys更新2020年7月开通的边缘计算在福州移动2）112.49.26.0/25</t>
  </si>
  <si>
    <t>20200629开通1个FZ2CM2F-F-12</t>
  </si>
  <si>
    <t>FZ2CM2F-F-12,FZ2CM2F-F-11</t>
  </si>
  <si>
    <t>边缘计算1个机柜BECFZ3CM204-F-05</t>
  </si>
  <si>
    <t>边缘计算BECFZ3CM204-F-02</t>
  </si>
  <si>
    <t>新合同约定共赠送2880个，边缘计算128个：112.49.46.0/25</t>
  </si>
  <si>
    <t>2023.7与SYS 运营商三方核对，补充IPV6开通情况。2409:8C34:0C00:000B::/64</t>
  </si>
  <si>
    <t>【边缘计算节点扩容】福建福州移动边缘计算节点扩容（FZ2CM）,新增一个机柜BECFZ3CM204-F-14</t>
  </si>
  <si>
    <t>FZ2CM2F-F-09, FZ2CM2F-F-10</t>
  </si>
  <si>
    <t xml:space="preserve">FZCM,2022.7.31退租2个机柜
FZCM4F-D-11、FZCM4F-D-10
</t>
  </si>
  <si>
    <t xml:space="preserve">FZCM,2022.7.31退租288个IP
112.49.48.0/24 
112.49.26.192/27
</t>
  </si>
  <si>
    <t xml:space="preserve">FZ2CM,2022.7.31退租3个机柜
FZ2CM2F-F-08、
FZ2CM2F-F-07、
FZ2CM2F-F-06
</t>
  </si>
  <si>
    <t>L20230514002</t>
  </si>
  <si>
    <t>福州6移动-北数据机房</t>
  </si>
  <si>
    <t>福州6移动</t>
  </si>
  <si>
    <t>CDNFZCM3</t>
  </si>
  <si>
    <t>BEC福州移动新增400G 2023-5-1节点正式上线 (FZ6CM)，新增1个机柜：CDNFZCM3:4F:A1404-H-BEC03</t>
  </si>
  <si>
    <t>BEC福州移动新增400G 2023-5-1节点正式上线 (FZ6CM)，新增1024个IPV4：183.250.185.0/24、112.50.103.0/24、112.50.104.0/24、112.48.214.0/24
2409:8C34:0D00:0900::/56</t>
  </si>
  <si>
    <t>BEC福州移动新增400G 2023-5-1节点正式上线 (FZ6CM)，新增1段IPV6：2409:8C34:0D00:0900::/56</t>
  </si>
  <si>
    <t xml:space="preserve"> 【BEC扩容】BEC福建福州移动扩容200G 2023-08-31节点正式上线 (BECFZ6CM)，新增256个IP：112.50.102.0/24</t>
    <phoneticPr fontId="3" type="noConversion"/>
  </si>
  <si>
    <t>中国移动通信集团福建有限公司厦门分公司</t>
  </si>
  <si>
    <t>厦门移动</t>
  </si>
  <si>
    <t>L20230712011</t>
  </si>
  <si>
    <t>厦门2</t>
  </si>
  <si>
    <t>厦门2移动</t>
  </si>
  <si>
    <t>CDNXMCM2</t>
  </si>
  <si>
    <t>2023.6与SYS核对后更新编号为：CDNXMCM2:4F:406-MOD1-BEC22、CDNXMCM2:4F:406-MOD1-BEC23、CDNXMCM2:4F:406-MOD1-BEC24。
【BEC新建】厦门移动新建600G 2022-12-3节点正式上线  (XM2CM)，BECXM2CM-D1-22、BECXM2CM-D1-23、BECXM2CM-D1-24</t>
  </si>
  <si>
    <t>L20221230001</t>
  </si>
  <si>
    <t>【BEC扩容】BEC福建厦门移动扩容200G 2023-6-1 节点正式上线 (BECXM2CM )，新增2个机柜：CDNXMCM2:4F:407-MOD4-BEC23、CDNXMCM2:4F:407-MOD4-BEC24</t>
    <phoneticPr fontId="3" type="noConversion"/>
  </si>
  <si>
    <t>【BEC新建】厦门移动新建600G 2022-12-3节点正式上线  (XM2CM)，新增2400个IPV4：
112.48.141.0/24
112.48.145.0/24
112.48.147.0/24
112.48.177.0/24
112.48.178.128/25
112.51.127.0/24
183.250.176.0/24
183.250.177.0/24
183.252.198.0/24
112.51.124.0/25
112.51.124.128/26
112.51.124.192/28
112.51.124.208/29
112.51.124.216/30
112.51.124.220/31
112.51.124.223/32
112.51.124.224/32</t>
    <phoneticPr fontId="3" type="noConversion"/>
  </si>
  <si>
    <t>【BEC新建】厦门移动新建600G 2022-12-3节点正式上线  (XM2CM)，新增IPV6：2409:8c34:2220:30::/60、2409:8c34:2220:800::/56</t>
    <phoneticPr fontId="3" type="noConversion"/>
  </si>
  <si>
    <t>【BEC扩容】BEC福建厦门移动扩容200G 2023-6-1 节点正式上线 (BECXM2CM )，新增1024个IPV4，从6.8开始计费：
112.48.118.0/24
112.48.119.0/24
112.48.151.0/24
112.48.153.0/24</t>
    <phoneticPr fontId="3" type="noConversion"/>
  </si>
  <si>
    <t>【BEC扩容】BEC福建厦门移动扩容200G 2023-6-1 节点正式上线 (BECXM2CM )，新增IPV6：2409:8C34:2220:60::/60、2409:8C34:2220:70::/60</t>
    <phoneticPr fontId="3" type="noConversion"/>
  </si>
  <si>
    <t>2023.7经与BEC核对，更新IP使用数量，【BEC退租】BEC厦门移动退租信息(XM2CM)224个IP：112.51.124.0/25  、112.51.124.128/26  、112.51.124.192/28   、112.51.124.208/29   、112.51.124.216/30   、112.51.124.220/31   、112.51.124.223/32  、112.51.124.224/32   </t>
    <phoneticPr fontId="3" type="noConversion"/>
  </si>
  <si>
    <t>【BEC扩容】BEC福建厦门移动扩容0G 2023-8-1 节点正式上线 (BECXM2CM)，新增256个IP：183.252.55.0/24</t>
    <phoneticPr fontId="3" type="noConversion"/>
  </si>
  <si>
    <t>厦门4</t>
    <phoneticPr fontId="3" type="noConversion"/>
  </si>
  <si>
    <t>厦门4移动</t>
    <phoneticPr fontId="3" type="noConversion"/>
  </si>
  <si>
    <t>【BEC扩容】BEC福建厦门移动扩容200G  2023-08-01 节点正式上线  (XM4CM)，新增256个IP：112.48.188.0/24</t>
    <phoneticPr fontId="3" type="noConversion"/>
  </si>
  <si>
    <t>【BEC扩容】BEC福建厦门移动扩容200G  2023-08-01 节点正式上线  (XM4CM)，新增IPV6：2409:8c34:2220:800::/56</t>
    <phoneticPr fontId="3" type="noConversion"/>
  </si>
  <si>
    <t>【BEC扩容】BEC福建厦门移动扩容200G2023-09-01节点正式上线 (BECXM4CM)，新增512个IP：112.48.116.0/24、112.48.117.0/24</t>
    <phoneticPr fontId="3" type="noConversion"/>
  </si>
  <si>
    <t>【BEC扩容】BEC福建厦门移动扩容200G2023-09-01节点正式上线 (BECXM4CM)，新增IPV6：2409:8C34:2220:0A00::/56</t>
    <phoneticPr fontId="3" type="noConversion"/>
  </si>
  <si>
    <t>厦门5</t>
    <phoneticPr fontId="3" type="noConversion"/>
  </si>
  <si>
    <t>厦门5移动</t>
    <phoneticPr fontId="3" type="noConversion"/>
  </si>
  <si>
    <t>【BEC新建】BEC福建厦门移动新建200G 2023-8-3 节点正式上线 (BECXM5CM)，新增1个机柜，从8.1开始计费。CDNXMCM2:4F:405-MD02-BEC01</t>
    <phoneticPr fontId="3" type="noConversion"/>
  </si>
  <si>
    <t>【BEC新建】BEC福建厦门移动新建200G 2023-8-3 节点正式上线 (BECXM5CM)，新增512个IPV4：112.51.122.0/24、112.51.124.0/24</t>
    <phoneticPr fontId="3" type="noConversion"/>
  </si>
  <si>
    <t>【BEC新建】BEC福建厦门移动新建200G 2023-8-3 节点正式上线 (BECXM5CM)，新增IPV6：2409:8C34:2220:7::/64</t>
    <phoneticPr fontId="3" type="noConversion"/>
  </si>
  <si>
    <t>中国移动通信集团江苏有限公司连云港分公司</t>
  </si>
  <si>
    <t>连云港移动</t>
  </si>
  <si>
    <t>L20230610002</t>
  </si>
  <si>
    <t>连云港三线移动</t>
  </si>
  <si>
    <t>【BEC新建】连云港三线移动新建70G 2023-2-1节点正式上线  (LYGIXCM)：ipv4:  36.150.28.0/25、  36.150.28.128/27；
ipv6:  2409:8C20:6ED1:000E::/64</t>
  </si>
  <si>
    <t>182315IDC00184，有效期至2023-06-30</t>
    <phoneticPr fontId="3" type="noConversion"/>
  </si>
  <si>
    <t>中国移动通信集团江苏有限公司南京分公司</t>
  </si>
  <si>
    <t>南京移动</t>
  </si>
  <si>
    <t>L20230408005</t>
  </si>
  <si>
    <t>随200G带宽免费赠送1024个
与集团签署200G，提出限速。省内实际开通400G不限速，2021/1/6扩容的200G，无法体现，故2021.6已将端口恢复为200G</t>
  </si>
  <si>
    <t>合同已预审，待需求审批完成可提交合同</t>
    <phoneticPr fontId="3" type="noConversion"/>
  </si>
  <si>
    <t>NJ02移动出口IP地址扩容768个，均免费：36.155.168.0/24、36.155.169.0/24、36.155.132.0/24</t>
    <phoneticPr fontId="3" type="noConversion"/>
  </si>
  <si>
    <t>2022.5 IP代播免费： 106.12.250.0/23</t>
  </si>
  <si>
    <t>2022.5 IP代播免费。2020/11/18开通2个C IP代播，计费13天：106.12.250.0/23</t>
  </si>
  <si>
    <t>2022.5 IP代播免费。4个C IP代播：114.110.96.0/22</t>
  </si>
  <si>
    <t>2022.5 IP代播免费。2021/6/3开通，6月计费28天
12个C IP代播：
a)  122.248.48.0/22
b)  122.248.52.0/22
c)  122.248.56.0/22</t>
  </si>
  <si>
    <t>中国移动通信集团江苏有限公司苏州分公司</t>
  </si>
  <si>
    <t>苏州移动</t>
  </si>
  <si>
    <t>L20230511006</t>
  </si>
  <si>
    <t>昆山万国-苏州新海宜机房</t>
  </si>
  <si>
    <t>10G</t>
  </si>
  <si>
    <t>2020/5/15由40G降为10G</t>
  </si>
  <si>
    <t>2023/7/31退租。2020/5/15由40G降为10G</t>
    <phoneticPr fontId="3" type="noConversion"/>
  </si>
  <si>
    <t>苏州太湖三线-苏州移动</t>
  </si>
  <si>
    <t>L20230610012</t>
  </si>
  <si>
    <t>苏州太湖三线-移动</t>
  </si>
  <si>
    <t>苏州三级移动</t>
  </si>
  <si>
    <t>2021/9/11开通苏州太湖三线，免费512个，收费1792个
IPV4已使用：36.150.138.0/24；预留段：36.150.139.0/24（预留段运营商也要收费）
IPV6：2409:8C20:5022::/48；2409:8C20:5021:0108::/64</t>
  </si>
  <si>
    <t>2022/12/20退租预留IP段：36.150.139.0/24</t>
  </si>
  <si>
    <t>SZTH-CM-ST-1</t>
  </si>
  <si>
    <t>2021/9/11开通苏州太湖三线，免费512个，收费1792个
36.150.140.0/24
36.150.141.0/24
36.150.142.0/24
36.150.143.0/24
223.109.80.0/24
223.109.81.0/24
223.109.82.0/24</t>
  </si>
  <si>
    <t>2022/7/6 SZTH-移动CDN 新增512个IP：223.109.85.0/24、
223.109.86.0/24</t>
  </si>
  <si>
    <t>边缘计算，223.109.83.0/24、223.109.84.0/24</t>
  </si>
  <si>
    <t>边缘计算退租IP：223.109.83.0/24、223.109.84.0/24</t>
  </si>
  <si>
    <t>SZFH</t>
  </si>
  <si>
    <t>2021/9/11开通苏州太湖三线外拉机柜：
SZFH201-C-10</t>
    <phoneticPr fontId="3" type="noConversion"/>
  </si>
  <si>
    <t>扩容2个CIP：223.109.83.0/24
223.109.84.0/24</t>
  </si>
  <si>
    <t>中国移动通信集团江苏有限公司宿迁分公司</t>
  </si>
  <si>
    <t>宿迁移动</t>
  </si>
  <si>
    <t>L20230408006</t>
  </si>
  <si>
    <t>宿迁3移动</t>
  </si>
  <si>
    <t>CDNSQCM</t>
  </si>
  <si>
    <t>2022/5/1【CDN新建】江苏宿迁移动新建，使用4个机柜：SQ3CM3D6FIDCE-C-13、SQ3CM3D6FIDCE-C-14、SQ3CM3D6FIDCE-C-15、SQ3CM3D6FIDCE-C-16</t>
  </si>
  <si>
    <t>2022/6/30【CDN退租】CDN江苏宿迁移动退租信息 (SQ3CM)：SQ3CM3D6FIDCE-C-13、SQ3CM3D6FIDCE-C-14、SQ3CM3D6FIDCE-C-15、SQ3CM3D6FIDCE-C-16</t>
  </si>
  <si>
    <t>2022.7.1【BEC新建】宿迁移动CDN转让带宽200G (SQ3CM)：BECSQ3CM-6F-C08、BECSQ3CM-6F-C09、BECSQ3CM-6F-C10、BECSQ3CM-6F-C11</t>
  </si>
  <si>
    <t>2023/5/9 【BEC退租】字节-宿迁移动裸金属下线 宿迁3移动，退租机柜：BECSQ3CM-6F-C08、BECSQ3CM-6F-C09、BECSQ3CM-6F-C10、BECSQ3CM-6F-C11</t>
  </si>
  <si>
    <t>2022/5/1【CDN新建】江苏宿迁移动新建200G，每万兆赠送32个IPv4地址，超出50元。共送640个，实际使用288个：223.109.49.0/24、223.109.50.0/27</t>
  </si>
  <si>
    <t>2022/6/30【CDN退租】CDN江苏宿迁移动退租信息 (SQ3CM)，每万兆赠送32个IPv4地址，超出50元。共送640个，实际使用288个：223.109.49.0/24、223.109.50.0/27</t>
  </si>
  <si>
    <t>2022.7.1【BEC新建】宿迁移动CDN转让带宽200G (SQ3CM)，使用128个IP，为CDN转让。223.109.49.128/25</t>
  </si>
  <si>
    <t>2023/5/9 【BEC退租】字节-宿迁移动裸金属下线 宿迁3移动，退租IP：223.109.49.128/25
2409:8C20:BE00:0001::/64</t>
  </si>
  <si>
    <t>L20230514001</t>
  </si>
  <si>
    <t>宿迁5移动</t>
  </si>
  <si>
    <t>【CDN新建】江苏宿迁移动  新建200G  2023-05-01 节点正式上线  (SQ5CM)：CDNSQCM:6F:IDC-C-CDN12、CDNSQCM:6F:IDC-C-CDN13、CDNSQCM:6F:IDC-C-CDN14、CDNSQCM:6F:IDC-C-CDN15</t>
  </si>
  <si>
    <t>【CDN新建】江苏宿迁移动  新建200G  2023-05-01 节点正式上线  (SQ5CM)，新增160个IP：36.150.230.0/25、223.109.50.64/27</t>
  </si>
  <si>
    <t>中国移动通信集团江苏有限公司泰州分公司</t>
  </si>
  <si>
    <t>泰州移动</t>
  </si>
  <si>
    <t>182215IDC00693</t>
  </si>
  <si>
    <t>泰州</t>
  </si>
  <si>
    <t>CDNTAIZCM</t>
  </si>
  <si>
    <t>【BEC新建】泰州移动新建220G 2022-12-30节点正式上线 (TAIZCM)：BECTAIZCM-C-14</t>
  </si>
  <si>
    <t>【BEC新建】泰州移动新建220G 2022-12-30节点正式上线 (TAIZCM)：223.113.139.64/27</t>
  </si>
  <si>
    <t>中国移动通信集团江苏有限公司无锡分公司</t>
  </si>
  <si>
    <t>无锡移动</t>
  </si>
  <si>
    <t>181915IDC00153</t>
  </si>
  <si>
    <t>无锡太科园</t>
  </si>
  <si>
    <t>WXTKY</t>
  </si>
  <si>
    <t>2020.1与运营商对账后更新电流和计提单价</t>
  </si>
  <si>
    <t>WXTKY4D203-H-01、WXTKY4D203-H-02、WXTKY4D203-H-11、WXTKY4D203-H-12、WXTKY4D203-I-01、WXTKY4D203-I-02</t>
  </si>
  <si>
    <t>WXTKY4D203-A-07、WXTKY4D203-A-08、WXTKY4D203-A-09、WXTKY4D203-A-10</t>
  </si>
  <si>
    <t>2020/4/15开通，计费16天
WXTKY4D203-A-11、WXTKY4D203-A-12</t>
  </si>
  <si>
    <t>4月多计提已在付款时冲销
WXTKY4D301-A-07、WXTKY4D301-A-08、WXTKY4D301-C-06、WXTKY4D301-I-09、WXTKY4D301-I-10、WXTKY4D303-A-18、WXTKY4D303-A-19、WXTKY4D303-A-22</t>
  </si>
  <si>
    <t>WXTKY4D203-A-19</t>
  </si>
  <si>
    <t>WXTKY4D203-B-01、WXTKY4D203-B-02</t>
  </si>
  <si>
    <t xml:space="preserve">2020/6/5开通，6月计费26天
WXTKY4D203-B-04
</t>
  </si>
  <si>
    <t>2020/6/22开通，6月计费9天
WXTKY4D301-C-06</t>
  </si>
  <si>
    <t>2020/6/24开通，6月计费7天
WXTKY4D301-I-09</t>
  </si>
  <si>
    <t>2020/6/5关闭，冲减25天费用
WXTKY4D203-A-19</t>
  </si>
  <si>
    <t>WXTKY-云托管</t>
    <phoneticPr fontId="3" type="noConversion"/>
  </si>
  <si>
    <t>2023.8与托管组核对，属于托管机架，更新机房名称。2020/6/10开通，计费21天费用
WXTKY4D203-A-19</t>
    <phoneticPr fontId="3" type="noConversion"/>
  </si>
  <si>
    <t>WXTKY4D301-I-10</t>
  </si>
  <si>
    <t>WXTKY4D203-B-03、WXTKY4D203-A-13、WXTKY4D203-A-14、WXTKY4D203-A-15、WXTKY4D203-A-16</t>
  </si>
  <si>
    <t>WXTKY4D203-B-05、WXTKY4D203-B-06、WXTKY4D203-B-07</t>
  </si>
  <si>
    <t>WXTKY4D203-B-11、WXTKY4D203-B-12、WXTKY4D203-B-13、WXTKY4D203-B-14、WXTKY4D203-B-08、WXTKY4D203-B-09、WXTKY4D203-B-10</t>
  </si>
  <si>
    <t>WXTKY4D203-B-15、WXTKY4D203-B-16、WXTKY4D203-B-17、WXTKY4D203-B-18、WXTKY4D203-B-19、WXTKY4D203-B-20、WXTKY4D203-B-21、WXTKY4D203-B-22、WXTKY4D203-C-01、WXTKY4D203-C-02、WXTKY4D203-C-03、WXTKY4D203-C-04、WXTKY4D203-C-05、WXTKY4D203-C-06、WXTKY4D203-C-07、WXTKY4D203-C-08、WXTKY4D203-C-09、WXTKY4D203-C-10、WXTKY4D203-C-11、WXTKY4D203-C-12、WXTKY4D203-C-13、WXTKY4D203-C-14、WXTKY4D203-C-15、WXTKY4D203-C-16、WXTKY4D203-D-01、WXTKY4D203-D-02、WXTKY4D203-D-03、WXTKY4D203-D-04、WXTKY4D203-D-05、WXTKY4D203-D-06、WXTKY4D203-D-07、WXTKY4D203-D-08、WXTKY4D203-D-09、WXTKY4D203-D-10、WXTKY4D203-D-11、WXTKY4D203-D-12、WXTKY4D203-D-13、WXTKY4D203-D-14、WXTKY4D203-D-15、WXTKY4D203-D-16、WXTKY4D203-D-17、WXTKY4D203-D-18、WXTKY4D203-D-19、WXTKY4D203-D-20、WXTKY4D203-D-21、WXTKY4D203-D-22、WXTKY4D203-E-01、WXTKY4D203-E-02、WXTKY4D203-E-03、WXTKY4D203-E-04、WXTKY4D203-E-05、WXTKY4D203-E-06、WXTKY4D203-E-07、WXTKY4D203-E-08、WXTKY4D203-E-09、WXTKY4D203-E-10、WXTKY4D203-E-11、WXTKY4D203-E-12、WXTKY4D203-E-13、WXTKY4D203-E-14、WXTKY4D203-E-15、WXTKY4D203-E-16、WXTKY4D203-E-17</t>
  </si>
  <si>
    <t>WXTKY4D203-E-18、WXTKY4D203-E-19、WXTKY4D203-E-20、WXTKY4D203-E-21、WXTKY4D203-E-22、WXTKY4D203-F-01、WXTKY4D203-F-02、WXTKY4D203-F-03、WXTKY4D203-F-04、WXTKY4D203-F-05、WXTKY4D203-F-06、WXTKY4D203-F-07、WXTKY4D203-F-08、WXTKY4D203-F-09、WXTKY4D203-F-10、WXTKY4D203-F-11、WXTKY4D203-F-12、WXTKY4D203-F-13、WXTKY4D203-F-14、WXTKY4D203-F-15、WXTKY4D203-F-16、WXTKY4D203-G-01、WXTKY4D203-G-02、WXTKY4D203-G-03、WXTKY4D203-G-04、WXTKY4D203-G-05、WXTKY4D203-G-06、WXTKY4D203-G-07、WXTKY4D203-G-08、WXTKY4D203-G-09、WXTKY4D203-G-10、WXTKY4D303-A-01、WXTKY4D303-A-02、WXTKY4D303-A-03、WXTKY4D303-A-04、WXTKY4D303-A-05、WXTKY4D303-A-06、WXTKY4D303-A-07、WXTKY4D303-A-08、WXTKY4D303-A-09、WXTKY4D303-A-10、WXTKY4D303-B-01、WXTKY4D303-B-02、WXTKY4D303-B-03、WXTKY4D303-B-04、WXTKY4D303-B-05、WXTKY4D303-B-06、WXTKY4D303-B-07、WXTKY4D303-B-08、WXTKY4D303-B-09、WXTKY4D303-B-10、WXTKY4D303-B-11、WXTKY4D303-B-12、WXTKY4D303-B-13、WXTKY4D303-B-14、WXTKY4D303-B-15、WXTKY4D303-B-16、WXTKY4D303-B-17、WXTKY4D303-B-18、WXTKY4D303-B-19、WXTKY4D303-B-20、WXTKY4D303-B-21、WXTKY4D303-B-22、WXTKY4D303-C-01、WXTKY4D303-C-02、WXTKY4D303-C-03、WXTKY4D303-C-04、WXTKY4D303-C-05、WXTKY4D303-C-06、WXTKY4D303-C-07、WXTKY4D303-C-08、WXTKY4D303-C-09、WXTKY4D303-C-10、WXTKY4D303-C-11、WXTKY4D303-C-12、WXTKY4D303-C-13、WXTKY4D303-C-14、WXTKY4D303-C-15、WXTKY4D303-C-16、WXTKY4D303-D-01、WXTKY4D303-D-02、WXTKY4D303-D-03、WXTKY4D303-D-04、WXTKY4D303-D-05、WXTKY4D303-D-06、WXTKY4D303-D-07、WXTKY4D303-D-08、WXTKY4D303-D-09、WXTKY4D303-D-10、WXTKY4D303-D-11、WXTKY4D303-D-12、WXTKY4D303-D-13、WXTKY4D303-D-14、WXTKY4D303-D-15、WXTKY4D303-D-16、WXTKY4D303-D-17、WXTKY4D303-D-18、WXTKY4D303-D-19、WXTKY4D303-D-20、WXTKY4D303-D-21、WXTKY4D303-D-22、WXTKY4D303-E-01、WXTKY4D303-E-02、WXTKY4D303-E-03、WXTKY4D303-E-04、WXTKY4D303-E-05、WXTKY4D303-E-06、WXTKY4D303-E-07、WXTKY4D303-E-08、WXTKY4D303-E-09、WXTKY4D303-E-10、WXTKY4D303-E-11、WXTKY4D303-E-12、WXTKY4D303-E-13、WXTKY4D303-E-14、WXTKY4D303-E-15、WXTKY4D303-E-16、WXTKY4D303-E-17、WXTKY4D303-E-18、WXTKY4D303-E-19、WXTKY4D303-E-20、WXTKY4D303-E-21、WXTKY4D303-E-22、WXTKY4D303-F-01、WXTKY4D303-F-02、WXTKY4D303-F-03、WXTKY4D303-F-04、WXTKY4D303-F-05、WXTKY4D303-F-06、WXTKY4D303-F-07、WXTKY4D303-F-08、WXTKY4D303-F-09、WXTKY4D303-F-10、WXTKY4D303-F-11、WXTKY4D303-F-12、WXTKY4D303-F-13、WXTKY4D303-F-14、WXTKY4D303-F-15、WXTKY4D303-F-16、WXTKY4D303-G-01、WXTKY4D303-G-02、WXTKY4D303-G-03、WXTKY4D303-G-04、WXTKY4D303-G-05、WXTKY4D303-G-06、WXTKY4D303-G-07、WXTKY4D303-G-08、WXTKY4D303-G-09、WXTKY4D303-G-10</t>
  </si>
  <si>
    <t>WXTKY4D303-G-11、WXTKY4D303-G-12、WXTKY4D303-G-13、WXTKY4D303-G-14、WXTKY4D303-G-15、WXTKY4D303-G-16、WXTKY4D303-G-17、WXTKY4D303-G-18、WXTKY4D303-G-19、WXTKY4D303-G-20、WXTKY4D303-G-21</t>
  </si>
  <si>
    <t>WXTKY4D303-G-22、WXTKY4D303-H-02、WXTKY4D303-H-03、WXTKY4D303-H-04</t>
  </si>
  <si>
    <t>2021.11机柜改造，由40.9A更新为109A，因运营商11月仍按低功率结算，暂时计提在正式合同上，未调整单价。WXTKY4D301-C-08、 WXTKY4D301-D-06</t>
  </si>
  <si>
    <t>WXTKY4D203-G-01、WXTKY4D203-G-02、WXTKY4D203-G-03、WXTKY4D203-G-04、WXTKY4D203-G-05、WXTKY4D203-G-06、WXTKY4D203-G-07、WXTKY4D203-G-08、WXTKY4D203-G-09、WXTKY4D203-G-10</t>
  </si>
  <si>
    <t>WXTKY-云托管</t>
  </si>
  <si>
    <t>WXTKY4D203-A-17</t>
  </si>
  <si>
    <t>WXTKY4D303-H-05、WXTKY4D303-H-06、WXTKY4D303-H-07、WXTKY4D303-H-08、WXTKY4D303-H-09、WXTKY4D303-H-10、WXTKY4D303-H-11、WXTKY4D303-H-12、WXTKY4D303-H-13、WXTKY4D303-H-14、WXTKY4D303-H-15、WXTKY4D303-H-16、WXTKY4D303-H-17、WXTKY4D303-H-18、WXTKY4D303-H-19、WXTKY4D303-H-20、WXTKY4D303-H-21、WXTKY4D303-H-22、WXTKY4D303-I-01、WXTKY4D303-I-02、WXTKY4D303-I-03、WXTKY4D303-I-04、WXTKY4D303-I-05、WXTKY4D303-I-06、WXTKY4D303-I-07、WXTKY4D303-I-08、WXTKY4D303-I-09、WXTKY4D303-I-10、WXTKY4D303-J-01、WXTKY4D303-J-02、WXTKY4D303-J-03</t>
  </si>
  <si>
    <t>WXTKY4D203-G-01、WXTKY4D203-G-02、WXTKY4D203-G-03、WXTKY4D203-G-04、WXTKY4D203-G-05、WXTKY4D203-G-06、WXTKY4D203-G-07、WXTKY4D203-G-08、WXTKY4D203-G-09、WXTKY4D203-G-10、WXTKY4D203-G-16、WXTKY4D203-G-17、WXTKY4D203-G-18、WXTKY4D203-G-19、WXTKY4D203-G-20、WXTKY4D203-G-21、WXTKY4D203-G-22、WXTKY4D203-H-03、WXTKY4D203-H-04、WXTKY4D203-H-05、WXTKY4D303-J-04、WXTKY4D303-J-05、WXTKY4D303-J-06、WXTKY4D303-J-07、WXTKY4D303-J-08、WXTKY4D303-J-09、WXTKY4D303-J-10、WXTKY4D303-J-11、WXTKY4D303-J-12、WXTKY4D203-H-06、WXTKY4D203-H-07、WXTKY4D203-H-08、WXTKY4D203-H-09、WXTKY4D203-H-10、WXTKY4D203-H-13、WXTKY4D203-H-14、WXTKY4D203-H-15、WXTKY4D203-H-16、WXTKY4D203-H-17、WXTKY4D203-H-18、WXTKY4D203-H-19、WXTKY4D203-H-20、WXTKY4D203-H-21、WXTKY4D203-H-22、WXTKY4D203-I-03、WXTKY4D203-I-04、WXTKY4D203-I-05、WXTKY4D203-I-06、WXTKY4D203-I-07、WXTKY4D203-I-08、WXTKY4D203-I-09、WXTKY4D203-I-10、WXTKY4D203-I-11、WXTKY4D203-I-12、WXTKY4D203-I-13、WXTKY4D203-I-14、WXTKY4D203-I-15、WXTKY4D203-I-16</t>
  </si>
  <si>
    <t>布线柜WXTKY4D301-A-01、WXTKY4D301-A-03、WXTKY4D301-B-01、WXTKY4D301-B-03、WXTKY4D301-C-01、WXTKY4D301-C-03、WXTKY4D301-D-01、WXTKY4D301-D-03、WXTKY4D301-E-08、WXTKY4D301-F-07、WXTKY4D301-G-01、WXTKY4D301-G-08、WXTKY4D301-H-01、WXTKY4D301-H-07</t>
  </si>
  <si>
    <t>WXTKY4D203-A-18</t>
  </si>
  <si>
    <t>WXTKY4D201-L-01、WXTKY4D401-N-01、WXTKY4D403-H-01、WXTKY4D201-C-14、WXTKY4D201-C-15、WXTKY4D201-H-17、WXTKY4D201-H-18、WXTKY4D401-F-15、WXTKY4D401-F-16、WXTKY4D401-I-15、WXTKY4D401-I-16、WXTKY4D403-A-21、WXTKY4D403-A-22、WXTKY4D403-F-17、WXTKY4D403-F-18</t>
  </si>
  <si>
    <t>WXTKY4D401-A-01、WXTKY4D401-A-02、WXTKY4D401-A-05、WXTKY4D401-A-06、WXTKY4D403-A-01、WXTKY4D403-A-02、WXTKY4D403-A-05、WXTKY4D403-A-06、WXTKY4D403-A-09、WXTKY4D403-A-10、WXTKY4D403-A-11、WXTKY4D403-A-12、WXTKY4D403-A-14、WXTKY4D403-A-15、WXTKY4D403-A-18</t>
  </si>
  <si>
    <t>WXTKY4D201-A-01、WXTKY4D201-A-02、WXTKY4D201-A-05、WXTKY4D201-A-06、WXTKY4D201-A-09、WXTKY4D201-A-10、WXTKY4D201-A-12、WXTKY4D201-A-13、WXTKY4D201-A-16、WXTKY4D201-A-17、WXTKY4D201-B-01、WXTKY4D201-B-02、WXTKY4D201-B-04、WXTKY4D201-B-05、WXTKY4D201-B-07、WXTKY4D201-B-08、WXTKY4D201-B-11、WXTKY4D201-B-12、WXTKY4D201-B-15、WXTKY4D201-B-16、WXTKY4D201-C-01、WXTKY4D201-C-02、WXTKY4D201-C-05、WXTKY4D201-C-06、WXTKY4D201-C-09、WXTKY4D201-C-10、WXTKY4D201-C-11、WXTKY4D201-C-12、WXTKY4D201-D-01、WXTKY4D201-D-02、WXTKY4D201-D-04、WXTKY4D201-D-05、WXTKY4D201-D-07、WXTKY4D201-D-08、WXTKY4D201-D-11、WXTKY4D201-D-12、WXTKY4D201-D-15、WXTKY4D201-D-16、WXTKY4D201-E-01、WXTKY4D201-E-02、WXTKY4D201-E-05、WXTKY4D201-E-06、WXTKY4D201-E-08、WXTKY4D201-E-09、WXTKY4D201-E-12、WXTKY4D201-E-13、WXTKY4D201-E-16、WXTKY4D201-E-17、WXTKY4D201-F-01、WXTKY4D201-F-02、WXTKY4D201-F-04、WXTKY4D201-F-05、WXTKY4D201-F-08、WXTKY4D201-F-09、WXTKY4D201-F-12、WXTKY4D201-F-13、WXTKY4D201-G-01、WXTKY4D201-G-02、WXTKY4D201-G-05、WXTKY4D201-G-06、WXTKY4D201-G-08、WXTKY4D201-G-09、WXTKY4D201-G-12、WXTKY4D201-G-13、WXTKY4D201-G-16、WXTKY4D201-G-17、WXTKY4D201-H-01、WXTKY4D201-H-02、WXTKY4D201-H-05、WXTKY4D201-H-06、WXTKY4D201-H-09、WXTKY4D201-H-10、WXTKY4D201-H-13、WXTKY4D201-H-14、WXTKY4D201-I-01、WXTKY4D201-I-02、WXTKY4D201-I-05、WXTKY4D201-I-06、WXTKY4D201-I-09、WXTKY4D201-I-10、WXTKY4D201-I-13、WXTKY4D201-I-14、WXTKY4D201-J-01、WXTKY4D201-J-02、WXTKY4D201-J-04、WXTKY4D201-J-05、WXTKY4D201-J-07、WXTKY4D201-J-08、WXTKY4D201-J-11、WXTKY4D201-J-12、WXTKY4D201-J-15、WXTKY4D201-J-16、WXTKY4D201-K-01、WXTKY4D201-K-02、WXTKY4D201-K-05、WXTKY4D201-K-06、WXTKY4D201-K-08、WXTKY4D201-K-09、WXTKY4D201-K-11、WXTKY4D201-K-12、WXTKY4D201-K-15、WXTKY4D201-K-16、WXTKY4D201-L-02、WXTKY4D201-L-03、WXTKY4D201-L-04、WXTKY4D201-L-05、WXTKY4D201-L-08、WXTKY4D201-L-09、WXTKY4D201-L-11、WXTKY4D201-L-12、WXTKY4D401-A-09、WXTKY4D401-A-10、WXTKY4D401-A-13、WXTKY4D401-A-14、WXTKY4D401-A-16、WXTKY4D401-A-17、WXTKY4D401-B-01、WXTKY4D401-B-02、WXTKY4D401-B-04、WXTKY4D401-B-05、WXTKY4D401-B-08、WXTKY4D401-B-09、WXTKY4D401-B-12、WXTKY4D401-B-13、WXTKY4D401-B-15、WXTKY4D401-B-16、WXTKY4D401-C-01、WXTKY4D401-C-02、WXTKY4D401-C-05、WXTKY4D401-C-06、WXTKY4D401-C-09、WXTKY4D401-C-10、WXTKY4D401-C-14、WXTKY4D401-C-15、WXTKY4D401-D-01、WXTKY4D401-D-02、WXTKY4D401-D-04、WXTKY4D401-D-05、WXTKY4D401-D-08、WXTKY4D401-D-09、WXTKY4D401-D-12、WXTKY4D401-D-13、WXTKY4D401-D-15、WXTKY4D401-D-16、WXTKY4D401-E-01、WXTKY4D401-E-02、WXTKY4D401-E-05、WXTKY4D401-E-06、WXTKY4D401-E-09、WXTKY4D401-E-10、WXTKY4D401-E-13、WXTKY4D401-E-14、WXTKY4D401-E-16、WXTKY4D401-E-17、WXTKY4D401-F-01、WXTKY4D401-F-02、WXTKY4D401-F-05、WXTKY4D401-F-06、WXTKY4D401-F-10、WXTKY4D401-F-11、WXTKY4D401-F-13、WXTKY4D401-F-14、WXTKY4D401-G-01、WXTKY4D401-G-02、WXTKY4D401-G-05、WXTKY4D401-G-06、WXTKY4D401-G-09、WXTKY4D401-G-10、WXTKY4D401-G-13、WXTKY4D401-G-14、WXTKY4D401-G-16、WXTKY4D401-G-17、WXTKY4D401-H-01、WXTKY4D401-H-02、WXTKY4D401-H-04、WXTKY4D401-H-05、WXTKY4D401-H-08、WXTKY4D401-H-09、WXTKY4D401-H-12、WXTKY4D401-H-13、WXTKY4D401-H-15、WXTKY4D401-H-16、WXTKY4D401-I-01、WXTKY4D401-I-02、WXTKY4D401-I-05、WXTKY4D401-I-06、WXTKY4D401-I-09、WXTKY4D401-I-10、WXTKY4D401-I-12、WXTKY4D401-I-13、WXTKY4D401-J-01、WXTKY4D401-J-02、WXTKY4D401-J-04、WXTKY4D401-J-05、WXTKY4D401-J-08、WXTKY4D401-J-09、WXTKY4D401-J-12、WXTKY4D401-J-13、WXTKY4D401-J-15、WXTKY4D401-J-16、WXTKY4D401-K-01、WXTKY4D401-K-02、WXTKY4D401-K-05、WXTKY4D401-K-06、WXTKY4D401-K-09、WXTKY4D401-K-10、WXTKY4D401-K-13、WXTKY4D401-K-14、WXTKY4D401-K-16、WXTKY4D401-K-17、WXTKY4D401-L-01、WXTKY4D401-L-02、WXTKY4D401-L-05、WXTKY4D401-L-06、WXTKY4D401-L-10、WXTKY4D401-L-11、WXTKY4D401-L-13、WXTKY4D401-L-14、WXTKY4D401-M-01、WXTKY4D401-M-02、WXTKY4D401-M-05、WXTKY4D401-M-06、WXTKY4D401-M-09、WXTKY4D401-M-10、WXTKY4D401-M-13、WXTKY4D401-M-14、WXTKY4D401-M-16、WXTKY4D401-M-17、WXTKY4D401-N-02、WXTKY4D401-N-03、WXTKY4D401-N-04、WXTKY4D401-N-05、WXTKY4D401-N-08、WXTKY4D401-N-09、WXTKY4D401-N-12、WXTKY4D401-N-13、WXTKY4D401-N-15、WXTKY4D401-N-16、WXTKY4D403-C-09、WXTKY4D403-C-10、WXTKY4D403-C-11、WXTKY4D403-C-12、WXTKY4D403-C-16、WXTKY4D403-C-17、WXTKY4D403-D-01、WXTKY4D403-D-02、WXTKY4D403-D-05、WXTKY4D403-D-06、WXTKY4D403-D-09、WXTKY4D403-D-10、WXTKY4D403-D-11、WXTKY4D403-D-12、WXTKY4D403-D-15、WXTKY4D403-D-16、WXTKY4D403-D-19、WXTKY4D403-D-20、WXTKY4D403-E-01、WXTKY4D403-E-02、WXTKY4D403-E-05、WXTKY4D403-E-06、WXTKY4D403-E-09、WXTKY4D403-E-10、WXTKY4D403-E-11、WXTKY4D403-E-12、WXTKY4D403-E-15、WXTKY4D403-E-16、WXTKY4D403-E-19、WXTKY4D403-E-20、WXTKY4D403-F-01、WXTKY4D403-F-02、WXTKY4D403-F-06、WXTKY4D403-F-07、WXTKY4D403-F-09、WXTKY4D403-F-10、WXTKY4D403-F-11、WXTKY4D403-F-12、WXTKY4D403-F-15、WXTKY4D403-F-16、WXTKY4D403-G-01、WXTKY4D403-G-02、WXTKY4D403-G-05、WXTKY4D403-G-06、WXTKY4D403-G-09、WXTKY4D403-G-10、WXTKY4D403-G-11、WXTKY4D403-G-12、WXTKY4D403-G-15、WXTKY4D403-G-16、WXTKY4D403-G-19、WXTKY4D403-G-20、WXTKY4D403-H-03、WXTKY4D403-H-04、WXTKY4D403-H-06、WXTKY4D403-H-07、WXTKY4D403-H-08、WXTKY4D403-H-09、WXTKY4D403-H-11、WXTKY4D403-H-12、WXTKY4D403-H-15、WXTKY4D403-H-16、WXTKY4D403-H-20、WXTKY4D403-H-21、WXTKY4D403-I-01、WXTKY4D403-I-02、WXTKY4D403-I-04、WXTKY4D403-I-05、WXTKY4D403-I-08、WXTKY4D403-I-09、WXTKY4D403-J-01、WXTKY4D403-J-02、WXTKY4D403-J-05、WXTKY4D403-J-06、WXTKY4D403-J-09、WXTKY4D403-J-10</t>
  </si>
  <si>
    <t>WXTKY4D203-A-22、WXTKY4D203-G-13、WXTKY4D203-J-02、WXTKY4D203-J-03、WXTKY4D203-J-04、WXTKY4D203-J-05、WXTKY4D203-J-06、WXTKY4D203-J-07、WXTKY4D203-J-08、WXTKY4D203-J-09、WXTKY4D203-J-10、WXTKY4D203-J-11、WXTKY4D203-J-12、WXTKY4D203-J-13、WXTKY4D203-J-14、</t>
  </si>
  <si>
    <t>WXTKY4D403-A-03、WXTKY4D403-A-04、WXTKY4D403-A-07、WXTKY4D403-A-08、WXTKY4D403-A-13、WXTKY4D403-A-16、WXTKY4D403-A-17、WXTKY4D403-A-20、WXTKY4D403-B-03、WXTKY4D403-B-04、WXTKY4D403-B-05、WXTKY4D403-B-10、WXTKY4D403-B-13、WXTKY4D403-B-14、WXTKY4D403-B-17、WXTKY4D403-B-18、WXTKY4D403-B-19、WXTKY4D403-B-22、WXTKY4D403-C-03、WXTKY4D403-C-04、WXTKY4D403-C-05</t>
  </si>
  <si>
    <t>WXTKY4D403-C-08、WXTKY4D403-C-13、WXTKY4D403-C-14、WXTKY4D403-C-15、WXTKY4D403-C-18、WXTKY4D403-D-03、WXTKY4D403-D-04、WXTKY4D403-D-07、WXTKY4D403-D-08、WXTKY4D403-D-13、WXTKY4D403-D-14、WXTKY4D403-D-17、WXTKY4D403-D-18、WXTKY4D403-D-21、WXTKY4D403-D-22、WXTKY4D403-E-03、WXTKY4D403-E-04、WXTKY4D403-E-07、WXTKY4D403-E-08、WXTKY4D403-E-13、WXTKY4D403-E-14、WXTKY4D403-E-17、WXTKY4D403-E-18、WXTKY4D403-E-21、WXTKY4D403-E-22、WXTKY4D403-F-03、WXTKY4D403-F-04、WXTKY4D403-F-05、WXTKY4D403-F-08、WXTKY4D403-F-13、WXTKY4D403-F-14、WXTKY4D403-G-03、WXTKY4D403-G-04、WXTKY4D403-G-07、WXTKY4D403-G-08、WXTKY4D403-G-13、WXTKY4D403-G-14、WXTKY4D403-G-17、WXTKY4D403-G-18、WXTKY4D403-G-21、WXTKY4D403-G-22、WXTKY4D403-H-02、WXTKY4D403-H-05、WXTKY4D403-H-10、WXTKY4D403-H-13、WXTKY4D403-H-14、WXTKY4D403-H-17、WXTKY4D403-H-18、WXTKY4D403-H-19、WXTKY4D403-H-22、WXTKY4D403-I-03、WXTKY4D403-I-06、WXTKY4D403-I-07、WXTKY4D403-I-10、WXTKY4D403-J-03、WXTKY4D403-J-04、WXTKY4D403-J-07、WXTKY4D403-J-08、WXTKY4D403-J-11、WXTKY4D403-J-12</t>
  </si>
  <si>
    <t>WXTKY4D401-A-03、WXTKY4D401-A-04、WXTKY4D401-A-07、WXTKY4D401-A-08、WXTKY4D401-A-11、WXTKY4D401-A-12、WXTKY4D401-A-15、WXTKY4D401-A-18、WXTKY4D401-B-03、WXTKY4D401-B-06、WXTKY4D401-B-07、WXTKY4D401-B-10、WXTKY4D401-B-11、WXTKY4D401-B-14、WXTKY4D401-B-17、WXTKY4D401-B-18、WXTKY4D401-C-03、WXTKY4D401-C-04、WXTKY4D401-C-07、WXTKY4D401-C-08、WXTKY4D401-C-11、WXTKY4D401-C-12、WXTKY4D401-C-13、WXTKY4D401-C-16、WXTKY4D401-D-03、WXTKY4D401-D-06、WXTKY4D401-D-07、WXTKY4D401-D-10、WXTKY4D401-D-11、WXTKY4D401-D-14、WXTKY4D401-D-17、WXTKY4D401-D-18、WXTKY4D401-E-03、WXTKY4D401-E-04、WXTKY4D401-E-07、WXTKY4D401-E-08、WXTKY4D401-E-11、WXTKY4D401-E-12、WXTKY4D401-E-15、WXTKY4D401-E-18、WXTKY4D401-F-03、WXTKY4D401-F-04、WXTKY4D401-F-07、WXTKY4D401-F-08、WXTKY4D401-F-09、WXTKY4D401-F-12、WXTKY4D401-G-03、WXTKY4D401-G-04、WXTKY4D401-G-07、WXTKY4D401-G-08、WXTKY4D401-G-11、WXTKY4D401-G-12、WXTKY4D401-G-15、WXTKY4D401-G-18、WXTKY4D401-H-03、WXTKY4D401-H-06、WXTKY4D401-H-07、WXTKY4D401-H-10、WXTKY4D401-H-11、WXTKY4D401-H-14、WXTKY4D401-H-17、WXTKY4D401-H-18、WXTKY4D401-I-03、WXTKY4D401-I-04、WXTKY4D401-I-07、WXTKY4D401-I-08、WXTKY4D401-I-11、WXTKY4D401-I-14、WXTKY4D401-J-03、WXTKY4D401-J-06、WXTKY4D401-J-07、WXTKY4D401-J-10、WXTKY4D401-J-11、WXTKY4D401-J-14、WXTKY4D401-J-17、WXTKY4D401-J-18、WXTKY4D401-K-03、WXTKY4D401-K-04、WXTKY4D401-K-07、WXTKY4D401-K-08、WXTKY4D401-K-11、WXTKY4D401-K-12、WXTKY4D401-K-15、WXTKY4D401-K-18、WXTKY4D401-L-03、WXTKY4D401-L-04、WXTKY4D401-L-07、WXTKY4D401-L-08、WXTKY4D401-L-09、WXTKY4D401-L-12、WXTKY4D401-L-15、WXTKY4D401-L-16、WXTKY4D401-M-03、WXTKY4D401-M-04、WXTKY4D401-M-07、WXTKY4D401-M-08、WXTKY4D401-M-11、WXTKY4D401-M-12、WXTKY4D401-M-15、WXTKY4D401-M-18、WXTKY4D401-N-06、WXTKY4D401-N-07、WXTKY4D401-N-10、WXTKY4D401-N-11、WXTKY4D401-N-14、WXTKY4D401-N-17、WXTKY4D401-N-18、WXTKY4D201-A-03、WXTKY4D201-A-04、WXTKY4D201-A-07、WXTKY4D201-A-08、WXTKY4D201-A-11、WXTKY4D201-A-14、WXTKY4D201-A-15、WXTKY4D201-B-03、WXTKY4D201-B-06、WXTKY4D201-B-09、WXTKY4D201-B-10、WXTKY4D201-B-13、WXTKY4D201-B-14、WXTKY4D201-B-17、WXTKY4D201-C-03、WXTKY4D201-C-04、WXTKY4D201-C-07、WXTKY4D201-C-08、WXTKY4D201-C-13、WXTKY4D201-D-03、WXTKY4D201-D-06、WXTKY4D201-D-09、WXTKY4D201-D-10、WXTKY4D201-D-13、WXTKY4D201-D-14、WXTKY4D201-D-17、WXTKY4D201-D-18、WXTKY4D201-E-03、WXTKY4D201-E-04、WXTKY4D201-E-07、WXTKY4D201-E-10、WXTKY4D201-E-11、WXTKY4D201-E-14、WXTKY4D201-E-15、WXTKY4D201-E-18、WXTKY4D201-F-03、WXTKY4D201-F-06、WXTKY4D201-F-07、WXTKY4D201-F-10、WXTKY4D201-F-11、WXTKY4D201-F-14、WXTKY4D201-F-15、WXTKY4D201-G-03、WXTKY4D201-G-04、WXTKY4D201-G-07、WXTKY4D201-G-10、WXTKY4D201-G-11、WXTKY4D201-G-14、WXTKY4D201-G-15、WXTKY4D201-G-18、WXTKY4D201-H-03、WXTKY4D201-H-04、WXTKY4D201-H-07、WXTKY4D201-H-08、WXTKY4D201-H-11、WXTKY4D201-H-12、WXTKY4D201-H-15、WXTKY4D201-H-16、WXTKY4D201-I-03、WXTKY4D201-I-04、WXTKY4D201-I-07、WXTKY4D201-I-08、WXTKY4D201-I-11、WXTKY4D201-I-12、WXTKY4D201-I-15、WXTKY4D201-J-03、WXTKY4D201-J-06、WXTKY4D201-J-09、WXTKY4D201-J-10、WXTKY4D201-J-13、WXTKY4D201-J-14、WXTKY4D201-J-17、WXTKY4D201-J-18、WXTKY4D201-K-03、WXTKY4D201-K-04、WXTKY4D201-K-07、WXTKY4D201-K-10、WXTKY4D201-K-13、WXTKY4D201-K-14、WXTKY4D201-K-17、WXTKY4D201-K-18、WXTKY4D201-L-06、WXTKY4D201-L-07、WXTKY4D201-L-10、WXTKY4D201-L-13</t>
  </si>
  <si>
    <t>WXTKY4D203-A-22</t>
  </si>
  <si>
    <t>WXTKY4D203-A-20、WXTKY4D203-A-21</t>
  </si>
  <si>
    <t>WXTKY4D403-A-19、WXTKY4D403-B-01、WXTKY4D403-B-02、WXTKY4D403-B-06、WXTKY4D403-B-07、WXTKY4D403-B-08、WXTKY4D403-B-09、WXTKY4D403-B-11、WXTKY4D403-B-12、WXTKY4D403-B-15、WXTKY4D403-B-16、WXTKY4D403-B-20、WXTKY4D403-B-21、WXTKY4D403-C-01、WXTKY4D403-C-02、WXTKY4D403-C-06、WXTKY4D403-C-07</t>
  </si>
  <si>
    <t>2020/11/16开通，计费15天：WXTKY4D301-A-07、WXTKY4D301-A-08、WXTKY4D303-A-18、WXTKY4D303-A-19</t>
  </si>
  <si>
    <t>2020/12/3开通，计费29天：WXTKY4D301-A-09、WXTKY4D301-B-07、WXTKY4D301-E-05、WXTKY4D301-F-04</t>
  </si>
  <si>
    <t>2020/12/3开通，计费29天：WXTKY4D301-E-02、WXTKY4D301-F-02</t>
  </si>
  <si>
    <t>无锡太科园-二期</t>
  </si>
  <si>
    <t>2021/1/4开通，计费28天：WXTKY4D601-C-17、WXTKY4D601-C-18、WXTKY4D601-E-01、WXTKY4D601-A-01、WXTKY4D601-A-02、WXTKY4D601-A-05、WXTKY4D601-A-06、WXTKY4D601-A-09、WXTKY4D601-A-10、WXTKY4D601-A-13、WXTKY4D601-A-14、WXTKY4D601-A-16、WXTKY4D601-A-17、WXTKY4D601-B-01、WXTKY4D601-B-02、WXTKY4D601-B-05、WXTKY4D601-B-06、WXTKY4D601-B-08、WXTKY4D601-B-09、WXTKY4D601-B-12、WXTKY4D601-B-13、WXTKY4D601-C-01、WXTKY4D601-C-02、WXTKY4D601-C-05、WXTKY4D601-C-06、WXTKY4D601-C-09、WXTKY4D601-C-10、WXTKY4D601-C-13、WXTKY4D601-C-14、WXTKY4D601-D-01、WXTKY4D601-D-02、WXTKY4D601-D-05、WXTKY4D601-D-06、WXTKY4D601-D-08、WXTKY4D601-D-09、WXTKY4D601-D-11、WXTKY4D601-D-12、WXTKY4D601-D-15、WXTKY4D601-D-16、WXTKY4D601-E-02、WXTKY4D601-E-03、WXTKY4D601-E-04、WXTKY4D601-E-05、WXTKY4D601-E-07、WXTKY4D601-E-08、WXTKY4D601-E-11、WXTKY4D601-E-12、WXTKY4D601-B-03、WXTKY4D601-B-04、WXTKY4D601-B-07、WXTKY4D601-B-10、WXTKY4D601-B-11、WXTKY4D601-B-14、WXTKY4D601-B-15、WXTKY4D601-C-03、WXTKY4D601-C-04、WXTKY4D601-D-04、WXTKY4D601-D-07、WXTKY4D601-D-10、WXTKY4D601-D-13、WXTKY4D601-D-14、WXTKY4D601-D-17、WXTKY4D601-D-18、WXTKY4D601-E-06、WXTKY4D601-E-09、WXTKY4D601-E-10、WXTKY4D601-E-13、WXTKY4D601-A-11、WXTKY4D601-A-12、WXTKY4D601-A-15、WXTKY4D601-A-18、WXTKY4D601-A-03、WXTKY4D601-A-04、WXTKY4D601-A-07、WXTKY4D601-A-08、WXTKY4D601-C-15、WXTKY4D601-C-16、WXTKY4D601-D-03、WXTKY4D601-C-07、WXTKY4D601-C-08、WXTKY4D601-C-11、WXTKY4D601-C-12、WXTKY4D602-F-01、WXTKY4D602-A-05、WXTKY4D602-A-06、WXTKY4D602-C-05、WXTKY4D602-C-06、WXTKY4D602-E-01、WXTKY4D602-E-02、WXTKY4D602-E-03、WXTKY4D602-E-04、WXTKY4D602-E-05、WXTKY4D602-E-06、WXTKY4D602-E-07、WXTKY4D602-E-08、WXTKY4D602-E-09、WXTKY4D602-E-10、WXTKY4D602-F-02、WXTKY4D602-F-03、WXTKY4D602-F-04、WXTKY4D602-F-05、WXTKY4D602-F-06、WXTKY4D602-F-07、WXTKY4D602-F-08、WXTKY4D602-F-09、WXTKY4D602-F-10、WXTKY4D604-C-17、WXTKY4D604-C-18、WXTKY4D604-I-01、WXTKY4D604-J-21、WXTKY4D604-J-22、WXTKY4D604-I-09、WXTKY4D604-I-10、WXTKY4D604-J-02、WXTKY4D604-J-03、WXTKY4D604-J-15、WXTKY4D604-J-16、WXTKY4D604-A-01、WXTKY4D604-A-02、WXTKY4D604-A-05、WXTKY4D604-A-06、WXTKY4D604-A-09、WXTKY4D604-A-10、WXTKY4D604-A-11、WXTKY4D604-A-12、WXTKY4D604-A-15、WXTKY4D604-A-16、WXTKY4D604-A-19、WXTKY4D604-A-20、WXTKY4D604-B-01、WXTKY4D604-B-02、WXTKY4D604-B-05、WXTKY4D604-B-06、WXTKY4D604-B-08、WXTKY4D604-B-09、WXTKY4D604-B-11、WXTKY4D604-B-12、WXTKY4D604-B-15、WXTKY4D604-B-16、WXTKY4D604-B-20、WXTKY4D604-B-21、WXTKY4D604-C-01、WXTKY4D604-C-02、WXTKY4D604-C-05、WXTKY4D604-C-06、WXTKY4D604-C-09、WXTKY4D604-C-10、WXTKY4D604-C-11、WXTKY4D604-C-12、WXTKY4D604-C-15、WXTKY4D604-C-16、WXTKY4D604-D-01、WXTKY4D604-D-02、WXTKY4D604-D-05、WXTKY4D604-D-06、WXTKY4D604-D-09、WXTKY4D604-D-10、WXTKY4D604-D-11、WXTKY4D604-D-12、WXTKY4D604-D-15、WXTKY4D604-D-16、WXTKY4D604-D-19、WXTKY4D604-D-20、WXTKY4D604-E-01、WXTKY4D604-E-02、WXTKY4D604-E-05、WXTKY4D604-E-06、WXTKY4D604-E-09、WXTKY4D604-E-10、WXTKY4D604-E-11、WXTKY4D604-E-12、WXTKY4D604-E-15、WXTKY4D604-E-16、WXTKY4D604-E-19、WXTKY4D604-E-20、WXTKY4D604-F-01、WXTKY4D604-F-02、WXTKY4D604-F-05、WXTKY4D604-F-06、WXTKY4D604-F-09、WXTKY4D604-F-10、WXTKY4D604-F-11、WXTKY4D604-F-12、WXTKY4D604-F-15、WXTKY4D604-F-16、WXTKY4D604-G-05、WXTKY4D604-G-06、WXTKY4D604-G-09、WXTKY4D604-G-10、WXTKY4D604-G-11、WXTKY4D604-G-12、WXTKY4D604-H-01、WXTKY4D604-H-02、WXTKY4D604-H-08、WXTKY4D604-H-09、WXTKY4D604-H-15、WXTKY4D604-H-16、WXTKY4D604-H-19、WXTKY4D604-H-20、WXTKY4D604-I-02、WXTKY4D604-I-05、WXTKY4D604-I-06、WXTKY4D604-J-01、WXTKY4D604-A-03、WXTKY4D604-A-04、WXTKY4D604-A-07、WXTKY4D604-A-08、WXTKY4D604-A-13、WXTKY4D604-A-14、WXTKY4D604-A-17、WXTKY4D604-A-18、WXTKY4D604-A-21、WXTKY4D604-A-22、WXTKY4D604-B-03、WXTKY4D604-B-04、WXTKY4D604-B-07、WXTKY4D604-B-10、WXTKY4D604-B-13、WXTKY4D604-B-14、WXTKY4D604-B-17、WXTKY4D604-B-18、WXTKY4D604-B-19</t>
  </si>
  <si>
    <t>2021/1/9开通，计费23天：WXTKY4D604-J-18、WXTKY4D604-J-19、WXTKY4D604-J-20</t>
  </si>
  <si>
    <t>2021/1/11开通，计费21天：WXTKY4D604-E-03、WXTKY4D604-E-04、WXTKY4D604-E-07、WXTKY4D604-E-08、WXTKY4D604-E-13、WXTKY4D604-E-14、WXTKY4D604-E-17、WXTKY4D604-E-18、WXTKY4D604-F-03、WXTKY4D604-F-04、WXTKY4D604-F-07、WXTKY4D604-F-08、WXTKY4D604-F-13、WXTKY4D604-F-14、WXTKY4D604-F-17、WXTKY4D604-F-18、WXTKY4D604-G-01、WXTKY4D604-G-02、WXTKY4D604-G-03、WXTKY4D604-G-04、WXTKY4D604-G-07、WXTKY4D604-G-08、WXTKY4D604-G-13、WXTKY4D604-G-14、WXTKY4D604-G-15、WXTKY4D604-G-16、WXTKY4D604-G-17、WXTKY4D604-G-18、WXTKY4D604-G-19、WXTKY4D604-G-20、WXTKY4D604-G-21、WXTKY4D604-G-22、WXTKY4D604-H-03、WXTKY4D604-H-04、WXTKY4D604-H-05、WXTKY4D604-H-06、WXTKY4D604-H-07、WXTKY4D604-H-10、WXTKY4D604-H-11、WXTKY4D604-H-12、WXTKY4D604-H-13、WXTKY4D604-H-14、WXTKY4D604-H-17、WXTKY4D604-H-18、WXTKY4D604-H-21、WXTKY4D604-H-22、WXTKY4D604-I-03、WXTKY4D604-I-04、WXTKY4D604-I-07、WXTKY4D604-I-08、WXTKY4D604-I-11、WXTKY4D604-I-12、WXTKY4D604-I-13、WXTKY4D604-I-14、WXTKY4D604-I-15、WXTKY4D604-I-16、WXTKY4D604-I-17、WXTKY4D604-I-18、WXTKY4D604-J-04、WXTKY4D604-J-05、WXTKY4D604-J-06、WXTKY4D604-J-07、WXTKY4D604-J-08、WXTKY4D604-J-09、WXTKY4D604-J-10、WXTKY4D604-J-11、WXTKY4D604-J-12、WXTKY4D604-J-13、WXTKY4D604-J-14、WXTKY4D604-J-17、WXTKY4D701-A-03、WXTKY4D701-A-04、WXTKY4D701-A-07、WXTKY4D701-A-08、WXTKY4D701-A-11、WXTKY4D701-A-12、WXTKY4D701-A-15、WXTKY4D701-A-18、WXTKY4D701-B-03、WXTKY4D701-B-06、WXTKY4D701-B-07、WXTKY4D701-B-10、WXTKY4D701-B-11、WXTKY4D701-B-14、WXTKY4D701-B-17、WXTKY4D701-B-18、WXTKY4D701-C-03、WXTKY4D701-C-04、WXTKY4D701-C-07、WXTKY4D701-C-08、WXTKY4D701-C-11、WXTKY4D701-C-12、WXTKY4D701-C-15、WXTKY4D701-C-16、WXTKY4D701-D-03、WXTKY4D701-D-04、WXTKY4D701-D-07、WXTKY4D701-D-08、WXTKY4D701-D-11、WXTKY4D701-D-12、WXTKY4D701-D-15、WXTKY4D701-D-16、WXTKY4D701-E-03、WXTKY4D701-E-04、WXTKY4D701-E-07、WXTKY4D701-E-08、WXTKY4D701-E-11、WXTKY4D701-E-12、WXTKY4D701-E-15、WXTKY4D701-E-18、WXTKY4D701-F-03、WXTKY4D701-F-04、WXTKY4D701-F-07、WXTKY4D701-F-08、WXTKY4D701-F-11、WXTKY4D701-F-12、WXTKY4D701-F-15、WXTKY4D701-F-16、WXTKY4D701-G-03、WXTKY4D701-G-04、WXTKY4D701-G-07、WXTKY4D701-G-08、WXTKY4D701-G-11、WXTKY4D701-G-12、WXTKY4D701-G-15、WXTKY4D701-G-18、WXTKY4D701-H-03、WXTKY4D701-H-06、WXTKY4D701-H-07、WXTKY4D701-H-10、WXTKY4D701-H-11、WXTKY4D701-H-14、WXTKY4D701-H-17、WXTKY4D701-H-18、WXTKY4D701-I-03、WXTKY4D701-I-04、WXTKY4D701-I-07、WXTKY4D701-I-08、WXTKY4D701-I-11、WXTKY4D701-I-12、WXTKY4D701-I-15、WXTKY4D701-I-16、WXTKY4D701-J-03、WXTKY4D701-J-04、WXTKY4D701-J-07、WXTKY4D701-J-08、WXTKY4D701-J-11、WXTKY4D701-J-12、WXTKY4D701-J-15、WXTKY4D701-J-16、WXTKY4D701-K-03、WXTKY4D701-K-04、WXTKY4D701-K-07、WXTKY4D701-K-08、WXTKY4D701-K-11、WXTKY4D701-K-12、WXTKY4D701-K-15、WXTKY4D701-K-18、WXTKY4D701-L-04、WXTKY4D701-L-07、WXTKY4D701-L-08、WXTKY4D701-L-11、WXTKY4D701-L-12、WXTKY4D701-L-15、WXTKY4D701-L-16、WXTKY4D701-A-01、WXTKY4D701-A-02、WXTKY4D701-A-05、WXTKY4D701-A-06、WXTKY4D701-A-09、WXTKY4D701-A-10、WXTKY4D701-A-13、WXTKY4D701-A-14、WXTKY4D701-A-16、WXTKY4D701-A-17、WXTKY4D701-B-01、WXTKY4D701-B-02、WXTKY4D701-B-04、WXTKY4D701-B-05、WXTKY4D701-B-08、WXTKY4D701-B-09、WXTKY4D701-B-12、WXTKY4D701-B-13、WXTKY4D701-B-15、WXTKY4D701-B-16、WXTKY4D701-C-01、WXTKY4D701-C-02、WXTKY4D701-C-05、WXTKY4D701-C-06、WXTKY4D701-C-09、WXTKY4D701-C-10、WXTKY4D701-C-13、WXTKY4D701-C-14、WXTKY4D701-D-01、WXTKY4D701-D-02、WXTKY4D701-D-05、WXTKY4D701-D-06、WXTKY4D701-D-09、WXTKY4D701-D-10、WXTKY4D701-D-13、WXTKY4D701-D-14、WXTKY4D701-E-01、WXTKY4D701-E-02、WXTKY4D701-E-05、WXTKY4D701-E-06、WXTKY4D701-E-09、WXTKY4D701-E-10、WXTKY4D701-E-13、WXTKY4D701-E-14、WXTKY4D701-E-16、WXTKY4D701-E-17、WXTKY4D701-F-01、WXTKY4D701-F-02、WXTKY4D701-F-05、WXTKY4D701-F-06、WXTKY4D701-F-09、WXTKY4D701-F-10、WXTKY4D701-F-13、WXTKY4D701-F-14、WXTKY4D701-G-01、WXTKY4D701-G-02、WXTKY4D701-G-05、WXTKY4D701-G-06、WXTKY4D701-G-09、WXTKY4D701-G-10、WXTKY4D701-G-13、WXTKY4D701-G-14、WXTKY4D701-G-16、WXTKY4D701-G-17、WXTKY4D701-H-01、WXTKY4D701-H-02、WXTKY4D701-H-04、WXTKY4D701-H-05、WXTKY4D701-H-08、WXTKY4D701-H-09、WXTKY4D701-H-12、WXTKY4D701-H-13、WXTKY4D701-H-15、WXTKY4D701-H-16、WXTKY4D701-I-01、WXTKY4D701-I-02、WXTKY4D701-I-05、WXTKY4D701-I-06、WXTKY4D701-I-09、WXTKY4D701-I-10、WXTKY4D701-I-13、WXTKY4D701-I-14、WXTKY4D701-J-01、WXTKY4D701-J-02、WXTKY4D701-J-05、WXTKY4D701-J-06、WXTKY4D701-J-09、WXTKY4D701-J-10、WXTKY4D701-J-13、WXTKY4D701-J-14、WXTKY4D701-K-01、WXTKY4D701-K-02、WXTKY4D701-K-05、WXTKY4D701-K-06、WXTKY4D701-K-09、WXTKY4D701-K-10、WXTKY4D701-K-13、WXTKY4D701-K-14、WXTKY4D701-K-16、WXTKY4D701-K-17、WXTKY4D701-L-02、WXTKY4D701-L-03、WXTKY4D701-L-05、WXTKY4D701-L-06、WXTKY4D701-L-09、WXTKY4D701-L-10、WXTKY4D701-L-13、WXTKY4D701-L-14、WXTKY4D701-D-17、WXTKY4D701-D-18、WXTKY4D701-J-17、WXTKY4D701-J-18、WXTKY4D701-L-01、WXTKY4D703-C-17、WXTKY4D703-C-18、WXTKY4D703-F-17、WXTKY4D703-F-18、WXTKY4D703-H-01、WXTKY4D703-D-08、WXTKY4D703-D-07、WXTKY4D703-D-06、WXTKY4D703-D-05、WXTKY4D703-D-04、WXTKY4D703-D-03、WXTKY4D703-D-02、WXTKY4D703-D-01、WXTKY4D703-C-16、WXTKY4D703-C-15、WXTKY4D703-C-14、WXTKY4D703-C-13、WXTKY4D703-C-12、WXTKY4D703-C-11、WXTKY4D703-C-10、WXTKY4D703-C-09、WXTKY4D703-C-08、WXTKY4D703-C-07、WXTKY4D703-C-06、WXTKY4D703-C-05、WXTKY4D703-C-04、WXTKY4D703-C-03、WXTKY4D703-C-02、WXTKY4D703-C-01、WXTKY4D703-B-22、WXTKY4D703-B-21、WXTKY4D703-B-20、WXTKY4D703-B-19、WXTKY4D703-B-18、WXTKY4D703-B-17、WXTKY4D703-B-16、WXTKY4D703-B-15、WXTKY4D703-B-14、WXTKY4D703-B-13、WXTKY4D703-B-12、WXTKY4D703-B-11、WXTKY4D703-B-10、WXTKY4D703-B-09、WXTKY4D703-B-08、WXTKY4D703-B-07、WXTKY4D703-B-06、WXTKY4D703-B-05、WXTKY4D703-B-04、WXTKY4D703-B-03、WXTKY4D703-B-02、WXTKY4D703-B-01、WXTKY4D703-A-22、WXTKY4D703-A-21、WXTKY4D703-A-20、WXTKY4D703-A-19、WXTKY4D703-A-18、WXTKY4D703-A-17、WXTKY4D703-A-16、WXTKY4D703-A-15、WXTKY4D703-A-14、WXTKY4D703-A-13、WXTKY4D703-A-12、WXTKY4D703-A-11、WXTKY4D703-A-10、WXTKY4D703-A-09、WXTKY4D703-A-08、WXTKY4D703-A-07、WXTKY4D703-A-06、WXTKY4D703-A-05、WXTKY4D703-A-04、WXTKY4D703-A-03、WXTKY4D703-A-02、WXTKY4D703-A-01、WXTKY4D703-D-09、WXTKY4D703-D-10、WXTKY4D703-D-11、WXTKY4D703-D-12、WXTKY4D703-D-13、WXTKY4D703-D-14、WXTKY4D703-D-15、WXTKY4D703-D-16、WXTKY4D703-D-17、WXTKY4D703-D-18、WXTKY4D703-D-19、WXTKY4D703-D-20、WXTKY4D703-D-21、WXTKY4D703-D-22、WXTKY4D703-E-01、WXTKY4D703-E-02、WXTKY4D703-E-03、WXTKY4D703-E-04、WXTKY4D703-E-05、WXTKY4D703-E-06、WXTKY4D703-E-07、WXTKY4D703-E-08、WXTKY4D703-E-09、WXTKY4D703-E-10、WXTKY4D703-E-11、WXTKY4D703-E-12、WXTKY4D703-E-13、WXTKY4D703-E-14、WXTKY4D703-E-15、WXTKY4D703-E-16、WXTKY4D703-E-17、WXTKY4D703-E-18、WXTKY4D703-E-19、WXTKY4D703-E-20、WXTKY4D703-E-21、WXTKY4D703-E-22、WXTKY4D703-F-01、WXTKY4D703-F-02、WXTKY4D703-F-03、WXTKY4D703-F-04、WXTKY4D703-F-05、WXTKY4D703-F-06、WXTKY4D703-F-07、WXTKY4D703-F-08、WXTKY4D703-F-09、WXTKY4D703-F-10、WXTKY4D703-F-11、WXTKY4D703-F-12、WXTKY4D703-F-13、WXTKY4D703-F-14、WXTKY4D703-F-15、WXTKY4D703-F-16、WXTKY4D703-G-09、WXTKY4D703-G-10、WXTKY4D703-G-11、WXTKY4D703-G-12、WXTKY4D703-G-13、WXTKY4D703-G-14、WXTKY4D703-G-15、WXTKY4D703-G-16、WXTKY4D703-G-17、WXTKY4D703-G-18、WXTKY4D703-G-19、WXTKY4D703-G-20、WXTKY4D703-G-21、WXTKY4D703-G-22</t>
  </si>
  <si>
    <t>2021/1/13开通，计费19天：WXTKY4D604-B-22、WXTKY4D604-C-03、WXTKY4D604-C-04、WXTKY4D604-C-07、WXTKY4D604-C-08、WXTKY4D604-C-13、WXTKY4D604-C-14、WXTKY4D604-D-03、WXTKY4D604-D-04、WXTKY4D604-D-07、WXTKY4D604-D-08、WXTKY4D604-D-13、WXTKY4D604-D-14、WXTKY4D604-D-17、WXTKY4D604-D-18、WXTKY4D604-D-21、WXTKY4D604-D-22、WXTKY4D604-E-21、WXTKY4D604-E-22</t>
  </si>
  <si>
    <t>2021/1/15开通，计费17天：WXTKY4D501-D-17、WXTKY4D501-D-18、WXTKY4D501-J-17、WXTKY4D501-J-18、WXTKY4D501-N-01、WXTKY4D503-A-01、WXTKY4D503-A-02、WXTKY4D503-A-05、WXTKY4D503-A-06、WXTKY4D503-A-09、WXTKY4D503-A-10、WXTKY4D503-A-11、WXTKY4D503-A-12、WXTKY4D503-A-15、WXTKY4D503-A-16、WXTKY4D503-A-19、WXTKY4D503-A-20、WXTKY4D503-C-17、WXTKY4D503-C-18、WXTKY4D503-F-17、WXTKY4D503-F-18、WXTKY4D503-H-01</t>
  </si>
  <si>
    <t>2021/1/18开通，计费14天：WXTKY4D503-B-01、WXTKY4D503-B-02、WXTKY4D503-B-03、WXTKY4D503-B-04、WXTKY4D503-B-05、WXTKY4D503-B-06、WXTKY4D503-B-07、WXTKY4D503-B-08、WXTKY4D503-B-09、WXTKY4D503-B-10、WXTKY4D503-B-11、WXTKY4D503-B-12、WXTKY4D503-B-13、WXTKY4D503-B-14、WXTKY4D503-B-15、WXTKY4D503-B-16、WXTKY4D503-B-17、WXTKY4D503-B-18、WXTKY4D503-B-19、WXTKY4D503-B-20、WXTKY4D503-B-21、WXTKY4D503-B-22、WXTKY4D503-C-01、WXTKY4D503-C-02、WXTKY4D503-C-03、WXTKY4D503-C-04</t>
  </si>
  <si>
    <t>2021/1/4开通，计费28天：WXTKY4D602-C-07、WXTKY4D602-D-05</t>
  </si>
  <si>
    <t>2021/1/4开通，计费28天：
WXTKY4D602-A-07、WXTKY4D602-A-08、WXTKY4D602-B-05、WXTKY4D602-B-06</t>
  </si>
  <si>
    <t>2021/1/4开通，计费28天：
WXTKY4D602-A-02、WXTKY4D602-A-04、WXTKY4D602-B-02、WXTKY4D602-B-04、WXTKY4D602-C-02、WXTKY4D602-C-04、WXTKY4D602-D-02、WXTKY4D602-D-04</t>
  </si>
  <si>
    <t>2021/1/28关闭，冲销3天费用：WXTKY4D503-A-01、WXTKY4D503-A-02、WXTKY4D503-A-05、（WXTKY4D503-A-03、WXTKY4D503-A-04系统部反馈关闭，但前期并未开通，本次仅按关闭3个更新计提表）</t>
  </si>
  <si>
    <t>2021/1/4开通布线柜，计费28天：WXTKY4D602-A-01、WXTKY4D602-A-03、WXTKY4D602-B-01、WXTKY4D602-B-03、WXTKY4D602-C-01、WXTKY4D602-C-03、WXTKY4D602-C-08、WXTKY4D602-D-01、WXTKY4D602-D-03、WXTKY4D602-D-06</t>
  </si>
  <si>
    <t>WXTKY4D301-E-01、WXTKY4D301-F-01</t>
  </si>
  <si>
    <t>2021/3/31开通，3月计费1天
WXTKY4D501-B-01、WXTKY4D501-B-02</t>
  </si>
  <si>
    <t>2021/4/16开通机架，4月计费15天：WXTKY4D703-G-01、WXTKY4D703-G-02、WXTKY4D703-G-03、WXTKY4D703-G-04、WXTKY4D703-G-05、WXTKY4D703-G-06、WXTKY4D703-G-07、WXTKY4D703-G-08、WXTKY4D703-H-02、WXTKY4D703-H-03、WXTKY4D703-H-04、WXTKY4D703-H-05、WXTKY4D703-H-06、WXTKY4D703-H-07、WXTKY4D703-H-08、WXTKY4D703-H-09、WXTKY4D703-H-10、WXTKY4D703-H-11、WXTKY4D703-H-12、WXTKY4D703-H-13、WXTKY4D703-H-14、WXTKY4D703-H-15、WXTKY4D703-H-16、WXTKY4D703-H-17、WXTKY4D703-H-18、WXTKY4D703-H-19、WXTKY4D703-H-20、WXTKY4D703-H-21、WXTKY4D703-H-22、WXTKY4D703-I-01、WXTKY4D703-I-02、WXTKY4D703-I-03、WXTKY4D703-I-04、WXTKY4D703-I-05、WXTKY4D703-I-06、WXTKY4D703-I-07、WXTKY4D703-I-08、WXTKY4D703-I-09、WXTKY4D703-I-10</t>
  </si>
  <si>
    <t>2021/4/17开通，4月计费14天：WXTKY4D503-C-09</t>
  </si>
  <si>
    <t>2021/4/20开通，4月计费11天：WXTKY4D503-C-05、WXTKY4D503-C-06、WXTKY4D503-C-07、WXTKY4D503-C-08、WXTKY4D503-D-01、WXTKY4D503-D-02、WXTKY4D503-D-03、WXTKY4D503-D-04、WXTKY4D503-D-05、WXTKY4D503-D-06、WXTKY4D703-J-01、WXTKY4D703-J-02、WXTKY4D703-J-03、WXTKY4D703-J-04、WXTKY4D703-J-05、WXTKY4D703-J-06</t>
  </si>
  <si>
    <t>2021/4/21开通，4月计费10天：WXTKY4D501-A-01、WXTKY4D501-A-02、WXTKY4D501-A-03、WXTKY4D501-A-04、WXTKY4D501-A-05、WXTKY4D501-A-06、WXTKY4D501-A-07、WXTKY4D501-A-08、WXTKY4D501-A-09、WXTKY4D501-A-10、WXTKY4D501-A-11、WXTKY4D501-A-12、WXTKY4D501-A-13、WXTKY4D501-A-14、WXTKY4D501-A-15、WXTKY4D501-A-16、WXTKY4D501-A-17、WXTKY4D501-A-18、WXTKY4D501-B-03、WXTKY4D501-B-04、WXTKY4D501-B-05、WXTKY4D501-B-06、WXTKY4D501-B-07、WXTKY4D501-B-08、WXTKY4D501-B-09、WXTKY4D501-B-10、WXTKY4D501-B-11、WXTKY4D501-B-12、WXTKY4D501-B-13、WXTKY4D501-B-14、WXTKY4D501-B-15、WXTKY4D501-B-16、WXTKY4D501-B-17、WXTKY4D501-B-18、WXTKY4D501-C-01、WXTKY4D501-C-02、WXTKY4D501-C-03、WXTKY4D501-C-04、WXTKY4D501-C-05、WXTKY4D501-C-06、WXTKY4D501-C-07、WXTKY4D501-C-08、WXTKY4D501-C-09、WXTKY4D501-C-10、WXTKY4D501-C-11、WXTKY4D501-C-12、WXTKY4D501-C-13、WXTKY4D501-C-14、WXTKY4D501-C-15、WXTKY4D501-C-16、WXTKY4D501-D-01、WXTKY4D501-D-02、WXTKY4D501-D-03、WXTKY4D501-D-04、WXTKY4D501-D-05、WXTKY4D501-D-06、WXTKY4D501-D-07、WXTKY4D501-D-08、WXTKY4D501-D-09、WXTKY4D501-D-10、WXTKY4D501-D-11、WXTKY4D501-D-12、WXTKY4D501-D-13、WXTKY4D501-D-14、WXTKY4D501-D-15、WXTKY4D501-E-01、WXTKY4D501-E-02、WXTKY4D501-E-03、WXTKY4D501-E-04、WXTKY4D501-E-05、WXTKY4D501-E-06、WXTKY4D501-E-07、WXTKY4D501-E-08、WXTKY4D501-E-09、WXTKY4D501-E-10、WXTKY4D501-E-11、WXTKY4D501-E-12、WXTKY4D501-E-13、WXTKY4D501-E-14、WXTKY4D501-E-15、WXTKY4D501-E-16、WXTKY4D501-E-17、WXTKY4D501-E-18、WXTKY4D501-F-01、WXTKY4D501-F-02、WXTKY4D501-F-03、WXTKY4D501-F-04、WXTKY4D501-F-05、WXTKY4D501-F-06、WXTKY4D501-F-07、WXTKY4D501-F-08、WXTKY4D501-F-09、WXTKY4D501-F-10、WXTKY4D501-F-11、WXTKY4D501-F-12、WXTKY4D501-F-13、WXTKY4D501-F-14、WXTKY4D501-F-15、WXTKY4D501-F-16</t>
  </si>
  <si>
    <t>2021/4/24开通，4月计费7天：WXTKY4D501-G-01、WXTKY4D501-G-02、WXTKY4D501-G-03、WXTKY4D501-G-04、WXTKY4D501-G-05、WXTKY4D501-G-06、WXTKY4D501-G-07、WXTKY4D501-G-08、WXTKY4D501-G-09、WXTKY4D501-G-10、WXTKY4D501-G-11、WXTKY4D501-G-12、WXTKY4D501-G-13、WXTKY4D501-G-14、WXTKY4D501-G-15、WXTKY4D503-C-10</t>
  </si>
  <si>
    <t>2021/4/28开通，4月计费3天：WXTKY4D501-G-16、WXTKY4D501-G-17、WXTKY4D501-G-18、WXTKY4D501-H-01、WXTKY4D501-H-02、WXTKY4D501-H-03、WXTKY4D501-H-04、WXTKY4D501-H-05、WXTKY4D501-H-06</t>
  </si>
  <si>
    <t>2021/5/18开通，5月计费14天：WXTKY4D203-A-22</t>
  </si>
  <si>
    <t>2021/5/18开通，5月计费14天：WXTKY4D503-A-01、WXTKY4D503-A-02</t>
  </si>
  <si>
    <t>2021/5/15开通，5月计费17天：WXTKY4D501-I-16、WXTKY4D501-I-15</t>
  </si>
  <si>
    <t>2021/5/16开通，5月计费16天：WXTKY4D501-I-14</t>
  </si>
  <si>
    <t>2021/5/17开通，5月计费15天：WXTKY4D501-K-07、WXTKY4D501-H-14、WXTKY4D503-I-08、WXTKY4D503-I-07、WXTKY4D503-I-05、WXTKY4D503-H-20、WXTKY4D503-H-19、WXTKY4D503-H-16、WXTKY4D503-H-15、WXTKY4D503-H-12、WXTKY4D503-H-11、WXTKY4D503-H-09、WXTKY4D503-H-08、WXTKY4D503-H-06、WXTKY4D503-H-05、WXTKY4D503-H-03、WXTKY4D503-H-02、WXTKY4D503-G-05、WXTKY4D503-G-02、WXTKY4D503-G-01</t>
  </si>
  <si>
    <t>2021/5/18开通，5月计费14天：WXTKY4D501-M-17、WXTKY4D501-M-15、WXTKY4D501-M-14、WXTKY4D501-M-12、WXTKY4D501-M-11、WXTKY4D501-M-10、WXTKY4D501-M-08、WXTKY4D501-M-07、WXTKY4D501-M-06、WXTKY4D501-M-04、WXTKY4D501-M-03、WXTKY4D501-M-02、WXTKY4D501-L-16、WXTKY4D501-L-15、WXTKY4D501-L-14、WXTKY4D501-L-12、WXTKY4D501-L-11、WXTKY4D501-L-10、WXTKY4D501-L-08、WXTKY4D501-L-07、WXTKY4D501-L-06、WXTKY4D501-L-04、WXTKY4D501-L-03、WXTKY4D501-L-02、WXTKY4D501-K-18、WXTKY4D501-K-17、WXTKY4D501-K-15、WXTKY4D501-K-14、WXTKY4D501-K-12、WXTKY4D501-K-11、WXTKY4D501-K-10、WXTKY4D501-K-08、WXTKY4D501-K-06、WXTKY4D501-K-04、WXTKY4D501-K-03、WXTKY4D501-K-02、WXTKY4D501-J-16、WXTKY4D501-J-15、WXTKY4D501-J-14、WXTKY4D501-J-12、WXTKY4D501-J-11、WXTKY4D501-J-10、WXTKY4D501-J-08、WXTKY4D501-J-07、WXTKY4D501-J-06、WXTKY4D501-J-04、WXTKY4D501-J-03、WXTKY4D501-J-02、WXTKY4D501-I-12、WXTKY4D501-I-11、WXTKY4D501-I-10、WXTKY4D501-I-08、WXTKY4D501-I-07、WXTKY4D501-I-06、WXTKY4D501-I-04、WXTKY4D501-I-03、WXTKY4D501-I-02、WXTKY4D501-H-18、WXTKY4D501-H-17、WXTKY4D501-H-16、WXTKY4D501-H-13、WXTKY4D501-H-11、WXTKY4D501-H-10、WXTKY4D501-H-09、WXTKY4D501-H-07</t>
  </si>
  <si>
    <t>2021/5/19开通，5月计费13天：WXTKY4D501-N-16、WXTKY4D501-N-15、WXTKY4D501-N-13、WXTKY4D501-N-12、WXTKY4D501-N-09、WXTKY4D501-N-08、WXTKY4D501-N-05、WXTKY4D501-N-04、WXTKY4D501-N-03、WXTKY4D501-N-02、WXTKY4D501-M-16、WXTKY4D501-M-13、WXTKY4D501-M-09、WXTKY4D501-M-05、WXTKY4D501-M-01、WXTKY4D501-L-13、WXTKY4D501-L-09、WXTKY4D501-L-05、WXTKY4D501-L-01、WXTKY4D501-K-16、WXTKY4D501-K-13、WXTKY4D501-K-09、WXTKY4D501-K-05、WXTKY4D501-K-01、WXTKY4D501-J-13、WXTKY4D501-J-09、WXTKY4D501-J-05、WXTKY4D501-J-01、WXTKY4D501-I-13、WXTKY4D501-I-09、WXTKY4D501-I-05、WXTKY4D501-I-01、WXTKY4D501-H-15、WXTKY4D501-H-12、WXTKY4D501-H-08、WXTKY4D503-J-10、WXTKY4D503-J-09、WXTKY4D503-J-07、WXTKY4D503-J-06、WXTKY4D503-J-05、WXTKY4D503-J-04、WXTKY4D503-J-03、WXTKY4D503-J-02、WXTKY4D503-J-01、WXTKY4D503-I-04、WXTKY4D503-I-02、WXTKY4D503-I-01、WXTKY4D503-G-20、WXTKY4D503-G-19、WXTKY4D503-G-16、WXTKY4D503-G-15、WXTKY4D503-G-12、WXTKY4D503-G-11、WXTKY4D503-G-10、WXTKY4D503-G-09、WXTKY4D503-G-06、WXTKY4D503-F-06、WXTKY4D503-F-05、WXTKY4D503-F-02、WXTKY4D503-F-01</t>
  </si>
  <si>
    <t>2021/5/21开通，5月计费11天：WXTKY4D503-D-20、WXTKY4D503-F-16、WXTKY4D503-F-15、WXTKY4D503-F-12、WXTKY4D503-F-11、WXTKY4D503-F-10、WXTKY4D503-F-09、WXTKY4D503-E-20、WXTKY4D503-E-19、WXTKY4D503-E-16、WXTKY4D503-E-15、WXTKY4D503-E-12、WXTKY4D503-E-11、WXTKY4D503-E-10、WXTKY4D503-E-09、WXTKY4D503-E-06、WXTKY4D503-E-05、WXTKY4D503-E-02、WXTKY4D503-E-01</t>
  </si>
  <si>
    <t>WXTKY4D503-A-06、WXTKY4D503-A-09、WXTKY4D503-A-10、WXTKY4D503-A-19、WXTKY4D503-A-20、WXTKY4D503-E-11、WXTKY4D503-E-12、WXTKY4D503-E-15、WXTKY4D503-E-16</t>
  </si>
  <si>
    <t>2023/1/6完成机柜改造，由0A改造为62.5A：WXTKY4D301-E-08、WXTKY4D301-G-08，2023/2/16重新开通上线</t>
  </si>
  <si>
    <t>WXTKY4D602-E-01、WXTKY4D602-E-02、WXTKY4D602-E-03、WXTKY4D602-E-08、WXTKY4D602-E-09、WXTKY4D602-F-04、WXTKY4D602-F-05、WXTKY4D602-F-06、WXTKY4D602-F-07</t>
  </si>
  <si>
    <t>181915IDC00156</t>
  </si>
  <si>
    <t>无锡太科院-南京凤凰机房</t>
  </si>
  <si>
    <t>181915IDC00156约定400G单价900000，目前只开通100G，单价225000</t>
  </si>
  <si>
    <t>2023/2/28退租无锡太科院-南京凤凰机房100G电路</t>
  </si>
  <si>
    <t>无锡数据中心-苏州太湖</t>
  </si>
  <si>
    <t xml:space="preserve">共4条，每条2芯，共8芯:
无锡至太湖35.25KM,老312方向
无锡至太湖64.82KM,新312方向
无锡至太湖64.82KM,新312方向
无锡至太湖66.45KM,高速方向
</t>
  </si>
  <si>
    <t>无锡数据中心-苏州昆山万国</t>
  </si>
  <si>
    <t xml:space="preserve">共4条，每条2芯，共8芯:
无锡至昆山106.51KM,G312方向
无锡至昆山117.63KM,高速方向
无锡至昆山117.63KM,高速方向
无锡至昆山106.63KM,G343方向
</t>
  </si>
  <si>
    <t>182115IDC00552</t>
  </si>
  <si>
    <t>2021/5/21开通，5月计费11天：WXTKY4D503-C-11、WXTKY4D503-C-12、WXTKY4D503-C-15、WXTKY4D503-C-16、WXTKY4D503-D-12、WXTKY4D503-D-11、WXTKY4D503-D-10、WXTKY4D503-D-09、WXTKY4D503-D-15、WXTKY4D503-D-16、WXTKY4D503-D-19</t>
  </si>
  <si>
    <t>2021/6/18开通，6月计费13天：WXTKY4D503-A-03、WXTKY4D503-A-05</t>
  </si>
  <si>
    <t>2021/7/2开通机架，7月计费30天：WXTKY4D503-A-07、WXTKY4D503-A-08、WXTKY4D503-A-13、WXTKY4D503-A-14、WXTKY4D503-A-17、WXTKY4D503-A-18、WXTKY4D503-A-21、WXTKY4D503-A-22</t>
  </si>
  <si>
    <t>2021/7/14开通机架，7月计费18天：WXTKY4D503-D-14、WXTKY4D503-D-17、WXTKY4D503-D-21、WXTKY4D503-E-14、WXTKY4D503-E-17、WXTKY4D503-E-18、WXTKY4D503-E-21、WXTKY4D503-E-22</t>
  </si>
  <si>
    <t>2021/7/15开通，7月计费17天：WXTKY4D503-D-18、WXTKY4D503-D-22</t>
  </si>
  <si>
    <t>2021/10/8开通，10月计费24天：WXTKY4D501-D-16、WXTKY4D501-M-18、WXTKY4D501-N-06、WXTKY4D501-N-07、WXTKY4D501-N-10、WXTKY4D501-N-11、WXTKY4D501-N-14、WXTKY4D501-N-17、WXTKY4D501-N-18、WXTKY4D503-C-13、WXTKY4D503-C-14、WXTKY4D503-D-07、WXTKY4D503-D-08、WXTKY4D503-E-03、WXTKY4D503-E-04、WXTKY4D503-E-07、WXTKY4D503-E-08、WXTKY4D503-F-03、WXTKY4D503-F-04、WXTKY4D503-F-07、WXTKY4D503-F-08、WXTKY4D503-F-13、WXTKY4D503-F-14、WXTKY4D503-G-03、WXTKY4D503-G-04、WXTKY4D503-G-07、WXTKY4D503-G-08、WXTKY4D503-G-13、WXTKY4D503-G-14、WXTKY4D503-G-17、WXTKY4D503-G-18、WXTKY4D503-G-21、WXTKY4D503-G-22、WXTKY4D503-H-04、WXTKY4D503-H-07、WXTKY4D503-H-10、WXTKY4D503-H-13、WXTKY4D503-H-14、WXTKY4D503-H-17、WXTKY4D503-H-18、WXTKY4D503-H-21、WXTKY4D503-H-22、WXTKY4D503-I-03、WXTKY4D503-I-06、WXTKY4D503-I-09、WXTKY4D503-I-10、WXTKY4D503-J-08、WXTKY4D503-J-11、WXTKY4D503-J-12</t>
  </si>
  <si>
    <t>2021/10/10开通，10月计费22天：WXTKY4D703-J-07、WXTKY4D703-J-08、WXTKY4D703-J-09、WXTKY4D703-J-10、WXTKY4D703-J-11、WXTKY4D703-J-12</t>
  </si>
  <si>
    <t>2021.11机柜改造，由20A更新为40A，，因运营商11月仍按低功率结算，暂时计提在正式合同上，未调整单价。WXTKY4D503-D-13、WXTKY4D503-E-13</t>
  </si>
  <si>
    <t>WXTKY4D503-A-04</t>
  </si>
  <si>
    <t>WXTKY4D503-D-14、WXTKY4D503-D-17、WXTKY4D503-E-14、WXTKY4D503-E-17</t>
  </si>
  <si>
    <t>WXTKY4D503-A-18、WXTKY4D503-D-11、WXTKY4D503-D-12、WXTKY4D503-D-15、WXTKY4D503-D-16</t>
  </si>
  <si>
    <t>WXTKY4D503-A-18</t>
  </si>
  <si>
    <t>WXTKY4D503-D-16、WXTKY4D503-E-17</t>
  </si>
  <si>
    <t>WXTKY4D503-D-18、WXTKY4D503-E-18</t>
    <phoneticPr fontId="3" type="noConversion"/>
  </si>
  <si>
    <t>WXTKY4D503-E-19、WXTKY4D503-E-20</t>
    <phoneticPr fontId="3" type="noConversion"/>
  </si>
  <si>
    <t>WXTKY-常熟普洛斯</t>
  </si>
  <si>
    <t>2021/7/16开通WXTKY-常熟普洛斯光纤，路由一100KM</t>
  </si>
  <si>
    <t>2021/7/16开通WXTKY-常熟普洛斯光纤，路由二85KM</t>
  </si>
  <si>
    <t>2021/8/19开通WXTKY-常熟普洛斯光纤， 8月计费13天</t>
  </si>
  <si>
    <t>2021/9/3开通WXTKY-常熟普洛斯光纤，9月计费28天</t>
  </si>
  <si>
    <t>无锡太科园-苏州太湖</t>
  </si>
  <si>
    <t>无锡太科园WXTKY-苏州太湖SZTH</t>
  </si>
  <si>
    <t>L20230610007</t>
  </si>
  <si>
    <t>无锡</t>
  </si>
  <si>
    <t>CDNWXCM</t>
  </si>
  <si>
    <t>WXCM5F-C-01、WXCM5F-C-02、WXCM5F-C-03、WXCM5F-C-04、WXCM5F-C-05、WXCM5F-C-06、WXCM5F-C-07、WXCM5F-C-08。</t>
  </si>
  <si>
    <t>2022/5/31节点退租：WXCM5F-C-01、WXCM5F-C-02、WXCM5F-C-03、WXCM5F-C-04、WXCM5F-C-05、WXCM5F-C-06、WXCM5F-C-07、WXCM5F-C-08。</t>
  </si>
  <si>
    <t>无锡移动SSL</t>
  </si>
  <si>
    <t>SSLWXCM</t>
  </si>
  <si>
    <t>WX2CM5F-E-07、WX2CM5F-E-08、WX2CM5F-E-09、WX2CM5F-C-09</t>
  </si>
  <si>
    <t>WX2CM5F-C-09</t>
  </si>
  <si>
    <t>无锡 WX3CM</t>
  </si>
  <si>
    <t>无锡3移动</t>
  </si>
  <si>
    <t>2023.3根据与SYS核对结果，调整机架编号，由WXCM5F-A-01调整为WX3CM5F-A-01；江苏无锡移动 增量100G完成业务测试，已于2020-05-15开始正式切流量上线。2020/7/1开始计费
WXCM5F-A-01、WXCM5F-A-02、WXCM5F-A-03</t>
  </si>
  <si>
    <t>CDN江苏无锡移动退租信息 (WX3CM)，退租一个机柜WXCM5F-A-03</t>
  </si>
  <si>
    <t>WX3CM5F-A-02</t>
  </si>
  <si>
    <t>CDN使用832，SSL使用768(122.25.89.0/24,122.25.90.0/24,112.25.91.0/24)，共1600，免费1256，收费344。IPv6  1个/64：2409:8C20:1831:0203::/64</t>
    <phoneticPr fontId="3" type="noConversion"/>
  </si>
  <si>
    <t>2022.7.31开始带宽量为40G，同比可免费132个，使用928，收费796个，运营商账单按344个，对百度有利。
CDN使用832，SSL使用768(122.25.89.0/24,122.25.90.0/24,112.25.91.0/24)，共1600，免费1256，收费344。IPv6  1个/64：2409:8C20:1831:0203::/64</t>
  </si>
  <si>
    <t>2023/4/20退租IP：112.25.91.0/24。退租后剩余使用IP 672个，目前共40G带宽，可送320个，应收费352个，运营商账单按344个计费，对百度有利</t>
    <phoneticPr fontId="3" type="noConversion"/>
  </si>
  <si>
    <t>112.25.92.0/24，112.25.83.128/27
江苏无锡移动 增量100G完成业务测试，已于2020-05-15开始正式切流量上线。2020/7/1开始计费
CDN使用832，SSL使用768，共1600，免费1256，收费344
2021年合同约定，免费提供2×64位的IPv6地址，超出部分的IPv6地址按照0元/个/月收取</t>
    <phoneticPr fontId="3" type="noConversion"/>
  </si>
  <si>
    <t>112.25.92.128/25</t>
  </si>
  <si>
    <t>无锡 WXCM</t>
  </si>
  <si>
    <t>112.25.85.0/27;112.25.86.0/24;112.25.87.0/24
CDN使用832，SSL使用768，共1600，免费1256，收费344
2021年合同约定，免费提供2×64位的IPv6地址，超出部分的IPv6地址按照0元/个/月收取</t>
  </si>
  <si>
    <t>2022/5/31节点退租：112.25.85.0/27;112.25.86.0/24;112.25.87.0/24</t>
  </si>
  <si>
    <t>中国移动通信集团江苏有限公司盐城分公司</t>
  </si>
  <si>
    <t>盐城移动</t>
  </si>
  <si>
    <t>L20230610008</t>
  </si>
  <si>
    <t>盐城3移动</t>
  </si>
  <si>
    <t>2022.5带宽退租后IP任然未收费。合同约定送288个IP，使用288个，均免费；免费提供64位的IPv6地址，超出部分的IPv6地址按照0元/个/月收取
36.156.94.0/24(CDN转让BEC使用)
2409:8c20:8ab1:0001::/64(CDN转让BEC使用)</t>
    <phoneticPr fontId="3" type="noConversion"/>
  </si>
  <si>
    <t xml:space="preserve">2022.5带宽退租后IP任然未收费。合同约定送288个IP，使用288个，均免费：223.111.146.32/27
</t>
  </si>
  <si>
    <t>L20230511002</t>
  </si>
  <si>
    <t>CDNYANCCM2</t>
  </si>
  <si>
    <t>计费确认单未包含机柜IP，放在临时合同计提。【BEC新建】盐城移动新建2022-10-1节点正式上线  (YANC3CM)：IPV4：120.195.37.0/24；IPV6:2409:8C20:8AB1:28::/64</t>
  </si>
  <si>
    <t>CDNYANCCM</t>
  </si>
  <si>
    <t>YANCCM2F-H-02、YANCCM2F-H-03、YANCCM2F-H-04、YANCCM2F-H-06、YANCCM2F-H-07、YANCCM2F-H-08</t>
  </si>
  <si>
    <t>（剩余YANCCM2F-H-05转为BEC使用，编号更新为BECYANCCM2F-H-05）YANCCM2F-H-02、YANCCM2F-H-03、YANCCM2F-H-04、YANCCM2F-H-06、YANCCM2F-H-07、YANCCM2F-H-08</t>
  </si>
  <si>
    <t>L20221101004</t>
  </si>
  <si>
    <t>CACDNYANCCM</t>
  </si>
  <si>
    <t>2023.10调整单价。计费确认单未包含机柜IP，放在临时合同计提。【BEC新建】盐城移动新建2022-10-1节点正式上线  (YANC3CM)：机柜编号更新为：CACDNYANCCM:2F:10-10-BEC20、CACDNYANCCM:2F:10-10-BEC21、CACDNYANCCM:2F:10-10-BEC22；更新前为：BECYANC3CM2F-10-17、BECYANC3CM2F-10-18、BECYANC3CM2F-10-19</t>
    <phoneticPr fontId="3" type="noConversion"/>
  </si>
  <si>
    <t>2023.10调整单价。【BEC扩容】盐城移动2023-1-16扩容3个机柜 (YANC3CM)：CACDNYANCCM:2F:10-10-BEC20、CACDNYANCCM:2F:10-10-BEC21、CACDNYANCCM:2F:10-10-BEC22</t>
    <phoneticPr fontId="3" type="noConversion"/>
  </si>
  <si>
    <t>2023.10调整单价。【BEC扩容】盐城移动2023-3-20扩容3个机柜 (YANC3CM)：CACDNYANCCM:2F:10-10-BEC14、CACDNYANCCM:2F:10-10-BEC15、CACDNYANCCM:2F:10-10-BEC16</t>
    <phoneticPr fontId="3" type="noConversion"/>
  </si>
  <si>
    <t>中国移动通信集团江苏有限公司扬州分公司</t>
  </si>
  <si>
    <t>扬州移动</t>
  </si>
  <si>
    <t>L20230610006</t>
  </si>
  <si>
    <t>扬州2</t>
  </si>
  <si>
    <t>扬州移动二级</t>
  </si>
  <si>
    <t>CDNYANGZCM2</t>
  </si>
  <si>
    <t>传输使用：YANGZCACHE3FIDC-K-03</t>
  </si>
  <si>
    <t xml:space="preserve">2022.10商务确认机架开始收费。YANGZ2CM3F-M-05  、YANGZ2CM3F-M-06 </t>
  </si>
  <si>
    <t>扬州</t>
  </si>
  <si>
    <t>YANGZCM</t>
  </si>
  <si>
    <t>223.111.133.0/24;223.111.202.32/27。
乙方免费提供1540个IPv4地址，  4段64位  的IPv6地址，超出部分的IPv4地址按照20元/个/月收取，超出部分的IPv6地址按照  0  收取。使用288，均免费</t>
  </si>
  <si>
    <t>2022/4/30 扬州移动节点全部退租。223.111.133.0/24;223.111.202.32/27。
乙方免费提供1540个IPv4地址，  4段64位  的IPv6地址，超出部分的IPv4地址按照20元/个/月收取，超出部分的IPv6地址按照  0  收取。使用288，均免费</t>
  </si>
  <si>
    <t>YANGZ2CM3F-M-01、YANGZ2CM3F-M-02、YANGZ2CM3F-M-03、YANGZ2CM3F-M-04
实际使用6个，收费4个，赠送2个</t>
  </si>
  <si>
    <t>YANGZCMCACHE</t>
  </si>
  <si>
    <t>223.111.127.0/24
乙方免费提供1540个IPv4地址，  4段64位  的IPv6地址，超出部分的IPv4地址按照20元/个/月收取，超出部分的IPv6地址按照  0  收取。使用256，均免费</t>
  </si>
  <si>
    <t>扬州3</t>
  </si>
  <si>
    <t>扬州3移动</t>
  </si>
  <si>
    <t>CDNYANGZCM3</t>
  </si>
  <si>
    <t>YANGZCM8F-D-07、YANGZCM8F-D-06、YANGZCM8F-D-08、YANGZCM8F-D-09、YANGZCM8F-D-10、YANGZCM8F-D-11、YANGZCM8F-D-12、YANGZCM8F-D-13、YANGZCM8F-E-08、YANGZCM8F-E-09</t>
  </si>
  <si>
    <t>按退租邮件，2022.7.31开始机柜转BEC使用：YANGZCM8F-E-10、YANGZCM8F-E-11、YANGZCM8F-E-12</t>
  </si>
  <si>
    <t>2022/5/31退租：YANGZCM8F-D-06、YANGZCM8F-D-08、YANGZCM8F-D-07、YANGZCM8F-D-13、YANGZCM8F-E-08、YANGZCM8F-E-09</t>
  </si>
  <si>
    <t>扬州移动边缘计算节点新申请（扩容）1个机架于2021-04-7正式开通，2021/5/1开始计费，本次扩容未新增IP：
BECYANGZ2CM8F-E-13</t>
  </si>
  <si>
    <t>YANGZ3CM边缘计算扩容，新增2个机柜：BECYANGZ2CM8F-E-14，BECYANGZ2CM8F-E-15</t>
  </si>
  <si>
    <t>YANGZCM8F-D-09,YANGZCM8F-D-10,YANGZCM8F-D-11,YANGZCM8F-D-12</t>
  </si>
  <si>
    <t>YANGZ3CM</t>
  </si>
  <si>
    <t>存量资源：36.156.58.0/24。
2022/7/31退租288个：36.156.36.0/24,36.156.32.128/27，剩余256个按退租邮件转BEC使用：36.156.58.0/24。
乙方免费提供1540个IPv4地址，  4段64位  的IPv6地址，超出部分的IPv4地址按照20元/个/月收取，超出部分的IPv6地址按照  0  收取。使用544，均免费</t>
  </si>
  <si>
    <t>存量资源：36.156.32.128/27；36.156.36.0/24。
乙方免费提供1540个IPv4地址，  4段64位  的IPv6地址，超出部分的IPv4地址按照20元/个/月收取，超出部分的IPv6地址按照  0  收取。使用544，均免费</t>
  </si>
  <si>
    <t>2022/7/31退租288个：36.156.36.0/24,36.156.32.128/27，剩余256个按退租邮件转BEC使用：36.156.58.0/24</t>
  </si>
  <si>
    <t>边缘计算新增：36.156.59.0/25;
乙方免费提供1540个IPv4地址，  4段64位  的IPv6地址，超出部分的IPv4地址按照20元/个/月收取，超出部分的IPv6地址按照  0  收取。1909配合边缘计算资源上线，新增384个IP</t>
  </si>
  <si>
    <t>边缘计算新增：36.156.37.0/24;
乙方免费提供1540个IPv4地址，  4段64位  的IPv6地址，超出部分的IPv4地址按照20元/个/月收取，超出部分的IPv6地址按照  0  收取。1909配合边缘计算资源上线，新增384个IP</t>
  </si>
  <si>
    <t>2022/7/31退租256个：36.156.37.0/24，剩余128个按退租邮件转BEC使用：36.156.59.0/25</t>
  </si>
  <si>
    <t>截止2022.7剩余使用512个，BEC使用：223.109.62.0/25(BEC IP) 36.156.58.0/24(BEC IP) 36.156.59.0/25(BEC IP);
YANGZ3CM边缘计算扩容，新增128个IP：223.109.62.0/25
202206累计使用1312，免费1540，均在免费范围</t>
  </si>
  <si>
    <t>BEC：2409:8C20:9C71:010D::/64</t>
    <phoneticPr fontId="3" type="noConversion"/>
  </si>
  <si>
    <t>L20220726003</t>
  </si>
  <si>
    <t>CDN使用，YANGZCACHE3FIDC-K-02，免费</t>
  </si>
  <si>
    <t>2023.4正式合同未包含免费机柜，放在临时合同计提</t>
  </si>
  <si>
    <t>扬州移动CDN-扬州汊河传输机房</t>
  </si>
  <si>
    <t>4芯</t>
  </si>
  <si>
    <t>扬州移动 B2回源光纤双路由：扬州移动CDN-扬州汊河传输机房</t>
  </si>
  <si>
    <t>L20221215014</t>
  </si>
  <si>
    <t>CDNYANGZCM</t>
  </si>
  <si>
    <t>YANGZCM1F-C-01、YANGZCM1F-C-02、YANGZCM1F-C-03、YANGZCM1F-C-04、YANGZCM1F-C-05</t>
  </si>
  <si>
    <t>2022/4/30 扬州移动节点全部退租。YANGZCM1F-C-01、YANGZCM1F-C-02、YANGZCM1F-C-03、YANGZCM1F-C-04、YANGZCM1F-C-05</t>
  </si>
  <si>
    <t>中国移动通信集团山东有限公司济南分公司</t>
  </si>
  <si>
    <t>济南移动</t>
  </si>
  <si>
    <t>L20230610003</t>
  </si>
  <si>
    <t xml:space="preserve">CDN机架 </t>
  </si>
  <si>
    <t>济南3移动</t>
    <phoneticPr fontId="3" type="noConversion"/>
  </si>
  <si>
    <t>CDNJNCM2</t>
  </si>
  <si>
    <t>7月30日新增4个机架，3KW</t>
  </si>
  <si>
    <t>8月9日关闭4个</t>
  </si>
  <si>
    <t>CDNJNCM</t>
  </si>
  <si>
    <t>JNCM2F-01A-01、JNCM2F-01A-02、JNCM2F-01A-03、JNCM2F-01A-04、JNCM2F-01A-05、JNCM2F-01A-06、JNCM2F-01A-07、JNCM2F-01A-08、JNCM2F-01A-09</t>
  </si>
  <si>
    <t>JNCM2F-01A-06,JNCM2F-01A-05,JNCM2F-01A-04,JNCM2F-01A-03,JNCM2F-01A-02,JNCM2F-01A-01,JNCM2F-01A-08,JNCM2F-01A-07,JNCM2F-01A-09</t>
  </si>
  <si>
    <t>济南移动二级</t>
  </si>
  <si>
    <t>2023.3经于SYS核对，调整机架编号，由JNCM2201-7-21、JNCM2201-7-20、JNCM2201-7-19、JNCM2201-7-18、JNCM2201-7-17、JNCM2201-7-16、JNCM2201-7-15调整为JNCM2201-8-21、JNCM2201-8-20、JNCM2201-8-19、JNCM2201-8-18、JNCM2201-8-17、JNCM2201-8-16、JNCM2201-8-15；JNCM2201-7-15、JNCM2201-7-16、JNCM2201-7-17、JNCM2201-7-18、JNCM2201-7-19、JNCM2201-7-20、JNCM2201-7-21、JNCM2201-6-18、JNCM2201-6-20、JNCM2201-6-19</t>
  </si>
  <si>
    <t>济南4移动</t>
  </si>
  <si>
    <t>JNCM502-W-10、JNCM502-W-11、JNCM502-W-12、JNCM502-W-13</t>
  </si>
  <si>
    <t>边缘计算8月9日新增机柜：JNCM502-W-14、JNCM502-W-15、JNCM502-W-16</t>
  </si>
  <si>
    <t>边缘计算2021年4月8日新增机柜，自4.12开始计费：BECJNCM502-10W-17</t>
  </si>
  <si>
    <t>JNCM502-W-13、JNCM502-W-10</t>
  </si>
  <si>
    <t>合同约定送1792个，超过30元/月/个。223.99.241.0/24;120.192.80.192/27;223.99.240.0/24</t>
  </si>
  <si>
    <t>223.99.240.0/24 223.99.241.0/24 120.192.80.192/27</t>
  </si>
  <si>
    <t>2023.10原计划退，后转CDN使用。合同约定送1792个，超过30元/月/个。BEC转CDN 384：120.221.147.0/24,120.221.144.128/25</t>
    <phoneticPr fontId="3" type="noConversion"/>
  </si>
  <si>
    <t>合同约定送1792个，超过30元/月/个。CDN使用288个：120.221.175.0/24;120.221.176.0/27</t>
    <phoneticPr fontId="3" type="noConversion"/>
  </si>
  <si>
    <t>BEC：2409:8C3C:0902:0000::/64</t>
    <phoneticPr fontId="3" type="noConversion"/>
  </si>
  <si>
    <t>合同约定送1792个，超过30元/月/个。120.221.138.0/24;120.221.157.128/27;120.221.136.0/24</t>
  </si>
  <si>
    <t>济南10移动</t>
  </si>
  <si>
    <t>CDNJNCM3</t>
  </si>
  <si>
    <t>【BEC新建】济南移动新建  (JN10CM)节点正式上线，IP免费。IPV4 224个：120.220.181.32/27，
120.220.181.64/26，
120.220.181.128/25；IPV6：2408:8719:409:: /48</t>
  </si>
  <si>
    <t>23A</t>
  </si>
  <si>
    <t>【BEC新建】济南移动新建  (JN10CM)节点正式上线，开通1个机柜：BECJN10CM-A1-502</t>
  </si>
  <si>
    <t>182315IDC00414</t>
  </si>
  <si>
    <t>济南移动回源</t>
  </si>
  <si>
    <t>2023.7调整单价。济南移动回源电路（光纤）续约，线路用于接入B2，节省回源带宽；山东省济南市高新区春晖路与科远路交叉路口东北角150米中国移动济南IDC数据中心-济南市经七纬五路75号泉景恒基308室</t>
  </si>
  <si>
    <t>传输机柜：JN2CM2F-E-22</t>
  </si>
  <si>
    <t>中国移动通信集团山东有限公司青岛分公司</t>
  </si>
  <si>
    <t>青岛移动</t>
  </si>
  <si>
    <t>L20230610004</t>
  </si>
  <si>
    <t>青岛4移动</t>
  </si>
  <si>
    <t>CDNQDCM</t>
  </si>
  <si>
    <t>QD4CMA1304-S-01、QD4CMA1304-S-02、QD4CMA1304-S-03、QD4CMA1304-S-04、QD4CMA1304-S-05、QD4CMA1304-S-06、QD4CMA1304-S-07、QD4CMA1304-S-08</t>
  </si>
  <si>
    <t>2021.7.31退租2个机柜
QD4CMA1304-S-08、QD4CMA1304-S-07</t>
  </si>
  <si>
    <t>QD4CMA1304-S-06</t>
  </si>
  <si>
    <t>2023.7原青岛4移动300G拆分为青岛4移动150G+青岛7移动150G，2个机柜由青岛4转到青岛7，同时更新机柜编号。QD4CMA1304-S-04、QD4CMA1304-S-05</t>
  </si>
  <si>
    <t>2023.7原青岛4移动300G拆分为青岛4移动150G+青岛7移动150G，同时更新机柜编号。更新前QD4CMA1304-S-01、QD4CMA1304-S-02、QD4CMA1304-S-03；更新后CDNQDCM:3F:304-S-CDN1、CDNQDCM:3F:304-S-CDN2、CDNQDCM:3F:304-S-CDN3</t>
  </si>
  <si>
    <t>L20230720004</t>
  </si>
  <si>
    <t>青岛7移动</t>
  </si>
  <si>
    <t>2023.7原青岛4移动300G拆分为青岛4移动150G+青岛7移动150G，同时更新机柜编号。CDNQDCM:3F:304-S-CDN4、CDNQDCM:3F:304-S-CDN5</t>
  </si>
  <si>
    <t>2023.7原青岛4移动300G拆分为青岛4移动150G+青岛7移动150G，新增机柜CDNQDCM:3F:304-S-CDN6</t>
  </si>
  <si>
    <t>青岛移动二级</t>
  </si>
  <si>
    <t>青岛2移动二级</t>
    <phoneticPr fontId="3" type="noConversion"/>
  </si>
  <si>
    <t>CDNQDCM2</t>
  </si>
  <si>
    <t>QD2CMA1L4F-11N-5、QD2CMA1L4F-11N-6、QD2CMA1L4F-11N-7、QD2CMA1L4F-11N-8</t>
  </si>
  <si>
    <t>每万兆送64个IP，共开通600G，送3840个，超出单价50元。120.221.242.0/24;120.221.243.0/24;120.221.233.64/27</t>
  </si>
  <si>
    <t>120.221.243.0/24</t>
  </si>
  <si>
    <t>【CDN退租】CDN山东青岛移动退租信息 (QD4CM)：120.221.242.128/25。退租后IP剩余160个，IP段为：120.221.242.0/25、120.221.233.64/27</t>
  </si>
  <si>
    <t>【CDN新建】山东青岛移动  新建150G  2023-07-14 节点正式上线  (QD7CM)：120.221.243.0/25、120.221.243.128/27</t>
  </si>
  <si>
    <t>【CDN新建】山东青岛移动  新建150G  2023-07-14 节点正式上线  (QD7CM)：2409:8C3C:1300:0003::/64</t>
  </si>
  <si>
    <t>青岛2移动二级</t>
  </si>
  <si>
    <t>每万兆送64个IP，共开通600G，送3840个，超出单价50元。2021-2-1开通200G带宽，288个IP免费。120.222.198.0/24 120.221.94.96/27</t>
  </si>
  <si>
    <t>L20230318001</t>
  </si>
  <si>
    <t>青岛三级移动</t>
  </si>
  <si>
    <t>2023.3与SYS核对后，补录青岛移动三线IP资源： 120.220.219.0/24。
2409:8C3C:0A00:0125::/64</t>
    <phoneticPr fontId="3" type="noConversion"/>
  </si>
  <si>
    <t>中国移动通信集团山东有限公司潍坊分公司</t>
  </si>
  <si>
    <t>潍坊移动</t>
  </si>
  <si>
    <t>L20230610001</t>
  </si>
  <si>
    <t>潍坊</t>
  </si>
  <si>
    <t>潍坊3移动</t>
  </si>
  <si>
    <t>CDNWFCM</t>
  </si>
  <si>
    <t>【BEC新建】潍坊移动增量600G 2023-2-1节点正式上线  (WF3CM)：120.220.130.0/24
120.220.131.0/24
120.220.132.0/24
120.220.133.0/24
120.220.134.0/24
120.220.135.0/24
2409:8c3c:3600:100::/56</t>
  </si>
  <si>
    <t>【BEC退租】BEC山东省潍坊市移动退租信息(WF3CM)：IPV4：120.220.133.0/24、120.220.135.0/24
IPV6:2409:8c3c:3600:0108::/61</t>
  </si>
  <si>
    <t>BEC：2409:8c3c:3600:180::/57,2409:8c3c:3600:120::/59,2409:8c3c:3600:110::/60,2409:8c3c:3600:100::/61,2409:8c3c:3600:140::/58</t>
    <phoneticPr fontId="3" type="noConversion"/>
  </si>
  <si>
    <t>L20230721001</t>
  </si>
  <si>
    <t>CDN 机架</t>
  </si>
  <si>
    <t>2023.7经与SYS核对，更新机柜数量和编号【BEC新建】潍坊移动增量600G 2023-2-1节点正式上线  (WF3CM)：CDNWFCM:A1:401-07-BECA16、CDNWFCM:A1:401-07-BECA17、CDNWFCM:A1:401-07-BECA19</t>
  </si>
  <si>
    <t>2023.7经与SYS核对，CDNWFCM:A1:401-07-BECA19退租</t>
  </si>
  <si>
    <t>L20230514003</t>
  </si>
  <si>
    <t>潍坊4移动</t>
  </si>
  <si>
    <t>【BEC-新建】潍坊移动 新建200G 2023-05-01 节点正式上线 (WF4CM)，新增512个IP：120.220.136.0/24  、120.220.137.0/24</t>
  </si>
  <si>
    <t>中国移动通信集团山东有限公司淄博分公司</t>
  </si>
  <si>
    <t>淄博移动</t>
  </si>
  <si>
    <t>L20230711004</t>
  </si>
  <si>
    <t>淄博</t>
  </si>
  <si>
    <t>淄博三级移动</t>
  </si>
  <si>
    <t>CDNZBIX</t>
  </si>
  <si>
    <t>22A</t>
  </si>
  <si>
    <t>【CDN新建】山东淄博三级移动新建200G  2023-04-06 节点正式上线  (ZBIXCM)：ZBIXCM:2F:202-03-CDN01 移动合规机柜</t>
    <phoneticPr fontId="3" type="noConversion"/>
  </si>
  <si>
    <t>【CDN新建】山东淄博三级移动新建200G  2023-04-06 节点正式上线  (ZBIXCM)，新增512个IP：120.220.26.0/24，120.220.57.0/24。超出免费额度，每个50元。</t>
    <phoneticPr fontId="3" type="noConversion"/>
  </si>
  <si>
    <t>L20221215016</t>
  </si>
  <si>
    <t>上海4移动</t>
  </si>
  <si>
    <t>CDNSHCM2</t>
  </si>
  <si>
    <t>2023.10调整单价。上海上海移动 增量100G完成业务测试，已于2020-06-28开始正式切流量上线,2020.6.29开始计费
SH2CM1F102-10-1、SH2CM1F102-10-2、SH2CM1F102-10-3</t>
    <phoneticPr fontId="3" type="noConversion"/>
  </si>
  <si>
    <t>合同已预审，待需求审批通过后，可提交合同</t>
    <phoneticPr fontId="3" type="noConversion"/>
  </si>
  <si>
    <t>2023.10调整单价。SH2CM1F102-10-2、SH2CM1F102-10-3</t>
    <phoneticPr fontId="3" type="noConversion"/>
  </si>
  <si>
    <t>2023.10调整单价。2022.9开始机柜数量剩余1个，可送16个IP，使用160个：117.185.135.0/25,117.135.164.64/27，收费144个。
2022/8/31退租128个 IP 地址：117.185.135.128/25。2022.9开始使用1个机柜，每机柜送16个IP，使用160个，收费144个，免费16个。
存量使用288个IP,每机柜送16个，3个机柜送48个，收费240个：117.185.135.0/24 117.135.164.64/27
上海上海移动 增量100G完成业务测试，已于2020-06-28开始正式切流量上线。</t>
    <phoneticPr fontId="3" type="noConversion"/>
  </si>
  <si>
    <t>2023.10调整单价。2022.9开始机柜数量剩余1个，可送16个IP，使用160个：117.185.135.0/25,117.135.164.64/27，收费144个。
2022/8/31退租128个 IP 地址：117.185.135.128/25。2022.9开始使用1个机柜，每机柜送16个IP，使用160个，收费144个，免费16个。</t>
    <phoneticPr fontId="3" type="noConversion"/>
  </si>
  <si>
    <t>2023.10调整单价。2022.9开始机柜数量剩余1个，可送16个IP，使用160个：117.185.135.0/25,117.135.164.64/27，收费144个。
2022/8/31退租128个 IP 地址：117.185.135.128/25。
2022.9开始使用1个机柜，每机柜送16个IP，使用160个，收费144个，免费16个。</t>
    <phoneticPr fontId="3" type="noConversion"/>
  </si>
  <si>
    <t>中国移动通信集团浙江有限公司杭州分公司</t>
    <phoneticPr fontId="3" type="noConversion"/>
  </si>
  <si>
    <t>杭州移动</t>
  </si>
  <si>
    <t>L20230604007</t>
  </si>
  <si>
    <t>CDNHZCM</t>
  </si>
  <si>
    <t>111.1.52.0/25。每万兆送32个，CDNSSL共110G，共送352个。CDN实际使用384个，免费352，收费32个
2021年合同约定乙方IP地址按照每万兆赠送32个，超出部分的IP地址按照 50 元/个/月收取</t>
    <phoneticPr fontId="3" type="noConversion"/>
  </si>
  <si>
    <t>中国移动通信集团浙江有限公司杭州分公司</t>
  </si>
  <si>
    <t>112.17.3.128/25。每万兆送32个，CDNSSL共110G，共送352个。CDN实际使用384个，免费352，收费32个
2021年合同约定乙方IP地址按照每万兆赠送32个，超出部分的IP地址按照 50 元/个/月收取</t>
    <phoneticPr fontId="3" type="noConversion"/>
  </si>
  <si>
    <t>117.148.160.0/25（BEC）。每万兆送32个，CDNSSL共110G，共送352个。CDN实际使用384个，免费352，收费32个
2021年合同约定乙方IP地址按照每万兆赠送32个，超出部分的IP地址按照 50 元/个/月收取</t>
    <phoneticPr fontId="3" type="noConversion"/>
  </si>
  <si>
    <t>杭州移动边缘计算节点新申请（扩容）1个机架，128个IP于2021-04-15正式开通，从2021/5/1开始计费：
117.148.160.128/25</t>
  </si>
  <si>
    <t xml:space="preserve">浙江杭州移动边缘计算节点扩容（HZCM）新增128个IP，于2021-08-30上线，2021-9-1开始计费：112.13.64.128/25
</t>
  </si>
  <si>
    <t>【BEC退租】BEC浙江杭州移动退租384个IP (HZCM)：112.13.64.128/25、117.148.160.0/25、117.148.160.128/25。其中退租收费288个，退租免费96个</t>
    <phoneticPr fontId="3" type="noConversion"/>
  </si>
  <si>
    <t>BEC：2409:8C28:0801:0014::/64</t>
    <phoneticPr fontId="3" type="noConversion"/>
  </si>
  <si>
    <t>【BEC退租】BEC浙江杭州移动退租IPV6 (HZCM)：2409:8C28:0801:0014::/64</t>
    <phoneticPr fontId="3" type="noConversion"/>
  </si>
  <si>
    <t>L20230610011</t>
  </si>
  <si>
    <t>HZCM4F-J-03、HZCM4F-J-04、HZCM4F-J-05、HZCM4F-J-06</t>
    <phoneticPr fontId="3" type="noConversion"/>
  </si>
  <si>
    <t>2021.9存量机架编号变更，变更之后为：BECHZCM4F-J-06、BECHZCM4F-J-07(SYS记录为BEC使用)
2019.12新增边缘计算：BECHZCM4F-J-08、BECHZCM4F-J-09。边缘计算使用的IP运营商账单不收费，202002删除了计提行</t>
    <phoneticPr fontId="3" type="noConversion"/>
  </si>
  <si>
    <t>2021.9存量机架编号变更，变更之后为：BECHZCM4F-J-14
2021.5杭州移动边缘计算节点新申请（扩容）1个机架，128个IP于2021-04-15正式开通，从2021/5/1开始计费：
BECHZCM4F-J-16(SYS记录为BEC使用)</t>
    <phoneticPr fontId="3" type="noConversion"/>
  </si>
  <si>
    <t xml:space="preserve">浙江杭州移动边缘计算节点扩容（HZCM）新增2个机柜，于2021-08-30上线，2021-9-1开始计费：BECHZCM4F-J-10,
BECHZCM4F-J-09(SYS记录为BEC使用)
</t>
    <phoneticPr fontId="3" type="noConversion"/>
  </si>
  <si>
    <t>【BEC退租】BEC浙江杭州移动退租机柜 (HZCM)：BECHZCM4F-J-09、BECHZCM4F-J-06、BECHZCM4F-J-07、BECHZCM4F-J-10、BECHZCM4F-J-14（退租邮件中编号为BECHZCM4F-J-16，对应IDC平台侧BECHZCM4F-J-14）</t>
    <phoneticPr fontId="3" type="noConversion"/>
  </si>
  <si>
    <t>杭州4移动</t>
  </si>
  <si>
    <t>CDNHZCM2</t>
  </si>
  <si>
    <t>边缘计算使用544个，39.173.184.0/24  39.173.185.0/24 117.147.217.96/27</t>
  </si>
  <si>
    <t>【BEC扩容】BEC浙江杭州移动扩容300G 2023-5-30 节点正式上线 (BECHZ4CM)，从6.8计费，新增960个IPV4：
39.173.186.0/24
39.173.187.0/24
39.173.188.0/24
39.173.191.0/25
39.173.191.128/26</t>
  </si>
  <si>
    <t>边缘计算，IPV6: 2409:8c28:0600:0300::/56；
2409:8c28:0600:0400::/56；</t>
  </si>
  <si>
    <t>【BEC扩容】BEC浙江杭州移动扩容300G 2023-5-30 节点正式上线 (BECHZ4CM)，从6.8计费，新增IPV6：
2409:8C28:0600:0500::/56
2409:8C28:0600:0600::/56
2409:8C28:0600:0700::/56</t>
  </si>
  <si>
    <t>边缘计算，BECHZ4CM-4-J10</t>
  </si>
  <si>
    <t>中国移动通信集团浙江有限公司嘉兴分公司</t>
  </si>
  <si>
    <t>嘉兴移动</t>
  </si>
  <si>
    <t>182115IDC00160</t>
  </si>
  <si>
    <t xml:space="preserve">嘉兴 </t>
  </si>
  <si>
    <t>CDNJIAXCM</t>
  </si>
  <si>
    <t>每万兆赠送32个IP，共送384个。实际使用384个
2022/4/30退租后送256个，收费128个
183.246.188.0/24 183.246.189.0/27
乙方IP地址按照每万兆赠送32个，超出部分的IPv4地址按照 50 元/个/月收取</t>
  </si>
  <si>
    <t xml:space="preserve">2022/5/31 节点退租：183.246.188.0/24
183.246.189.0/25 </t>
  </si>
  <si>
    <t>嘉兴</t>
  </si>
  <si>
    <t>浙江嘉兴移动 增量120G，新增4个机柜，2020-01-01开始正式切流量上线：JIAX4FIDC-C-15、JIAX4FIDC-C-16、JIAX4FIDC-C-17、JIAX4FIDC-C-18</t>
  </si>
  <si>
    <t>2022/5/31 节点退组：JIAX4FIDC-C-15、JIAX4FIDC-C-16、JIAX4FIDC-C-17、JIAX4FIDC-C-18</t>
  </si>
  <si>
    <t>中国移动通信集团浙江有限公司金华分公司</t>
  </si>
  <si>
    <t>金华移动</t>
  </si>
  <si>
    <t>182315IDC00484</t>
  </si>
  <si>
    <t>金华</t>
  </si>
  <si>
    <t>CDNJHCM</t>
  </si>
  <si>
    <t>截止2022.9.15金华移动带宽总量90G，可送288个IP，CDN SSL合计使用672个，SSL收费384个，SSL免费128个，CDN 160个均免费。223.95.34.0/24;111.2.123.0/27</t>
  </si>
  <si>
    <t>截止2022.9.15金华移动带宽总量90G，可送288个IP，CDN SSL合计使用672个，SSL收费384个，SSL免费128个，CDN 160个均免费。
2022/5/31节点退租：223.95.34.0/24 111.2.123.0/27</t>
  </si>
  <si>
    <t>金华2移动</t>
  </si>
  <si>
    <t>CDNJHCM2</t>
  </si>
  <si>
    <t>2023.8经与SYS核对，更新IP段金华2使用160个IP：117.147.213.0/25,117.147.212.0/27。
截止2022.9.15金华移动带宽总量90G，可送288个IP，CDN SSL合计使用672个，SSL收费384个，SSL免费128个，CDN 160个均免费。223.95.34.0/24;111.2.123.0/27
2020.5.19JH2CM使用288个IP:117.147.213.0/24 117.147.212.0/27
2021年合同约定乙方IP地址按照每万兆赠送32个IPv4地址， 10段/64位 的IPv6地址，超出部分的IPv4地址按照50元/个/月收取</t>
    <phoneticPr fontId="3" type="noConversion"/>
  </si>
  <si>
    <t>金华移动SSL</t>
  </si>
  <si>
    <t>SSLJHCM</t>
  </si>
  <si>
    <t>截止2022.9.15金华移动带宽总量90G，可送288个IP，CDN SSL合计使用672个，SSL收费384个，SSL免费128个，CDN 160个均免费：117.147.214.0/24, 117.147.215.0/24
2021年合同约定乙方IP地址按照每万兆赠送32个IPv4地址， 10段/64位 的IPv6地址，超出部分的IPv4地址按照50元/个/月收取</t>
  </si>
  <si>
    <t>截止2022.9.15金华移动带宽总量90G，可送288个IP，CDN SSL合计使用672个，SSL收费384个，SSL免费128个，CDN 160个均免费。223.95.34.0/24;111.2.123.0/27。2021.6与SSL核对使用512个IP，均免费：117.147.214.0/24, 117.147.215.0/24
2021年合同约定乙方IP地址按照每万兆赠送32个IPv4地址， 10段/64位 的IPv6地址，超出部分的IPv4地址按照50元/个/月收取</t>
  </si>
  <si>
    <t>20221130退租</t>
  </si>
  <si>
    <t>20221130退租。剩余160个117.147.213.0/25 117.147.212.0/27</t>
  </si>
  <si>
    <t>JHCM6F-L-11、JHCM6F-L-10、JHCM6F-L-09、JHCM6F-L-08、JHCM6F-L-07、JHCM6F-L-13、JHCM6F-L-12</t>
  </si>
  <si>
    <t>2022/5/31节点退租：JHCM6F-L-11、JHCM6F-L-10、JHCM6F-L-09、JHCM6F-L-08、JHCM6F-L-07、JHCM6F-L-13、JHCM6F-L-12</t>
  </si>
  <si>
    <t>13A</t>
    <phoneticPr fontId="3" type="noConversion"/>
  </si>
  <si>
    <t>D012F204-E-01、D012F204-E-03、D012F204-E-02、D012F204-E-05、D012F204-E-04、D012F204-E-06</t>
  </si>
  <si>
    <t>D012F204-E-04、D012F204-E-05、D012F204-E-06</t>
    <phoneticPr fontId="3" type="noConversion"/>
  </si>
  <si>
    <t xml:space="preserve">2020.8SYS更正开通数量为2个：JHCM204-E-07、JHCM204-E-08
</t>
  </si>
  <si>
    <t>JHCM204-E-09</t>
  </si>
  <si>
    <t>20221130退租。JHCM204-E-07
JHCM204-E-08
JHCM204-E-09</t>
  </si>
  <si>
    <t>中国移动通信集团浙江有限公司丽水分公司</t>
  </si>
  <si>
    <t>丽水移动</t>
  </si>
  <si>
    <t>182115IDC00161</t>
  </si>
  <si>
    <t>丽水2移动</t>
  </si>
  <si>
    <t>CDNLSCM</t>
  </si>
  <si>
    <t>2022.6带宽60G，每万兆赠送32个IP，送192个IP。实际使用288个，收费96个
112.15.254.0/24 117.147.159.192/27。2021年合同约定乙方IP地址按照每万兆赠送32个IPv4地址， 10段/64位 的IPv6地址，超出部分的IPv4地址按照50元/个/月收取</t>
  </si>
  <si>
    <t>2022/7/31 节点退租。112.15.254.0/24 117.147.159.192/27</t>
  </si>
  <si>
    <t>LS2CM5F-C-09、LS2CM5F-C-10、LS2CM5F-C-11</t>
    <phoneticPr fontId="3" type="noConversion"/>
  </si>
  <si>
    <t>LS2CM5F-C-22、LS2CM5F-C-23</t>
    <phoneticPr fontId="3" type="noConversion"/>
  </si>
  <si>
    <t>2022/7/31 节点退租。LS2CM5F-C-09,LS2CM5F-C-10,LS2CM5F-C-11,LS2CM5F-C-22,LS2CM5F-C-23</t>
  </si>
  <si>
    <t>中国移动通信集团浙江有限公司宁波分公司</t>
  </si>
  <si>
    <t>宁波移动</t>
  </si>
  <si>
    <t>182115IDC00162</t>
  </si>
  <si>
    <t>鄞州机房</t>
  </si>
  <si>
    <t>CDNNBCM</t>
  </si>
  <si>
    <t>2022.6宁波移动80G，可送256个IP，使用288个，收费32个：120.199.69.0/24;120.199.94.160/27。每万兆互联网接入带宽包含 32  个IPv4地址，包含 1段 /64  的IPv6地址，超出部分的IPv4地址按照  50 元/个/月收取</t>
  </si>
  <si>
    <t>202207宁波移动80G，可送256个IP，使用288个，收费32个：120.199.69.0/24;120.199.94.160/27。每万兆互联网接入带宽包含 32  个IPv4地址，包含 1段 /64  的IPv6地址，超出部分的IPv4地址按照  50 元/个/月收取</t>
  </si>
  <si>
    <t>2022/7/31 宁波二级移动节点下线。120.199.69.0/24 120.199.94.160/27</t>
  </si>
  <si>
    <t>宁波杭州湾</t>
  </si>
  <si>
    <t>宁波2移动</t>
  </si>
  <si>
    <t>XACDNNBCM</t>
  </si>
  <si>
    <t>使用288个IP：111.1.162.128/27;111.1.163.0/24
2021年合同约定乙方每万兆互联网接入带宽包含 32  个IPv4地址，包含 1段 /64  的IPv6地址，超出部分的IPv4地址按照  50 元/个/月收取</t>
  </si>
  <si>
    <t>2022/4/30宁波2移动全部退租：使用288个IP：111.1.162.128/27;111.1.163.0/24
2021年合同约定乙方每万兆互联网接入带宽包含 32  个IPv4地址，包含 1段 /64  的IPv6地址，超出部分的IPv4地址按照  50 元/个/月收取</t>
  </si>
  <si>
    <t>NBCM7F-I-06、NBCM7F-I-07、NBCM7F-I-08、NBCM7F-I-09、NBCM7F-I-10、NBCM7F-I-11、NBCM7F-I-12、NBCM7F-I-13</t>
  </si>
  <si>
    <t>2022/7/31 宁波二级移动节点下线。NBCM7F-I-06、NBCM7F-I-07、NBCM7F-I-08、NBCM7F-I-09、NBCM7F-I-10、NBCM7F-I-11、NBCM7F-I-12、NBCM7F-I-13</t>
  </si>
  <si>
    <t>NBCM4F-A-18、NBCM4F-A-19、NBCM4F-A-20、NBCM4F-A-21</t>
  </si>
  <si>
    <t>2022/4/30宁波2移动全部退租：NBCM4F-A-18、NBCM4F-A-19、NBCM4F-A-20、NBCM4F-A-21</t>
  </si>
  <si>
    <t>中国移动通信集团浙江有限公司衢州分公司</t>
  </si>
  <si>
    <t>衢州移动</t>
  </si>
  <si>
    <t>182315IDC00488</t>
  </si>
  <si>
    <t>衢州</t>
  </si>
  <si>
    <t>CDNQUZHOUCM</t>
  </si>
  <si>
    <t>20230401开始计费，在用700个，183.246.192.0/25
111.3.72.144/28
111.3.72.160/27
111.3.72.240/29
39.174.97.0/25
39.174.97.128/27
39.173.65.0/24
39.173.66.0/26
111.3.72.192/31
111.3.72.194/31
111.3.72.196/30
111.3.72.200/29
111.3.72.208/28
111.3.72.248/30</t>
    <phoneticPr fontId="3" type="noConversion"/>
  </si>
  <si>
    <t>182315IDC00488，合同还未生效</t>
    <phoneticPr fontId="3" type="noConversion"/>
  </si>
  <si>
    <t>20230401开始计费，2409:8C28:7CE0:0100::/56
2409:8C28:7CE0:0200::/56</t>
    <phoneticPr fontId="3" type="noConversion"/>
  </si>
  <si>
    <t>L20230418001</t>
  </si>
  <si>
    <t>2023.9经与SYS核对，更新机柜编号，更新后QUZ-BY2F-D-09，更新前2FD09-D-BEC09</t>
    <phoneticPr fontId="3" type="noConversion"/>
  </si>
  <si>
    <t>2023.10修改电流后关联182315IDC00488</t>
    <phoneticPr fontId="3" type="noConversion"/>
  </si>
  <si>
    <t>中国移动通信集团浙江有限公司绍兴分公司</t>
  </si>
  <si>
    <t>绍兴移动</t>
  </si>
  <si>
    <t>L20230805006</t>
    <phoneticPr fontId="3" type="noConversion"/>
  </si>
  <si>
    <t>绍兴</t>
  </si>
  <si>
    <t>绍兴3移动</t>
  </si>
  <si>
    <t>CDNSHAOXCM3</t>
  </si>
  <si>
    <t>【BEC新建】绍兴移动新建(SHAOX3CM)：使用384个IP，每万兆送32个，可送640个：111.0.17.0/24
111.0.18.0/26
111.0.18.64/26</t>
    <phoneticPr fontId="3" type="noConversion"/>
  </si>
  <si>
    <t>182215IDC00611，有效期至2023-09-01</t>
    <phoneticPr fontId="3" type="noConversion"/>
  </si>
  <si>
    <t>【BEC新建】绍兴移动新建(SHAOX3CM)
IPV6：2409:8C28:6092:0000::/64  
2409:8C28:6092:0001::/64</t>
    <phoneticPr fontId="3" type="noConversion"/>
  </si>
  <si>
    <t>【BEC新建】绍兴移动新建(SHAOX3CM)：BECSHAOX3CM-B-01、BECSHAOX3CM-B-02、BECSHAOX3CM-B-03、BECSHAOX3CM-B-04、BECSHAOX3CM-B-05、BECSHAOX3CM-B-06、BECSHAOX3CM-B-07、BECSHAOX3CM-B-08、BECSHAOX3CM-B-12</t>
  </si>
  <si>
    <t>中国移动通信集团浙江有限公司台州分公司</t>
  </si>
  <si>
    <t>台州移动</t>
  </si>
  <si>
    <t>182315IDC00549</t>
  </si>
  <si>
    <t>台州</t>
  </si>
  <si>
    <t>台州2移动</t>
  </si>
  <si>
    <t>CDNTZCM</t>
  </si>
  <si>
    <t>截止2023.8 CDN剩余IP160个：117.148.190.96/27；39.175.100.0/25。
2023.5台州2+台州3共380G，每万兆送32个，可送1216个，使用1440个，收费224个。2020/5/14开通。每万兆送32个IP，开通340G共送1088个，340G使用544个，均免费
39.175.100.0/24 39.175.101.0/24 117.148.190.96/27
2021年合同约定：乙方IP地址按照每万兆赠送32个，超出部分的IPv4地址按照  50 元/个/月收取</t>
    <phoneticPr fontId="3" type="noConversion"/>
  </si>
  <si>
    <t>截止2023.8 CDN剩余IP160个：117.148.190.96/27；39.175.100.0/25。
2023.5台州2+台州3共380G，每万兆送32个，可送1216个，使用1440个，收费224个。2022/7/31退租：39.175.100.128/25 39.175.101.0/24</t>
    <phoneticPr fontId="3" type="noConversion"/>
  </si>
  <si>
    <t xml:space="preserve">截止2023.8 CDN剩余IP160个：117.148.190.96/27；39.175.100.0/25。
2023.5台州2+台州3共380G，每万兆送32个，可送1216个，使用1440个，收费224个。2022/7/31退租：39.175.100.128/25 39.175.101.0/24.剩余39.175.100.0/25 117.148.190.96/27 </t>
    <phoneticPr fontId="3" type="noConversion"/>
  </si>
  <si>
    <t>TZ2CM5F-M-01、TZ2CM5F-M-02、TZ2CM5F-M-03、TZ2CM5F-M-04、TZ2CM5F-M-05、TZ2CM5F-M-06、TZ2CM5F-M-07、TZ2CM5F-M-08、TZ2CM5F-M-09、TZ2CM5F-M-10</t>
  </si>
  <si>
    <t>TZ2CM扩容1个机柜：TZ2CM5F-I-10</t>
  </si>
  <si>
    <t>TZ2CM5F-M-06、TZ2CM5F-M-07、TZ2CM5F-M-08、TZ2CM5F-M-09、TZ2CM5F-M-10、TZ2CM5F-I-10</t>
  </si>
  <si>
    <t>TZ2CM5F-M-04,TZ2CM5F-M-05</t>
  </si>
  <si>
    <t>L20230610009</t>
  </si>
  <si>
    <t>台州3移动</t>
  </si>
  <si>
    <t xml:space="preserve">2023.5台州2+台州3共380G，每万兆送32个，可送1216个，使用1440个，收费224个。【BEC新建】台州移动 (TZ3CM)：新增1024个IP，每万兆送32个，可送832个，收费192个：39.175.114.64/26
39.175.114.128/25
39.175.96.0/26
39.175.99.0/24
39.175.97.0/24
39.175.112.0/24
IPV6：2409:8C28:90A0:0005::/64
</t>
    <phoneticPr fontId="3" type="noConversion"/>
  </si>
  <si>
    <t>2022.10调整计费时间为9.1。【BEC新建】台州移动 (TZ3CM)：新增BECTZ3CM5F-L-14为收费机柜</t>
  </si>
  <si>
    <t>L20221229001</t>
  </si>
  <si>
    <t>2022.10调整计费时间为9.1。【BEC新建】台州移动 (TZ3CM)：BECTZ3CM5F-K-04为客户机柜，不计费，但由于百度设备放在该机架上，故计提在临时合同上进行管理</t>
    <phoneticPr fontId="3" type="noConversion"/>
  </si>
  <si>
    <t>L20230426003</t>
  </si>
  <si>
    <t>2023.5台州2+台州3共380G，每万兆送32个，可送1216个，使用1440个，收费224个。边缘计算。39.175.113.0/24</t>
    <phoneticPr fontId="3" type="noConversion"/>
  </si>
  <si>
    <t>中国移动通信集团浙江有限公司温州分公司</t>
  </si>
  <si>
    <t>温州移动</t>
  </si>
  <si>
    <t>182315IDC00485</t>
  </si>
  <si>
    <t>温州2移动</t>
  </si>
  <si>
    <t>CDNWZCM</t>
  </si>
  <si>
    <t>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t>
    <phoneticPr fontId="3" type="noConversion"/>
  </si>
  <si>
    <t xml:space="preserve">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
</t>
    <phoneticPr fontId="3" type="noConversion"/>
  </si>
  <si>
    <t>截止2023.8CDN使用IP 160个：112.16.240.0/25,117.149.239.64/27。
2022/7/31退租：112.16.240.128/25，112.16.241.0/24</t>
    <phoneticPr fontId="3" type="noConversion"/>
  </si>
  <si>
    <t>截止2023.8CDN使用IP 160个：112.16.240.0/25,117.149.239.64/27。
2022/7/31退租：112.16.240.128/25，112.16.241.0/24.</t>
    <phoneticPr fontId="3" type="noConversion"/>
  </si>
  <si>
    <t>WZ2CM1H2F-D-12,WZ2CM1H2F-D-13,WZ2CM1H2F-D-14,WZ2CM1H2F-D-15,WZ2CM1H2F-D-16,WZ2CM1H2F-D-17,WZ2CM1H2F-D-18,WZ2CM1H2F-D-19,WZ2CM1H2F-D-20</t>
  </si>
  <si>
    <t>WZ2CM退租机柜：WZ2CM1H2F-D-16,WZ2CM1H2F-D-17,WZ2CM1H2F-D-18,WZ2CM1H2F-D-19,WZ2CM1H2F-D-20</t>
  </si>
  <si>
    <t>WZ2CM1H2F-D-14,WZ2CM1H2F-D-15</t>
  </si>
  <si>
    <t>中国移动通信集团浙江有限公司舟山分公司</t>
  </si>
  <si>
    <t>舟山移动</t>
  </si>
  <si>
    <t>L20230511011</t>
  </si>
  <si>
    <t>舟山</t>
  </si>
  <si>
    <t>CDNZHOUSCM</t>
  </si>
  <si>
    <t>2023.7经于BEC核对，变更IP为224个，IP段为：39.174.57.0/26、39.174.57.64/26、39.174.57.128/26。
每万兆赠送32个，共送768个。【BEC新建】舟山移动新建：39.174.57.0/24、39.174.58.0/27；IPV6：2409:8C28:88F1:0000::/56</t>
    <phoneticPr fontId="3" type="noConversion"/>
  </si>
  <si>
    <t>【BEC新建】舟山移动新建240G 2022-05-16建设侧正式交付 (ZHOUSCM)，新开IPV6：2409:8C28:88F1:0000::/56</t>
  </si>
  <si>
    <t>送10段/64位 的IPv6地址</t>
  </si>
  <si>
    <t>【BEC新建】舟山移动新建240G，使用5个机柜：BECZHOUSCM-4F-B08、BECZHOUSCM-4F-C01、BECZHOUSCM-4F-C02、BECZHOUSCM-4F-C03、BECZHOUSCM-4F-C04</t>
    <phoneticPr fontId="3" type="noConversion"/>
  </si>
  <si>
    <t>中国有线电视网络有限公司</t>
  </si>
  <si>
    <t>中国有线</t>
  </si>
  <si>
    <t>182115IDC00356</t>
  </si>
  <si>
    <t xml:space="preserve"> 北京百度科技园BJKJY/北京百度酒仙桥M1-山西阳泉云计算基地YQ01</t>
  </si>
  <si>
    <t>不大于24000G</t>
  </si>
  <si>
    <t>北京百度科技园BJKJY/北京百度酒仙桥M1-山西阳泉云计算基地YQ01，带宽量不超过2.4T</t>
  </si>
  <si>
    <t>182115IDC00394</t>
  </si>
  <si>
    <t>上海市静安区江场西路387号数据港大厦-江苏省苏州市虎丘区金沙江路和吕梁山路交叉口东北角太湖机房中国电信太湖国际信息中心</t>
  </si>
  <si>
    <t>7200G</t>
  </si>
  <si>
    <t>2021.9开始，之前计提的4个机架改为按电路计提。A端：上海市静安区江场西路387号数据港大厦；Z端：江苏省苏州市虎丘区金沙江路和吕梁山路交叉口东北角太湖机房中国电信太湖国际信息中心
机架关联在L20210927002上</t>
  </si>
  <si>
    <t>ZYT202309250053</t>
  </si>
  <si>
    <t>每月正预提电路24000</t>
  </si>
  <si>
    <t>182315IDC00027</t>
  </si>
  <si>
    <t>亦庄日上-河北固安</t>
  </si>
  <si>
    <t>800G</t>
  </si>
  <si>
    <t>2023.1按预审合同调整单价。亦庄日上-河北固安</t>
  </si>
  <si>
    <t>河北固安-大兴星光影视</t>
  </si>
  <si>
    <t>2022.11调整计提主体，中信调为有线。固安-星光影视</t>
  </si>
  <si>
    <t>中金汇融（昆山）信息科技有限公司</t>
  </si>
  <si>
    <t>中金昆山</t>
  </si>
  <si>
    <t>182215IDC00134</t>
  </si>
  <si>
    <t>苏州中金一期（SZZJ3D2 SZZJ3D3 SZZJ3D4）</t>
  </si>
  <si>
    <t>SZZJ</t>
  </si>
  <si>
    <t>2021/9/15开通，9月计费16天：SZZJ3D401E-I-01、SZZJ3D402E-A-09、SZZJ3D402E-B-09、SZZJ3D402E-G-08、SZZJ3D402E-G-09、SZZJ3D402E-G-12、SZZJ3D402E-G-13、SZZJ3D402E-G-14、SZZJ3D402E-G-15、SZZJ3D402E-H-01、SZZJ3D402E-H-02、SZZJ3D402E-H-06、SZZJ3D402E-H-07、SZZJ3D402E-H-08、SZZJ3D402E-H-09、SZZJ3D402E-H-12、SZZJ3D402E-H-13、SZZJ3D402E-H-14、SZZJ3D402E-H-15、SZZJ3D403E-A-01、SZZJ3D403E-B-01、SZZJ3D403E-C-01、SZZJ3D403E-D-01、SZZJ3D403E-G-01、SZZJ3D403E-G-09、SZZJ3D403E-G-10、SZZJ3D403E-G-11、SZZJ3D403E-G-12、SZZJ3D403E-H-01、SZZJ3D403E-H-09、SZZJ3D403E-H-10、SZZJ3D403E-H-11、SZZJ3D403E-H-12、SZZJ3D404E-I-16、SZZJ3D402E-C-09、SZZJ3D402E-D-09、SZZJ3D402E-E-09、SZZJ3D402E-F-09、SZZJ3D402E-G-02、SZZJ3D402E-G-03、SZZJ3D402E-G-04、SZZJ3D402E-G-05、SZZJ3D402E-G-06、SZZJ3D402E-G-07、SZZJ3D402E-H-04、SZZJ3D402E-H-05、SZZJ3D403E-E-01、SZZJ3D403E-F-01、SZZJ3D301E-I-01、SZZJ3D302E-I-16、SZZJ3D403E-G-08、SZZJ3D403E-H-08</t>
  </si>
  <si>
    <t>2021/9/15开通，9月计费16天：SZZJ3D401E-B-15、SZZJ3D401E-B-16、SZZJ3D401E-G-16、SZZJ3D401E-G-17、SZZJ3D402E-E-01、SZZJ3D402E-F-01、SZZJ3D404E-B-01、SZZJ3D404E-B-02、SZZJ3D404E-G-01、SZZJ3D404E-G-02、SZZJ3D404E-H-02、SZZJ3D404E-H-03、SZZJ3D404E-H-04、SZZJ3D301E-B-15、SZZJ3D301E-B-16、SZZJ3D301E-G-16、SZZJ3D301E-G-17、SZZJ3D302E-B-01、SZZJ3D302E-B-02、SZZJ3D302E-G-01、SZZJ3D302E-G-02、SZZJ3D401E-A-01、SZZJ3D401E-A-02、SZZJ3D401E-A-03、SZZJ3D401E-A-04、SZZJ3D401E-A-05、SZZJ3D401E-A-06、SZZJ3D401E-A-07、SZZJ3D401E-A-08、SZZJ3D401E-A-09、SZZJ3D401E-A-10、SZZJ3D401E-A-11、SZZJ3D401E-A-12、SZZJ3D401E-A-13、SZZJ3D401E-A-14、SZZJ3D401E-A-15、SZZJ3D401E-A-16、SZZJ3D401E-A-17、SZZJ3D401E-B-01、SZZJ3D401E-B-02、SZZJ3D401E-B-03、SZZJ3D401E-B-04</t>
  </si>
  <si>
    <t>2021/9/15开通，9月计费16天：SZZJ3D402E-A-01、SZZJ3D402E-A-03、SZZJ3D402E-A-05、SZZJ3D402E-A-07、SZZJ3D402E-B-01、SZZJ3D402E-B-03、SZZJ3D402E-B-05、SZZJ3D402E-B-07、SZZJ3D402E-E-03、SZZJ3D402E-E-05、SZZJ3D402E-E-07、SZZJ3D402E-F-03、SZZJ3D402E-F-05、SZZJ3D402E-F-07、SZZJ3D403E-A-02、SZZJ3D403E-A-04、SZZJ3D403E-A-06、SZZJ3D403E-A-08、SZZJ3D403E-B-02、SZZJ3D403E-B-04、SZZJ3D403E-B-06、SZZJ3D403E-B-08、SZZJ3D403E-C-02、SZZJ3D403E-C-04、SZZJ3D403E-C-06、SZZJ3D403E-C-08、SZZJ3D403E-D-02、SZZJ3D403E-D-04、SZZJ3D403E-D-06、SZZJ3D403E-D-08、SZZJ3D403E-E-02、SZZJ3D403E-E-04、SZZJ3D403E-E-06、SZZJ3D403E-E-08、SZZJ3D403E-F-02、SZZJ3D403E-F-04、SZZJ3D403E-F-06、SZZJ3D403E-F-08、SZZJ3D403E-G-02、SZZJ3D403E-G-04、SZZJ3D403E-H-02、SZZJ3D403E-H-04</t>
  </si>
  <si>
    <t>2021/9/24开通，9月计费7天：SZZJ3D401E-B-05、SZZJ3D401E-B-06、SZZJ3D401E-B-07、SZZJ3D401E-B-08、SZZJ3D401E-B-09、SZZJ3D401E-B-10、SZZJ3D401E-B-11、SZZJ3D401E-B-12、SZZJ3D401E-B-13、SZZJ3D401E-B-14、SZZJ3D401E-C-01、SZZJ3D401E-C-02、SZZJ3D401E-C-03SZZJ3D401E-C-04、SZZJ3D401E-C-05、SZZJ3D401E-C-06、SZZJ3D401E-C-07、SZZJ3D401E-C-08、SZZJ3D401E-C-09、SZZJ3D401E-C-10</t>
  </si>
  <si>
    <t>2021/9/27开通，9月计费4天：SZZJ3D401E-C-11、SZZJ3D401E-C-12、SZZJ3D401E-C-13、SZZJ3D401E-C-14、SZZJ3D401E-C-15、SZZJ3D401E-C-16、SZZJ3D401E-D-01、SZZJ3D401E-D-02、SZZJ3D401E-D-03、SZZJ3D401E-D-04、SZZJ3D401E-D-05、SZZJ3D401E-D-06、SZZJ3D401E-D-07、SZZJ3D401E-D-08、SZZJ3D401E-D-09、SZZJ3D401E-D-10、SZZJ3D401E-D-11、SZZJ3D401E-D-12、SZZJ3D401E-D-13、SZZJ3D401E-D-14、SZZJ3D401E-D-15、SZZJ3D401E-D-16、SZZJ3D401E-E-01、SZZJ3D401E-E-02、SZZJ3D401E-E-03、SZZJ3D401E-E-04</t>
  </si>
  <si>
    <t>2021/9/28开通，9月计费3天：SZZJ3D403E-G-06、SZZJ3D403E-G-07、SZZJ3D403E-H-06、SZZJ3D403E-H-07</t>
  </si>
  <si>
    <t>2021/9/28开通，9月计费3天：SZZJ3D401E-E-05、SZZJ3D401E-E-06、SZZJ3D401E-E-07、SZZJ3D401E-E-08、SZZJ3D401E-E-09、SZZJ3D401E-E-10、SZZJ3D401E-E-11、SZZJ3D401E-E-12、SZZJ3D401E-E-13、SZZJ3D401E-E-14、SZZJ3D401E-E-15、SZZJ3D401E-E-16、SZZJ3D401E-F-01、SZZJ3D401E-F-02、SZZJ3D401E-F-03、SZZJ3D401E-F-04、SZZJ3D401E-F-05、SZZJ3D401E-F-06、SZZJ3D401E-F-07</t>
  </si>
  <si>
    <t>2021/10/12开通，10月计费20天：SZZJ3D404E-I-02、SZZJ3D404E-I-03</t>
  </si>
  <si>
    <t>2021/10/13开通，10月计费19天：SZZJ3D301E-A-01、SZZJ3D301E-A-02、SZZJ3D301E-A-03、SZZJ3D301E-A-04、SZZJ3D301E-A-05、SZZJ3D301E-A-06、SZZJ3D301E-A-07、SZZJ3D301E-A-08、SZZJ3D301E-A-09、SZZJ3D301E-A-10、SZZJ3D301E-A-11、SZZJ3D301E-A-12、SZZJ3D301E-A-13、SZZJ3D301E-A-14、SZZJ3D301E-A-15、SZZJ3D301E-A-16、SZZJ3D301E-A-17、SZZJ3D301E-B-01、SZZJ3D301E-B-02、SZZJ3D301E-B-03、SZZJ3D301E-B-04、SZZJ3D301E-B-05、SZZJ3D301E-B-06、SZZJ3D301E-B-07、SZZJ3D301E-B-08、SZZJ3D301E-B-09、SZZJ3D301E-B-10、SZZJ3D301E-B-11、SZZJ3D301E-B-12、SZZJ3D301E-B-13、SZZJ3D301E-B-14</t>
  </si>
  <si>
    <t>2021/10/15开通，10月计费17天：SZZJ3D301E-C-01、SZZJ3D301E-C-02、SZZJ3D301E-C-03、SZZJ3D301E-C-04、SZZJ3D301E-C-05、SZZJ3D301E-C-06、SZZJ3D301E-C-07、SZZJ3D301E-C-08、SZZJ3D301E-C-09、SZZJ3D301E-C-10、SZZJ3D301E-C-11、SZZJ3D301E-C-12、SZZJ3D301E-C-13、SZZJ3D301E-C-14、SZZJ3D301E-C-15、SZZJ3D301E-C-16</t>
  </si>
  <si>
    <t>2021/10/29开通，10月计费3天：SZZJ3D301E-D-03、SZZJ3D301E-D-04、SZZJ3D401E-G-01、SZZJ3D401E-G-02、SZZJ3D401E-G-03、SZZJ3D401E-G-04、SZZJ3D401E-G-05、SZZJ3D401E-G-06</t>
  </si>
  <si>
    <t>SZZJ3D301E-D-01、SZZJ3D301E-D-02、SZZJ3D301E-D-05</t>
  </si>
  <si>
    <t>2021/11/3开通机架，11月计费28天：SZZJ3D404E-H-05、SZZJ3D404E-H-06、SZZJ3D404E-H-07、SZZJ3D404E-H-08、SZZJ3D404E-H-09、SZZJ3D404E-H-10、SZZJ3D404E-H-11、SZZJ3D404E-H-12、SZZJ3D404E-H-13、SZZJ3D404E-H-14、SZZJ3D404E-H-15、SZZJ3D404E-H-16、SZZJ3D404E-I-05、SZZJ3D404E-I-06、SZZJ3D404E-I-07、SZZJ3D404E-I-08、SZZJ3D404E-I-09、SZZJ3D404E-I-10、SZZJ3D404E-I-11、SZZJ3D404E-I-12、SZZJ3D404E-I-13、SZZJ3D404E-I-14、SZZJ3D404E-I-15</t>
  </si>
  <si>
    <t>2021/11/6开通机架，11月计费25天：SZZJ3D401E-F-13、SZZJ3D401E-F-14、SZZJ3D401E-F-15、SZZJ3D401E-F-16、SZZJ3D401E-G-07、SZZJ3D401E-G-08、SZZJ3D401E-G-09、SZZJ3D401E-G-10、SZZJ3D401E-G-11、SZZJ3D401E-G-12、SZZJ3D401E-G-13、SZZJ3D401E-G-14、SZZJ3D401E-G-15</t>
  </si>
  <si>
    <t>2021/11/8开通机架，11月计费23天：SZZJ3D301E-D-06、SZZJ3D301E-D-07、SZZJ3D301E-D-08</t>
  </si>
  <si>
    <t>2021/11/11开通机架，11月计费20天：SZZJ3D404E-C-13、SZZJ3D404E-C-14、SZZJ3D404E-C-15、SZZJ3D404E-C-16、SZZJ3D404E-C-17、SZZJ3D404E-D-01、SZZJ3D404E-D-02、SZZJ3D404E-D-03、SZZJ3D404E-D-04、SZZJ3D404E-D-05、SZZJ3D404E-D-06、SZZJ3D404E-D-07、SZZJ3D404E-D-08、SZZJ3D404E-D-09、SZZJ3D404E-D-10、SZZJ3D404E-D-11、SZZJ3D404E-D-12、SZZJ3D404E-D-13、SZZJ3D404E-D-14、SZZJ3D404E-D-15、SZZJ3D404E-D-16</t>
  </si>
  <si>
    <t>2021/11/11开通机架，11月计费9天：SZZJ3D301E-D-09、SZZJ3D301E-D-10</t>
  </si>
  <si>
    <t>SZZJ3D301E-D-11、SZZJ3D301E-D-12、SZZJ3D301E-D-13、SZZJ3D301E-D-14、SZZJ3D301E-D-15、SZZJ3D301E-D-16、SZZJ3D301E-E-01、SZZJ3D301E-E-02</t>
  </si>
  <si>
    <t>SZZJ-云托管</t>
  </si>
  <si>
    <t>SZZJ3D404E-A-01 SZZJ3D404E-A-02 SZZJ3D404E-A-03</t>
  </si>
  <si>
    <t>SZZJ3D204E-G-02
SZZJ3D204E-G-04
SZZJ3D204E-G-06
SZZJ3D204E-G-08
SZZJ3D204E-G-10
SZZJ3D204E-H-01
SZZJ3D204E-H-02
SZZJ3D204E-H-03
SZZJ3D204E-H-05
SZZJ3D204E-H-07
SZZJ3D204E-H-09
SZZJ3D204E-H-11
SZZJ3D204E-H-13
SZZJ3D204E-H-15
SZZJ3D204E-I-02
SZZJ3D204E-I-04
SZZJ3D204E-I-06
SZZJ3D204E-I-08
SZZJ3D204E-I-10
SZZJ3D204E-I-12
SZZJ3D204E-I-14
SZZJ3D204E-I-15</t>
  </si>
  <si>
    <t>SZZJ3D204E-I-16</t>
  </si>
  <si>
    <t>SZIX</t>
  </si>
  <si>
    <t>BECSZZJ</t>
  </si>
  <si>
    <t>BECSZZJ3D201E-A-01、BECSZZJ3D201E-A-02、BECSZZJ3D201E-A-03、BECSZZJ3D201E-A-04、BECSZZJ3D201E-A-05、BECSZZJ3D201E-A-06、BECSZZJ3D201E-A-07、BECSZZJ3D201E-A-08、BECSZZJ3D201E-A-09、BECSZZJ3D201E-A-10、BECSZZJ3D201E-A-11、BECSZZJ3D201E-A-12、BECSZZJ3D201E-A-13、BECSZZJ3D201E-A-14、BECSZZJ3D201E-A-15、BECSZZJ3D201E-A-16、BECSZZJ3D201E-A-17、BECSZZJ3D201E-B-01、BECSZZJ3D201E-B-02、BECSZZJ3D201E-B-03、BECSZZJ3D201E-B-04、BECSZZJ3D201E-B-05、BECSZZJ3D201E-B-06、BECSZZJ3D201E-B-07、BECSZZJ3D201E-B-08、BECSZZJ3D201E-B-09、BECSZZJ3D201E-B-10、BECSZZJ3D201E-B-11、BECSZZJ3D201E-B-12</t>
  </si>
  <si>
    <t>SZZJ3D303E-I-01</t>
  </si>
  <si>
    <t>SZZJ3D204E-A-01、SZZJ3D204E-A-02、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</si>
  <si>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SZZJ3D204E-D-01、SZZJ3D204E-D-02、SZZJ3D204E-F-01、SZZJ3D204E-F-02、SZZJ3D303E-B-15、SZZJ3D303E-B-16、SZZJ3D303E-G-16、SZZJ3D303E-G-17</t>
  </si>
  <si>
    <t>SZZJ3D401E-F-08、SZZJ3D401E-F-09、SZZJ3D401E-F-10、SZZJ3D401E-F-11、SZZJ3D401E-F-12</t>
  </si>
  <si>
    <t>SZZJ3D204E-A-08、SZZJ3D204E-A-09、SZZJ3D204E-A-10、SZZJ3D204E-A-13、SZZJ3D204E-A-14</t>
  </si>
  <si>
    <t>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</si>
  <si>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SZZJ3D404E-C-04、SZZJ3D404E-C-05、SZZJ3D404E-C-06、SZZJ3D404E-C-07、SZZJ3D404E-C-08、SZZJ3D404E-C-09、SZZJ3D404E-C-10</t>
  </si>
  <si>
    <t>SZZJ3D404E-C-11、SZZJ3D404E-C-12</t>
  </si>
  <si>
    <t>SZZJ3D204E-A-07、SZZJ3D204E-A-11、SZZJ3D204E-A-12、SZZJ3D204E-B-14、SZZJ3D204E-C-03、SZZJ3D204E-C-05、SZZJ3D204E-C-07</t>
  </si>
  <si>
    <t>SZZJ3D404E-E-02、SZZJ3D404E-E-03、SZZJ3D404E-E-04、SZZJ3D404E-E-05、SZZJ3D404E-E-06、SZZJ3D404E-E-07、SZZJ3D404E-E-08、SZZJ3D404E-E-09、SZZJ3D404E-E-10、SZZJ3D404E-E-11、SZZJ3D404E-E-12</t>
  </si>
  <si>
    <t>SZZJ3D404E-E-13、SZZJ3D404E-E-14、SZZJ3D404E-E-15、SZZJ3D404E-E-16、SZZJ3D404E-E-17、SZZJ3D404E-F-01、SZZJ3D404E-F-02、SZZJ3D404E-F-03、SZZJ3D404E-F-04、SZZJ3D404E-F-05、SZZJ3D404E-F-06、SZZJ3D404E-F-07、SZZJ3D404E-F-08、SZZJ3D404E-F-09、SZZJ3D404E-F-10、SZZJ3D404E-F-11、SZZJ3D404E-F-12、SZZJ3D404E-F-13、SZZJ3D404E-F-14、SZZJ3D404E-F-15、SZZJ3D404E-F-16、SZZJ3D404E-G-03、SZZJ3D404E-G-04、SZZJ3D404E-G-05、SZZJ3D404E-G-06、SZZJ3D404E-G-07、SZZJ3D404E-G-08、SZZJ3D404E-G-09、SZZJ3D404E-G-10、SZZJ3D404E-G-11、SZZJ3D404E-G-12、SZZJ3D404E-G-13、SZZJ3D404E-G-14、SZZJ3D404E-G-15、SZZJ3D404E-G-16、SZZJ3D404E-G-17、SZZJ3D302E-A-01、SZZJ3D302E-A-02、SZZJ3D302E-A-03、SZZJ3D302E-A-04、SZZJ3D302E-A-05、SZZJ3D302E-A-06、SZZJ3D302E-A-07、SZZJ3D302E-A-08、SZZJ3D302E-A-09、SZZJ3D302E-A-10、SZZJ3D302E-A-11、SZZJ3D302E-A-12、SZZJ3D302E-A-13、SZZJ3D302E-A-14、SZZJ3D204E-C-09、SZZJ3D204E-G-01、SZZJ3D204E-G-03、SZZJ3D204E-G-05、SZZJ3D204E-G-07、SZZJ3D204E-G-09</t>
  </si>
  <si>
    <t>SZZJ3D302E-A-15、SZZJ3D302E-A-16、SZZJ3D302E-A-17、SZZJ3D302E-B-03、SZZJ3D302E-B-04</t>
  </si>
  <si>
    <t>SZZJ3D204E-C-02、SZZJ3D204E-C-04、SZZJ3D204E-C-06、SZZJ3D204E-C-08</t>
  </si>
  <si>
    <t>SZZJ3D204E-C-10</t>
  </si>
  <si>
    <t>SZZJ3D204E-F-03、SZZJ3D204E-F-04、SZZJ3D204E-F-05、SZZJ3D204E-F-06、SZZJ3D204E-F-07、SZZJ3D204E-F-08、SZZJ3D303E-A-01、SZZJ3D303E-A-02、SZZJ3D303E-A-03、SZZJ3D303E-A-04</t>
  </si>
  <si>
    <t>SZZJ3D204E-F-09、SZZJ3D204E-F-10、SZZJ3D204E-F-11、SZZJ3D204E-F-12、SZZJ3D204E-F-13、SZZJ3D204E-F-14、SZZJ3D204E-F-15、SZZJ3D204E-F-16</t>
  </si>
  <si>
    <t>SZZJ3D204E-E-11、SZZJ3D204E-E-12、SZZJ3D204E-G-11、SZZJ3D204E-G-12、SZZJ3D204E-G-13、SZZJ3D204E-G-14、SZZJ3D204E-G-15、SZZJ3D204E-G-16、SZZJ3D204E-G-17</t>
  </si>
  <si>
    <t>SZZJ3D302E-B-05</t>
  </si>
  <si>
    <t>SZZJ3D301E-E-03、SZZJ3D301E-E-04、SZZJ3D301E-E-05、SZZJ3D301E-E-06</t>
  </si>
  <si>
    <t>SZZJ3D302E-B-06、SZZJ3D302E-B-07、SZZJ3D302E-B-08、SZZJ3D302E-B-09、SZZJ3D302E-B-10、SZZJ3D302E-B-11、SZZJ3D302E-B-12、SZZJ3D302E-B-13、SZZJ3D302E-B-14、SZZJ3D302E-B-15、SZZJ3D302E-B-16</t>
  </si>
  <si>
    <t>SZZJ3D302E-D-01、SZZJ3D302E-D-02、SZZJ3D302E-D-03、SZZJ3D302E-D-04、SZZJ3D302E-D-05、SZZJ3D302E-D-06</t>
  </si>
  <si>
    <t>SZZJ-云托管</t>
    <phoneticPr fontId="3" type="noConversion"/>
  </si>
  <si>
    <t>SZZJ3D404E-A-01、SZZJ3D404E-A-02、SZZJ3D404E-A-03</t>
  </si>
  <si>
    <t>SZZJ3D302E-C-05、SZZJ3D302E-C-06、SZZJ3D302E-C-07、SZZJ3D302E-C-08、SZZJ3D302E-C-09、SZZJ3D302E-C-10、SZZJ3D302E-C-11、SZZJ3D302E-C-12、SZZJ3D302E-C-13、SZZJ3D302E-C-14、SZZJ3D302E-C-15、SZZJ3D302E-C-16</t>
  </si>
  <si>
    <t>SZZJ3D302E-D-07、SZZJ3D302E-D-08、SZZJ3D302E-D-09、SZZJ3D302E-D-10、SZZJ3D302E-D-11、SZZJ3D302E-D-12、SZZJ3D302E-D-13、SZZJ3D302E-D-14、SZZJ3D302E-D-15、SZZJ3D302E-D-16、SZZJ3D302E-E-02、SZZJ3D302E-E-03、SZZJ3D302E-E-04、SZZJ3D302E-E-05、SZZJ3D302E-E-06、SZZJ3D302E-E-07、SZZJ3D302E-E-08、SZZJ3D302E-E-09、SZZJ3D302E-E-10、SZZJ3D302E-E-11、SZZJ3D302E-E-12、SZZJ3D302E-E-13、SZZJ3D302E-E-14</t>
  </si>
  <si>
    <t>SZZJ3D204E-D-03、SZZJ3D204E-D-04</t>
  </si>
  <si>
    <t>SZZJ3D203E-B-15、SZZJ3D203E-B-16、SZZJ3D203E-D-15、SZZJ3D203E-D-16、SZZJ3D203E-F-15、SZZJ3D203E-F-16、SZZJ3D203E-H-15、SZZJ3D203E-H-16、SZZJ3D202E-B-01、SZZJ3D202E-B-02、SZZJ3D202E-D-01、SZZJ3D202E-D-02、SZZJ3D202E-F-01、SZZJ3D202E-F-02、SZZJ3D202E-H-01、SZZJ3D202E-H-02</t>
  </si>
  <si>
    <t>2022.6.6 SYS更新机柜电流为20A：SZZJ3D203E-I-01、SZZJ3D202E-I-16</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</si>
  <si>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-02、SZZJ3D203E-G-04、SZZJ3D203E-G-06、SZZJ3D203E-G-08、SZZJ3D203E-G-10、SZZJ3D203E-G-12、SZZJ3D203E-G-14、SZZJ3D203E-G-16、SZZJ3D203E-G-17、SZZJ3D203E-H-01、SZZJ3D203E-H-03、SZZJ3D203E-H-05、SZZJ3D203E-H-07、SZZJ3D203E-H-09、SZZJ3D203E-H-11、SZZJ3D203E-H-13、SZZJ3D203E-I-02、SZZJ3D203E-I-04、SZZJ3D203E-I-06、SZZJ3D203E-I-08、SZZJ3D203E-I-10、SZZJ3D203E-I-12、SZZJ3D203E-I-14、SZZJ3D203E-I-16、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</si>
  <si>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SULCC01</t>
  </si>
  <si>
    <t>SULCC01（SZZJ）：SULCC01SZZJ3D201E-C-01、SULCC01SZZJ3D201E-C-03、SULCC01SZZJ3D201E-C-05、SULCC01SZZJ3D201E-C-07、SULCC01SZZJ3D201E-C-08、SULCC01SZZJ3D201E-C-09、SULCC01SZZJ3D201E-C-11</t>
  </si>
  <si>
    <t>SZZJ3D203E-G-01、SZZJ3D203E-G-03、SZZJ3D203E-G-05、SZZJ3D203E-G-07、SZZJ3D203E-H-02、SZZJ3D203E-H-04</t>
  </si>
  <si>
    <t>SZZJ3D301E-F-13、SZZJ3D301E-F-14、SZZJ3D301E-F-15、SZZJ3D301E-F-16、SZZJ3D301E-G-01、SZZJ3D301E-G-02、SZZJ3D301E-G-03、SZZJ3D301E-G-04、SZZJ3D301E-G-05、SZZJ3D301E-G-06</t>
  </si>
  <si>
    <t>SULCC01（SZZJ）：SULCC01SZZJ3D201E-C-02、SULCC01SZZJ3D201E-C-04、SULCC01SZZJ3D201E-C-06、SULCC01SZZJ3D201E-C-10、SULCC01SZZJ3D201E-C-12</t>
  </si>
  <si>
    <t>SZZJ3D301E-G-07、SZZJ3D301E-G-08、SZZJ3D301E-G-09、SZZJ3D301E-G-10、SZZJ3D301E-G-11、SZZJ3D301E-G-12、SZZJ3D301E-G-13、SZZJ3D301E-G-14、SZZJ3D301E-G-15</t>
  </si>
  <si>
    <t>SZZJ3D301E-H-01、SZZJ3D301E-H-02、SZZJ3D301E-H-03、SZZJ3D301E-H-04、SZZJ3D301E-H-05、SZZJ3D301E-H-06、SZZJ3D301E-H-07、SZZJ3D301E-H-08、SZZJ3D301E-H-09、SZZJ3D301E-H-10、SZZJ3D301E-H-11、SZZJ3D301E-H-12、SZZJ3D301E-H-13、SZZJ3D301E-H-14、SZZJ3D301E-H-15</t>
  </si>
  <si>
    <t>SZZJ3D301E-F-11、SZZJ3D301E-F-12</t>
  </si>
  <si>
    <t>SZZJ3D204E-E-02、SZZJ3D204E-E-03、SZZJ3D204E-E-04、SZZJ3D204E-E-05、SZZJ3D204E-E-06</t>
  </si>
  <si>
    <t>SZZJ3D204E-E-13、SZZJ3D204E-E-14、SZZJ3D204E-E-15、SZZJ3D204E-E-16、SZZJ3D204E-E-17</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</si>
  <si>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-10、SZZJ3D203E-G-12、SZZJ3D203E-G-14、SZZJ3D203E-G-16、SZZJ3D203E-G-17、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</si>
  <si>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SZZJ3D201E-I-01、SZZJ3D304E-I-16</t>
  </si>
  <si>
    <t>SZZJ3D303E-A-05、SZZJ3D303E-A-06</t>
  </si>
  <si>
    <t>2023.8与托管组核对，属于托管机架，更新机房名称。SZZJ3D404E-A-01、SZZJ3D404E-A-02</t>
    <phoneticPr fontId="3" type="noConversion"/>
  </si>
  <si>
    <t>SZZJ3D303E-A-07、SZZJ3D303E-A-08</t>
  </si>
  <si>
    <t>SZZJ3D303E-A-09、SZZJ3D303E-A-10、SZZJ3D303E-A-11、SZZJ3D303E-A-12、SZZJ3D303E-A-13、SZZJ3D303E-A-14、SZZJ3D303E-A-15、SZZJ3D303E-A-16、SZZJ3D303E-A-17</t>
  </si>
  <si>
    <t>SZZJ3D201E-D-01、SZZJ3D201E-D-15、SZZJ3D201E-D-16、SZZJ3D201E-H-15、SZZJ3D201E-H-16、SZZJ3D304E-A-02、SZZJ3D304E-B-01、SZZJ3D304E-B-02、SZZJ3D304E-G-01、SZZJ3D304E-G-02</t>
  </si>
  <si>
    <t>SZZJ3D401E-H-01、SZZJ3D401E-H-02、SZZJ3D401E-H-03、SZZJ3D401E-H-04、SZZJ3D401E-H-05、SZZJ3D401E-H-06、SZZJ3D401E-H-07、SZZJ3D401E-H-08、SZZJ3D401E-H-09、SZZJ3D401E-H-10、SZZJ3D401E-H-11、SZZJ3D401E-H-12、SZZJ3D401E-H-13、SZZJ3D401E-H-14、SZZJ3D401E-H-15、SZZJ3D401E-H-16、SZZJ3D401E-I-02、SZZJ3D401E-I-03、SZZJ3D401E-I-04、SZZJ3D401E-I-05、SZZJ3D401E-I-06、SZZJ3D401E-I-07、SZZJ3D401E-I-08、SZZJ3D401E-I-09、SZZJ3D401E-I-10、SZZJ3D401E-I-11、SZZJ3D401E-I-12、SZZJ3D401E-I-13、SZZJ3D401E-I-14、SZZJ3D401E-I-15、SZZJ3D401E-I-16、SZZJ3D301E-H-16</t>
  </si>
  <si>
    <t>SZZJ3D303E-F-01、SZZJ3D303E-F-02、SZZJ3D303E-F-03、SZZJ3D303E-F-04、SZZJ3D303E-F-05、SZZJ3D303E-F-06、SZZJ3D303E-F-07、SZZJ3D303E-F-08、SZZJ3D303E-F-09、SZZJ3D303E-F-10、SZZJ3D303E-F-11、SZZJ3D303E-F-12、SZZJ3D303E-F-13、SZZJ3D303E-F-14、SZZJ3D303E-F-15、SZZJ3D303E-F-16、SZZJ3D303E-G-01、SZZJ3D303E-G-02、SZZJ3D303E-G-03、SZZJ3D303E-G-04、SZZJ3D303E-G-05、SZZJ3D303E-G-06、SZZJ3D303E-G-07、SZZJ3D303E-G-08、SZZJ3D303E-G-09、SZZJ3D303E-G-10、SZZJ3D303E-G-11、SZZJ3D303E-G-12、SZZJ3D303E-G-13、SZZJ3D303E-G-14、SZZJ3D303E-G-15、SZZJ3D303E-H-01、SZZJ3D303E-H-02、SZZJ3D303E-H-03、SZZJ3D303E-H-04、SZZJ3D303E-H-05、SZZJ3D303E-H-06、SZZJ3D303E-H-07、SZZJ3D303E-H-08、SZZJ3D303E-H-09、SZZJ3D303E-H-10、SZZJ3D303E-H-11、SZZJ3D303E-H-12、SZZJ3D303E-H-13、SZZJ3D303E-H-14、SZZJ3D303E-H-15、SZZJ3D303E-H-16、SZZJ3D303E-I-02、SZZJ3D303E-I-03、SZZJ3D303E-I-04、SZZJ3D303E-I-05、SZZJ3D303E-I-06、SZZJ3D303E-I-07、SZZJ3D303E-I-08、SZZJ3D303E-I-09、SZZJ3D303E-I-10、SZZJ3D303E-I-11、SZZJ3D303E-I-12、SZZJ3D303E-I-13、SZZJ3D303E-I-14、SZZJ3D303E-I-15、SZZJ3D303E-I-16</t>
  </si>
  <si>
    <t>SZZJ3D404E-C-02、SZZJ3D404E-C-03、SZZJ3D302E-C-02、SZZJ3D302E-C-03、SZZJ3D302E-C-04、SZZJ3D302E-C-17</t>
  </si>
  <si>
    <t>SZZJ3D303E-B-01、SZZJ3D303E-B-02、SZZJ3D303E-B-03、SZZJ3D303E-B-04、SZZJ3D303E-B-05、SZZJ3D303E-B-06、SZZJ3D303E-B-07、SZZJ3D303E-B-08、SZZJ3D303E-B-09、SZZJ3D303E-B-10、SZZJ3D303E-B-11、SZZJ3D303E-B-12、SZZJ3D303E-B-13、SZZJ3D303E-B-14、SZZJ3D303E-C-01、SZZJ3D303E-C-02、SZZJ3D303E-C-03、SZZJ3D303E-C-04、SZZJ3D303E-C-05、SZZJ3D303E-C-06、SZZJ3D303E-C-07、SZZJ3D303E-C-08、SZZJ3D303E-C-09、SZZJ3D303E-C-10、SZZJ3D303E-C-11、SZZJ3D303E-C-12、SZZJ3D303E-C-13、SZZJ3D303E-C-14、SZZJ3D303E-C-15、SZZJ3D303E-C-16、SZZJ3D303E-D-01、SZZJ3D303E-D-02、SZZJ3D303E-D-03、SZZJ3D303E-D-04、SZZJ3D303E-D-05、SZZJ3D303E-D-06、SZZJ3D303E-D-07、SZZJ3D303E-D-08、SZZJ3D303E-D-09、SZZJ3D303E-D-10、SZZJ3D303E-D-11、SZZJ3D303E-D-12、SZZJ3D303E-D-13、SZZJ3D303E-D-14、SZZJ3D303E-D-15、SZZJ3D303E-D-16、SZZJ3D303E-E-01、SZZJ3D303E-E-02、SZZJ3D303E-E-03、SZZJ3D303E-E-04、SZZJ3D303E-E-05、SZZJ3D303E-E-06、SZZJ3D303E-E-07、SZZJ3D303E-E-08、SZZJ3D303E-E-09、SZZJ3D303E-E-10、SZZJ3D303E-E-11、SZZJ3D303E-E-12、SZZJ3D303E-E-13、SZZJ3D303E-E-14、SZZJ3D303E-E-15、SZZJ3D303E-E-16</t>
  </si>
  <si>
    <t>SZZJ3D304E-A-01、SZZJ3D304E-A-03、SZZJ3D304E-A-04、SZZJ3D304E-A-05、SZZJ3D304E-A-06、SZZJ3D304E-A-07、SZZJ3D304E-A-08、SZZJ3D304E-A-09、SZZJ3D304E-A-10、SZZJ3D304E-A-11、SZZJ3D304E-A-12、SZZJ3D304E-A-13、SZZJ3D304E-A-14、SZZJ3D304E-A-15、SZZJ3D304E-A-16、SZZJ3D304E-A-17、SZZJ3D304E-B-03、SZZJ3D304E-B-04、SZZJ3D304E-B-05、SZZJ3D304E-B-06、SZZJ3D304E-B-07、SZZJ3D304E-B-08、SZZJ3D304E-B-09、SZZJ3D304E-B-10、SZZJ3D304E-B-11、SZZJ3D304E-B-12、SZZJ3D304E-B-13、SZZJ3D304E-B-14、SZZJ3D304E-B-15、SZZJ3D304E-B-16、SZZJ3D304E-C-02、SZZJ3D304E-C-03、SZZJ3D304E-C-04、SZZJ3D304E-C-05、SZZJ3D304E-C-06、SZZJ3D304E-C-07、SZZJ3D304E-C-08、SZZJ3D304E-C-09、SZZJ3D304E-C-10、SZZJ3D304E-C-11、SZZJ3D304E-C-12、SZZJ3D304E-C-13、SZZJ3D304E-C-14、SZZJ3D304E-C-15、SZZJ3D304E-C-16、SZZJ3D304E-C-17、SZZJ3D304E-D-01、SZZJ3D304E-D-02、SZZJ3D304E-D-03、SZZJ3D304E-D-04、SZZJ3D304E-D-05、SZZJ3D304E-D-06、SZZJ3D304E-D-07、SZZJ3D304E-D-08、SZZJ3D304E-D-09、SZZJ3D304E-D-10、SZZJ3D304E-D-11、SZZJ3D304E-D-12、SZZJ3D304E-D-13、SZZJ3D304E-D-14、SZZJ3D304E-D-15、SZZJ3D304E-E-02、SZZJ3D304E-E-03、SZZJ3D304E-E-04、SZZJ3D304E-E-05、SZZJ3D304E-E-06、SZZJ3D304E-E-07、SZZJ3D304E-E-08、SZZJ3D304E-E-09、SZZJ3D304E-E-10、SZZJ3D304E-E-11、SZZJ3D304E-E-12、SZZJ3D304E-E-13、SZZJ3D304E-E-14、SZZJ3D304E-E-15、SZZJ3D304E-E-16、SZZJ3D304E-E-17、SZZJ3D304E-F-01、SZZJ3D304E-F-02、SZZJ3D304E-F-03、SZZJ3D304E-F-04、SZZJ3D304E-F-05、SZZJ3D304E-F-06、SZZJ3D304E-F-07、SZZJ3D304E-F-08、SZZJ3D304E-F-09、SZZJ3D304E-F-10、SZZJ3D304E-F-11、SZZJ3D304E-F-12、SZZJ3D304E-F-13、SZZJ3D304E-F-14、SZZJ3D304E-F-15、SZZJ3D304E-F-16</t>
  </si>
  <si>
    <t>SZZJ3D201E-D-02、SZZJ3D201E-D-03、SZZJ3D201E-D-04、SZZJ3D201E-D-05、SZZJ3D201E-D-06、SZZJ3D201E-D-07、SZZJ3D201E-D-08、SZZJ3D201E-D-09、SZZJ3D201E-D-10、SZZJ3D201E-D-11、SZZJ3D201E-D-12、SZZJ3D201E-D-13、SZZJ3D201E-D-14、SZZJ3D201E-E-01、SZZJ3D201E-E-02、SZZJ3D201E-E-03、SZZJ3D201E-E-04、SZZJ3D201E-E-05、SZZJ3D201E-E-06、SZZJ3D201E-E-07、SZZJ3D201E-E-08、SZZJ3D201E-E-09、SZZJ3D201E-E-10、SZZJ3D201E-E-11、SZZJ3D201E-E-12、SZZJ3D201E-E-13、SZZJ3D201E-E-14、SZZJ3D201E-E-15、SZZJ3D201E-E-16、SZZJ3D201E-F-01、SZZJ3D201E-F-02、SZZJ3D201E-F-03、SZZJ3D201E-F-04、SZZJ3D201E-F-05、SZZJ3D201E-F-06、SZZJ3D201E-F-07、SZZJ3D201E-F-08、SZZJ3D201E-F-09、SZZJ3D201E-F-10、SZZJ3D201E-F-11、SZZJ3D201E-F-12、SZZJ3D201E-F-13、SZZJ3D201E-F-14、SZZJ3D201E-F-15、SZZJ3D201E-F-16、SZZJ3D201E-G-01、SZZJ3D201E-G-02、SZZJ3D201E-G-03、SZZJ3D201E-G-04、SZZJ3D201E-G-05、SZZJ3D201E-G-06、SZZJ3D201E-G-07、SZZJ3D201E-G-08、SZZJ3D201E-G-09、SZZJ3D201E-G-10、SZZJ3D201E-G-11、SZZJ3D201E-G-12、SZZJ3D201E-G-13、SZZJ3D201E-G-14、SZZJ3D201E-G-15、SZZJ3D201E-G-16、SZZJ3D201E-H-01、SZZJ3D201E-H-02、SZZJ3D201E-H-03、SZZJ3D201E-H-04、SZZJ3D201E-H-05、SZZJ3D201E-H-06、SZZJ3D201E-H-07、SZZJ3D201E-H-08、SZZJ3D201E-H-09、SZZJ3D201E-H-10、SZZJ3D201E-H-11、SZZJ3D201E-H-12、SZZJ3D201E-H-13、SZZJ3D201E-H-14、SZZJ3D201E-I-02、SZZJ3D201E-I-03、SZZJ3D201E-I-04、SZZJ3D201E-I-05、SZZJ3D201E-I-06、SZZJ3D201E-I-07、SZZJ3D201E-I-08、SZZJ3D201E-I-09、SZZJ3D201E-I-10、SZZJ3D201E-I-11、SZZJ3D201E-I-12、SZZJ3D201E-I-13、SZZJ3D201E-I-14、SZZJ3D201E-I-15、SZZJ3D201E-I-16、SZZJ3D304E-D-16、SZZJ3D304E-G-03、SZZJ3D304E-G-04、SZZJ3D304E-G-05、SZZJ3D304E-G-06、SZZJ3D304E-G-07、SZZJ3D304E-G-08、SZZJ3D304E-G-09、SZZJ3D304E-G-10、SZZJ3D304E-G-11、SZZJ3D304E-G-12、SZZJ3D304E-G-13、SZZJ3D304E-G-14、SZZJ3D304E-G-15、SZZJ3D304E-G-16、SZZJ3D304E-G-17、SZZJ3D304E-H-01、SZZJ3D304E-H-02、SZZJ3D304E-H-03、SZZJ3D304E-H-04、SZZJ3D304E-H-05、SZZJ3D304E-H-06、SZZJ3D304E-H-07、SZZJ3D304E-H-08、SZZJ3D304E-H-09、SZZJ3D304E-H-10、SZZJ3D304E-H-11、SZZJ3D304E-H-12、SZZJ3D304E-H-13、SZZJ3D304E-H-14、SZZJ3D304E-H-15、SZZJ3D304E-H-16、SZZJ3D304E-I-01、SZZJ3D304E-I-02、SZZJ3D304E-I-03、SZZJ3D304E-I-04、SZZJ3D304E-I-05、SZZJ3D304E-I-06、SZZJ3D304E-I-07、SZZJ3D304E-I-08、SZZJ3D304E-I-09、SZZJ3D304E-I-10、SZZJ3D304E-I-11、SZZJ3D304E-I-12、SZZJ3D304E-I-13、SZZJ3D304E-I-14、SZZJ3D304E-I-15</t>
  </si>
  <si>
    <t>SZZJ3D202E-A-01、SZZJ3D202E-A-02、SZZJ3D202E-A-03、SZZJ3D202E-A-04、SZZJ3D202E-A-05、SZZJ3D202E-A-06、SZZJ3D202E-A-07、SZZJ3D202E-A-08、SZZJ3D202E-A-09、SZZJ3D202E-A-10、SZZJ3D202E-A-11、SZZJ3D202E-A-12、SZZJ3D202E-A-13、SZZJ3D202E-A-14、SZZJ3D202E-A-15、SZZJ3D202E-A-16、SZZJ3D202E-A-17、SZZJ3D202E-B-03、SZZJ3D202E-B-04、SZZJ3D202E-B-05、SZZJ3D202E-B-06、SZZJ3D202E-B-07、SZZJ3D202E-B-08、SZZJ3D202E-B-09、SZZJ3D202E-B-10、SZZJ3D202E-B-11、SZZJ3D202E-B-12、SZZJ3D202E-B-13、SZZJ3D202E-B-14、SZZJ3D202E-B-15、SZZJ3D202E-B-16、SZZJ3D202E-C-02、SZZJ3D202E-C-03、SZZJ3D202E-C-04、SZZJ3D202E-C-05、SZZJ3D202E-C-06、SZZJ3D202E-C-07、SZZJ3D202E-C-08、SZZJ3D202E-C-09、SZZJ3D202E-C-10、SZZJ3D202E-C-11、SZZJ3D202E-C-12、SZZJ3D202E-C-13、SZZJ3D202E-C-14、SZZJ3D202E-C-15、SZZJ3D202E-C-16、SZZJ3D202E-C-17、SZZJ3D202E-D-03、SZZJ3D202E-D-04、SZZJ3D202E-D-05、SZZJ3D202E-D-06、SZZJ3D202E-D-07、SZZJ3D202E-D-08、SZZJ3D202E-D-09</t>
  </si>
  <si>
    <t>SZZJ3D203E-I-13</t>
  </si>
  <si>
    <t>SZZJ3D202E-G-01、SZZJ3D202E-G-02</t>
  </si>
  <si>
    <t>SZZJ3D202E-D-10、SZZJ3D202E-D-11</t>
  </si>
  <si>
    <t>SZZJ3D202E-D-12、SZZJ3D202E-D-13、SZZJ3D202E-D-14、SZZJ3D202E-D-15</t>
  </si>
  <si>
    <t>SZZJ3D204E-C-09、SZZJ3D204E-C-10、SZZJ3D204E-F-06、SZZJ3D204E-G-05</t>
  </si>
  <si>
    <t>SZZJ3D301E-E-07、SZZJ3D301E-E-08、SZZJ3D301E-E-09、SZZJ3D301E-E-10、SZZJ3D301E-E-11、SZZJ3D301E-E-12、SZZJ3D301E-E-13、SZZJ3D301E-E-14、SZZJ3D301E-E-15、SZZJ3D301E-E-16、SZZJ3D301E-I-02、SZZJ3D301E-I-03、SZZJ3D301E-I-04、SZZJ3D301E-I-05</t>
  </si>
  <si>
    <t>BECSZZJ3D201E-A-03、BECSZZJ3D201E-A-04、BECSZZJ3D201E-A-06、BECSZZJ3D201E-A-07、BECSZZJ3D201E-A-08、BECSZZJ3D201E-A-10、BECSZZJ3D201E-A-11、BECSZZJ3D201E-A-12、BECSZZJ3D201E-A-14、BECSZZJ3D201E-A-15、BECSZZJ3D201E-A-17、BECSZZJ3D201E-B-03、BECSZZJ3D201E-B-04、BECSZZJ3D201E-B-05、BECSZZJ3D201E-B-07、BECSZZJ3D201E-B-08、BECSZZJ3D201E-B-09、BECSZZJ3D201E-B-11、BECSZZJ3D201E-B-12</t>
  </si>
  <si>
    <t>SZZJ3D204E-B-13、SZZJ3D204E-B-15、SZZJ3D204E-B-16</t>
  </si>
  <si>
    <t>SZZJ3D203E-H-06、SZZJ3D203E-H-08</t>
  </si>
  <si>
    <t>SZZJ3D404E-A-03</t>
  </si>
  <si>
    <t>SZZJ3D203E-H-09、SZZJ3D203E-H-06、SZZJ3D203E-H-07、SZZJ3D203E-H-08、SZZJ3D203E-H-11、SZZJ3D203E-H-13</t>
  </si>
  <si>
    <t>SZZJ3D404E-H-15、SZZJ3D404E-H-16、SZZJ3D301E-E-09、SZZJ3D301E-G-07、SZZJ3D301E-I-05、SZZJ3D204E-F-04、SZZJ3D204E-F-05、SZZJ3D204E-F-08、SZZJ3D204E-G-07、SZZJ3D203E-G-03、SZZJ3D203E-I-08、SZZJ3D203E-I-10</t>
  </si>
  <si>
    <t>SZZJ3D404E-A-04、SZZJ3D404E-A-05</t>
  </si>
  <si>
    <t>SZZJ3D203E-H-09、SZZJ3D203E-H-10</t>
  </si>
  <si>
    <t>SZZJ3D303E-I-02</t>
  </si>
  <si>
    <t>2023.6.29机柜改造，电流由原24KW变更为12KW。SZZJ3D402E-C-01、SZZJ3D402E-C-03、SZZJ3D402E-C-05、SZZJ3D402E-C-07、SZZJ3D402E-D-01、SZZJ3D402E-D-03、SZZJ3D402E-D-05、SZZJ3D402E-D-07</t>
  </si>
  <si>
    <t>SZZJ3D301E-F-01</t>
  </si>
  <si>
    <t>SZZJ3D203E-A-01、SZZJ3D203E-A-02、SZZJ3D203E-A-03、SZZJ3D203E-A-04、SZZJ3D203E-A-05、SZZJ3D203E-A-06、SZZJ3D203E-A-07、SZZJ3D203E-A-08、SZZJ3D203E-A-09、SZZJ3D203E-A-10</t>
  </si>
  <si>
    <t>SZZJ3D204E-B-06</t>
  </si>
  <si>
    <t>SZZJ3D204E-B-07</t>
  </si>
  <si>
    <t>SZZJ3D204E-B-05</t>
  </si>
  <si>
    <t>SZZJ3D204E-B-10</t>
  </si>
  <si>
    <t>SZZJ3D204E-D-05、SZZJ3D204E-D-06、SZZJ3D204E-D-07、SZZJ3D204E-D-08</t>
  </si>
  <si>
    <t>SZZJ3D204E-B-09</t>
  </si>
  <si>
    <t>2023.7经SYS核实更新电流为40A。SZZJ3D404E-A-12</t>
  </si>
  <si>
    <t>SZZJ3D204E-A-15、SZZJ3D204E-A-16</t>
  </si>
  <si>
    <t>SZZJ3D203E-B-02、SZZJ3D203E-B-04、SZZJ3D203E-B-06、SZZJ3D203E-B-08</t>
  </si>
  <si>
    <t>SZZJ3D203E-H-11、SZZJ3D203E-H-12</t>
  </si>
  <si>
    <t>SZZJ3D203E-B-01</t>
  </si>
  <si>
    <t>SZZJ3D202E-D-16、SZZJ3D202E-E-02、SZZJ3D202E-E-03、SZZJ3D202E-E-04、SZZJ3D202E-E-05、SZZJ3D202E-E-06、SZZJ3D202E-E-07、SZZJ3D202E-E-08、SZZJ3D202E-E-09、SZZJ3D202E-E-10、SZZJ3D202E-E-11、SZZJ3D202E-E-12</t>
  </si>
  <si>
    <t>SZZJ3D202E-E-13、SZZJ3D202E-E-14、SZZJ3D202E-E-15、SZZJ3D202E-E-16</t>
  </si>
  <si>
    <t>SZZJ3D203E-H-13、SZZJ3D202E-E-17、SZZJ3D202E-F-03、SZZJ3D202E-F-04、SZZJ3D202E-F-05、SZZJ3D202E-F-06、SZZJ3D202E-F-07、SZZJ3D202E-F-08、SZZJ3D202E-F-09、SZZJ3D202E-F-10、SZZJ3D202E-F-11、SZZJ3D202E-F-12、SZZJ3D202E-F-13、SZZJ3D202E-F-14、SZZJ3D202E-F-15</t>
  </si>
  <si>
    <t>SZZJ3D203E-A-11、SZZJ3D203E-A-12、SZZJ3D203E-A-13、SZZJ3D203E-A-14、SZZJ3D203E-A-15、SZZJ3D203E-A-16、SZZJ3D203E-A-17、SZZJ3D203E-B-09、SZZJ3D203E-B-10、SZZJ3D203E-B-11、SZZJ3D203E-B-12、SZZJ3D203E-B-13、SZZJ3D203E-B-14、SZZJ3D203E-C-01、SZZJ3D203E-C-02、SZZJ3D203E-C-03、SZZJ3D203E-C-04、SZZJ3D202E-F-16、SZZJ3D202E-G-11、SZZJ3D202E-G-12、SZZJ3D202E-G-13、SZZJ3D202E-G-14、SZZJ3D202E-G-15、SZZJ3D202E-G-16、SZZJ3D202E-G-17</t>
  </si>
  <si>
    <t>SZZJ3D404E-B-03、SZZJ3D404E-B-04</t>
    <phoneticPr fontId="3" type="noConversion"/>
  </si>
  <si>
    <t>SZZJ</t>
    <phoneticPr fontId="3" type="noConversion"/>
  </si>
  <si>
    <t>SZZJ3D203E-B-05、SZZJ3D203E-B-07</t>
    <phoneticPr fontId="3" type="noConversion"/>
  </si>
  <si>
    <t>SZZJ3D204E-D-09、SZZJ3D204E-D-11、SZZJ3D204E-D-12</t>
    <phoneticPr fontId="3" type="noConversion"/>
  </si>
  <si>
    <t>SZZJ3D302E-F-01、SZZJ3D302E-F-02、SZZJ3D302E-F-09、SZZJ3D302E-H-01、SZZJ3D302E-H-09</t>
  </si>
  <si>
    <t>SZZJ3D203E-B-03</t>
  </si>
  <si>
    <t>SZZJ3D202E-I-02</t>
  </si>
  <si>
    <t>SZZJ3D203E-A-09</t>
  </si>
  <si>
    <t>BECSZZJ3D201E-A-02、BECSZZJ3D201E-A-05、BECSZZJ3D201E-A-09、BECSZZJ3D201E-A-13、BECSZZJ3D201E-A-16、BECSZZJ3D201E-B-02、BECSZZJ3D201E-B-06、BECSZZJ3D201E-B-10</t>
    <phoneticPr fontId="3" type="noConversion"/>
  </si>
  <si>
    <t>SZZJ3D202E-G-03、SZZJ3D202E-G-04、SZZJ3D202E-G-05、SZZJ3D202E-G-06</t>
    <phoneticPr fontId="3" type="noConversion"/>
  </si>
  <si>
    <t>2023.10.机架是否为云托管待确认</t>
    <phoneticPr fontId="3" type="noConversion"/>
  </si>
  <si>
    <t>SZZJ3D202E-G-07、SZZJ3D202E-G-08、SZZJ3D202E-G-09、SZZJ3D202E-G-10、SZZJ3D202E-H-03、SZZJ3D202E-H-04、SZZJ3D202E-H-05、SZZJ3D202E-H-06、SZZJ3D202E-H-07、SZZJ3D202E-H-08、SZZJ3D202E-H-09、SZZJ3D202E-H-10、SZZJ3D202E-H-11、SZZJ3D202E-H-12、SZZJ3D202E-H-13、SZZJ3D202E-H-14、SZZJ3D202E-H-15、SZZJ3D202E-H-16</t>
  </si>
  <si>
    <t>202309 SZZJ一期电费参照8月金额预估</t>
    <phoneticPr fontId="3" type="noConversion"/>
  </si>
  <si>
    <t>ZYT202309250045</t>
  </si>
  <si>
    <t>182315IDC00133</t>
  </si>
  <si>
    <t>苏州中金二期（SZZJ3D5 SZZJ3D6）</t>
  </si>
  <si>
    <t>SZZJ3D501E-I-01、SZZJ3D502E-I-16、SZZJ3D503E-I-01</t>
  </si>
  <si>
    <t>SZZJ3D502E-B-01、SZZJ3D502E-B-02。2022.9反馈为20A，10月更新为40A</t>
  </si>
  <si>
    <t>SZZJ3D501E-B-15、SZZJ3D501E-B-16、SZZJ3D501E-G-16、SZZJ3D501E-G-17、SZZJ3D502E-G-01、SZZJ3D502E-G-02、SZZJ3D503E-B-15、SZZJ3D503E-B-16</t>
  </si>
  <si>
    <t>SZZJ3D502E-A-01、SZZJ3D502E-A-02、SZZJ3D502E-A-03、SZZJ3D502E-A-04、SZZJ3D502E-A-05、SZZJ3D502E-A-06、SZZJ3D502E-A-07、SZZJ3D502E-A-08、SZZJ3D502E-A-09、SZZJ3D502E-A-10、SZZJ3D502E-A-11、SZZJ3D502E-A-12、SZZJ3D502E-A-13、SZZJ3D502E-A-14、SZZJ3D502E-A-15、SZZJ3D502E-A-16、SZZJ3D502E-A-17、SZZJ3D502E-B-03、SZZJ3D502E-B-04、SZZJ3D502E-B-05、SZZJ3D502E-B-06、SZZJ3D502E-B-07、SZZJ3D502E-B-08、SZZJ3D502E-B-09、SZZJ3D502E-B-10、SZZJ3D502E-B-11、SZZJ3D502E-B-12、SZZJ3D502E-B-13、SZZJ3D502E-B-14、SZZJ3D502E-B-15、SZZJ3D502E-B-16、SZZJ3D502E-C-02、SZZJ3D502E-C-03、SZZJ3D502E-C-04、SZZJ3D502E-C-05、SZZJ3D502E-C-06、SZZJ3D502E-C-07、SZZJ3D502E-C-08、SZZJ3D502E-C-09、SZZJ3D502E-C-10、SZZJ3D502E-C-11、SZZJ3D502E-C-12、SZZJ3D502E-C-13、SZZJ3D502E-C-14、SZZJ3D502E-C-15、SZZJ3D502E-C-16、SZZJ3D502E-C-17</t>
  </si>
  <si>
    <t>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</si>
  <si>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A-01、SZZJ3D501E-A-02、SZZJ3D502E-E-11、SZZJ3D502E-E-12、SZZJ3D502E-E-13、SZZJ3D502E-E-14、SZZJ3D502E-E-15、SZZJ3D502E-E-16、SZZJ3D502E-E-17、SZZJ3D502E-F-01、SZZJ3D502E-F-02、SZZJ3D502E-F-03、SZZJ3D502E-F-04、SZZJ3D502E-F-05、SZZJ3D502E-F-06、SZZJ3D502E-F-07、SZZJ3D502E-G-03、SZZJ3D502E-G-04、SZZJ3D502E-G-05、SZZJ3D502E-G-06、SZZJ3D502E-G-07、SZZJ3D502E-G-08、SZZJ3D502E-G-09、SZZJ3D502E-G-10、SZZJ3D502E-G-11、SZZJ3D502E-G-12、SZZJ3D502E-G-13、SZZJ3D502E-G-14、SZZJ3D502E-G-15、SZZJ3D502E-G-16、SZZJ3D502E-G-17、SZZJ3D502E-H-01、SZZJ3D502E-H-02、SZZJ3D502E-H-03、SZZJ3D502E-H-04、SZZJ3D502E-H-05、SZZJ3D502E-H-06、SZZJ3D502E-H-07、SZZJ3D502E-H-08、SZZJ3D502E-H-09、SZZJ3D502E-H-10、SZZJ3D502E-H-11、SZZJ3D502E-H-12、SZZJ3D502E-H-13、SZZJ3D502E-H-14、SZZJ3D502E-H-15、SZZJ3D502E-H-16SZZJ3D202E-D-03、SZZJ3D202E-D-04、SZZJ3D202E-D-05、SZZJ3D202E-D-06、SZZJ3D202E-D-07、SZZJ3D202E-D-08、SZZJ3D202E-D-09、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</si>
  <si>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B-01、SZZJ3D501E-B-02、SZZJ3D501E-B-03、SZZJ3D501E-B-04、SZZJ3D501E-B-05、SZZJ3D501E-B-06、SZZJ3D501E-B-07、SZZJ3D501E-B-08、SZZJ3D501E-B-09、SZZJ3D501E-B-10、SZZJ3D501E-B-11、SZZJ3D501E-B-12、SZZJ3D502E-F-08、SZZJ3D502E-F-09、SZZJ3D502E-F-10、SZZJ3D502E-F-11、SZZJ3D502E-F-12、SZZJ3D502E-F-13、SZZJ3D502E-F-14、SZZJ3D502E-F-15、SZZJ3D502E-F-16、SZZJ3D502E-I-01、SZZJ3D502E-I-02、SZZJ3D502E-I-03、SZZJ3D502E-I-04、SZZJ3D502E-I-05、SZZJ3D502E-I-06、SZZJ3D502E-I-07、SZZJ3D502E-I-08、SZZJ3D502E-I-09、SZZJ3D502E-I-10、SZZJ3D502E-I-11、SZZJ3D502E-I-12、SZZJ3D502E-I-13、SZZJ3D502E-I-14、SZZJ3D502E-I-15</t>
  </si>
  <si>
    <t>SZZJ3D501E-A-03、SZZJ3D501E-A-04</t>
  </si>
  <si>
    <t>SZZJ3D501E-A-05、SZZJ3D501E-A-06、SZZJ3D501E-A-07、SZZJ3D501E-A-08、SZZJ3D501E-A-09、SZZJ3D501E-A-10</t>
  </si>
  <si>
    <t>SZZJ3D501E-A-11、SZZJ3D501E-A-12、SZZJ3D501E-A-13、SZZJ3D501E-A-14、SZZJ3D501E-A-15、SZZJ3D501E-A-16、SZZJ3D501E-A-17、SZZJ3D501E-C-06、SZZJ3D501E-C-07</t>
  </si>
  <si>
    <t>SZZJ3D501E-C-01、SZZJ3D501E-C-02、SZZJ3D501E-C-03、SZZJ3D501E-C-04、SZZJ3D501E-C-05</t>
  </si>
  <si>
    <t>SZZJ3D501E-D-07、SZZJ3D501E-D-08、SZZJ3D501E-D-09、SZZJ3D501E-D-10、SZZJ3D501E-D-11、SZZJ3D501E-D-12</t>
  </si>
  <si>
    <t>SZZJ3D501E-D-13、SZZJ3D501E-D-14、SZZJ3D501E-D-15、SZZJ3D501E-D-16、SZZJ3D501E-E-01、SZZJ3D501E-E-02、SZZJ3D501E-E-03、SZZJ3D501E-E-04、SZZJ3D501E-E-06</t>
  </si>
  <si>
    <t>SZZJ3D501E-E-05、SZZJ3D501E-E-08</t>
  </si>
  <si>
    <t>SZZJ3D501E-I-09、SZZJ3D501E-I-10、SZZJ3D501E-I-11、SZZJ3D501E-I-12、SZZJ3D501E-I-13、SZZJ3D501E-I-14、SZZJ3D501E-I-15、SZZJ3D501E-I-16</t>
  </si>
  <si>
    <t>SZZJ3D501E-E-07</t>
  </si>
  <si>
    <t>SZZJ3D504E-I-16、SZZJ3D601E-I-01、SZZJ3D602E-I-16、SZZJ3D603E-I-16</t>
  </si>
  <si>
    <t>SZZJ3D503E-F-01、SZZJ3D503E-F-03、SZZJ3D503E-F-05、SZZJ3D503E-F-07、SZZJ3D503E-H-01、SZZJ3D503E-H-03、SZZJ3D503E-H-05、SZZJ3D503E-H-07、SZZJ3D503E-I-03、SZZJ3D503E-I-05、SZZJ3D503E-I-07、SZZJ3D503E-I-09、SZZJ3D601E-A-11、SZZJ3D601E-A-13、SZZJ3D601E-A-15、SZZJ3D601E-A-17、SZZJ3D601E-C-09、SZZJ3D601E-C-11、SZZJ3D601E-C-13、SZZJ3D601E-C-15、SZZJ3D601E-D-09、SZZJ3D601E-D-11、SZZJ3D601E-D-13、SZZJ3D601E-D-15、SZZJ3D601E-E-09、SZZJ3D601E-E-11、SZZJ3D601E-E-13、SZZJ3D601E-E-15、SZZJ3D601E-F-09、SZZJ3D601E-F-11、SZZJ3D601E-F-13、SZZJ3D601E-F-15、SZZJ3D601E-H-09、SZZJ3D601E-H-11、SZZJ3D601E-H-13、SZZJ3D601E-H-15、SZZJ3D601E-I-09、SZZJ3D601E-I-11、SZZJ3D601E-I-13、SZZJ3D601E-I-15、SZZJ3D602E-A-01、SZZJ3D602E-A-03、SZZJ3D602E-A-05、SZZJ3D602E-A-07、SZZJ3D602E-C-03、SZZJ3D602E-C-05、SZZJ3D602E-C-07、SZZJ3D602E-C-09、SZZJ3D602E-D-01、SZZJ3D602E-D-03、SZZJ3D602E-D-05、SZZJ3D602E-D-07、SZZJ3D602E-E-03、SZZJ3D602E-E-05、SZZJ3D602E-E-07、SZZJ3D602E-E-09、SZZJ3D602E-F-01、SZZJ3D602E-F-03、SZZJ3D602E-F-05、SZZJ3D602E-F-07、SZZJ3D602E-G-01、SZZJ3D602E-G-02、SZZJ3D602E-G-16、SZZJ3D602E-G-17、SZZJ3D602E-H-01、SZZJ3D602E-H-03、SZZJ3D602E-H-05、SZZJ3D602E-H-07</t>
  </si>
  <si>
    <t>SZZJ3D504E-A-01、SZZJ3D504E-A-03、SZZJ3D504E-A-05、SZZJ3D504E-A-07、SZZJ3D504E-C-03、SZZJ3D504E-C-05、SZZJ3D504E-C-07、SZZJ3D504E-C-09、SZZJ3D504E-D-01、SZZJ3D504E-D-03、SZZJ3D504E-D-05、SZZJ3D504E-D-07、SZZJ3D504E-E-03、SZZJ3D504E-E-05、SZZJ3D504E-E-07、SZZJ3D504E-E-09、SZZJ3D504E-F-01、SZZJ3D504E-F-03、SZZJ3D504E-F-05、SZZJ3D504E-F-07、SZZJ3D504E-H-01、SZZJ3D504E-H-03、SZZJ3D504E-H-05、SZZJ3D504E-H-07、SZZJ3D504E-I-01、SZZJ3D504E-I-03、SZZJ3D504E-I-05、SZZJ3D504E-I-07、SZZJ3D603E-A-01、SZZJ3D603E-A-03、SZZJ3D603E-A-05、SZZJ3D603E-A-07、SZZJ3D603E-C-01、SZZJ3D603E-C-03、SZZJ3D603E-C-05、SZZJ3D603E-C-07、SZZJ3D603E-D-01、SZZJ3D603E-D-03、SZZJ3D603E-D-05、SZZJ3D603E-D-07、SZZJ3D603E-E-01、SZZJ3D603E-E-03、SZZJ3D603E-E-05、SZZJ3D603E-E-07、SZZJ3D603E-F-01、SZZJ3D603E-F-03、SZZJ3D603E-F-05、SZZJ3D603E-F-07、SZZJ3D603E-H-01、SZZJ3D603E-H-03、SZZJ3D603E-H-05、SZZJ3D603E-H-07、SZZJ3D603E-I-01、SZZJ3D603E-I-03、SZZJ3D603E-I-05、SZZJ3D603E-I-07</t>
  </si>
  <si>
    <t>SZZJ3D601E-A-01、SZZJ3D601E-A-02、SZZJ3D601E-A-03、SZZJ3D601E-A-04、SZZJ3D601E-A-05、SZZJ3D601E-A-06、SZZJ3D601E-A-07、SZZJ3D601E-A-08、SZZJ3D601E-A-09、SZZJ3D601E-A-10、SZZJ3D601E-A-12、SZZJ3D601E-A-14、SZZJ3D601E-A-16、SZZJ3D601E-B-01、SZZJ3D601E-B-02、SZZJ3D601E-B-03、SZZJ3D601E-B-04、SZZJ3D601E-B-05、SZZJ3D601E-B-06、SZZJ3D601E-B-07、SZZJ3D601E-B-08、SZZJ3D601E-B-09、SZZJ3D601E-B-10、SZZJ3D601E-B-11、SZZJ3D601E-B-12、SZZJ3D601E-B-13、SZZJ3D601E-B-14、SZZJ3D601E-B-15、SZZJ3D601E-B-16、SZZJ3D601E-C-01、SZZJ3D601E-C-02、SZZJ3D601E-C-03、SZZJ3D601E-C-04、SZZJ3D601E-C-05、SZZJ3D601E-C-06、SZZJ3D601E-C-07、SZZJ3D601E-C-08、SZZJ3D601E-C-10、SZZJ3D601E-C-12、SZZJ3D601E-C-14、SZZJ3D601E-C-16、SZZJ3D601E-D-01、SZZJ3D601E-D-02、SZZJ3D601E-D-03、SZZJ3D601E-D-04、SZZJ3D601E-D-05、SZZJ3D601E-D-06、SZZJ3D601E-D-07、SZZJ3D601E-D-08、SZZJ3D601E-D-10、SZZJ3D601E-D-12、SZZJ3D601E-D-14、SZZJ3D601E-D-16、SZZJ3D601E-E-01、SZZJ3D601E-E-02、SZZJ3D601E-E-03、SZZJ3D601E-E-04、SZZJ3D601E-E-05、SZZJ3D601E-E-06、SZZJ3D601E-E-07、SZZJ3D601E-E-08、SZZJ3D601E-E-10、SZZJ3D601E-E-12、SZZJ3D601E-E-14、SZZJ3D601E-E-16、SZZJ3D601E-F-01、SZZJ3D601E-F-02、SZZJ3D601E-F-03、SZZJ3D601E-F-04、SZZJ3D601E-F-05、SZZJ3D601E-F-06、SZZJ3D601E-F-07、SZZJ3D601E-F-08、SZZJ3D601E-F-10、SZZJ3D601E-F-12、SZZJ3D601E-F-14、SZZJ3D601E-F-16、SZZJ3D601E-G-01、SZZJ3D601E-G-02、SZZJ3D601E-G-03、SZZJ3D601E-G-04、SZZJ3D601E-G-05、SZZJ3D601E-G-06、SZZJ3D601E-G-07、SZZJ3D601E-G-08、SZZJ3D601E-G-09、SZZJ3D601E-G-10、SZZJ3D601E-G-11、SZZJ3D601E-G-12、SZZJ3D601E-G-13、SZZJ3D601E-G-14、SZZJ3D601E-G-15、SZZJ3D601E-G-16、SZZJ3D601E-G-17、SZZJ3D601E-H-01、SZZJ3D601E-H-02、SZZJ3D601E-H-03、SZZJ3D601E-H-04、SZZJ3D601E-H-05、SZZJ3D601E-H-06、SZZJ3D601E-H-07、SZZJ3D601E-H-08、SZZJ3D601E-H-10、SZZJ3D601E-H-12、SZZJ3D601E-H-14、SZZJ3D601E-H-16、SZZJ3D601E-I-02、SZZJ3D601E-I-03、SZZJ3D601E-I-04、SZZJ3D601E-I-05、SZZJ3D601E-I-06、SZZJ3D601E-I-07、SZZJ3D601E-I-08、SZZJ3D601E-I-10、SZZJ3D601E-I-12、SZZJ3D601E-I-14、SZZJ3D601E-I-16</t>
  </si>
  <si>
    <t>SZZJ3D503E-F-02、SZZJ3D503E-F-04、SZZJ3D503E-F-06、SZZJ3D503E-F-08、SZZJ3D503E-F-09、SZZJ3D503E-F-10、SZZJ3D503E-F-11、SZZJ3D503E-F-12、SZZJ3D503E-F-13、SZZJ3D503E-F-14、SZZJ3D503E-F-15、SZZJ3D503E-F-16、SZZJ3D503E-G-01、SZZJ3D503E-G-02、SZZJ3D503E-G-03、SZZJ3D503E-G-04、SZZJ3D503E-G-05、SZZJ3D503E-G-06、SZZJ3D503E-G-07、SZZJ3D503E-G-08、SZZJ3D503E-G-09、SZZJ3D503E-G-10、SZZJ3D503E-G-11、SZZJ3D503E-G-12、SZZJ3D503E-G-13、SZZJ3D503E-G-14、SZZJ3D503E-G-15、SZZJ3D503E-H-02、SZZJ3D503E-H-04、SZZJ3D503E-H-06、SZZJ3D503E-H-08、SZZJ3D503E-H-09、SZZJ3D503E-H-10、SZZJ3D503E-H-11、SZZJ3D503E-H-12、SZZJ3D503E-H-13、SZZJ3D503E-H-14、SZZJ3D503E-H-15、SZZJ3D503E-H-16、SZZJ3D503E-I-02、SZZJ3D503E-I-04、SZZJ3D503E-I-06、SZZJ3D503E-I-08、SZZJ3D503E-I-10、SZZJ3D503E-I-11、SZZJ3D503E-I-12、SZZJ3D503E-I-13、SZZJ3D503E-I-14、SZZJ3D503E-I-15、SZZJ3D503E-I-16、SZZJ3D504E-A-02、SZZJ3D504E-A-04、SZZJ3D504E-A-06、SZZJ3D504E-A-08、SZZJ3D504E-A-09、SZZJ3D504E-A-10、SZZJ3D504E-A-11、SZZJ3D504E-A-12、SZZJ3D504E-A-13、SZZJ3D504E-A-14、SZZJ3D504E-A-15、SZZJ3D504E-A-16、SZZJ3D504E-A-17、SZZJ3D504E-B-03、SZZJ3D504E-B-04、SZZJ3D504E-B-05、SZZJ3D504E-B-06、SZZJ3D504E-B-07</t>
  </si>
  <si>
    <t>SZZJ3D602E-A-02、SZZJ3D602E-A-04、SZZJ3D602E-A-06、SZZJ3D602E-A-08、SZZJ3D602E-A-09、SZZJ3D602E-A-10、SZZJ3D602E-A-11、SZZJ3D602E-A-12、SZZJ3D602E-A-13、SZZJ3D602E-A-14、SZZJ3D602E-A-15、SZZJ3D602E-A-16、SZZJ3D602E-A-17、SZZJ3D602E-B-03、SZZJ3D602E-B-04、SZZJ3D602E-B-05、SZZJ3D602E-B-06、SZZJ3D602E-B-07、SZZJ3D602E-B-08、SZZJ3D602E-B-09、SZZJ3D602E-B-10、SZZJ3D602E-B-11、SZZJ3D602E-B-12、SZZJ3D602E-B-13、SZZJ3D602E-B-14、SZZJ3D602E-B-15、SZZJ3D602E-B-16、SZZJ3D602E-C-02、SZZJ3D602E-C-04、SZZJ3D602E-C-06、SZZJ3D602E-C-08、SZZJ3D602E-C-10、SZZJ3D602E-C-11、SZZJ3D602E-C-12、SZZJ3D602E-C-13、SZZJ3D602E-C-14、SZZJ3D602E-C-15、SZZJ3D602E-C-16、SZZJ3D602E-C-17、SZZJ3D602E-D-02、SZZJ3D602E-D-04、SZZJ3D602E-D-06、SZZJ3D602E-D-08、SZZJ3D602E-D-09、SZZJ3D602E-D-10、SZZJ3D602E-D-11、SZZJ3D602E-D-12、SZZJ3D602E-D-13、SZZJ3D602E-D-14、SZZJ3D602E-D-15、SZZJ3D602E-D-16、SZZJ3D602E-E-02、SZZJ3D602E-E-04、SZZJ3D602E-E-06、SZZJ3D602E-E-08、SZZJ3D602E-E-10、SZZJ3D602E-E-11、SZZJ3D602E-E-12、SZZJ3D602E-E-13、SZZJ3D602E-E-14、SZZJ3D602E-E-15、SZZJ3D602E-E-16、SZZJ3D602E-E-17、SZZJ3D602E-F-02、SZZJ3D602E-F-04、SZZJ3D602E-F-06、SZZJ3D602E-F-08、SZZJ3D602E-F-09、SZZJ3D602E-F-10、SZZJ3D602E-F-11、SZZJ3D602E-F-12、SZZJ3D602E-F-13、SZZJ3D602E-F-14、SZZJ3D602E-F-15、SZZJ3D602E-F-16、SZZJ3D602E-G-03、SZZJ3D602E-G-04、SZZJ3D602E-G-05、SZZJ3D602E-G-06、SZZJ3D602E-G-07、SZZJ3D602E-G-08、SZZJ3D602E-G-09、SZZJ3D602E-G-13、SZZJ3D602E-G-15</t>
  </si>
  <si>
    <t>SZZJ3D602E-H-13、SZZJ3D602E-H-15</t>
  </si>
  <si>
    <t>SZZJ3D602E-G-10、SZZJ3D602E-G-11、SZZJ3D602E-G-12、SZZJ3D602E-G-14、SZZJ3D602E-H-02、SZZJ3D602E-H-04、SZZJ3D602E-H-06、SZZJ3D602E-H-08、SZZJ3D602E-H-09、SZZJ3D602E-H-10、SZZJ3D602E-H-11、SZZJ3D602E-H-12、SZZJ3D602E-H-14、SZZJ3D602E-H-16</t>
  </si>
  <si>
    <t>SZZJ3D602E-I-01</t>
  </si>
  <si>
    <t>SZZJ3D602E-I-02、SZZJ3D602E-I-03、SZZJ3D602E-I-04、SZZJ3D602E-I-05、SZZJ3D602E-I-06、SZZJ3D602E-I-07、SZZJ3D602E-I-08、SZZJ3D602E-I-09、SZZJ3D602E-I-10、SZZJ3D602E-I-11、SZZJ3D602E-I-12、SZZJ3D602E-I-13、SZZJ3D602E-I-14、SZZJ3D602E-I-15、SZZJ3D603E-I-02、SZZJ3D603E-I-04、SZZJ3D603E-I-06、SZZJ3D603E-I-08、SZZJ3D603E-I-09、SZZJ3D603E-I-10、SZZJ3D603E-I-11、SZZJ3D603E-I-12、SZZJ3D603E-I-13、SZZJ3D603E-I-14、SZZJ3D603E-I-15</t>
  </si>
  <si>
    <t>SZZJ3D603E-D-02、SZZJ3D603E-D-04、SZZJ3D603E-D-06、SZZJ3D603E-D-08、SZZJ3D603E-D-09、SZZJ3D603E-D-10、SZZJ3D603E-D-11、SZZJ3D603E-D-12、SZZJ3D603E-D-13、SZZJ3D603E-D-14、SZZJ3D603E-D-15、SZZJ3D603E-D-16</t>
  </si>
  <si>
    <t>SZZJ3D603E-A-02、SZZJ3D603E-A-04、SZZJ3D603E-A-06、SZZJ3D603E-A-08、SZZJ3D603E-A-09、SZZJ3D603E-A-10、SZZJ3D603E-A-11、SZZJ3D603E-A-12、SZZJ3D603E-A-13、SZZJ3D603E-A-14、SZZJ3D603E-A-15、SZZJ3D603E-A-16、SZZJ3D603E-A-17、SZZJ3D603E-B-01、SZZJ3D603E-B-02、SZZJ3D603E-B-03、SZZJ3D603E-B-04、SZZJ3D603E-B-05、SZZJ3D603E-B-06、SZZJ3D603E-B-07、SZZJ3D603E-B-08、SZZJ3D603E-B-09、SZZJ3D603E-B-10、SZZJ3D603E-B-11、SZZJ3D603E-B-12、SZZJ3D603E-B-13、SZZJ3D603E-B-14、SZZJ3D603E-C-02、SZZJ3D603E-C-04、SZZJ3D603E-C-06、SZZJ3D603E-C-08、SZZJ3D603E-C-09、SZZJ3D603E-C-10、SZZJ3D603E-C-11、SZZJ3D603E-C-12、SZZJ3D603E-C-13、SZZJ3D603E-C-14、SZZJ3D603E-C-15、SZZJ3D603E-C-16</t>
  </si>
  <si>
    <t>SZZJ3D502E-D-04、SZZJ3D504E-A-02、SZZJ3D504E-A-04、SZZJ3D504E-A-06、SZZJ3D504E-A-08、SZZJ3D504E-A-09、SZZJ3D504E-A-10、SZZJ3D504E-A-11、SZZJ3D504E-A-12、SZZJ3D504E-A-13、SZZJ3D504E-A-14、SZZJ3D504E-A-16、SZZJ3D504E-B-03、SZZJ3D504E-B-04、SZZJ3D504E-B-05、SZZJ3D504E-B-06、SZZJ3D504E-B-07、SZZJ3D601E-B-16、SZZJ3D601E-G-16、SZZJ3D601E-G-17、SZZJ3D603E-I-15</t>
  </si>
  <si>
    <t>SZZJ3D603E-G-16、SZZJ3D603E-G-17、SZZJ3D504E-G-01、SZZJ3D504E-G-02</t>
  </si>
  <si>
    <t>SZZJ3D501E-B-13、SZZJ3D501E-B-14、SZZJ3D501E-E-09、SZZJ3D501E-E-10、SZZJ3D501E-E-11、SZZJ3D501E-E-12</t>
  </si>
  <si>
    <t>SZZJ3D603E-E-02、SZZJ3D603E-E-04、SZZJ3D603E-E-06、SZZJ3D603E-E-08、SZZJ3D603E-E-09、SZZJ3D603E-E-10、SZZJ3D603E-E-11、SZZJ3D603E-E-12、SZZJ3D603E-E-13、SZZJ3D603E-E-14、SZZJ3D603E-E-15、SZZJ3D603E-E-16、SZZJ3D603E-F-02、SZZJ3D603E-F-04、SZZJ3D603E-F-06、SZZJ3D603E-G-13、SZZJ3D603E-G-14、SZZJ3D603E-G-15</t>
  </si>
  <si>
    <t>SZZJ3D603E-F-08、SZZJ3D603E-F-09、SZZJ3D603E-F-10、SZZJ3D603E-F-11、SZZJ3D603E-F-12、SZZJ3D603E-F-13、SZZJ3D603E-F-14、SZZJ3D603E-F-15、SZZJ3D603E-F-16、SZZJ3D603E-G-01、SZZJ3D603E-G-02、SZZJ3D603E-G-03、SZZJ3D603E-G-04、SZZJ3D603E-G-05、SZZJ3D603E-G-06、SZZJ3D603E-G-07、SZZJ3D603E-G-08、SZZJ3D603E-G-09、SZZJ3D603E-G-10、SZZJ3D603E-G-11、SZZJ3D603E-G-12、SZZJ3D603E-H-13、SZZJ3D603E-H-15</t>
  </si>
  <si>
    <t>SZZJ3D504E-A-02、SZZJ3D504E-A-04、SZZJ3D504E-A-06、SZZJ3D504E-A-08、SZZJ3D504E-A-09、SZZJ3D504E-A-10、SZZJ3D504E-A-11、SZZJ3D504E-A-12、SZZJ3D504E-A-13、SZZJ3D504E-A-14、SZZJ3D504E-A-16、SZZJ3D504E-B-03、SZZJ3D504E-B-04、SZZJ3D504E-B-05、SZZJ3D504E-B-06、SZZJ3D504E-B-07、SZZJ3D504E-B-08、SZZJ3D504E-B-09、SZZJ3D504E-B-10、SZZJ3D504E-B-11、SZZJ3D504E-B-12、SZZJ3D504E-B-13、SZZJ3D504E-B-14、SZZJ3D504E-B-15、SZZJ3D504E-B-16、SZZJ3D504E-C-02、SZZJ3D504E-C-04、SZZJ3D504E-C-06、SZZJ3D504E-C-08、SZZJ3D504E-C-10、SZZJ3D504E-C-11、SZZJ3D504E-C-12、SZZJ3D504E-C-13、SZZJ3D603E-H-02、SZZJ3D603E-H-04、SZZJ3D603E-H-06、SZZJ3D603E-H-08、SZZJ3D603E-H-09、SZZJ3D603E-H-10、SZZJ3D603E-H-11、SZZJ3D603E-H-12、SZZJ3D603E-H-14、SZZJ3D603E-H-16</t>
  </si>
  <si>
    <t>SZZJ3D503E-D-01、SZZJ3D503E-D-03、SZZJ3D503E-D-05、SZZJ3D503E-D-07、SZZJ3D503E-E-01、SZZJ3D503E-E-03、SZZJ3D503E-E-05、SZZJ3D503E-E-07、SZZJ3D504E-C-14、SZZJ3D504E-C-15、SZZJ3D504E-C-16、SZZJ3D504E-C-17、SZZJ3D504E-D-02、SZZJ3D504E-D-04、SZZJ3D504E-D-06、SZZJ3D504E-D-08、SZZJ3D504E-D-09、SZZJ3D504E-D-10、SZZJ3D504E-D-11、SZZJ3D504E-D-12、SZZJ3D504E-D-13、SZZJ3D504E-D-14、SZZJ3D504E-D-15、SZZJ3D504E-D-16、SZZJ3D504E-E-02、SZZJ3D504E-E-04、SZZJ3D504E-E-06、SZZJ3D504E-E-08、SZZJ3D504E-E-10、SZZJ3D504E-E-11、SZZJ3D504E-E-12、SZZJ3D504E-E-13、SZZJ3D504E-E-14、SZZJ3D504E-E-15、SZZJ3D504E-E-16、SZZJ3D504E-E-17、SZZJ3D504E-F-16、SZZJ3D503E-C-13、SZZJ3D503E-C-15、SZZJ3D503E-D-13、SZZJ3D503E-D-15</t>
  </si>
  <si>
    <t>SZZJ3D504E-F-02、SZZJ3D504E-F-04、SZZJ3D504E-F-06、SZZJ3D504E-F-08、SZZJ3D504E-F-09、SZZJ3D504E-F-10、SZZJ3D504E-F-11、SZZJ3D504E-F-12、SZZJ3D504E-F-13、SZZJ3D504E-F-14、SZZJ3D504E-F-15、SZZJ3D504E-G-03、SZZJ3D504E-G-04、SZZJ3D504E-G-05、SZZJ3D504E-G-06、SZZJ3D504E-G-07、SZZJ3D504E-G-08、SZZJ3D504E-G-09、SZZJ3D504E-G-10、SZZJ3D504E-G-11、SZZJ3D504E-G-12、SZZJ3D504E-G-13、SZZJ3D504E-G-14、SZZJ3D504E-G-15、SZZJ3D504E-G-16、SZZJ3D504E-G-17、SZZJ3D504E-H-02、SZZJ3D504E-H-04、SZZJ3D504E-H-06、SZZJ3D504E-H-08、SZZJ3D504E-H-09、SZZJ3D504E-H-10、SZZJ3D504E-H-11、SZZJ3D504E-H-12、SZZJ3D504E-H-13、SZZJ3D504E-H-14、SZZJ3D504E-H-15、SZZJ3D504E-H-16、SZZJ3D504E-I-02、SZZJ3D504E-I-04、SZZJ3D504E-I-06、SZZJ3D504E-I-08、SZZJ3D504E-I-09、SZZJ3D504E-I-10、SZZJ3D504E-I-11、SZZJ3D504E-I-12、SZZJ3D504E-I-13、SZZJ3D504E-I-14、SZZJ3D504E-I-15、SZZJ3D601E-B-16、SZZJ3D601E-G-16、SZZJ3D504E-B-01、SZZJ3D504E-B-02、SZZJ3D503E-G-16</t>
  </si>
  <si>
    <t>2023.7更新计提数量，SYS确认SZZJ3D602E-B-01于6.30开通。SZZJ3D503E-C-06、SZZJ3D503E-C-07、SZZJ3D503E-C-08、SZZJ3D503E-C-09、SZZJ3D503E-C-10、SZZJ3D503E-C-11、SZZJ3D503E-C-12、SZZJ3D503E-C-14、SZZJ3D503E-C-16、SZZJ3D503E-D-02、SZZJ3D503E-D-04、SZZJ3D503E-D-06、SZZJ3D503E-D-08、SZZJ3D503E-D-09、SZZJ3D503E-D-10、SZZJ3D503E-D-11、SZZJ3D503E-D-12、SZZJ3D503E-D-14、SZZJ3D503E-D-16、SZZJ3D503E-E-02、SZZJ3D503E-E-04、SZZJ3D503E-E-06、SZZJ3D503E-E-08、SZZJ3D503E-E-09、SZZJ3D503E-E-10、SZZJ3D503E-E-11、SZZJ3D503E-E-12、SZZJ3D503E-E-13、SZZJ3D503E-E-14、SZZJ3D503E-E-15、SZZJ3D503E-E-16、SZZJ3D602E-B-02、SZZJ3D603E-I-15、SZZJ3D603E-B-15、SZZJ3D603E-B-16、SZZJ3D602E-B-01</t>
  </si>
  <si>
    <t>SZZJ3D503E-C-05</t>
  </si>
  <si>
    <t>SZZJ3D503E-B-14、SZZJ3D503E-C-01</t>
  </si>
  <si>
    <t>SZZJ3D503E-C-02、SZZJ3D503E-C-03、SZZJ3D503E-C-04</t>
  </si>
  <si>
    <t>SZZJ3D501E-F-01、SZZJ3D501E-F-02、SZZJ3D501E-F-03、SZZJ3D501E-F-04、SZZJ3D501E-F-05、SZZJ3D501E-F-06</t>
  </si>
  <si>
    <t>SZZJ3D501E-F-15</t>
  </si>
  <si>
    <t>SZZJ3D501E-E-14、SZZJ3D501E-E-15、SZZJ3D501E-E-16</t>
    <phoneticPr fontId="3" type="noConversion"/>
  </si>
  <si>
    <t>SZZJ3D501E-H-09、SZZJ3D501E-H-10、SZZJ3D501E-H-11、SZZJ3D501E-H-12、SZZJ3D501E-H-13、SZZJ3D501E-H-14、SZZJ3D501E-H-15、SZZJ3D501E-H-16</t>
  </si>
  <si>
    <t>SZZJ3D501E-G-05、SZZJ3D501E-G-06</t>
    <phoneticPr fontId="3" type="noConversion"/>
  </si>
  <si>
    <t>SZZJ3D501E-G-03、SZZJ3D501E-G-04、SZZJ3D501E-G-15、SZZJ3D501E-H-01、SZZJ3D501E-H-03、SZZJ3D501E-H-04</t>
  </si>
  <si>
    <t>SZZJ3D501E-F-07、SZZJ3D501E-F-16</t>
    <phoneticPr fontId="3" type="noConversion"/>
  </si>
  <si>
    <t>SZZJ3D501E-G-12、SZZJ3D501E-G-13、SZZJ3D501E-G-14</t>
    <phoneticPr fontId="3" type="noConversion"/>
  </si>
  <si>
    <t>SZZJ3D502E-D-04</t>
    <phoneticPr fontId="3" type="noConversion"/>
  </si>
  <si>
    <t>SZZJ3D501E-F-13、SZZJ3D501E-G-01、SZZJ3D501E-G-02、SZZJ3D501E-G-07、SZZJ3D501E-G-08、SZZJ3D501E-G-09、SZZJ3D501E-G-10、SZZJ3D501E-G-11、SZZJ3D501E-H-02、SZZJ3D501E-H-05、SZZJ3D501E-H-06、SZZJ3D501E-H-07、SZZJ3D501E-H-08</t>
    <phoneticPr fontId="3" type="noConversion"/>
  </si>
  <si>
    <t>SZZJ3D501E-F-08、SZZJ3D501E-F-09、SZZJ3D501E-F-10、SZZJ3D501E-F-11、SZZJ3D501E-F-12</t>
    <phoneticPr fontId="3" type="noConversion"/>
  </si>
  <si>
    <t>202309 SZZJ二期电费参照8月金额预估。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phoneticPr fontId="3" type="noConversion"/>
  </si>
  <si>
    <t>ZYT202309250046</t>
  </si>
  <si>
    <t>182015IDC00137</t>
  </si>
  <si>
    <t>预计近期退租，需要关注。上海拼多多专线
（1）机房园区至机房内光纤，月单价1236
（2）拼多多斜土路POP点至百度云外高桥机房，单价433，长度54.4公里，月单价23555
（3）机房至指定机架模块，月单价742
税率9%，月付</t>
  </si>
  <si>
    <t>2021/8/10退租，冲销21天费用</t>
  </si>
  <si>
    <t>182315IDC00429</t>
  </si>
  <si>
    <t>百度大厦-北京骏豪中央公园A7</t>
  </si>
  <si>
    <t>1G</t>
  </si>
  <si>
    <t>因为合规整改骨干网网管监控需求，开通一条1G电路从百度大厦-朝阳区骏豪中央公园广场A7，开通日期2020.6.4。税率6%，月付</t>
  </si>
  <si>
    <t>新合同 月付，9%</t>
  </si>
  <si>
    <t>上地百度大厦-清华205机房</t>
  </si>
  <si>
    <t>2023.7调整单价。园外15KM，单价440
2020.5.15由天地通转签中信网络
A端：上地百度大厦；B端：清华205机房
季付，未明确预定税率，一般按9%开票</t>
  </si>
  <si>
    <t>清华东交接箱-清华205机房</t>
  </si>
  <si>
    <t>2023.7调整单价。园内0.5KM，单价880，不足0.1km 以0.1km 计
2020.5.15由天地通转签中信网络
A端：清华东交接箱；B端：清华205机房
季付，未明确预定税率，一般按9%开票</t>
  </si>
  <si>
    <t>上地百度大厦-清华306机房</t>
  </si>
  <si>
    <t>2023.7调整单价。园外26.5KM，单价440
2020.5.15由天地通转签中信网络
A端：上地百度大厦；B端：清华306机房
季付，未明确预定税率，一般按9%开票</t>
  </si>
  <si>
    <t>上地百度大厦-清华园区</t>
  </si>
  <si>
    <t>2023.7调整单价。园内2.5KM，单价880
2020.5.15由天地通转签中信网络
A端：上地百度大厦；B端：清华园区
季付，未明确预定税率，一般按9%开票</t>
  </si>
  <si>
    <t>上地百度大厦-通州光机电电信次渠机房</t>
  </si>
  <si>
    <t xml:space="preserve">2023.7调整单价。2020.5.15由天地通转签中信网络
A端：上地百度大厦；B端：通州光机电电信次渠机房
季付，未明确预定税率，一般按9%开票               </t>
  </si>
  <si>
    <t>酒仙桥M1-百度大厦</t>
  </si>
  <si>
    <t>2023.7调整单价。2020.5.15由天地通转签中信网络
A端：酒仙桥M1；B端：上地百度大厦
季付，未明确预定税率，一般按9%开票</t>
  </si>
  <si>
    <t>通州光机电电信次渠机房-酒仙桥M1</t>
  </si>
  <si>
    <t>2023.7调整单价2020.5.15由天地通转签中信网络
A端：通州光机电电信次渠机房；B端：酒仙桥M1
季付，未明确预定税率，一般按9%开票</t>
  </si>
  <si>
    <t>中经云机房-亦庄移动（百度）机房（路由一、六环）</t>
  </si>
  <si>
    <t>2023.7调整单价。2020.5.15由天地通转签中信网络
A端：中经云机房；B端：亦庄移动（百度）机房（路由一、六环）</t>
  </si>
  <si>
    <t>中经云机房-亦庄移动（百度）机房（路由二、亦庄）</t>
  </si>
  <si>
    <t>2023.7调整单价。2020.5.15由天地通转签中信网络
A端：中经云机房；B端：亦庄移动（百度）机房（路由二、亦庄）
季付，未明确预定税率，一般按9%开票</t>
  </si>
  <si>
    <t>凉水河机房-中金机房（路由一）</t>
  </si>
  <si>
    <t>2023.7调整单价。2020.5.15由天地通转签中信网络
A端：凉水河机房；B端：中金机房（路由一）
季付，未明确预定税率，一般按9%开票</t>
  </si>
  <si>
    <t>凉水河机房-中金机房（路由二）</t>
  </si>
  <si>
    <t>2023.7调整单价。2020.5.15由天地通转签中信网络
A端：凉水河机房；B端：中金机房（路由二）
季付，未明确预定税率，一般按9%开票</t>
  </si>
  <si>
    <t>182015IDC00205</t>
  </si>
  <si>
    <t>北京M1/百度大厦-阳泉</t>
  </si>
  <si>
    <t>G</t>
  </si>
  <si>
    <t>202006北京M1/百度大厦-阳泉4.75T电路。应通光纤转入。税率9%；月付</t>
  </si>
  <si>
    <t>182115IDC00003</t>
  </si>
  <si>
    <t>北京 M1-阳泉、北京百度大厦-阳泉</t>
  </si>
  <si>
    <t>90G</t>
  </si>
  <si>
    <t>月付，9%
2020/4/23开通骨干网：百度科技园（南96芯--五排--3、4芯）-软件园4号楼光纤,39.83KM，每公里600元；
合同预审中：2020/4/23开通骨干网：软件园4号楼-酒仙桥M1（E2-02机柜48芯ODF1、2芯,，5KM，每公里1320元，固定每月6000对应合规，北京 M1-阳泉、北京百度大厦-阳泉共90G</t>
  </si>
  <si>
    <t>182115IDC00010</t>
  </si>
  <si>
    <t>上海-江苏</t>
  </si>
  <si>
    <t>3.62T</t>
  </si>
  <si>
    <t>税率9%，月付
1、2020/8/19开通斜土路-昆山，78.2KM，固定费用56520/月。包含1个机柜：CSSHDFWPOP101-C-02，关联在临时合同L20201025004上
2、2020/8/19开通斜土路-昆山，84.2KM，固定费用52120/月
3、2020/11/1开通昆山-外高桥，95KM，固定费用57000/月
4、2020/11/1开通昆山-外高桥，117KM，固定费用70200/月</t>
  </si>
  <si>
    <t>182115IDC00015</t>
  </si>
  <si>
    <t>阳泉-西安
北京-西安</t>
  </si>
  <si>
    <t>2.4T
0.8T</t>
  </si>
  <si>
    <t>2020年11月1日费用调整为1474128
阳泉-西安电路费用。税率9%，月付</t>
  </si>
  <si>
    <t>182115IDC00016</t>
  </si>
  <si>
    <t>北京百度科技园/北京百度M1-定兴/徐水</t>
  </si>
  <si>
    <t>9600G</t>
  </si>
  <si>
    <t>北京百度科技园-定兴，北京百度M1-徐水，共9.6T。税率9%，月付</t>
  </si>
  <si>
    <t>1821202IDC00291</t>
  </si>
  <si>
    <t>百度大厦-百度科技园（园区内）</t>
  </si>
  <si>
    <t>2021.6按照预审合同，光纤于2020/12/1由中关村转签至中信，每月的价差已在2021.5补计提在中关村下。京宽转签至中关村：百度大厦-百度科技园（园区内）。季付，9%</t>
  </si>
  <si>
    <t xml:space="preserve">2021.6按照预算合同，调整计提单价。唐镇-外高桥光纤长度，共52.1公里
路由A：22.6公里
路由B：29.5公里
季付，9%
</t>
  </si>
  <si>
    <t>日阪路-外高桥（华京路6号）</t>
  </si>
  <si>
    <t>日阪路-外高桥（华京路6号）双路由光纤长度，共15公里。2020/12/22开通，计费10天
路由A：7.5公里
路由B：7.5公里
。季付，9%</t>
  </si>
  <si>
    <t>建宁路-南京凤凰</t>
  </si>
  <si>
    <t>建宁路-南京凤凰光纤。季付，9%</t>
  </si>
  <si>
    <t>南沙M3A-揽信虎门-M3B</t>
  </si>
  <si>
    <t>2021/4/27开通，2021/5/1开始计费。光纤编号：B755001；线路编号：M3A-HMLX-HW。季付，9%</t>
  </si>
  <si>
    <t>2021/4/27开通，2021/5/1开始计费。光纤编号：B755002；线路编号：M3A-HMLX-Nok。季付，9%</t>
  </si>
  <si>
    <t>CSGDHM</t>
  </si>
  <si>
    <t>2021/4/27开通，2021/5/1开始计费： 
CSGDCA-01-01。季付，9%</t>
  </si>
  <si>
    <t>亦庄-M1</t>
  </si>
  <si>
    <t>202105根据商务提供的传输清单，增加计提行。亦庄-M1。季付，9%</t>
  </si>
  <si>
    <t>华威-M1</t>
  </si>
  <si>
    <t>202105根据商务提供的传输清单，增加计提行。华威-M1。季付，9%</t>
  </si>
  <si>
    <t>亦庄-科技园</t>
  </si>
  <si>
    <t>202105根据商务提供的传输清单，增加计提行。亦庄-科技园。季付，9%</t>
  </si>
  <si>
    <t>亦庄-科技园（科技园内）</t>
  </si>
  <si>
    <t>202105根据商务提供的传输清单，增加计提行。亦庄-科技园（科技园内）。季付，9%</t>
  </si>
  <si>
    <t>华威-科技园</t>
  </si>
  <si>
    <t>202105根据商务提供的传输清单，增加计提行。华威-科技园。季付，9%</t>
  </si>
  <si>
    <t>华威-科技园（科技园内）</t>
  </si>
  <si>
    <t>202105根据商务提供的传输清单，增加计提行。华威-科技园（科技园内）。季付，9%</t>
  </si>
  <si>
    <t>上海鹏博士POP-上海市静安区万荣路1268号云立方</t>
  </si>
  <si>
    <t>2021/5/24开通鹏博士-云立方，5月计费8天。季付，9%</t>
  </si>
  <si>
    <t>引接费</t>
  </si>
  <si>
    <t>上海鹏博士POP-云立方引接费</t>
  </si>
  <si>
    <t>202201上海鹏博士POP-云立方引接费。季付，9%</t>
  </si>
  <si>
    <t>2022/1/31上海鹏博士POP-云立方引接费退租。季付，9%</t>
  </si>
  <si>
    <t>上海鹏博士POP-上海市浦东新区达秀路51号唐镇万国</t>
  </si>
  <si>
    <t>2021/5/24开通鹏博士-东方网，5月计费8天。季付，9%</t>
  </si>
  <si>
    <t>上海鹏博士POP-上海日阪路91号万国新发展数据中心</t>
  </si>
  <si>
    <t>上海鹏博士POP-上海市徐汇区斜土路2567号东方网机房</t>
  </si>
  <si>
    <t>上海鹏博士POP-东方网引接费</t>
  </si>
  <si>
    <t>上海鹏博士POP-东方网引接费。季付，9%</t>
  </si>
  <si>
    <t>ZYT202309250054</t>
  </si>
  <si>
    <t>上海鹏博士POP-上海市华京路6号</t>
  </si>
  <si>
    <t>2021/5/24开通鹏博士-华京路，5月计费8天。季付，9%</t>
  </si>
  <si>
    <t>上海鹏博士POP-华京路引接费</t>
  </si>
  <si>
    <t>上海鹏博士POP-华京路引接费。季付，9%</t>
  </si>
  <si>
    <t>ZYT202309250055</t>
  </si>
  <si>
    <t>182215IDC00125</t>
  </si>
  <si>
    <t>北京朝阳区万达广场12号楼2309-北京酒仙桥北路恒通国际创新园C12</t>
  </si>
  <si>
    <t>北京朝阳区酒仙桥路6号院2号楼-北京酒仙桥北路恒通国际创新园C12</t>
  </si>
  <si>
    <t>酒仙桥恒通国际创新园C12栋-酒仙桥德信大厦6层美团机房</t>
  </si>
  <si>
    <t>2023.1.31退租：酒仙桥恒通国际创新园C12栋-酒仙桥德信大厦6层美团机房</t>
  </si>
  <si>
    <t>河北省保定市定兴县福朔路166号-河北定兴县兴华街南玻璃管厂院内(路由1)</t>
  </si>
  <si>
    <t>河北省保定市定兴县福朔路166号 -河北定兴县兴华街南玻璃管厂院内(路由2)</t>
  </si>
  <si>
    <t>广州市天河区五山路381号华南理工大学电讯楼1楼-广州市南沙区平谦国际现代产业园B栋一层M3A（路由1）</t>
  </si>
  <si>
    <t>教育网，20220201由广东有线合规至中信，广州市天河区五山路381号华南理工大学电讯楼1楼-广州市南沙区平谦国际现代产业园B栋一层M3A（路由1）</t>
  </si>
  <si>
    <t>华南理工校内跳纤费（路由1）</t>
  </si>
  <si>
    <t>教育网，20220201由广东有线合规至中信，华南理工校内跳纤费（路由1）</t>
  </si>
  <si>
    <t>广州市天河区五山路381号华南理工大学电讯楼1楼-广州市南沙区平谦国际现代产业园B栋一层M3A（路由2）</t>
  </si>
  <si>
    <t>教育网，20220201由广东有线合规至中信，广州市天河区五山路381号华南理工大学电讯楼1楼-广州市南沙区平谦国际现代产业园B栋一层M3A（路由2）</t>
  </si>
  <si>
    <t>华南理工校内跳纤费（路由2）</t>
  </si>
  <si>
    <t>教育网，20220201由广东有线合规至中信，华南理工校内跳纤费（路由2）</t>
  </si>
  <si>
    <t>182215IDC00251</t>
  </si>
  <si>
    <t>2022.4.10退租两条上海-昆山电路，带宽量分别为800G和90G，退租计算公式：515*308/1.06*1.09。退租后带宽总量为19590G
202109调整北京-南京等（除北京-阳泉外）电路月租费，带宽总量20480G，详细计算过程参考202108计提表中的附件一。应通光纤转入</t>
  </si>
  <si>
    <t>2022.4.10退租两条上海-昆山电路，带宽量分别为800G和90G，退租计算公式：515*308/1.06*1.09。退租后带宽总量为19590G</t>
  </si>
  <si>
    <t>L20230610015</t>
  </si>
  <si>
    <t>原卅思云合同于2020.2.29到期，到期后转签至中信
A端：北京市朝阳区酒仙桥北路九号恒通国际创新园C12的乙方ODF,B端：北京市通州区宋庄镇徐尹路与富壁路交叉口汇天云端产业园的ODF
税率9%，月付</t>
  </si>
  <si>
    <t>原卅思云合同于2020.2.29到期，到期后转签至中信
A端：北京市通州区宋庄镇徐尹路与富壁路交叉口汇天云端产业园的乙方ODF,B端：北京市亦庄区经济技术开发区博兴八路1号百信银行中金机房的ODF
税率9%，月付</t>
  </si>
  <si>
    <t>原卅思云合同于2020.2.29到期，到期后转签至中信
A端：北京市亦庄区经济技术开发区博兴八路1号百信银行中金机房的乙方ODF,B端：北京市南六环太和桥南百度亦庄数据中心的ODF
税率9%，月付</t>
  </si>
  <si>
    <t>原卅思云合同于2020.2.29到期，到期后转签至中信
A端：北京市大兴区亦庄镇科创三街16号日上集团日上万国数据中心的乙方ODF,B端：北京市经济技术开发区科创九街十五号中经云机房的ODF
税率9%，月付</t>
  </si>
  <si>
    <t>2023/2/28退租：原卅思云合同于2020.2.29到期，到期后转签至中信
A端：北京市大兴区亦庄镇科创三街16号日上集团日上万国数据中心的乙方ODF,B端：北京市经济技术开发区科创九街十五号中经云机房的ODF
税率9%，月付</t>
  </si>
  <si>
    <t>CSSHDFWPOP</t>
  </si>
  <si>
    <t>上海拼多多专线租用机架CSSHDFWPOP101-E-01
税率9%，月付。商务确认光纤退租，机柜仍需使用</t>
  </si>
  <si>
    <t>A端：武汉银商机房（湖北省武汉市关山大道光谷软件园三期 c4 栋银联商务大楼 4 楼机房）
B端：洪山区文秀 8 号天宇创意大厦 8楼</t>
  </si>
  <si>
    <t>两条2芯，35公里。原主体在武汉优普拉斯，合规整改签至泰龙；2020.6合规整改签至中信。税率9%，月付</t>
  </si>
  <si>
    <t xml:space="preserve">海淀区中关村西区内创新大厦爱奇艺机房-上地十街百度大厦机房
</t>
  </si>
  <si>
    <t>20190901京宽转入网联光通；202006由网联光通转签至中信网络
税率9%，月付</t>
  </si>
  <si>
    <t>2022/11/30退租。20190901京宽转入网联光通；202006由网联光通转签至中信网络
税率9%，月付</t>
  </si>
  <si>
    <t>富丰路铁通机房-上地十街百度大厦机房</t>
  </si>
  <si>
    <t>酒仙桥M1百度机房-上地十街百度大厦机房</t>
  </si>
  <si>
    <t>上地软件园机房-上地十街百度大厦机房</t>
  </si>
  <si>
    <t xml:space="preserve"> 上地软件园机房-上地十街百度大厦机房</t>
  </si>
  <si>
    <t>百度大厦-大红门</t>
  </si>
  <si>
    <t>原卅思云合同于2020.1.31到期，到期后转签至中信
上地十街10号百度大厦-北京市丰台区大红门大红门南路56号院-7号楼
税率9%，月付</t>
  </si>
  <si>
    <t>L20230711008</t>
  </si>
  <si>
    <t>北京亦庄日上-北京亦庄太和桥</t>
  </si>
  <si>
    <t>北京和协科技大厦（软件园内）-北京海淀软件园（软件园内）</t>
  </si>
  <si>
    <t>2023/5/3退租。北京和协科技大厦（软件园内）-北京海淀软件园（软件园内）</t>
  </si>
  <si>
    <t>北京海淀软件园（软件园外）-北京海淀百度大厦</t>
  </si>
  <si>
    <t>2023/5/3退租。北京海淀软件园（软件园外）-北京海淀百度大厦</t>
  </si>
  <si>
    <t>宁波电信（宁波市高新区凌云路1177号）（路由1）-宁波传输机房（宁波市海曙区鄞奉路964号）</t>
  </si>
  <si>
    <t>回源光纤：宁波电信（宁波市高新区凌云路1177号）（路由1）-宁波传输机房（宁波市海曙区鄞奉路964号）</t>
  </si>
  <si>
    <t>宁波电信（宁波市高新区凌云路1177号）（路由2）-宁波传输机房（宁波市海曙区鄞奉路964号）</t>
  </si>
  <si>
    <t>回源光纤：宁波电信（宁波市高新区凌云路1177号）（路由2）-宁波传输机房（宁波市海曙区鄞奉路964号）</t>
  </si>
  <si>
    <t>182215IDC00423</t>
  </si>
  <si>
    <t>河北保定-山西阳泉</t>
  </si>
  <si>
    <t>16000G</t>
  </si>
  <si>
    <t>2022.7调整单价。YQ01:山西阳泉-BDDX:河北保定定兴/BDDWD:河北保定徐水，16T，月租464000元，另包含8个中继站</t>
  </si>
  <si>
    <t>万国二期转签中信</t>
  </si>
  <si>
    <t>L20230511007</t>
  </si>
  <si>
    <t>开通累计</t>
  </si>
  <si>
    <t>万国三期转签中信</t>
  </si>
  <si>
    <t>万国转签中信</t>
  </si>
  <si>
    <t>SZWG202-B-07、SZWG202-B-08</t>
  </si>
  <si>
    <t>SZWG202-B-09、SZWG202-B-10</t>
  </si>
  <si>
    <t>SZWG202-B-11、SZWG202-B-12</t>
  </si>
  <si>
    <t>SZWG202-B-13、SZWG202-B-14、SZWG202-B-15、SZWG202-B-16、SZWG202-B-17、SZWG202-B-18、</t>
  </si>
  <si>
    <t>SZWG-云托管</t>
  </si>
  <si>
    <t>SZWG202-C-17、SZWG202-C-18</t>
  </si>
  <si>
    <t>SZWG202-C-01、SZWG202-C-02、SZWG202-C-03、SZWG202-C-04、SZWG202-C-05、SZWG202-C-06</t>
  </si>
  <si>
    <t>SZWG202-C-08 SZWG202-C-07</t>
  </si>
  <si>
    <t>历史开通，按照20210601开始计费SZWG104-D-02 SZWG104-D-01</t>
  </si>
  <si>
    <t>SZWG201-D-11、SZWG201-D-12</t>
  </si>
  <si>
    <t>SZWG202-C-07、SZWG202-C-08</t>
  </si>
  <si>
    <t>SZWG201-A-17</t>
  </si>
  <si>
    <t>SZWG201-A-18</t>
  </si>
  <si>
    <t>SZWG201-A-19、SZWG201-A-20</t>
  </si>
  <si>
    <t>L20230909003</t>
  </si>
  <si>
    <t>广东南沙-广东东泰</t>
  </si>
  <si>
    <t>广东南沙-广东东泰，140km，每公里400  140*400=56000元/月。月付，9%</t>
  </si>
  <si>
    <t xml:space="preserve">	广东华新园-广东东泰</t>
  </si>
  <si>
    <t xml:space="preserve">	广东华新园-广东东泰。月付，9%</t>
  </si>
  <si>
    <t>河北省涿州市开发区阳光大街30号-百度云计算（保定定兴）有限公司</t>
  </si>
  <si>
    <t>河北省涿州市开发区阳光大街30号-百度云计算（保定定兴）有限公司。月付，9%</t>
  </si>
  <si>
    <t xml:space="preserve">	广东博浩-广东东泰</t>
  </si>
  <si>
    <t xml:space="preserve">	广东博浩-广东东泰。月付，9%</t>
  </si>
  <si>
    <t xml:space="preserve">	广东化龙-广东东泰</t>
  </si>
  <si>
    <t xml:space="preserve">	广东化龙-广东东泰。月付，9%</t>
  </si>
  <si>
    <t>北京市朝阳酒仙桥北路9号恒通国际创新园C12-北京海淀西北旺东路10号百度科技园(软件园内）</t>
  </si>
  <si>
    <t>北京市朝阳酒仙桥北路9号恒通国际创新园C12-北京海淀西北旺东路10号百度科技园(软件园内）。6.2KM，单价1320元。月付，9%</t>
  </si>
  <si>
    <t>北京市朝阳酒仙桥北路9号恒通国际创新园C12-北京海淀西北旺东路10号百度科技园(软件园外）</t>
  </si>
  <si>
    <t>北京市朝阳酒仙桥北路9号恒通国际创新园C12-北京海淀西北旺东路10号百度科技园(软件园外）44KM，单价440元。月付，9%</t>
  </si>
  <si>
    <t>江苏南京市栖霞区仙新东路紫泉物流园南门新港机房-江苏南京市张王庙88号江苏凤凰数据中心（路由1）</t>
  </si>
  <si>
    <t>江苏南京市栖霞区仙新东路紫泉物流园南门新港机房-江苏南京市张王庙88号江苏凤凰数据中心（路由1）19KM，单价422.75元。月付，9%</t>
  </si>
  <si>
    <t>江苏南京市栖霞区仙新东路紫泉物流园南门新港机房-江苏南京市张王庙88号江苏凤凰数据中心（路由2）</t>
  </si>
  <si>
    <t>江苏南京市栖霞区仙新东路紫泉物流园南门新港机房-江苏南京市张王庙88号江苏凤凰数据中心（路由2）27KM，单价422.75元。月付，9%</t>
  </si>
  <si>
    <t>北京凉水河-北京亦庄大族</t>
  </si>
  <si>
    <t>北京凉水河-北京亦庄大族。4芯共5.3KM，单价758.66，包含一次引接费2万元/年。月付，9%</t>
  </si>
  <si>
    <t>182215IDC00674</t>
  </si>
  <si>
    <t>华北-华东</t>
  </si>
  <si>
    <t>2022.12调整计提单价。华北-华东。月付</t>
  </si>
  <si>
    <t>北京-河北固安</t>
  </si>
  <si>
    <t>14400G</t>
  </si>
  <si>
    <t>北京窦店-河北固安；北京亦庄-河北固安。8芯，共750KM。月付</t>
  </si>
  <si>
    <t>182215IDC00697</t>
  </si>
  <si>
    <t>皓宽-亦庄</t>
  </si>
  <si>
    <t>皓宽-百度科技园</t>
  </si>
  <si>
    <t>皓宽-科技园（园区内）</t>
  </si>
  <si>
    <t>广州先进-广州博浩</t>
  </si>
  <si>
    <t>广州先进-广州博浩，含3个中继站</t>
  </si>
  <si>
    <t>广州先进-广州东泰</t>
  </si>
  <si>
    <t>广州先进-广州云硕</t>
  </si>
  <si>
    <t>苏州陆家-昆山万国</t>
  </si>
  <si>
    <t>昆山陆家-苏州太湖电信</t>
  </si>
  <si>
    <t>昆山陆家-苏州太湖电信，含3个中继站</t>
  </si>
  <si>
    <t>昆山陆家-苏州太湖电信入局引接缆</t>
  </si>
  <si>
    <t>外高桥-国华</t>
  </si>
  <si>
    <t>鹏博士-云立方跳纤</t>
  </si>
  <si>
    <t>182315IDC00031</t>
  </si>
  <si>
    <t>缆信机房广州市白云区麦地西街圣地大厦丽枫酒店6楼-广州市南沙区榄核镇榄核大道107号</t>
  </si>
  <si>
    <t>缆信机房广州市白云区麦地西街圣地大厦丽枫酒店6楼-广州市南沙区榄核镇榄核大道107号。16km,每公里399.9</t>
  </si>
  <si>
    <t>温州、宁波缆信机柜联络缆</t>
  </si>
  <si>
    <t>长沙、武汉缆信机柜跳纤费</t>
  </si>
  <si>
    <t>福安、诏安、宁波中继机柜</t>
  </si>
  <si>
    <t>CSFJFA</t>
  </si>
  <si>
    <t>福安中继机柜：CSFJFA-01-02、CSFJFA-01-03、CSFJFA-01-04</t>
  </si>
  <si>
    <t>CSZJNB</t>
  </si>
  <si>
    <t>宁波中继机柜：CSZJNB-01-02</t>
  </si>
  <si>
    <t>CSFJZA</t>
  </si>
  <si>
    <t>绍安中继机柜：CSFJZA-01-02、CSFJZA-01-03、CSFJZA-01-04</t>
  </si>
  <si>
    <t>合肥、长沙、武汉中继机柜</t>
  </si>
  <si>
    <t>CSAHHF</t>
  </si>
  <si>
    <t>合肥中继机柜：CSAHHF-01-03</t>
  </si>
  <si>
    <t>CSHUNCS</t>
  </si>
  <si>
    <t>长沙中继机柜：CSHUNCS-01-03、CSHUNCS-01-04、CSHUNCS-01-05</t>
  </si>
  <si>
    <t>CSHUBWH</t>
  </si>
  <si>
    <t>武汉中继机柜：CSHUBWH-01-05</t>
  </si>
  <si>
    <t>182315IDC00043</t>
  </si>
  <si>
    <t>阳泉-西安（路由1）
阳泉-西安（路由2）</t>
  </si>
  <si>
    <t>2022/9/29
2023/1/1</t>
  </si>
  <si>
    <t>1.6T</t>
  </si>
  <si>
    <t>阳泉-西安 双路由共计2319.72公里，机柜31个。合规后单公里438元/月，中继8000元/个</t>
  </si>
  <si>
    <t>华东-华南</t>
  </si>
  <si>
    <t>6.4T</t>
  </si>
  <si>
    <t>华东-华南，双路由共计4345.49公里，包含69个中继站，合规后单公里438元/月，中继8000元/个</t>
  </si>
  <si>
    <t>182315IDC00167</t>
  </si>
  <si>
    <t>河北涿州-河北固安（路由1）</t>
  </si>
  <si>
    <t>月付，9%</t>
  </si>
  <si>
    <t>河北涿州-河北固安（路由2）</t>
  </si>
  <si>
    <t>河北涿州-河北固安（路由3）</t>
  </si>
  <si>
    <t>河北涿州-河北固安（路由4）</t>
  </si>
  <si>
    <t>河北定兴-河北徐水（路由1）</t>
  </si>
  <si>
    <t>河北定兴-河北徐水（路由2）</t>
  </si>
  <si>
    <t>山东省济南市明发路-山东省济南市蓝翔路（路由1）</t>
  </si>
  <si>
    <t>山东省济南市明发路-山东省济南市蓝翔路（路由2）</t>
  </si>
  <si>
    <t>广东广州东泰机房-广东广州南沙中山大学第一附属医院</t>
  </si>
  <si>
    <t>L20201025004</t>
  </si>
  <si>
    <t>斜土路（东方网）-昆山使用</t>
  </si>
  <si>
    <t>合同预审中：
1、2020/8/19开通斜土路-昆山，78.2KM，固定费用56520/月。包含1个机柜：CSSHDFWPOP101-C-02</t>
  </si>
  <si>
    <t>昆山-深圳</t>
  </si>
  <si>
    <t>昆山市花桥经济技术开发区东城大道万国数据机房-广东省深圳市南山区学府路百度国际大厦东塔楼2楼。月付，6%</t>
  </si>
  <si>
    <t>昆山-武汉</t>
  </si>
  <si>
    <t>昆山市花桥经济技术开发区东城大道万国数据机-湖北省武汉市关山大道光谷软件园三期C4栋银联商务大厦4楼机房。月付，6%</t>
  </si>
  <si>
    <t>北京-深圳</t>
  </si>
  <si>
    <t>北京市海淀区西北旺东路10号院百度科技园2号楼-广东省深圳市南山区学府路百度国际大厦东塔楼2楼。月付，6%</t>
  </si>
  <si>
    <t>北京-昆山</t>
  </si>
  <si>
    <t>北京市海淀区西北旺东路10号院百度科技园2号楼-昆山市花桥经济技术开发区东城大道万国数据机房。月付，6%</t>
  </si>
  <si>
    <t>2023/9/17退租。昆山市花桥经济技术开发区东城大道万国数据机房-广东省深圳市南山区学府路百度国际大厦东塔楼2楼。月付，6%</t>
    <phoneticPr fontId="3" type="noConversion"/>
  </si>
  <si>
    <t>2023/9/17退租。昆山市花桥经济技术开发区东城大道万国数据机-湖北省武汉市关山大道光谷软件园三期C4栋银联商务大厦4楼机房。月付，6%</t>
    <phoneticPr fontId="3" type="noConversion"/>
  </si>
  <si>
    <t>2023/9/17退租。北京市海淀区西北旺东路10号院百度科技园2号楼-广东省深圳市南山区学府路百度国际大厦东塔楼2楼。月付，6%</t>
    <phoneticPr fontId="3" type="noConversion"/>
  </si>
  <si>
    <t>2023/9/17退租。北京市海淀区西北旺东路10号院百度科技园2号楼-昆山市花桥经济技术开发区东城大道万国数据机房。月付，6%</t>
    <phoneticPr fontId="3" type="noConversion"/>
  </si>
  <si>
    <t>百度大厦-软件园1号楼（外）</t>
  </si>
  <si>
    <t>2023.7调整单价。2020.12更新单价。百度大厦-百度科技新建系统。税率9%，月付</t>
  </si>
  <si>
    <t>软件园1号楼-百度科技园（内）</t>
  </si>
  <si>
    <t>2020.12更新单价。百度大厦-百度科技新建系统。税率9%，月付</t>
  </si>
  <si>
    <t>百度大厦-软件园4号楼（内）</t>
  </si>
  <si>
    <t>百度大厦-百度科技新建系统。税率9%，月付</t>
  </si>
  <si>
    <t>软件园4号楼-百度科技园（外）</t>
  </si>
  <si>
    <t>2023.7调整单价。百度大厦-百度科技新建系统。税率9%，月付</t>
  </si>
  <si>
    <t>科技园-M1（外）</t>
  </si>
  <si>
    <t>2023.7调整单价。2020/8/15开通：上地百度科技园（北）-酒仙桥百度M1（机场辅路方向）（园区外）。税率9%，月付</t>
  </si>
  <si>
    <t>科技园-M1（内）</t>
  </si>
  <si>
    <t>2020/8/15开通：上地百度科技园（北）-酒仙桥百度M1（机场辅路方向）（园区内）。税率9%，月付</t>
  </si>
  <si>
    <t>2023.7调整单价。2020/8/15开通：上地百度科技园（南）-酒仙桥百度。税率9%，月付M1（酒仙桥北路方向）（园区外）</t>
  </si>
  <si>
    <t>2020/8/15开通：上地百度科技园（南）-酒仙桥百度M1（酒仙桥北路方向）（园区内）。税率9%，月付</t>
  </si>
  <si>
    <t>上地百度科技园（北）-太和桥百度亦庄（西）外</t>
  </si>
  <si>
    <t>2023.7调整单价。2020/10/21开通：上地百度科技园（北）-太和桥百度亦庄（西）光纤(园区外)，计费11天。。税率9%，月付</t>
  </si>
  <si>
    <t>上地百度科技园（北）-太和桥百度亦庄（西）内</t>
  </si>
  <si>
    <t>2020/10/21开通：上地百度科技园（北）-太和桥百度亦庄（西）光纤(园区内)，计费11天。。税率9%，月付</t>
  </si>
  <si>
    <t>上地百度科技园（南）-太和桥百度亦庄（东）外</t>
  </si>
  <si>
    <t>2023.7调整单价。2020/10/21开通：上地百度科技园（南）-太和桥百度亦庄（东）光纤，(园区外)，计费11天。。税率9%，月付</t>
  </si>
  <si>
    <t>上地百度科技园（南）-太和桥百度亦庄（东）内</t>
  </si>
  <si>
    <t>2020/10/21开通：上地百度科技园（南）-太和桥百度亦庄（东）光纤(园区内)，计费11天。。税率9%，月付</t>
  </si>
  <si>
    <t>武汉银商-武汉临空港</t>
  </si>
  <si>
    <t>2023.7调整单价。2020/8/21开通武汉银商-武汉临空港光纤，75KM，从2020/10/10开始计费，10月计费22天。税率9%，月付</t>
  </si>
  <si>
    <t>2023.7调整单价。2020/10/10开通武汉银商-武汉临空港光纤，70KM,10月计费22天。税率9%，月付</t>
  </si>
  <si>
    <t>深圳百度大厦-深圳市南山区软件产业基地5A</t>
    <phoneticPr fontId="3" type="noConversion"/>
  </si>
  <si>
    <t>深圳百度大厦-深圳市南山区软件产业基地5A；2芯，1KM。税率9%，月付</t>
  </si>
  <si>
    <t>北京百度大厦-北京市东城区和平里东街11号航星科技园3号楼5层</t>
  </si>
  <si>
    <t>北京百度大厦-北京市东城区和平里东街11号航星科技园3号楼5层；2芯，59KM。税率9%，月付</t>
  </si>
  <si>
    <t>M1-同程</t>
  </si>
  <si>
    <t>同程CSN云专线：北京M1机房（路由1）-北京同程首鸣机房</t>
  </si>
  <si>
    <t>同程CSN云专线：北京M1机房（路由2）-北京同程首鸣机房</t>
  </si>
  <si>
    <t>M1-中轻大厦</t>
  </si>
  <si>
    <t>Deepway客户办公区云专线：M1-中轻大厦</t>
  </si>
  <si>
    <t>武汉金融-武汉光谷</t>
  </si>
  <si>
    <t>湖北武汉金融港九江银行（路由1）-湖北武汉光谷银联</t>
  </si>
  <si>
    <t>湖北武汉金融港九江银行（路由2）-湖北武汉光谷银联</t>
  </si>
  <si>
    <t>武汉金融-光谷跳纤费</t>
  </si>
  <si>
    <t>武汉金融-光谷跳纤费2条</t>
  </si>
  <si>
    <t>定兴-徐水</t>
  </si>
  <si>
    <t>河北保定定兴嘉旭福美（爱奇艺）（路由1）-河北保定徐水；河北保定定兴嘉旭福美（爱奇艺）（路由2）-河北保定徐水，共156KM</t>
  </si>
  <si>
    <t>百度大厦-杜家坎路由1（淄博三线回源B2北京段）</t>
  </si>
  <si>
    <t>百度大厦-杜家坎路由2（淄博三线回源B2北京段）</t>
  </si>
  <si>
    <t>雄安中继站</t>
  </si>
  <si>
    <t>CSHBXA</t>
  </si>
  <si>
    <t>CSHBXA-01-01</t>
  </si>
  <si>
    <t>涿州南中继站</t>
  </si>
  <si>
    <t>CSHBZZN</t>
  </si>
  <si>
    <t>CSHBZZN-01-01</t>
  </si>
  <si>
    <t>河北固安聚龙（路由1）-河北定兴</t>
  </si>
  <si>
    <t>河北固安聚龙（路由1）-河北定兴GAJL-BDDX</t>
  </si>
  <si>
    <t>河北固安聚龙（路由2）-河北定兴</t>
  </si>
  <si>
    <t>河北固安聚龙（路由2）-河北定兴GAJL-BDDX</t>
  </si>
  <si>
    <t>河北固安聚龙（路由3）-河北定兴</t>
  </si>
  <si>
    <t>河北固安聚龙（路由3）-河北定兴GAJL-BDDX</t>
  </si>
  <si>
    <t>河北固安聚龙（路由1）-河北徐水</t>
  </si>
  <si>
    <t>河北固安聚龙（路由1）-河北徐水GAJL-BDDWD</t>
  </si>
  <si>
    <t>河北固安聚龙（路由2）-河北徐水</t>
  </si>
  <si>
    <t>河北固安聚龙（路由2）-河北徐水GAJL-BDDWD</t>
  </si>
  <si>
    <t>河北固安聚龙（路由3）-河北徐水</t>
  </si>
  <si>
    <t>河北固安聚龙（路由3）-河北徐水GAJL-BDDWD</t>
  </si>
  <si>
    <t>洋桥中继站</t>
  </si>
  <si>
    <t>CSSHYQBili</t>
  </si>
  <si>
    <t>CSSHYQBili-01-01</t>
  </si>
  <si>
    <t>太仓中继站</t>
  </si>
  <si>
    <t>CSJSTCBili</t>
  </si>
  <si>
    <t>CSJSTCBili-01-01</t>
  </si>
  <si>
    <t>江苏常熟万国（路由1）-江苏苏州昆山中金</t>
  </si>
  <si>
    <t>云专线B站常熟-苏州中金弹性资源裸光纤采购：江苏常熟万国（路由1）-江苏苏州昆山中金</t>
  </si>
  <si>
    <t>江苏常熟万国（路由2）-江苏苏州昆山中金</t>
  </si>
  <si>
    <t>云专线B站常熟-苏州中金弹性资源裸光纤采购：江苏常熟万国（路由2）-江苏苏州昆山中金</t>
  </si>
  <si>
    <t>上海鹏博士（路由1）-上海云立方</t>
  </si>
  <si>
    <t>上海鹏博士（路由2）-上海云立方</t>
  </si>
  <si>
    <t>上海鹏博士-上海云立方引接费</t>
  </si>
  <si>
    <t>ZYT202309250056</t>
  </si>
  <si>
    <t>L20230727011</t>
  </si>
  <si>
    <t>武汉空港-武汉机场</t>
  </si>
  <si>
    <t>CSHUBWHJC2ZJ</t>
  </si>
  <si>
    <t>武汉空港-武汉机场，武汉刘新集中继机柜，CSHUBWHJC2ZJ-01-01</t>
  </si>
  <si>
    <t>武汉空港-武汉机场，4芯，100km，每公里400元/月</t>
  </si>
  <si>
    <t>ZYT202309250057</t>
  </si>
  <si>
    <t>L20230926001</t>
  </si>
  <si>
    <t>武汉生物城（华大基因）-武汉银联商务</t>
    <phoneticPr fontId="3" type="noConversion"/>
  </si>
  <si>
    <t>10G</t>
    <phoneticPr fontId="3" type="noConversion"/>
  </si>
  <si>
    <t>ZYT202309260001</t>
  </si>
  <si>
    <t>无资源，每月正预提</t>
    <phoneticPr fontId="3" type="noConversion"/>
  </si>
  <si>
    <t>L20230604003</t>
  </si>
  <si>
    <t>丽水4移动</t>
  </si>
  <si>
    <t>CDNLSCM2</t>
  </si>
  <si>
    <t>18A</t>
  </si>
  <si>
    <t>【BEC新建】BEC浙江丽水移动新建400G 2023-6-1 节点正式上线 (BECLS4CM )，新增2个机柜：CDNLSCM2:2F:202-I-BEC05、CDNLSCM2:2F:202-I-BEC06</t>
  </si>
  <si>
    <t>合同预审中</t>
    <phoneticPr fontId="3" type="noConversion"/>
  </si>
  <si>
    <t>【BEC新建】BEC浙江丽水移动新建400G 2023-6-1 节点正式上线 (BECLS4CM )，新增1280个IP：
12.15.4.0/24
112.15.5.0/24
112.15.6.0/24
112.15.7.0/24
112.15.12.0/24</t>
  </si>
  <si>
    <t>【BEC新建】BEC浙江丽水移动新建400G 2023-6-1 节点正式上线 (BECLS4CM )，新增IPV6：
2409:8C28:A2C1:0100::/56</t>
  </si>
  <si>
    <t>中国移动通信集团福建有限公司泉州分公司</t>
  </si>
  <si>
    <t>泉州移动</t>
  </si>
  <si>
    <t>182315IDC00483</t>
  </si>
  <si>
    <t>CDNQZCM</t>
  </si>
  <si>
    <t>【CDN新建】BEC泉州移动新增200G 2023-4-27节点正式上线 (QZCM)，新增机架：CDNQZCM:2F:202-R18-BECF18</t>
  </si>
  <si>
    <t>已发起预审，需求审批完成后可提交合同</t>
    <phoneticPr fontId="3" type="noConversion"/>
  </si>
  <si>
    <t>2023.7经于BEC核对更新IP数量为800个。【CDN新建】BEC泉州移动新增200G 2023-4-27节点正式上线 (QZCM)，新增800个IP：
112.48.237.0/24
112.48.238.0/24
112.48.239.0/24
112.5.17.224/27</t>
  </si>
  <si>
    <t>【CDN新建】BEC泉州移动新增200G 2023-4-27节点正式上线 (QZCM)，新增IPv6：2409:8c34:4400:0f00::/56</t>
    <phoneticPr fontId="3" type="noConversion"/>
  </si>
  <si>
    <t>【BEC扩容】BEC泉州移动新增400G 2023-6-1节点正式上线 (QZCM)，新增IP：
112.48.242.0/24、
112.48.243.0/24、
112.48.244.0/24、
112.48.245.0/24、
112.48.246.0/24</t>
    <phoneticPr fontId="3" type="noConversion"/>
  </si>
  <si>
    <t>【BEC扩容】BEC泉州移动新增400G 2023-6-1节点正式上线 (QZCM)，新增IP：2409:8C34:4400:1100::/56</t>
  </si>
  <si>
    <t>L20230917001</t>
  </si>
  <si>
    <t>泉州3移动</t>
    <phoneticPr fontId="3" type="noConversion"/>
  </si>
  <si>
    <t>【BEC新建】BEC福建泉州移动新建200G2023-09-01节点正式上线 (BECQZ3CM)，新增1个机柜：CDNQZCM:2F:202-R19-BECF04</t>
    <phoneticPr fontId="3" type="noConversion"/>
  </si>
  <si>
    <t>【BEC新建】BEC福建泉州移动新建200G2023-09-01节点正式上线 (BECQZ3CM)，新增512个IP：112.47.10.0/24、112.47.39.0/25、112.47.5.128/25</t>
    <phoneticPr fontId="3" type="noConversion"/>
  </si>
  <si>
    <t>【BEC新建】BEC福建泉州移动新建200G2023-09-01节点正式上线 (BECQZ3CM)，新增IPV6：2409:8c34:4400:1200::/56</t>
    <phoneticPr fontId="3" type="noConversion"/>
  </si>
  <si>
    <t>中国移动通信集团江苏有限公司徐州分公司</t>
  </si>
  <si>
    <t>徐州移动</t>
  </si>
  <si>
    <t>L20230604005</t>
  </si>
  <si>
    <t>徐州2移动</t>
  </si>
  <si>
    <t>CDNXZCM</t>
  </si>
  <si>
    <t>【BEC新建】BEC江苏徐州移动新建200G  2023-05-30 节点正式上线  (BECXZ2CM)，新增3个机柜：CDNXZCM:2F:205-B-BEC09、CDNXZCM:2F:205-B-BEC10、CDNXZCM:2F:205-B-BEC11。首次上线邮件中反馈的CDNXZCM:2F:205-B-BEC15实际并未开通，已操作关闭</t>
    <phoneticPr fontId="3" type="noConversion"/>
  </si>
  <si>
    <t>【BEC新建】BEC江苏徐州移动新建200G  2023-05-30 节点正式上线  (BECXZ2CM)，新增1280个IPV4：
36.150.210.0/24
36.150.211.0/24
36.150.212.0/24
36.150.213.0/24
36.150.214.0/24</t>
  </si>
  <si>
    <t xml:space="preserve">【BEC新建】BEC江苏徐州移动新建200G  2023-05-30 节点正式上线  (BECXZ2CM)，新增IPV6：2409:8c20:28c1:300::/56
</t>
  </si>
  <si>
    <t>L20230622001</t>
  </si>
  <si>
    <t xml:space="preserve">【BEC扩容】BEC浙江舟山移动扩容400G  2023-06-01 节点正式上线  (ZHOUSCM)，新增1280个IPV4：
39.173.24.0/24  
39.173.25.0/24   
39.173.26.0/24    
39.173.27.0/24
39.173.28.0/24 </t>
  </si>
  <si>
    <t>【BEC扩容】BEC浙江舟山移动扩容400G  2023-06-01 节点正式上线  (ZHOUSCM)，新增IPV6：2409:8C28:88F1:0400::/56</t>
  </si>
  <si>
    <t>L20230604006</t>
  </si>
  <si>
    <t>杭州6移动</t>
  </si>
  <si>
    <t>CDNHZCM3</t>
  </si>
  <si>
    <t>【BEC新建】BEC浙江杭州移动新建400G  2023-06-01 节点正式上线  (HZ6CM)，新增1个机柜：CDNHZCM3:5F:IDC-B-BEC16</t>
    <phoneticPr fontId="3" type="noConversion"/>
  </si>
  <si>
    <t>【BEC新建】BEC浙江杭州移动新建400G  2023-06-01 节点正式上线  (HZ6CM)，新增1280个IPV4：
112.17.26.0/24
112.13.87.0/24
112.13.111.0/24
111.2.183.192/26
111.2.186.0/24
111.2.188.128/26
112.13.82.64/26
39.173.180.192/26</t>
  </si>
  <si>
    <t>【BEC新建】BEC浙江杭州移动新建400G  2023-06-01 节点正式上线  (HZ6CM)，新增IPV6：2409:8C28:0203:0900::/56</t>
  </si>
  <si>
    <t>L20230604008</t>
  </si>
  <si>
    <t>济南13移动</t>
  </si>
  <si>
    <t>2023.7更新机柜使用数量。【BEC新建】BEC山东济南移动新建100G 2023-6-1 节点正式上线 (BECJN13CM )，新增1个机柜：CDNJNCM2:5F:502-1-BEC:W02</t>
    <phoneticPr fontId="3" type="noConversion"/>
  </si>
  <si>
    <t>【BEC新建】BEC山东济南移动新建100G 2023-6-1 节点正式上线 (BECJN13CM )，新增256个IPV4：120.220.182.0/24</t>
  </si>
  <si>
    <t>【BEC新建】BEC山东济南移动新建100G 2023-6-1 节点正式上线 (BECJN13CM )，新增IPV6：2409:8c3c:0900::/64</t>
  </si>
  <si>
    <t>L20230604009</t>
  </si>
  <si>
    <t>烟台2联通</t>
  </si>
  <si>
    <t>CDNYTUN2</t>
  </si>
  <si>
    <t>【CDN新建】山东烟台联通新建60G  2023-06-01 节点正式上线  (YT2UN)，新增2个机柜：CDNYTUN2:4F:IDC-B-CDN05、CDNYTUN2:4F:IDC-B-CDN06</t>
  </si>
  <si>
    <t>【CDN新建】山东烟台联通新建60G  2023-06-01 节点正式上线  (YT2UN)，新增160个IPV4：61.162.172.0/25、61.162.172.128/27</t>
  </si>
  <si>
    <t>2023/6/21临时关停，6.25停止计费。【CDN退租】CDN山东烟台联通临时关停信息 (YT2UN)：CDNYTUN2:4F:IDC-B-CDN05、CDNYTUN2:4F:IDC-B-CDN06</t>
  </si>
  <si>
    <t>2023/6/21临时关停，6.25停止计费。【CDN退租】CDN山东烟台联通临时关停信息 (YT2UN)：61.162.172.0/25、61.162.172.128/27</t>
    <phoneticPr fontId="3" type="noConversion"/>
  </si>
  <si>
    <t>2023/8/1重新开通。2023/6/21临时关停，6.25停止计费。【CDN退租】CDN山东烟台联通临时关停信息 (YT2UN)：CDNYTUN2:4F:IDC-B-CDN05、CDNYTUN2:4F:IDC-B-CDN06</t>
    <phoneticPr fontId="3" type="noConversion"/>
  </si>
  <si>
    <t>2023/8/1重新开通。2023/6/21临时关停，6.25停止计费。【CDN退租】CDN山东烟台联通临时关停信息 (YT2UN)：61.162.172.0/25、61.162.172.128/27</t>
    <phoneticPr fontId="3" type="noConversion"/>
  </si>
  <si>
    <t>2023/8/1重新开通。2023/6/21临时关停，6.25停止计费。【CDN新建】山东烟台联通  新建60G 2023-08-01 节点正式上线  (YT2UN)，新增IPV6：2408:8719:5f01:000D::/64</t>
    <phoneticPr fontId="3" type="noConversion"/>
  </si>
  <si>
    <t>【BEC扩容】舟山移动扩容60G 节点正式上线  (ZHOUSCM)，新增256个IP：39.175.176.0/24</t>
  </si>
  <si>
    <t>【BEC扩容】BEC浙江舟山移动扩容0G2023-08-25节点正式上线 (ZHOUSCM)，新增IP：39.174.57.192/26、39.174.59.0/25</t>
    <phoneticPr fontId="3" type="noConversion"/>
  </si>
  <si>
    <t>182315IDC00409</t>
  </si>
  <si>
    <t>青岛11联通</t>
  </si>
  <si>
    <t>CDNQDUN1</t>
  </si>
  <si>
    <t>【BEC新建】BEC山东青岛联通新建200G 2023-7-1 节点正式上线 (BECQD11UN )，新增1个机柜：CDNQDUN1:3F:306-B-BEC13</t>
    <phoneticPr fontId="3" type="noConversion"/>
  </si>
  <si>
    <t>【BEC新建】BEC山东青岛联通新建200G 2023-7-1 节点正式上线 (BECQD11UN )，新增544个IP：27.222.16.0/23、
27.221.24.32/27</t>
  </si>
  <si>
    <t>【BEC新建】BEC山东青岛联通新建200G 2023-7-1 节点正式上线 (BECQD11UN )，新增IPV6：2408:8719:3000:D::/64、
2408:8719:3000:E::/64</t>
  </si>
  <si>
    <t>中国移动通信集团山东有限公司威海分公司</t>
  </si>
  <si>
    <t>威海移动</t>
  </si>
  <si>
    <t>L20230712014</t>
  </si>
  <si>
    <t>威海2移动</t>
  </si>
  <si>
    <t>CDNWEIHCM</t>
  </si>
  <si>
    <t>2023.9更新数量，实际开通1个。【BEC扩容】BEC山东威海移动扩容200G  2023-7-01 节点正式上线  (WEIH2CM)，新开5个机架：CDNWEIHCM:5F:501-N04-BEC01</t>
    <phoneticPr fontId="3" type="noConversion"/>
  </si>
  <si>
    <t>【BEC扩容】BEC山东威海移动扩容200G  2023-7-01 节点正式上线  (WEIH2CM)，新开512个IP：120.222.188.0/24、120.222.189.0/24</t>
  </si>
  <si>
    <t>【BEC扩容】BEC山东威海移动扩容200G  2023-7-01 节点正式上线  (WEIH2CM)，新开IPv6：2409:8C3C:5100:0200::/56</t>
  </si>
  <si>
    <t>常州电信</t>
  </si>
  <si>
    <t>L20230712012</t>
  </si>
  <si>
    <t>常州5电信</t>
  </si>
  <si>
    <t>CDNCZCT2</t>
  </si>
  <si>
    <t>【BEC新建】BEC江苏常州电信新建200G 2023-7-1 节点正式上线 (BECCZ5CT )，新增1个机柜：CDNCZCT2:6F:IDC-6-BEC12</t>
  </si>
  <si>
    <t xml:space="preserve">【BEC新建】BEC江苏常州电信新建200G 2023-7-1 节点正式上线 (BECCZ5CT )，新增640个IP：61.160.209.0/24、61.160.216.0/24、58.216.30.0/25 </t>
  </si>
  <si>
    <t>【BEC新建】BEC江苏常州电信新建200G 2023-7-1 节点正式上线 (BECCZ5CT )，新增IPV6：240e:978:307::/56</t>
  </si>
  <si>
    <t>L20230712015</t>
  </si>
  <si>
    <t>宿迁6移动</t>
  </si>
  <si>
    <t>【BEC新建】BEC江苏宿迁移动新建200G 2023-7-1 节点正式上线 (BECSQ6CM)，新增1个机柜：CDNSQCM:6F:E-B-BEC10</t>
  </si>
  <si>
    <t>【BEC新建】BEC江苏宿迁移动新建200G 2023-7-1 节点正式上线 (BECSQ6CM)，新增264个IP：36.150.231.0/24、223.109.50.56/29</t>
  </si>
  <si>
    <t>【BEC新建】BEC江苏宿迁移动新建200G 2023-7-1 节点正式上线 (BECSQ6CM)，新增IPV6：2409:8c20:be00:0008::/64</t>
  </si>
  <si>
    <t>差异小于等于3%取中值，大于3%协商</t>
  </si>
  <si>
    <t>北京天弛网络有限公司</t>
  </si>
  <si>
    <t>天弛网络</t>
  </si>
  <si>
    <t>182315IDC00447</t>
  </si>
  <si>
    <t>北京市大兴区博兴六路18号北京世纪互联亦庄博兴数据中心-北京市南六环太和桥南百度亦庄数据中心</t>
    <phoneticPr fontId="3" type="noConversion"/>
  </si>
  <si>
    <t>【云专线】好未来，世纪互联博兴数据中心。DMNN2023062501。北京市大兴区博兴六路18号北京世纪互联亦庄博兴数据中心-北京市南六环太和桥南百度亦庄数据中心</t>
    <phoneticPr fontId="3" type="noConversion"/>
  </si>
  <si>
    <t>北京世纪互联宽带数据中心有限公司</t>
  </si>
  <si>
    <t>世纪互联</t>
  </si>
  <si>
    <t>L20230728004</t>
  </si>
  <si>
    <t>世纪互联三河数据中心-百度M1机房</t>
  </si>
  <si>
    <t>【云专线】好未来，世纪互联伊蒂雅数据中心。DMNN2023062501。世纪互联三河数据中心-百度M1机房</t>
    <phoneticPr fontId="3" type="noConversion"/>
  </si>
  <si>
    <t>ZYT202309250051</t>
  </si>
  <si>
    <t>2023.7未开通资源，每月正预提</t>
  </si>
  <si>
    <t>L20230731013</t>
  </si>
  <si>
    <t>WXYM-SZTH路由一</t>
  </si>
  <si>
    <t>按照网络组邮件提供的开通时间和距离先行计提，以最后实际测量和与运营商确认时间为准。WXYM-SZTH路由一</t>
  </si>
  <si>
    <t>ZYT202309250052</t>
  </si>
  <si>
    <t>WXYM-SZTH路由二</t>
  </si>
  <si>
    <t>按照网络组邮件提供的开通时间和距离先行计提，以最后实际测量和与运营商确认时间为准。WXYM-SZTH路由二</t>
  </si>
  <si>
    <t>WXYM-SZTH路由三</t>
  </si>
  <si>
    <t>按照网络组邮件提供的开通时间和距离先行计提，以最后实际测量和与运营商确认时间为准。WXYM-SZTH路由三</t>
  </si>
  <si>
    <t>WXYM-WXTKY路由一</t>
  </si>
  <si>
    <t>按照网络组邮件提供的开通时间和距离先行计提，以最后实际测量和与运营商确认时间为准。WXYM-WXTKY路由一</t>
  </si>
  <si>
    <t>WXYM-WXTKY路由二</t>
  </si>
  <si>
    <t>按照网络组邮件提供的开通时间和距离先行计提，以最后实际测量和与运营商确认时间为准。WXYM-WXTKY路由二</t>
  </si>
  <si>
    <t>WXYM-WXTKY路由三</t>
  </si>
  <si>
    <t>按照网络组邮件提供的开通时间和距离先行计提，以最后实际测量和与运营商确认时间为准。WXYM-WXTKY路由三</t>
  </si>
  <si>
    <t>WXYM-苏嘉杭中继-SZWG</t>
  </si>
  <si>
    <t>按照网络组邮件提供的开通时间和距离先行计提，以最后实际测量和与运营商确认时间为准。WXYM-苏嘉杭中继-SZWG</t>
    <phoneticPr fontId="3" type="noConversion"/>
  </si>
  <si>
    <t>机架</t>
    <phoneticPr fontId="3" type="noConversion"/>
  </si>
  <si>
    <t>IDC机架</t>
    <phoneticPr fontId="3" type="noConversion"/>
  </si>
  <si>
    <t>苏嘉杭中继</t>
    <phoneticPr fontId="3" type="noConversion"/>
  </si>
  <si>
    <t>CSSZSJH</t>
  </si>
  <si>
    <t>按照网络组邮件提供的开通时间和距离先行计提，以最后实际测量和与运营商确认时间为准。WXYM-苏嘉杭中继-SZWG涉及1个中继站，
CSSZSJH-01-01</t>
    <phoneticPr fontId="3" type="noConversion"/>
  </si>
  <si>
    <t>WXYM-高速中继-SZWG</t>
    <phoneticPr fontId="3" type="noConversion"/>
  </si>
  <si>
    <t>按照网络组邮件提供的开通时间和距离先行计提，以最后实际测量和与运营商确认时间为准。WXYM-高速中继-SZWG</t>
  </si>
  <si>
    <t>高速中继</t>
    <phoneticPr fontId="3" type="noConversion"/>
  </si>
  <si>
    <t>CSSZGS</t>
  </si>
  <si>
    <t>按照网络组邮件提供的开通时间和距离先行计提，以最后实际测量和与运营商确认时间为准。WXYM-高速中继-SZWG涉及1个中继站，
CSSZGS-01-01</t>
    <phoneticPr fontId="3" type="noConversion"/>
  </si>
  <si>
    <t>WXYM-国科中继-SZWG</t>
    <phoneticPr fontId="3" type="noConversion"/>
  </si>
  <si>
    <t>按照网络组邮件提供的开通时间和距离先行计提，以最后实际测量和与运营商确认时间为准。WXYM-国科中继-SZWG</t>
  </si>
  <si>
    <t>国科中继</t>
  </si>
  <si>
    <t>CSSZGK</t>
  </si>
  <si>
    <t>按照网络组邮件提供的开通时间和距离先行计提，以最后实际测量和与运营商确认时间为准。WXYM-国科中继-SZWG，CSSZGK-01-01</t>
    <phoneticPr fontId="3" type="noConversion"/>
  </si>
  <si>
    <t>L20230727009</t>
  </si>
  <si>
    <t>南京新港二层</t>
  </si>
  <si>
    <t>NJXG201-A-14、NJXG201-B-13、NJXG201-C-01、NJXG201-C-15、NJXG202-B-23、NJXG202-D-23、NJXG203-C-23、NJXG203-E-19、NJXG204-C-23、NJXG204-D-19、NJXG205-B-01、NJXG205-D-01</t>
  </si>
  <si>
    <t>NJXG201-H-12、NJXG202-A-01、NJXG203-G-01、NJXG204-A-01、NJXG205-F-23</t>
  </si>
  <si>
    <t>NJXG201-A-07、NJXG201-A-08、NJXG201-A-12、NJXG201-A-13、NJXG201-B-09、NJXG201-B-10、NJXG201-B-11、NJXG201-B-12、NJXG202-B-21、NJXG202-B-22、NJXG202-E-20、NJXG202-E-21、NJXG203-C-22、NJXG203-E-18、NJXG204-B-22、NJXG204-B-23、NJXG205-D-02、NJXG205-D-03、NJXG202-A-02、NJXG202-A-03、NJXG202-A-04、NJXG202-A-05、NJXG202-A-07、NJXG202-C-01、NJXG202-C-02、NJXG202-C-03、NJXG202-C-05、NJXG202-C-06、NJXG202-C-04、NJXG202-A-06、NJXG202-A-08、NJXG202-A-09、NJXG202-A-10、NJXG202-A-11、NJXG202-A-12、NJXG202-A-13、NJXG202-A-14、NJXG202-A-15、NJXG202-A-16、NJXG202-A-17、NJXG202-A-18、NJXG202-A-19、NJXG202-A-20、NJXG202-A-21、NJXG202-A-22、NJXG202-A-23、NJXG202-B-13、NJXG202-B-14、NJXG202-B-15、NJXG202-B-16、NJXG202-B-17、NJXG202-B-18、NJXG202-B-19、NJXG202-B-20、NJXG202-C-07、NJXG202-C-08、NJXG202-C-09、NJXG202-C-10、NJXG202-C-11、NJXG202-C-12、NJXG202-C-13、NJXG202-C-14、NJXG202-C-15、NJXG202-C-16、NJXG202-C-17、NJXG202-C-18、NJXG202-C-19、NJXG203-A-01、NJXG203-A-02、NJXG203-A-03、NJXG203-A-04、NJXG203-A-05、NJXG203-A-06、NJXG203-A-07、NJXG203-A-08、NJXG203-A-09、NJXG203-A-10、NJXG203-A-11、NJXG203-A-12、NJXG203-A-13、NJXG203-A-14、NJXG203-A-16、NJXG203-A-18、NJXG203-A-21、NJXG203-B-02、NJXG203-B-05、NJXG203-B-08、NJXG203-B-01、NJXG203-B-03、NJXG203-B-04、NJXG203-B-06、NJXG203-B-07、NJXG202-D-01、NJXG202-D-02、NJXG202-D-03、NJXG202-D-04、NJXG202-D-05、NJXG202-D-06、NJXG202-D-07、NJXG202-D-08、NJXG202-D-09、NJXG202-D-10、NJXG202-D-11、NJXG202-D-12、NJXG202-D-13、NJXG202-D-14、NJXG202-D-15、NJXG202-D-16、NJXG202-D-17、NJXG202-D-18、NJXG202-D-19、NJXG202-D-20、NJXG202-D-21、NJXG202-D-22、NJXG202-E-03、NJXG203-A-15、NJXG203-A-17、NJXG203-A-19、NJXG203-A-20、NJXG203-A-22</t>
  </si>
  <si>
    <t>NJXG202-E-01、NJXG202-E-02、NJXG202-E-04、NJXG202-E-05、NJXG202-E-06、NJXG202-E-07、NJXG202-E-08、NJXG202-E-09、NJXG202-E-10、NJXG202-E-11、NJXG202-E-12、NJXG202-E-13、NJXG202-E-14、NJXG202-E-15、NJXG202-E-16、NJXG202-E-17、NJXG202-E-18、NJXG202-E-19、NJXG203-B-13、NJXG203-B-14、NJXG203-B-15、NJXG203-B-16、NJXG203-B-17、NJXG203-C-01、NJXG203-C-02、NJXG203-C-03、NJXG203-C-04、NJXG203-C-05、NJXG203-C-06、NJXG203-C-07、NJXG203-C-08、NJXG203-C-09、NJXG203-C-10、NJXG203-C-11、NJXG203-C-12、NJXG203-C-13、NJXG203-C-14、NJXG203-C-15、NJXG203-C-16、NJXG203-C-17、NJXG203-C-18、NJXG203-C-19、NJXG203-C-20、NJXG203-C-21</t>
  </si>
  <si>
    <t>NJXG203-B-09、NJXG203-B-10、NJXG203-B-11、NJXG203-B-12</t>
  </si>
  <si>
    <t>NJXG203-D-01、NJXG203-D-02、NJXG203-D-03、NJXG203-D-04、NJXG203-D-05、NJXG203-D-06、NJXG203-D-07、NJXG203-D-08、NJXG203-D-09、NJXG203-D-10、NJXG203-D-11、NJXG203-D-12、NJXG203-D-13、NJXG203-D-14、NJXG203-D-15、NJXG203-D-16、NJXG203-D-17、NJXG203-D-18、NJXG203-D-19、NJXG203-D-20、NJXG203-D-21、NJXG203-D-22、NJXG203-D-23、NJXG203-E-01、NJXG203-E-02、NJXG203-E-03、NJXG203-E-04、NJXG203-E-05、NJXG203-E-06、NJXG203-E-07、NJXG203-E-08、NJXG203-E-09、NJXG203-E-10、NJXG203-E-11、NJXG202-B-01、NJXG202-B-02、NJXG202-B-03、NJXG202-B-04、NJXG202-B-05、NJXG202-B-06、NJXG202-B-07、NJXG203-B-18、NJXG203-B-19、NJXG203-B-20、NJXG203-B-21、NJXG203-F-19、NJXG203-F-20、NJXG203-F-21、NJXG203-F-22、NJXG203-F-23、NJXG203-G-02、NJXG203-G-03、NJXG203-G-04、NJXG203-G-05、NJXG203-G-06、NJXG203-G-07、NJXG203-G-08、NJXG203-G-09、NJXG203-G-10、NJXG203-G-11、NJXG203-G-12、NJXG203-G-13、NJXG203-G-14、NJXG203-G-15、NJXG203-G-16、NJXG203-G-17、NJXG203-G-18、NJXG203-G-19、NJXG203-G-20、NJXG203-G-21、NJXG203-G-22、NJXG203-G-23、NJXG204-A-03、NJXG204-A-04、NJXG204-A-05、NJXG204-A-06、NJXG204-A-07、NJXG204-A-08、NJXG204-A-09、NJXG204-A-10、NJXG204-A-11、NJXG204-A-12、NJXG204-A-13、NJXG204-A-14、NJXG204-A-15、NJXG204-A-16、NJXG204-A-17、NJXG204-A-18、NJXG204-A-19、NJXG204-A-20、NJXG204-A-21、NJXG204-B-01、NJXG204-B-02、NJXG204-B-03、NJXG204-B-04、NJXG204-B-05、NJXG204-B-06</t>
  </si>
  <si>
    <t>NJXG203-E-12、NJXG203-E-13、NJXG203-E-14、NJXG203-E-15、NJXG203-E-16、NJXG203-E-17、NJXG203-F-01、NJXG203-F-02、NJXG203-F-03、NJXG203-F-04、NJXG203-F-05、NJXG203-F-06、NJXG203-F-07、NJXG203-F-08、NJXG203-F-09、NJXG203-F-10、NJXG203-F-11、NJXG203-F-12、NJXG203-F-13、NJXG203-F-14、NJXG203-F-15、NJXG203-F-16、NJXG203-F-17、NJXG203-F-18、NJXG204-B-07、NJXG204-B-08、NJXG204-B-09、NJXG204-B-10、NJXG204-B-11、NJXG204-B-12、NJXG204-B-13、NJXG204-B-14、NJXG204-B-15、NJXG204-B-16、NJXG204-B-17、NJXG204-B-18、NJXG204-B-19、NJXG204-B-20、NJXG204-B-21、NJXG204-C-01、NJXG204-C-02、NJXG204-C-03、NJXG204-C-04、NJXG204-C-05、NJXG204-C-06、NJXG204-C-07、NJXG204-C-08、NJXG204-C-09、NJXG204-C-10、NJXG204-C-11、NJXG204-C-12、NJXG204-C-13、NJXG204-C-14、NJXG204-C-15、NJXG204-C-16</t>
  </si>
  <si>
    <t>NJXG202-B-08、NJXG202-B-09、NJXG202-B-10、NJXG202-B-11、NJXG202-B-12、NJXG205-A-01、NJXG205-A-02</t>
  </si>
  <si>
    <t>NJXG205-A-03、NJXG205-A-04、NJXG205-A-05、NJXG205-A-06、NJXG205-A-07、NJXG205-A-08、NJXG205-A-09、NJXG205-A-10、NJXG205-A-11、NJXG205-A-12、NJXG205-A-13、NJXG205-A-14、NJXG205-A-15、NJXG205-A-16、NJXG205-A-17、NJXG205-A-18、NJXG205-A-19、NJXG205-A-20、NJXG205-A-21、NJXG205-A-22、NJXG205-A-23、NJXG205-B-02</t>
  </si>
  <si>
    <t>NJXG204-D-01、NJXG204-D-02、NJXG204-D-03、NJXG204-D-04、NJXG204-D-05、NJXG204-D-06、NJXG204-D-07、NJXG204-D-08、NJXG204-D-09、NJXG204-D-10、NJXG204-D-11、NJXG204-D-12、NJXG204-D-13、NJXG204-D-14、NJXG204-D-15、NJXG204-D-16、NJXG204-D-17、NJXG204-D-18、NJXG204-E-02、NJXG204-E-04、NJXG204-E-07、NJXG204-E-10、NJXG204-E-13、NJXG204-E-16、NJXG204-E-19、NJXG204-E-22、NJXG204-C-18、NJXG204-C-22</t>
  </si>
  <si>
    <t>NJXG204-E-01、NJXG204-E-03、NJXG204-E-05、NJXG204-E-06、NJXG204-E-08、NJXG204-E-09、NJXG204-E-11、NJXG204-E-12、NJXG204-E-14、NJXG204-E-15、NJXG204-E-17、NJXG204-E-18、NJXG204-E-20、NJXG204-E-21、NJXG204-E-23</t>
  </si>
  <si>
    <t>NJXG204-C-17、NJXG204-C-19、NJXG204-C-20、NJXG204-C-21、NJXG205-B-03、NJXG205-B-04、NJXG205-B-05、NJXG205-B-06、NJXG205-B-07、NJXG205-B-08、NJXG205-B-09、NJXG205-B-10、NJXG205-B-11、NJXG205-B-12、NJXG205-B-13、NJXG205-B-14、NJXG205-B-15、NJXG205-B-16、NJXG205-B-17、NJXG205-B-18、NJXG205-B-19、NJXG205-C-01、NJXG205-C-02、NJXG205-C-03</t>
  </si>
  <si>
    <t>NJXG204-A-02</t>
  </si>
  <si>
    <t>NJXG205-C-23、NJXG205-C-04、NJXG205-C-05、NJXG205-C-06、NJXG205-C-07、NJXG205-C-08、NJXG205-C-09、NJXG205-C-10、NJXG205-C-11、NJXG205-C-12、NJXG205-C-13、NJXG205-C-14、NJXG205-C-15、NJXG205-C-16、NJXG205-C-17、NJXG205-C-18、NJXG205-C-19、NJXG205-C-20、NJXG205-C-21、NJXG205-C-22、NJXG205-D-04、NJXG205-D-05、NJXG205-D-06、NJXG205-D-07、NJXG205-D-08、NJXG205-D-09、NJXG205-D-10、NJXG205-D-11、NJXG205-D-12、NJXG205-D-13、NJXG205-D-14、NJXG205-D-15、NJXG205-D-16、NJXG205-D-17、NJXG205-D-18、NJXG205-D-19、NJXG205-D-20、NJXG205-E-01、NJXG205-E-02、NJXG205-E-03、NJXG205-E-04、NJXG205-E-05、NJXG205-E-06、NJXG205-E-07</t>
  </si>
  <si>
    <t>NJXG205-E-20</t>
  </si>
  <si>
    <t>NJXG201-A-11、NJXG201-B-07</t>
  </si>
  <si>
    <t>NJXG204-E-01、NJXG204-E-02、NJXG204-E-03、NJXG204-E-04、NJXG204-E-05、NJXG204-E-06、NJXG204-E-07、NJXG204-E-08、NJXG204-E-09、NJXG204-E-10、NJXG204-E-11、NJXG204-E-12、NJXG204-E-13、NJXG204-E-14、NJXG204-E-15、NJXG204-E-16、NJXG204-E-17、NJXG204-E-18、NJXG204-E-19、NJXG204-E-20、NJXG204-E-21、NJXG204-E-22、NJXG204-E-23</t>
  </si>
  <si>
    <t>NJXG204-C-17、NJXG204-C-18、NJXG204-C-19、NJXG204-C-20、NJXG204-C-21、NJXG204-C-22、NJXG205-D-17、NJXG205-D-18</t>
  </si>
  <si>
    <t>NJXG204-F-01、NJXG204-F-02、NJXG204-F-03、NJXG204-F-04、NJXG204-F-05、NJXG204-F-06、NJXG204-F-07、NJXG204-F-08、NJXG204-F-09</t>
  </si>
  <si>
    <t>NJXG204-F-10、NJXG204-F-11、NJXG204-F-12、NJXG204-F-13、NJXG204-F-14、NJXG204-F-15、NJXG204-F-16、NJXG204-F-17、NJXG204-F-18、NJXG204-F-19、NJXG204-F-20</t>
  </si>
  <si>
    <t>NJXG204-C-17、NJXG204-C-18、NJXG204-C-19、NJXG204-E-01、NJXG204-E-02、NJXG204-E-03、NJXG204-E-04、NJXG204-E-05、NJXG204-E-06、NJXG204-E-07、NJXG204-E-08、NJXG204-E-09、NJXG204-E-10</t>
  </si>
  <si>
    <t>NJXG204-E-11、NJXG204-E-12、NJXG204-E-13、NJXG204-E-14、NJXG204-E-15、NJXG204-E-16、NJXG204-E-17、NJXG204-E-18、NJXG204-E-19、NJXG204-E-20、NJXG204-E-21、NJXG204-E-22、NJXG204-E-23</t>
  </si>
  <si>
    <t>NJXG205-D-21、NJXG205-E-08、NJXG205-E-09、NJXG205-E-10、NJXG205-E-11、NJXG205-E-12、NJXG205-E-15</t>
  </si>
  <si>
    <t>NJXG205-E-13、NJXG205-E-16</t>
    <phoneticPr fontId="3" type="noConversion"/>
  </si>
  <si>
    <t>202310 南京新港二层超电流费用</t>
    <phoneticPr fontId="3" type="noConversion"/>
  </si>
  <si>
    <t>ZYT202309250047</t>
  </si>
  <si>
    <t>江苏中物达物联网科技有限公司</t>
    <phoneticPr fontId="3" type="noConversion"/>
  </si>
  <si>
    <t>中物达</t>
  </si>
  <si>
    <t>182315IDC00436</t>
  </si>
  <si>
    <t>无锡扬名一期一批（四层、五层）</t>
  </si>
  <si>
    <t>WXYM</t>
    <phoneticPr fontId="3" type="noConversion"/>
  </si>
  <si>
    <t>WXYM1D401-E-26、WXYM1D401-E-27、WXYM1D402-E-01、WXYM1D501-C-01、WXYM1D502-D-01</t>
    <phoneticPr fontId="3" type="noConversion"/>
  </si>
  <si>
    <t>40A</t>
    <phoneticPr fontId="3" type="noConversion"/>
  </si>
  <si>
    <t>WXYM1D401-A-01、WXYM1D401-A-11、WXYM1D401-A-12、WXYM1D401-A-15、WXYM1D401-A-16、WXYM1D401-A-17、WXYM1D401-A-18、WXYM1D401-A-19、WXYM1D401-B-12、WXYM1D401-B-13、WXYM1D401-B-14、WXYM1D401-B-15、WXYM1D401-B-16、WXYM1D401-B-17、WXYM1D401-C-01、WXYM1D401-C-02、WXYM1D401-C-06、WXYM1D401-C-07、WXYM1D401-C-08、WXYM1D401-C-11、WXYM1D401-C-12、WXYM1D401-C-13、WXYM1D401-C-14、WXYM1D401-C-15、WXYM1D401-C-16、WXYM1D401-C-17、WXYM1D401-D-01、WXYM1D401-D-04、WXYM1D401-D-07、WXYM1D401-D-08、WXYM1D401-D-09、WXYM1D401-D-12、WXYM1D401-D-15、WXYM1D401-D-16、WXYM1D401-D-17、WXYM1D401-D-18、WXYM1D401-D-19、WXYM1D401-D-20、WXYM1D401-D-21、WXYM1D401-E-02、WXYM1D401-E-04、WXYM1D401-E-06、WXYM1D401-E-16、WXYM1D401-E-18、WXYM1D401-E-20、WXYM1D402-B-14、WXYM1D402-C-01、WXYM1D402-C-02、WXYM1D402-C-03、WXYM1D402-C-04、WXYM1D402-C-05、WXYM1D402-C-06、WXYM1D402-C-07、WXYM1D402-C-08、WXYM1D402-C-09、WXYM1D402-C-10、WXYM1D402-C-11、WXYM1D402-C-12、WXYM1D402-D-01、WXYM1D402-D-02、WXYM1D402-D-03、WXYM1D402-D-04、WXYM1D402-D-05、WXYM1D402-D-06、WXYM1D402-D-07、WXYM1D402-D-08、WXYM1D402-D-09、WXYM1D402-D-10、WXYM1D402-D-11、WXYM1D402-D-12、WXYM1D402-D-13、WXYM1D402-D-14、WXYM1D402-E-02、WXYM1D402-E-03、WXYM1D402-E-04、WXYM1D402-E-05、WXYM1D402-E-06、WXYM1D402-E-07、WXYM1D402-E-08、WXYM1D402-E-09、WXYM1D402-E-10、WXYM1D402-E-11、WXYM1D402-E-12、WXYM1D402-E-13、WXYM1D402-E-14、WXYM1D501-A-18、WXYM1D501-B-18、WXYM1D501-D-17、WXYM1D501-E-18、WXYM1D501-C-17、WXYM1D501-D-19、WXYM1D502-B-17、WXYM1D502-C-14、WXYM1D502-A-01、WXYM1D502-A-02、WXYM1D502-A-03、WXYM1D502-A-04、WXYM1D502-A-05、WXYM1D502-A-06、WXYM1D502-A-07、WXYM1D502-A-08、WXYM1D502-B-01、WXYM1D502-B-02、WXYM1D502-B-03、WXYM1D502-B-04、WXYM1D502-B-05、WXYM1D502-B-06、WXYM1D401-C-03、WXYM1D401-C-04、WXYM1D501-B-23、WXYM1D501-B-24、WXYM1D501-B-25、WXYM1D501-B-26、WXYM1D501-B-27、WXYM1D501-B-29、WXYM1D501-B-31、WXYM1D501-C-20、WXYM1D501-C-28、WXYM1D502-B-07、WXYM1D502-B-08、WXYM1D502-B-09、WXYM1D502-B-10、WXYM1D502-B-11、WXYM1D502-B-12、WXYM1D502-B-13、WXYM1D502-B-14、WXYM1D502-B-15、WXYM1D502-B-16、WXYM1D502-C-01、WXYM1D502-C-02、WXYM1D502-C-03、WXYM1D502-C-04、WXYM1D502-C-05、WXYM1D502-C-06、WXYM1D502-C-07、WXYM1D502-C-08、WXYM1D502-C-09、WXYM1D502-C-10、WXYM1D502-C-11、WXYM1D501-B-28、WXYM1D501-B-30、WXYM1D501-B-33、WXYM1D501-B-35、WXYM1D501-C-18、WXYM1D501-C-22、WXYM1D501-C-24、WXYM1D501-C-26、WXYM1D402-B-05、WXYM1D402-B-06、WXYM1D402-B-07、WXYM1D402-B-08、WXYM1D402-B-09、WXYM1D402-B-10、WXYM1D402-B-11、WXYM1D402-B-12、WXYM1D402-B-13</t>
    <phoneticPr fontId="3" type="noConversion"/>
  </si>
  <si>
    <t>109A</t>
    <phoneticPr fontId="3" type="noConversion"/>
  </si>
  <si>
    <t>WXYM1D401-A-03、WXYM1D401-A-13、WXYM1D401-B-08、WXYM1D401-D-03、WXYM1D401-B-18、WXYM1D401-D-13</t>
  </si>
  <si>
    <t>0A</t>
    <phoneticPr fontId="3" type="noConversion"/>
  </si>
  <si>
    <t>WXYM1D401-D-22、WXYM1D401-D-11、WXYM1D401-C-18、WXYM1D401-E-14</t>
    <phoneticPr fontId="3" type="noConversion"/>
  </si>
  <si>
    <t>WXYM1D502-A-11、WXYM1D502-A-14</t>
    <phoneticPr fontId="3" type="noConversion"/>
  </si>
  <si>
    <t>WXYM1D502-A-17</t>
  </si>
  <si>
    <t>WXYM1D501-B-32</t>
  </si>
  <si>
    <t>WXYM1D502-D-02、WXYM1D502-D-03、WXYM1D502-D-04、WXYM1D502-D-05、WXYM1D502-D-06、WXYM1D502-D-07、WXYM1D502-D-08、WXYM1D502-D-09、WXYM1D502-D-10、WXYM1D502-D-11、WXYM1D502-D-12、WXYM1D502-D-13、WXYM1D502-D-14、WXYM1D502-E-01、WXYM1D502-E-02、WXYM1D502-E-03、WXYM1D502-E-04、WXYM1D502-E-05、WXYM1D502-E-06、WXYM1D502-E-07、WXYM1D502-E-08、WXYM1D502-E-09、WXYM1D502-E-10、WXYM1D502-E-11、WXYM1D502-E-12、WXYM1D502-E-13、WXYM1D502-E-14、WXYM1D502-E-15、WXYM1D502-E-16、WXYM1D502-E-17、WXYM1D501-A-01、WXYM1D501-A-02、WXYM1D501-A-03、WXYM1D501-A-04、WXYM1D501-A-05、WXYM1D501-A-06、WXYM1D501-A-07、WXYM1D501-A-08、WXYM1D501-A-09、WXYM1D501-A-10、WXYM1D501-A-11、WXYM1D501-A-12、WXYM1D501-A-13、WXYM1D501-A-14、WXYM1D501-A-15、WXYM1D501-A-16、WXYM1D501-A-17、WXYM1D501-B-01、WXYM1D501-B-02、WXYM1D501-B-03、WXYM1D501-B-04、WXYM1D501-B-05、WXYM1D501-B-06、WXYM1D501-B-07、WXYM1D501-B-08、WXYM1D501-B-09、WXYM1D501-B-10、WXYM1D501-B-11、WXYM1D501-B-12、WXYM1D501-B-13、WXYM1D501-B-14、WXYM1D501-B-15、WXYM1D501-B-16、WXYM1D501-B-17、WXYM1D501-C-02、WXYM1D501-C-03、WXYM1D501-C-04、WXYM1D501-C-05、WXYM1D501-C-06、WXYM1D501-C-07、WXYM1D501-C-08、WXYM1D501-C-09、WXYM1D501-C-10、WXYM1D501-C-11、WXYM1D501-C-12、WXYM1D501-C-13、WXYM1D501-C-14、WXYM1D501-C-15、WXYM1D501-D-01、WXYM1D501-D-02、WXYM1D501-D-03、WXYM1D501-D-04、WXYM1D501-D-05、WXYM1D501-D-06、WXYM1D501-D-07、WXYM1D501-D-08、WXYM1D501-D-09、WXYM1D501-D-10、WXYM1D501-D-11、WXYM1D501-D-12、WXYM1D501-E-01</t>
  </si>
  <si>
    <t>WXYM1D501-B-34、WXYM1D501-C-21</t>
    <phoneticPr fontId="3" type="noConversion"/>
  </si>
  <si>
    <t>WXYM1D501-D-13、WXYM1D501-D-14、WXYM1D501-D-15、WXYM1D501-D-16、WXYM1D501-E-02、WXYM1D501-E-03、WXYM1D501-E-04、WXYM1D501-E-05、WXYM1D501-E-06、WXYM1D501-E-07、WXYM1D501-E-08、WXYM1D502-A-09、WXYM1D502-A-10、WXYM1D502-A-12、WXYM1D502-A-13、WXYM1D502-A-15、WXYM1D502-A-16、WXYM1D502-C-12、WXYM1D502-C-13、WXYM1D502-D-15、WXYM1D502-D-16</t>
  </si>
  <si>
    <t>WXYM1D501-C-23、WXYM1D501-C-25、WXYM1D501-C-27</t>
    <phoneticPr fontId="3" type="noConversion"/>
  </si>
  <si>
    <t>WXYM1D501-E-09、WXYM1D501-E-10、WXYM1D501-E-11、WXYM1D501-E-12、WXYM1D501-E-13、WXYM1D501-E-14、WXYM1D501-E-15、WXYM1D501-E-16、WXYM1D501-E-17、WXYM1D501-A-19、WXYM1D501-A-20、WXYM1D501-A-21、WXYM1D501-A-22、WXYM1D501-A-23、WXYM1D501-A-24、WXYM1D501-A-25、WXYM1D501-A-26、WXYM1D501-A-27、WXYM1D501-A-28、WXYM1D501-A-29、WXYM1D501-A-30、WXYM1D501-A-31、WXYM1D501-A-32、WXYM1D501-A-33、WXYM1D501-A-34、WXYM1D501-A-35、WXYM1D501-B-19、WXYM1D501-B-20、WXYM1D501-B-21、WXYM1D501-B-22</t>
  </si>
  <si>
    <t>无锡扬名一期一批（四层、五层）</t>
    <phoneticPr fontId="3" type="noConversion"/>
  </si>
  <si>
    <t>202309 无锡扬名一期一批（四层、五层）超电流费用,参照8月金额预估。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phoneticPr fontId="3" type="noConversion"/>
  </si>
  <si>
    <t>ZYT202309250048</t>
  </si>
  <si>
    <t>无锡扬名一期二批（二层、三层）</t>
    <phoneticPr fontId="3" type="noConversion"/>
  </si>
  <si>
    <t>WXYM1D301-C-01</t>
    <phoneticPr fontId="3" type="noConversion"/>
  </si>
  <si>
    <t>WXYM1D301-A-18、WXYM1D301-B-18、WXYM1D301-C-17、WXYM1D301-D-19</t>
    <phoneticPr fontId="3" type="noConversion"/>
  </si>
  <si>
    <t>WXYM1D301-A-01、WXYM1D301-A-02、WXYM1D301-A-03、WXYM1D301-A-04、WXYM1D301-A-05、WXYM1D301-A-06、WXYM1D301-A-07、WXYM1D301-A-08、WXYM1D301-A-09、WXYM1D301-A-10、WXYM1D301-A-11、WXYM1D301-A-12、WXYM1D301-A-13、WXYM1D301-A-14、WXYM1D301-A-15、WXYM1D301-A-16、WXYM1D301-A-17、WXYM1D301-A-19、WXYM1D301-A-20、WXYM1D301-A-21、WXYM1D301-A-22、WXYM1D301-A-23、WXYM1D301-A-24、WXYM1D301-A-25、WXYM1D301-A-26、WXYM1D301-A-27、WXYM1D301-A-28、WXYM1D301-A-29、WXYM1D301-A-30、WXYM1D301-A-31、WXYM1D301-A-32、WXYM1D301-A-33、WXYM1D301-A-34、WXYM1D301-A-35、WXYM1D301-B-01、WXYM1D301-B-02、WXYM1D301-B-03、WXYM1D301-B-04、WXYM1D301-B-05、WXYM1D301-B-06、WXYM1D301-B-07、WXYM1D301-B-08、WXYM1D301-B-09、WXYM1D301-B-10、WXYM1D301-B-11、WXYM1D301-B-12、WXYM1D301-B-13、WXYM1D301-B-14、WXYM1D301-B-15、WXYM1D301-B-16、WXYM1D301-B-17、WXYM1D301-B-19、WXYM1D301-B-20、WXYM1D301-B-21、WXYM1D301-B-22、WXYM1D301-C-02、WXYM1D301-C-03、WXYM1D301-C-04、WXYM1D301-C-05、WXYM1D301-C-06</t>
  </si>
  <si>
    <t>202309 无锡扬名一期二批（二层、三层）超电流费用,参照8月金额预估。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phoneticPr fontId="3" type="noConversion"/>
  </si>
  <si>
    <t>NJJS5D503-A-11</t>
  </si>
  <si>
    <t>NJJS5D503-B-07</t>
  </si>
  <si>
    <t>NJJS5D503-C-09</t>
  </si>
  <si>
    <t>NJJS5D503-E-04</t>
  </si>
  <si>
    <t>2023/3/28 </t>
    <phoneticPr fontId="3" type="noConversion"/>
  </si>
  <si>
    <t>NJJS5D503-E-05</t>
  </si>
  <si>
    <t>NJJS5D503-D-03</t>
    <phoneticPr fontId="3" type="noConversion"/>
  </si>
  <si>
    <t>NJJS5D503-D-01</t>
    <phoneticPr fontId="3" type="noConversion"/>
  </si>
  <si>
    <t>NJJS5D501-D-02、NJJS5D501-D-03、NJJS5D501-D-04、NJJS5D501-D-05、NJJS5D501-D-06、NJJS5D501-D-07、NJJS5D501-D-08、NJJS5D501-D-09、NJJS5D501-D-10、NJJS5D501-D-11、NJJS5D501-D-12、NJJS5D501-D-13</t>
  </si>
  <si>
    <t>CDN带宽</t>
  </si>
  <si>
    <t>泉州3移动</t>
  </si>
  <si>
    <t>2023.9无流量，暂按保底计提。【BEC新建】BEC福建泉州移动新建200G2023-09-01节点正式上线 (BECQZ3CM)，保底80G</t>
  </si>
  <si>
    <t>QZ3CM</t>
  </si>
  <si>
    <t>吴蕊</t>
  </si>
  <si>
    <t>杜若彬</t>
    <phoneticPr fontId="3" type="noConversion"/>
  </si>
  <si>
    <t>阿里云计算有限公司</t>
  </si>
  <si>
    <t>阿里云</t>
  </si>
  <si>
    <t>L20230711005</t>
  </si>
  <si>
    <t>换量</t>
  </si>
  <si>
    <t>阿里云_feed</t>
  </si>
  <si>
    <t>1M颗粒度，无保底。95计费，1000进制，系数1.1</t>
  </si>
  <si>
    <t>aliyun_feed</t>
  </si>
  <si>
    <t>1M</t>
  </si>
  <si>
    <t>双向合作</t>
  </si>
  <si>
    <t>未约定</t>
  </si>
  <si>
    <t>是</t>
  </si>
  <si>
    <t>阿里云_oppo</t>
  </si>
  <si>
    <t>aliyun_oppo</t>
  </si>
  <si>
    <t>阿里云_微软更新下载</t>
  </si>
  <si>
    <t>aliyun_msdl</t>
  </si>
  <si>
    <t>换量（错峰下载）-换量</t>
  </si>
  <si>
    <t>阿里云_小米</t>
  </si>
  <si>
    <t>错峰下载业务，小米。1M颗粒度，无保底。95计费，1000进制，系数1.1</t>
  </si>
  <si>
    <t>aliyun_xiaomi</t>
  </si>
  <si>
    <t>L20230630001</t>
  </si>
  <si>
    <t>阿里云_快手_移动</t>
  </si>
  <si>
    <t>1M颗粒度，无保底。日95月均，1000进制，系数1</t>
  </si>
  <si>
    <t>aliyun_kuaishou_cmnet</t>
  </si>
  <si>
    <t>商业CDN</t>
  </si>
  <si>
    <t>否</t>
  </si>
  <si>
    <t>北京超巨云威科技有限公司</t>
  </si>
  <si>
    <t>超巨云威</t>
  </si>
  <si>
    <t>182315IDC00213</t>
  </si>
  <si>
    <t>异网单采</t>
    <phoneticPr fontId="3" type="noConversion"/>
  </si>
  <si>
    <t>超巨云威_快手_非电信</t>
  </si>
  <si>
    <t>1M颗粒度，无保底，1000进制，系数1，月95计费</t>
  </si>
  <si>
    <t>cjcdn_kuaishou_not_ct</t>
  </si>
  <si>
    <t>0-5以百度为准，超过协商</t>
  </si>
  <si>
    <t>账期为T+2</t>
  </si>
  <si>
    <t>本网单采</t>
    <phoneticPr fontId="3" type="noConversion"/>
  </si>
  <si>
    <t>超巨云威_快手_电信</t>
  </si>
  <si>
    <t>cjcdn_kuaishou_ct</t>
  </si>
  <si>
    <t>北京创世云科技股份有限公司</t>
  </si>
  <si>
    <t>创世云</t>
  </si>
  <si>
    <t>182315IDC00180</t>
  </si>
  <si>
    <t>百度国内CDN-换量</t>
  </si>
  <si>
    <t>创世云华为应用市场</t>
  </si>
  <si>
    <t>1M颗粒度，无保底。95计费，1000进制，系数1.2</t>
  </si>
  <si>
    <t>腾讯采购百度，百度采购创世云，创世云采购腾讯。百度支付创世云的前提是腾讯付百度。百度又单独采购腾讯，但一直没量，对应计提表 腾讯云换量_创世云_华为应用市场 节点</t>
  </si>
  <si>
    <t>csyun_hwapp</t>
  </si>
  <si>
    <t>双方数据有差异时，如果偏差小于等于3%，以甲方数据为准确认计费带宽，如果偏差大于3%，双方进行技术核对，核对后找到原因的，按双方最后确认的计费带宽结算，如核对后依然有差异的，按下面原则进行：①差异超过3%，但不超过5%，以双方提供带宽平均值作为计费值，②差异超过5%，以甲方提供的带宽值 * 1.015作为计费值。差异计算方式：（较大数据—较小数据）/ 较大数据。</t>
  </si>
  <si>
    <t>BGP带宽</t>
  </si>
  <si>
    <t>北京
BB-CNIX_BGP</t>
  </si>
  <si>
    <t>皓宽IXBGP</t>
  </si>
  <si>
    <t>30G</t>
  </si>
  <si>
    <t>30G包3端口，每个端口单价5000,每月固定15000，修改计提流量为3G。2022.4与SYS核对，实际带宽量为80G，其中50G免费</t>
  </si>
  <si>
    <t>BB-CNIX_BGP</t>
  </si>
  <si>
    <t>包端口</t>
  </si>
  <si>
    <t>BGP</t>
  </si>
  <si>
    <t>北京火山引擎科技有限公司</t>
  </si>
  <si>
    <t>火山引擎</t>
  </si>
  <si>
    <t>182315IDC00427</t>
  </si>
  <si>
    <t>火山引擎_爱奇艺（移动+非移动）-换量</t>
  </si>
  <si>
    <t>火山引擎_爱奇艺</t>
  </si>
  <si>
    <t>包头系数1，1000进制，95计费</t>
  </si>
  <si>
    <t>volc_iqiyi</t>
  </si>
  <si>
    <t>1.1    双方数据有差异时，如果偏差小于51%，以甲方数据为准确认计费带宽，如果偏差大于等于51%，双方进行技术核对，核对后找到原因的，按双方最后确认的计费带宽结算，如核对后依然有差异的，按下面原则进行：①差异超过51%，但不超过83%，以双方提供带宽平均值作为计费值，②差异超过83%，以甲方提供的带宽值 * 1.025015作为计费值。差异计算方式：（较大数据—较小数据）/ 较大数据。</t>
  </si>
  <si>
    <t>北京朗玛峰科技有限公司</t>
  </si>
  <si>
    <t>朗玛峰</t>
  </si>
  <si>
    <t>L20230909002</t>
  </si>
  <si>
    <t>朗玛峰_快手_非电信</t>
  </si>
  <si>
    <t>3个1000进制 系数:1</t>
  </si>
  <si>
    <t>lmfcdn_kuaishou_not_ct</t>
  </si>
  <si>
    <t>朗玛峰_快手_电信</t>
  </si>
  <si>
    <t>不计提。3个1000进制 系数:1</t>
  </si>
  <si>
    <t>lmfcdn_kuaishou_ct</t>
  </si>
  <si>
    <t>北京云端智度科技有限公司</t>
  </si>
  <si>
    <t>云端</t>
  </si>
  <si>
    <t>182115IDC00384</t>
  </si>
  <si>
    <t>云端_换量</t>
  </si>
  <si>
    <t>端口关闭。颗粒度1M，无保底，95计费，1000进制，系数1.08。换量</t>
  </si>
  <si>
    <t>yd_exchange</t>
  </si>
  <si>
    <t>已退租</t>
  </si>
  <si>
    <t>杭州又拍云科技有限公司</t>
  </si>
  <si>
    <t>杭州又拍云</t>
  </si>
  <si>
    <t>L20230610014</t>
  </si>
  <si>
    <t>中移国际_又拍_南昌</t>
  </si>
  <si>
    <t>0G-16000000G 0.04854
16000000-40000000G 0.0436
40000000G-100000000G 0.0388
100000000G以上0.0339</t>
  </si>
  <si>
    <t>南昌，1P=1000000G</t>
  </si>
  <si>
    <t>建议计费带宽单位为G，可以直接乘以单价</t>
  </si>
  <si>
    <t>cmiyp-nc</t>
  </si>
  <si>
    <t>合作项目</t>
  </si>
  <si>
    <t>江苏睿鸿网络技术股份有限公司</t>
  </si>
  <si>
    <t>江苏睿鸿</t>
  </si>
  <si>
    <t>182315IDC00114</t>
  </si>
  <si>
    <t>睿鸿CDN_汽车之家</t>
  </si>
  <si>
    <t>2023.1.1调整单价。2022年8月1日，进制调整为1024三遍，包头系数1.0，月95计费</t>
  </si>
  <si>
    <t>rhcdn_autohome</t>
  </si>
  <si>
    <t>1.1    双方数据有差异时，如果偏差小于5%，以甲方数据为准确认计费带宽，如果偏差大于等于5%，双方进行技术核对，核对后找到原因的，按双方最后确认的计费带宽结算，如核对后依然有差异的，按下面原则进行：①差异超过5%，但不超过8%，以双方提供带宽平均值作为计费值，②差异超过8%，以甲方提供的带宽值 * 1.025作为计费值。差异计算方式：（较大数据—较小数据）/ 较大数据。</t>
  </si>
  <si>
    <t>182215IDC00534</t>
  </si>
  <si>
    <t>爱奇艺</t>
  </si>
  <si>
    <t>睿鸿CDN_爱奇艺_非移动</t>
  </si>
  <si>
    <t>需要注意202207价格变动。爱奇艺电信切睿鸿，月95计费，包头系数1，进制1024</t>
  </si>
  <si>
    <t>rhcdn_iqiyi_not_cmnet</t>
  </si>
  <si>
    <t>睿鸿CDN_爱奇艺_移动</t>
  </si>
  <si>
    <t>需要注意202207价格变动。爱奇艺移动切睿鸿，月95计费，包头系数1，进制1024</t>
  </si>
  <si>
    <t>rhcdn_iqiyi_cmnet</t>
  </si>
  <si>
    <t>江苏意如信息科技有限公司</t>
  </si>
  <si>
    <t>江苏意如</t>
  </si>
  <si>
    <t>182315IDC00214</t>
  </si>
  <si>
    <t>单采</t>
  </si>
  <si>
    <t>意如CDN_爱奇艺_移动_山东</t>
  </si>
  <si>
    <t>1M颗粒度，无保底，1000进制，系数1。2022.10月计费方式为日95月均，2022.11月起执行月95</t>
  </si>
  <si>
    <t>yrcdn_iqiyi_cmnet_sd</t>
  </si>
  <si>
    <t>双方数据有差异时，如果偏差小于5%，以甲方数据为准确认计费带宽，如果偏差大于等于5%，双方进行技术核对，核对后找到原因的，按双方最后确认的计费带宽结算，如核对后依然有差异的，按下面原则进行：①差异超过5%，但不超过8%，以双方提供带宽平均值作为计费值，②差异超过8%，以甲方提供的带宽值 * 1.025作为计费值。</t>
  </si>
  <si>
    <t>意如CDN_爱奇艺_移动_内蒙古</t>
  </si>
  <si>
    <t>1M颗粒度，无保底，1000进制，系数1</t>
  </si>
  <si>
    <t>yrcdn_iqiyi_cmnet_nmg</t>
  </si>
  <si>
    <t>L20230311027</t>
  </si>
  <si>
    <t>凤凰机房 NJ02-UNICOM_BGP</t>
  </si>
  <si>
    <t>BGP南京联通</t>
  </si>
  <si>
    <t>历史累计开通
NJ02-UNICOM_BGP</t>
  </si>
  <si>
    <t>20G</t>
  </si>
  <si>
    <t>保底2G。100M颗粒度。3%认乙方，超过协商</t>
  </si>
  <si>
    <t>NJ02-UNICOM_BGP</t>
  </si>
  <si>
    <t>100M</t>
  </si>
  <si>
    <t>徐州机房 XZUNCACHE</t>
  </si>
  <si>
    <t>徐洲联通</t>
  </si>
  <si>
    <t>历史累计开通
2023/6/30</t>
  </si>
  <si>
    <t xml:space="preserve">160G
80G
-40G
</t>
  </si>
  <si>
    <t>保底计提。2023/6/30【CDN退租】CDN江苏徐州联通二级退租40G (XZUNCACHE)，退租后200G，保底60G。3%认乙方，超过协商。100M颗粒度</t>
  </si>
  <si>
    <t>XZUNCACHE</t>
  </si>
  <si>
    <t>差异在 5 %以内的以甲方数据为准，差异大于 5 %的部分由双方共同商议决定</t>
  </si>
  <si>
    <t>IDC带宽（静态）</t>
  </si>
  <si>
    <t>南京凤凰
NJ02-联通 120G
NJ02-联通代播 120G</t>
  </si>
  <si>
    <t>NJ02-联通</t>
  </si>
  <si>
    <t>历史累计开通
2019/9/7
NJM2+SZWGUNICOM</t>
  </si>
  <si>
    <t>240G</t>
  </si>
  <si>
    <t>2022.7 原南京联通【NJM2】拆分为【 NJ02-联通代播】及【NJ02-联通IDC】南京联通与苏州万国联通合并保底56G，100M</t>
  </si>
  <si>
    <t>NJ02-CU-ST-2</t>
  </si>
  <si>
    <t>差异在3%以内的以双方数据取中值为准，差异大于 3 %的部分由双方共同商议决定</t>
  </si>
  <si>
    <t>苏州花桥</t>
  </si>
  <si>
    <t>苏州万国联通</t>
  </si>
  <si>
    <t>历史累计开通
2019/9/7
NJM2+SZWGUNICOM
2022/8/10</t>
  </si>
  <si>
    <t>80G
-40G</t>
  </si>
  <si>
    <t>从2022.2保底调整为20%。南京联通与苏州万国联通合并保底56G，100M</t>
  </si>
  <si>
    <t>SZWGUNICOM</t>
  </si>
  <si>
    <t>苏州太湖三线-联通（CDN代静态）</t>
  </si>
  <si>
    <t>SZTH-联通CDN</t>
  </si>
  <si>
    <t>180G</t>
  </si>
  <si>
    <t>保底54G，100M</t>
  </si>
  <si>
    <t>带宽流量峰值差额大于双方当月带宽核对值的较大值的3%，差额部分的带宽流量峰值按照50%计算。带宽流量峰值差额大于双方当月带宽核对值的较大值的5%，双方对统计数据进行分析后，另以书面方式确定实际计费数据</t>
  </si>
  <si>
    <t>常州软件园机房 CZIXUN</t>
  </si>
  <si>
    <t>2017/9/21
2019/4/25
2020/1/1</t>
  </si>
  <si>
    <t>80G
40G
60G</t>
  </si>
  <si>
    <t>30%保底，2020.1.19扩容60G，送15天测试前，扩容后保底54G，100M</t>
  </si>
  <si>
    <t>CZIXUN</t>
  </si>
  <si>
    <t>带宽流量峰值差额小于等于双方当月带宽核对值的较大值的3%，则按照甲方统计的带宽流量数据作为计费数据。带宽流量峰值差额大于双方当月带宽核对值的较大值的3%小于等于5%，差额部分的带宽流量峰值按照50%计算。带宽流量峰值差额大于双方当月带宽核对值的较大值的5%，双方对统计数据进行分析后，另以书面方式确定实际计费数据</t>
  </si>
  <si>
    <t>常州软件园机房 CZIXCT</t>
  </si>
  <si>
    <t>2017/9/21
2020/1/1
2021/6/1</t>
  </si>
  <si>
    <t>160G
100G
20G</t>
  </si>
  <si>
    <t>2021/6/1扩容20G。30%保底，扩容后保底84G。100M</t>
    <phoneticPr fontId="3" type="noConversion"/>
  </si>
  <si>
    <t>CZIXCT</t>
  </si>
  <si>
    <t>常州软件园机房 CZIXCM</t>
  </si>
  <si>
    <t>常州移动</t>
  </si>
  <si>
    <t>2017/9/21
2019/4/25
2020/1/1
2021/6/1</t>
  </si>
  <si>
    <t>80G
80G
40G
60G</t>
  </si>
  <si>
    <t>22021/6/1扩容60G。30%保底，扩容后保底78G。100M颗粒度</t>
  </si>
  <si>
    <t>CZIXCM</t>
  </si>
  <si>
    <t>2022/10/1
2023/7/1</t>
  </si>
  <si>
    <t>100G
40G</t>
  </si>
  <si>
    <t>2023.9调整单价（预计从2023.8降价）【BEC扩容】BEC江苏徐州联通扩容40G  2023-07-01 节点正式上线  (XZ2UN)，保底42G，100M颗粒度。分端口计费
【BEC新建】徐州联通新增100G 节点正式上线  (XZ2UN)</t>
  </si>
  <si>
    <t>XZ2UN</t>
  </si>
  <si>
    <t>2023/4/10
2023/4/29</t>
  </si>
  <si>
    <t>1G
9G</t>
  </si>
  <si>
    <t>【BEC新建】苏州联通新增1G 2023-4-10节点正式上线 (CDNSUZUN)；
【BEC扩容】苏州联通新增9G 2023-4-29节点正式上线 (CDNSUZUN)</t>
  </si>
  <si>
    <t>SUZUN</t>
  </si>
  <si>
    <t>厦门哇哩科技有限公司</t>
  </si>
  <si>
    <t>哇哩科技</t>
  </si>
  <si>
    <t>L20230901007</t>
  </si>
  <si>
    <t>唯一CDN_小红书</t>
  </si>
  <si>
    <t>2023/8/1调整单价。1M颗粒度，无保底，1000进制，系数1，月95计费</t>
  </si>
  <si>
    <t>wycdn_xhs</t>
  </si>
  <si>
    <t>1.1   双方数据有差异时，如果偏差小于1%，以甲方数据为准确认计费带宽，如果偏差大于等于1%，双方进行技术核对，核对后找到原因的，按双方最后确认的计费带宽结算，如核对后依然有差异的，按下面原则进行：①差异超过1%，但不超过3%，以双方提供带宽平均值作为计费值，②差异超过3%，以甲方提供的带宽值 * 1.015作为计费值。差异计算方式：（较大数据—较小数据）/ 较大数据。</t>
  </si>
  <si>
    <t>厦门网宿有限公司</t>
  </si>
  <si>
    <t>网宿</t>
  </si>
  <si>
    <t>182315IDC00428</t>
  </si>
  <si>
    <t>百度国内直播</t>
  </si>
  <si>
    <t>网宿国内直播</t>
  </si>
  <si>
    <t>分段计费
0-1G 9300
1G以上 10800</t>
  </si>
  <si>
    <t>1M，无保底。95计费，1000进制，无系数。（1）2022年4月1日开始，1.直播业务：月95%值计费 1000进制  无包头系数
0-1000M 执行9.3元/月/M。 超出1000M 以上，超出部分执行10.8元。 例如：带宽1500M  0-1000M执行9.3元  500M执行10.8元。
2.直播录制时间：每月免费赠送1000小时，超出1000小时0.2元/小时收费。
3.服务期限：2022年4月1日至2023年3月31日；（2）国内直播业务：0-1000M 执行9.8元。超出1000M 以上，超出部分执行11.5元。海外直播业务：0.32元/M/天
SYS 无数据，若月初可获得运营商账单，暂时以运营商数据计提。后续BD发邮件请SYS确认流量后结算</t>
  </si>
  <si>
    <t>直播录制时间</t>
  </si>
  <si>
    <t>直播录制时间：每月免费赠送1000小时， 超出1000小时，0.2元/小时收费</t>
  </si>
  <si>
    <t>海外直播</t>
  </si>
  <si>
    <t>网宿海外直播</t>
  </si>
  <si>
    <t>0.30元/天/M</t>
  </si>
  <si>
    <t>（1）20220401开始单价为0.3/M/天：按每日的第一峰值计费 1000进制 无包头系数；（2）按每日的第一峰值计费。海外直播业务：0.32元/M/天
SYS 无数据，若月初可获得运营商账单，暂时以运营商数据计提。后续BD发邮件请SYS确认流量后结算</t>
  </si>
  <si>
    <t>上海翌旭网络科技有限公司</t>
  </si>
  <si>
    <t>新壹云</t>
  </si>
  <si>
    <t>L20230408009</t>
  </si>
  <si>
    <t>新壹云_爱奇艺_非移动</t>
  </si>
  <si>
    <t>不计提。需要注意202206价格变动。202108按照预审合同调整计提单价。1M，无保底，95计费，1000进制，无系数
2021.1 原“新壹云”端口更名为“新壹云_爱奇艺_非移动”</t>
  </si>
  <si>
    <t>xyyun_iqiyi_not_cmnet</t>
  </si>
  <si>
    <t>182315IDC00212</t>
  </si>
  <si>
    <t>新壹云_爱奇艺_移动</t>
  </si>
  <si>
    <t>月95计费，包头系数1，1000进制）</t>
    <phoneticPr fontId="3" type="noConversion"/>
  </si>
  <si>
    <t>xyyun_iqiyi_cmnet</t>
  </si>
  <si>
    <t>深圳市梦网云臻科技有限公司</t>
  </si>
  <si>
    <t>梦网云</t>
  </si>
  <si>
    <t>182315IDC00010</t>
  </si>
  <si>
    <t>梦网_点播</t>
  </si>
  <si>
    <t>点播类业务电联-梦网，包头系数1.0，进制1000，月95计费</t>
  </si>
  <si>
    <t>2023.11更新L20231006004</t>
    <phoneticPr fontId="3" type="noConversion"/>
  </si>
  <si>
    <t>mwcdn_video</t>
  </si>
  <si>
    <t>月付（T+2）</t>
  </si>
  <si>
    <t>腾讯云计算（北京）有限责任公司</t>
  </si>
  <si>
    <t>腾讯云</t>
  </si>
  <si>
    <t>182315IDC00181</t>
  </si>
  <si>
    <t>腾讯云_换量</t>
  </si>
  <si>
    <t>包头系数1.1，1000进制，计费方式：月95计费</t>
  </si>
  <si>
    <t>txyun_exchange</t>
  </si>
  <si>
    <t>双方数据有差异时，如果偏差小于5%，以甲方数据为准确认计费带宽，如果偏差大于等于5%，双方进行技术核对，核对后找到原因的，按双方最后确认的计费带宽结算，如核对后依然有差异的，按下面原则进行：①差异超过5%，但不超过8%，以双方提供带宽平均值作为计费值，②差异超过8%，以甲方提供的</t>
  </si>
  <si>
    <t>天翼云科技有限公司</t>
  </si>
  <si>
    <t>天翼云</t>
  </si>
  <si>
    <t>182315IDC00104</t>
  </si>
  <si>
    <t>小红书电联-天翼云</t>
  </si>
  <si>
    <t>电信CDN_小红书</t>
  </si>
  <si>
    <t>包头系数1.0，进制1024（两遍），月95计费</t>
  </si>
  <si>
    <t>ctcdn_xhs</t>
  </si>
  <si>
    <t>1.1    双方数据有差异时，如果偏差小于3%，以甲方数据为准确认计费带宽，如果偏差大于等于3%，双方进行技术核对，核对后找到原因的，按双方最后确认的计费带宽结算，如核对后依然有差异的，按下面原则进行：①差异超过3%，但不超过5%，以双方提供带宽平均值作为计费值，②差异超过5%，以甲方提供的带宽值 * 1.025作为计费值。差异计算方式：（较大数据—较小数据）/ 较大数据。</t>
  </si>
  <si>
    <t>182315IDC00477</t>
  </si>
  <si>
    <t>天翼云换量</t>
  </si>
  <si>
    <t>电信CDN</t>
  </si>
  <si>
    <t>天翼云换量，OPPO业务，日峰月均，1M，1000进制，无包头</t>
  </si>
  <si>
    <t>ctcdn</t>
  </si>
  <si>
    <t>结算数据差异在1%（含）以内，双方默认无误差；如差异大于1%，甲方有权要求乙方配合通过技术手段核查差异具体原因，根据实际核查结果协商解决。本条适用于此协议第三条第1款和第三条第2款产生的账单。</t>
  </si>
  <si>
    <t>优酷电信-天翼云-换量</t>
  </si>
  <si>
    <t>电信CDN_优酷</t>
  </si>
  <si>
    <t>包头系数1.0，进制1024两遍，月95计费，合作期为2022年8月1日 至 2023年7月31日</t>
  </si>
  <si>
    <t>ctcdn_youku</t>
  </si>
  <si>
    <t>乌兰察布华为云计算技术有限公司</t>
  </si>
  <si>
    <t>华为</t>
  </si>
  <si>
    <t>L20230107005</t>
  </si>
  <si>
    <t>快手三网-华为云</t>
  </si>
  <si>
    <t>华为云快手</t>
  </si>
  <si>
    <t>颗粒度1M，包头系数1.0，进制1000，日95月均计费。乙方自建资源承接，禁止融合；
资源比例是4（电信）3（移动）3（联通）。</t>
  </si>
  <si>
    <t>hwyun_kuaishou</t>
  </si>
  <si>
    <t>182315IDC00154</t>
  </si>
  <si>
    <t>华为云换量</t>
  </si>
  <si>
    <t>1000进制，95计费，系数1.1，颗粒度1M
1M颗粒度，无保底</t>
  </si>
  <si>
    <t>hwyun_exchange</t>
  </si>
  <si>
    <t>1.1    。双方数据有差异时，如果偏差小于1%，以乙方数据为准确认计费带宽，如果偏差大于等于1%，双方进行技术核对，协商处理。</t>
  </si>
  <si>
    <t>L20230204011</t>
  </si>
  <si>
    <t>华为-小米换量</t>
  </si>
  <si>
    <t>华为云_小米</t>
  </si>
  <si>
    <t>不计提。华为，小米业务，包头系数1.0，进制1024两遍，月95计费，计费起始日期为2022年3月1日。</t>
  </si>
  <si>
    <t>hwyun_xiaomi</t>
  </si>
  <si>
    <t>双方数据有差异时，如果偏差小于1%，以甲方数据为准确认计费带宽，如果偏差大于等于1%，双方进行技术核对，协商处理。</t>
  </si>
  <si>
    <t>武汉拓研信息技术有限公司</t>
  </si>
  <si>
    <t>武汉拓研</t>
  </si>
  <si>
    <t>182315IDC00102</t>
  </si>
  <si>
    <t>拓研_快手_联通_移动</t>
  </si>
  <si>
    <t>1个1024，月95计费，包头1</t>
  </si>
  <si>
    <t>tycdn_kuaishou_cnc_cmnet</t>
  </si>
  <si>
    <t>方数据有差异时，如果偏差小于3%，以甲方数据为准确认计费带宽，如果偏差大于等于3%，双方进行技术核对，核对后找到原因的，按双方最后确认的计费带宽结算，如核对后依然有差异的，按下面原则进行：①差异超过3%，但不超过5%，以双方提供带宽平均值作为计费值，②差异超过5%，以甲方提供的带宽值 * 1.015作为计费值。差异计算方式：（较大数据—较小数据）/ 较大数据</t>
  </si>
  <si>
    <t>拓研_快手_电信</t>
  </si>
  <si>
    <t>不计提。1个1024，月95计费，包头1</t>
  </si>
  <si>
    <t>tycdn_kuaishou_ct</t>
  </si>
  <si>
    <t>有帮信息科技（北京）有限公司</t>
  </si>
  <si>
    <t>有帮</t>
  </si>
  <si>
    <t>182315IDC00098</t>
  </si>
  <si>
    <t>微软云_作业帮</t>
  </si>
  <si>
    <t>按运营商大数计提。有帮（微软、蓝云），1M颗粒度，无保底，1000进制，系数1，月95计费</t>
  </si>
  <si>
    <t>wryun_zuoyebang</t>
  </si>
  <si>
    <t>小于1%认乙方，超过协商</t>
  </si>
  <si>
    <t>高防带宽</t>
  </si>
  <si>
    <t>高防带宽
JNLXCT-CT-ST-1</t>
  </si>
  <si>
    <t>济南电信高防节点</t>
    <phoneticPr fontId="3" type="noConversion"/>
  </si>
  <si>
    <t>JNLXCT-电信（交付邮件与SYS建议计费表不一致，以SYS建议计费表为准，此名称作为备注）</t>
  </si>
  <si>
    <t>2017/8/18
2021/1/29</t>
  </si>
  <si>
    <t>400G+100G+100G</t>
    <phoneticPr fontId="3" type="noConversion"/>
  </si>
  <si>
    <t>颗粒度1M，120G保底。2019年6月CDN复用高防100G，自2020年12月CDN复用增至400G，高防使用200G。对应OSS 济南电信二级 节点</t>
    <phoneticPr fontId="3" type="noConversion"/>
  </si>
  <si>
    <t>JNLXCT-CT-ST-1</t>
  </si>
  <si>
    <t>1M</t>
    <phoneticPr fontId="3" type="noConversion"/>
  </si>
  <si>
    <t>0-3取甲方；3-5均值；超出协商</t>
    <phoneticPr fontId="3" type="noConversion"/>
  </si>
  <si>
    <t>2023/1/1
2023/3/31</t>
  </si>
  <si>
    <t>2023/3/31退租。【CDN新建】山东济南电信  新建200G  2023-1-1 节点正式上线  (JN3CT)，保底60G，10M</t>
  </si>
  <si>
    <t>JN3CT</t>
  </si>
  <si>
    <t>SSL带宽</t>
  </si>
  <si>
    <t>苏州电信SSL南施街</t>
  </si>
  <si>
    <t>—
2019/11/30
2021/9/15</t>
  </si>
  <si>
    <t>50G
-30G
-20G</t>
  </si>
  <si>
    <t>该端口已退租。2021/9/19机房搬迁，退租20G，带宽保底按照30%来计费,6G，100M</t>
  </si>
  <si>
    <t>2021/9/23
2023/8/31</t>
  </si>
  <si>
    <t>20G
-20G</t>
  </si>
  <si>
    <t>2023/8/31 苏州电信SSL下线。
SSL节点无保底，由CDN承担，每月按实际流量计提。2021/9/23机房搬迁，开通20G，100M，与CDN合并保底</t>
  </si>
  <si>
    <t>SUSSLTELECOM</t>
  </si>
  <si>
    <t>历史开通
2022/5/31
2022/8/31</t>
  </si>
  <si>
    <t>320G
-20G（SZ2CT）
-140G</t>
  </si>
  <si>
    <t>2022.8.1原SUZCT 160+SUZ2CT 140G合并计费，拆分为单节点计费。2022/5/31 SUZ2CT退租20G，从2022.5带宽量为300G，保底90G,100M；SUZCT 160G与SUZ2CT 140G合并计费</t>
  </si>
  <si>
    <t>SUZCT</t>
  </si>
  <si>
    <t>昆山 
SUZ2CT 140G</t>
  </si>
  <si>
    <t>苏州电信2</t>
  </si>
  <si>
    <t>历史开通
2022/5/31
2022/8/1</t>
  </si>
  <si>
    <t>140G</t>
  </si>
  <si>
    <t>2022.8.1原SUZCT 160+SUZ2CT 140G合并计费，拆分为单节点计费 。</t>
  </si>
  <si>
    <t>SUZ2CT</t>
  </si>
  <si>
    <t>宿迁电信+宿迁2
SQCT 200G
SQ2CT 200G</t>
  </si>
  <si>
    <t>2018/9/21
2022/6/17</t>
  </si>
  <si>
    <t>200G+200G
-200G-200G</t>
  </si>
  <si>
    <t>2022/6/17 宿迁电信 宿迁2电信调整为宿迁电信二级。保底120G,100M。
SQCT 200G与SQ2CT 200G合并计费
共配送40个机柜，每万兆送32个IP</t>
  </si>
  <si>
    <t>SQ2CT</t>
  </si>
  <si>
    <t>2022/6/18
2023/8/31</t>
    <phoneticPr fontId="3" type="noConversion"/>
  </si>
  <si>
    <t>400G
-200G</t>
    <phoneticPr fontId="3" type="noConversion"/>
  </si>
  <si>
    <t>2023/8/31【CDN退租】CDN江苏宿迁电信二级退租200G (SQCTCACHE)，退租后保底60G。
2022/6/17 宿迁电信 宿迁2电信调整为宿迁电信二级。
SQCT 200G与SQ2CT 200G合并计费
共配送40个机柜，每万兆送32个IP</t>
    <phoneticPr fontId="3" type="noConversion"/>
  </si>
  <si>
    <t>SQCTCACHE</t>
  </si>
  <si>
    <t>差异3%以内，认乙方，超过协商（来源于合同181815IDC00174）</t>
  </si>
  <si>
    <t>南京
NJ02-电信 140G
NJ02-电信代播 200G
NJ03 80G</t>
    <phoneticPr fontId="3" type="noConversion"/>
  </si>
  <si>
    <t>NJ02-电信</t>
  </si>
  <si>
    <t>420G</t>
  </si>
  <si>
    <t>阶梯计费
0-100G   15000
100G以上   14000</t>
  </si>
  <si>
    <t>2022.7原NJ02【南京凤凰】拆分为【NJ02-电信代播】和【NJ02-电信IDC】。颗粒度1M,与南京吉山电信合并保底85G，合并计算阶梯价格
原南京凤凰节点流量，拆分出到南京凤凰、南京吉山电信2个节点上。NJ02 300G
NJ03 80G合并至NJ02</t>
  </si>
  <si>
    <t>NJ02-CT-ST-2</t>
  </si>
  <si>
    <t>南京凤凰与南京吉山电信合并保底85G</t>
  </si>
  <si>
    <t>10%以内取均值，超过协商</t>
  </si>
  <si>
    <t>颗粒度1M,与南京凤凰合并保底85G，合并计算阶梯价格
原南京凤凰节点流量，拆分出到南京凤凰、南京吉山电信2个节点上</t>
  </si>
  <si>
    <t>NJJSTELECOM</t>
  </si>
  <si>
    <t>河西二长NJ03
NJ02-TELECOM_BGP</t>
  </si>
  <si>
    <t>BGP南京电信</t>
  </si>
  <si>
    <t>颗粒度1M,保底2G</t>
  </si>
  <si>
    <t>NJ02-TELECOM_BGP</t>
  </si>
  <si>
    <t>40G
80G</t>
  </si>
  <si>
    <t>阶梯计费
0-16G   15000
16G以上   14000</t>
  </si>
  <si>
    <t xml:space="preserve">保底16G。1M
SZTH-TELECOM 80G与SZWG 40合并计费，计入SZTH-TELECOM </t>
  </si>
  <si>
    <t>SZTH-TELECOM</t>
  </si>
  <si>
    <t>苏州太湖三线-电信（CDN代静态）</t>
  </si>
  <si>
    <t>SZTH-电信CDN</t>
  </si>
  <si>
    <t>2021/10/1
2023/4/1</t>
  </si>
  <si>
    <t>280G
120G</t>
  </si>
  <si>
    <t>2023.4.1扩容120G，扩容后共400G，保底120G，颗粒度100M，2021/10/1开通苏州太湖三线</t>
  </si>
  <si>
    <t>带宽流量95峰值差额小于等于双方当月带宽核对值的较大值的3%，则计费带宽按照双方平均值计算。带宽流量95峰值差额大于双方当月带宽核对值的较大值的3%，双方对统计数据进行分析后，另以书面方式确定实际计费数据。</t>
  </si>
  <si>
    <t>50G</t>
  </si>
  <si>
    <t>【BEC新建】连云港三线电信新建50G 2023-2-1节点正式上线  (LYGIXCT)：保底30%即15G，1M。3个1024</t>
  </si>
  <si>
    <t>LYGIXCT</t>
  </si>
  <si>
    <t>3%以内认百度，超过协商</t>
  </si>
  <si>
    <t>青岛电信
QDIXCT</t>
  </si>
  <si>
    <t>2016/1/1 2019-12-31
2021/6/10</t>
  </si>
  <si>
    <t>180G
+80G
+20G</t>
  </si>
  <si>
    <t>2023.9调整单价。颗粒度100M，保底84G。直接降价，流量不打折，青岛三级电信2021.6.10扩容20G带宽</t>
  </si>
  <si>
    <t>QDIXCT</t>
  </si>
  <si>
    <t>0-5取均值，超出协商</t>
  </si>
  <si>
    <t>青岛电信2+3
QD2CT</t>
  </si>
  <si>
    <t>2018/3/29
2019/12/31
2021/6/30</t>
  </si>
  <si>
    <t>240G
-100G
-140G</t>
  </si>
  <si>
    <t>已退租。2019-12-31青岛2电信关闭100G,剩余140G.颗粒度100M，保底42G;2021.6.30退租140G带宽</t>
  </si>
  <si>
    <t>QD2CT</t>
  </si>
  <si>
    <t>青岛滨海电信（云盘）
QDBHTELECOM</t>
  </si>
  <si>
    <t>2018/7/19 2020/3/28</t>
  </si>
  <si>
    <t>180G+60G</t>
  </si>
  <si>
    <t>2023.9调整单价。颗粒度100M，原保底72G；2020-3-28扩容60G</t>
  </si>
  <si>
    <t>QDBHTELECOM</t>
  </si>
  <si>
    <t>青岛4电信
QD4CT</t>
  </si>
  <si>
    <t>2018/10/13
2021/6/30
2023/8/31</t>
  </si>
  <si>
    <t>240G
-60G
-60G</t>
    <phoneticPr fontId="3" type="noConversion"/>
  </si>
  <si>
    <t>2023.9调整单价。保底36G【CDN退租】CDN山东青岛电信退租信息 (QD4CT)。
2021.6.30退租60G</t>
  </si>
  <si>
    <t>QD4CT</t>
  </si>
  <si>
    <t>青岛电信
QDSSLTELECOM</t>
  </si>
  <si>
    <t>历史开通
2023/8/31</t>
    <phoneticPr fontId="3" type="noConversion"/>
  </si>
  <si>
    <t>10G
-10G</t>
    <phoneticPr fontId="3" type="noConversion"/>
  </si>
  <si>
    <t>2023/8/31节点退租。颗粒度100M，保底1G</t>
    <phoneticPr fontId="3" type="noConversion"/>
  </si>
  <si>
    <t>QDSSLTELECOM</t>
  </si>
  <si>
    <t>上海电信-华信 SHCT</t>
  </si>
  <si>
    <t>2017/6/29
2019/7/8
2019/12/31
2022/7/31</t>
  </si>
  <si>
    <t>160G
160G
-20G
-300G</t>
  </si>
  <si>
    <t>2022/7/31 退租300G，节点关闭。100M。40%保底， SHCT  SH4CT合并计费，合并保底224G</t>
  </si>
  <si>
    <t>SHCT</t>
  </si>
  <si>
    <t>差异3%以内，认乙方；超过3%协商</t>
  </si>
  <si>
    <t>上海电信-华信
SH4CT</t>
  </si>
  <si>
    <t>2019/7/14
2019/12/31
2021/10/1
2022/7/31</t>
  </si>
  <si>
    <t>240G
-40G
60G
-200G</t>
  </si>
  <si>
    <t>20G带宽，保底8G。2022/7/31退租200G，剩余60G（其中SSL复用40G）保底24G。2021.10扩容60G，无机架 IP等资源增加。100M。40%保底， SHCT  SH4CT合并计费，合并保底224G</t>
  </si>
  <si>
    <t>SH4CT</t>
  </si>
  <si>
    <t>免费节点。江苏苏州电信 增量100G完成业务测试，已于2020-02-28开始正式切流量上线,所有资源均免费</t>
  </si>
  <si>
    <t>SUZ4CT</t>
  </si>
  <si>
    <t>免费节点</t>
  </si>
  <si>
    <t>中国电信集团有限公司济南分公司</t>
  </si>
  <si>
    <t>182015IDC00231</t>
  </si>
  <si>
    <t>JNGFTELECOM-SDTELECOM_BGP</t>
  </si>
  <si>
    <t>济南高防电信山东电信BGP</t>
  </si>
  <si>
    <t>分段计费
0-5G 50000
5G以上 40000</t>
  </si>
  <si>
    <t>保底计提。颗粒度500M，保底2G，峰值计费。按照2Gbps/月保底计费，不足2Gbps按照2Gbps保底流量费用收取。</t>
  </si>
  <si>
    <t>500M</t>
  </si>
  <si>
    <t>峰值计费</t>
  </si>
  <si>
    <t>济南联通2</t>
  </si>
  <si>
    <t>历史开通
2017/1/20
2017/11/28
2019/1/26
2021/10/1
2022/5/31
2022/8/31</t>
  </si>
  <si>
    <t>CDN&amp;云：380G
240G
60G
-200G(JN2UN)
-300G（JNUNCACHE）</t>
  </si>
  <si>
    <t>中值计提。2022.9.1开始JN2UN和JNUNCACHE单独计费，JN2UN保底24G。2022/5/31 JN2UN 退租200G，从2022.6带宽总量为480G，降低30G保底，实际保底114G。
2022.4济南2联通保底降低30G；2022/5/31 JN2UN 退租180G，从2022.5带宽总量为480G颗粒度100M，济南联通2、济南联通二级与SSL合并保底180G。5%以内以甲方数据为准，超出取中值。201910+201911免费，济南联通二级节点于2021.10.1扩容60G至300G。</t>
  </si>
  <si>
    <t>差异小于3%，以甲方为准；超过3%，双方协商</t>
  </si>
  <si>
    <t>300G</t>
  </si>
  <si>
    <t>保底计提。2022.9.1开始JN2UN和JNUNCACHE单独计费，JNUNCACHE保底90G。2022/5/31 JN2UN 退租200G，从2022.6带宽总量为480G，降低30G保底，实际保底114G。
2022.4济南2联通保底降低30G；2022/5/31 JN2UN 退租180G，从2022.5带宽总量为480G颗粒度100M，济南联通2、济南联通二级与SSL合并保底180G。5%以内以甲方数据为准，超出取中值。201910+201911免费，济南联通二级节点于2021.10.1扩容60G至300G。</t>
  </si>
  <si>
    <t>JNUNCACHE</t>
  </si>
  <si>
    <t>济南
JNSSLUNICOM-2</t>
  </si>
  <si>
    <t>济南联通-2SSL</t>
  </si>
  <si>
    <t>JN_SSL</t>
  </si>
  <si>
    <t>2017/11/28
2022/5/31</t>
  </si>
  <si>
    <t>2022.5.31节点退租，复用高防节点。颗粒度100M.济南联通2、济南联通二级与SSL合并保底120G。按实际流量计提。</t>
  </si>
  <si>
    <t>JNSSLUNICOM-2</t>
  </si>
  <si>
    <t>高防带宽-济南
JNGFUNICOM</t>
  </si>
  <si>
    <t>济南联通高防节点</t>
  </si>
  <si>
    <t>保底共48G，颗粒度100M。CDN复用高防80G（济南4联通JN4UN）</t>
  </si>
  <si>
    <t>JNGFUNICOM</t>
  </si>
  <si>
    <t>JN6UN</t>
  </si>
  <si>
    <t>2021/10/1
2021/11/30</t>
  </si>
  <si>
    <t>500G
-500G</t>
  </si>
  <si>
    <t xml:space="preserve">2021.10.1开通500G带宽、22个机柜、544个IP。临时免费节点（2021.10.1~2021.11.30）；于2021.11.30退租
</t>
  </si>
  <si>
    <t>2022/7/1
2023/4/1</t>
  </si>
  <si>
    <t>免费节点。 2023-04-01扩容40G，扩容后共140G；【CDN新建】山东济南联通  新建100G  2022-07-01 节点正式上线  (JN8UN)</t>
  </si>
  <si>
    <t>JN8UN</t>
  </si>
  <si>
    <t>500G</t>
  </si>
  <si>
    <t>保底计提【BEC新建】济南联通新建500G，100M，保底150G。计提参考</t>
  </si>
  <si>
    <t>JN9UN</t>
  </si>
  <si>
    <t>【BEC新建】连云港三线联通新建30G 2023-2-1节点正式上线  (LYGIXUN)：保底30%即9G，10M</t>
    <phoneticPr fontId="3" type="noConversion"/>
  </si>
  <si>
    <t>LYGIXUN</t>
  </si>
  <si>
    <t>0-3认运营商，3-5均值，超过协商</t>
  </si>
  <si>
    <t>滨海机房
QDBHUNICOM</t>
  </si>
  <si>
    <t>保底72G，1M颗粒度</t>
    <phoneticPr fontId="3" type="noConversion"/>
  </si>
  <si>
    <t>QDBHUNICOM</t>
  </si>
  <si>
    <t>0-3供应商，3-5均值，超出协商</t>
  </si>
  <si>
    <t>QD5UN 200G 二枢纽
QD6UN 0G  二枢纽
QDIXUN 180G 崂山
QD2UN 160G 崂山QDUNGROUP2</t>
  </si>
  <si>
    <t xml:space="preserve">2012/12/25
2021/6/30
2021/8/13
2018/5/9
2016/8/12
2011/6/11
2018/9/11
2021/8/13
2019/1/25
2022/5/31
2022/8/1 </t>
  </si>
  <si>
    <t>460G
-260G+80
100G
180G
80G-80
240G
-80G(QD5UN)-80G(QD2UN)-100G(QD6UN)
-380G(拆分节点)</t>
  </si>
  <si>
    <t>3%认乙方，超过协商。2022.8.1原QD5UN 200G+QDIXUN 180G +QD2UN 160G 合并计费，本月拆分为单节点计费。2022/5/31 QD5UN退租80G，QD2UN退租80G，QD6UN退租100G即全部退租。从2022.5带宽总量为540G，与SSL、QD8UN合并保底255G，计费颗粒度1M；包含青岛三级联通节点;2021.5.1从QD3UN节点迁移120G至QD5UN节点；2021.6.30退租260G带宽；自2022.1.20起，QD6UN节点100G带宽转BEC使用</t>
  </si>
  <si>
    <t>QD2UN</t>
  </si>
  <si>
    <t>QD5UN 200G 二枢纽</t>
  </si>
  <si>
    <t xml:space="preserve">青岛5联通 </t>
  </si>
  <si>
    <t>2022/8/1
2023/6/30</t>
  </si>
  <si>
    <t>200G
-200G</t>
  </si>
  <si>
    <t>2023/6/30退租转代理。3%认乙方，超过协商。2022.8.1原QD5UN 200G+QDIXUN 180G +QD2UN 160G 合并计费，本月拆分为单节点计费。</t>
  </si>
  <si>
    <t>QD5UN</t>
  </si>
  <si>
    <t>QDIXUN 180G 崂山</t>
  </si>
  <si>
    <t>2022.8.1原QD5UN 200G+QDIXUN 180G +QD2UN 160G 合并计费，本月拆分为单节点计费。</t>
  </si>
  <si>
    <t>QDIXUN</t>
  </si>
  <si>
    <t>二枢纽机房
QDSSLUNICOM</t>
  </si>
  <si>
    <t>QD_SSL 二枢纽</t>
  </si>
  <si>
    <t>2018/9/11
2022/8/31</t>
  </si>
  <si>
    <t>10G
-10G</t>
  </si>
  <si>
    <t>2022/8/31退租10G，节点下线。青岛2 青岛8 青岛SSL合并保底255G。SSL按实际流量计提。计费颗粒度500M；与CDN 合并保底</t>
  </si>
  <si>
    <t>QDSSLUNICOM</t>
  </si>
  <si>
    <t xml:space="preserve">青岛8联通 </t>
  </si>
  <si>
    <t>QD8UN  二枢纽</t>
  </si>
  <si>
    <t>2021/12/1
2022/9/1
2022/12/31</t>
  </si>
  <si>
    <t>300G
-150G
-150G</t>
  </si>
  <si>
    <t>2022.12.31节点退租。2022.9.1从青岛8联通迁移150G至新建节点青岛9联通。2021.12.1开始计费300G，保底90G、开通4个机柜、288个IP</t>
  </si>
  <si>
    <t xml:space="preserve">QD8UN </t>
  </si>
  <si>
    <t xml:space="preserve">青岛9联通 </t>
  </si>
  <si>
    <t>QD9UN  二枢纽</t>
  </si>
  <si>
    <t>2022/9/1
2022/12/31</t>
  </si>
  <si>
    <t>150G
-150G</t>
  </si>
  <si>
    <t>2022.12.31节点退租。2022.9.1从青岛8联通迁移150G至新建节点青岛9联通。保底45G，500M</t>
  </si>
  <si>
    <t xml:space="preserve">QD9UN </t>
  </si>
  <si>
    <t>2021/2/1
2022/11/18
2022/12/1</t>
  </si>
  <si>
    <t>100G
-100G
100G</t>
  </si>
  <si>
    <t>此节点免费，于2022/12/1重新上线。2022/11/18关停，增量100G、开通4个机柜、288个IP，于2021-02-01开始正式切流量上线</t>
  </si>
  <si>
    <t>QD7UN</t>
  </si>
  <si>
    <t>2023/2/1
2023/6/30
2023/8/1</t>
  </si>
  <si>
    <t>120G
-120G
120G</t>
  </si>
  <si>
    <t>免费节点，2023/8/1重新开通，2023/6/30临时关停。 【CDN新建】山东青岛联通  新建120G  2023-02-01 节点正式上线  (QD10UN)</t>
  </si>
  <si>
    <t>QD10UN</t>
  </si>
  <si>
    <t>上海SHUN</t>
  </si>
  <si>
    <t>2014/1/14
2015/1/10
2019/7/1
2022/8/31</t>
  </si>
  <si>
    <t>60G
40G
60G
-60G</t>
  </si>
  <si>
    <t>保底计提。2022/8/31退租60G，退租后剩余100G，保底由50%降为30%，即30G，100M颗粒度</t>
  </si>
  <si>
    <t>SHUN</t>
  </si>
  <si>
    <t>差额在3%以内以甲方提供数据为准，差额超过3%时双方另行协商解决方案</t>
  </si>
  <si>
    <t>烟台联通IDC机房
YTUN</t>
  </si>
  <si>
    <t>2018/8/21
2022/3/31
2022/5/31</t>
  </si>
  <si>
    <t>160G
-60G
-40G</t>
    <phoneticPr fontId="3" type="noConversion"/>
  </si>
  <si>
    <t>2022/3/31退租后保底变为30G，2022/5/31退租40G，从2022.5带宽总量为60G，保底18G，100M颗粒度；</t>
  </si>
  <si>
    <t>YTUN</t>
  </si>
  <si>
    <t>小于3认运营商，3-5取中值，5以上协商</t>
    <phoneticPr fontId="3" type="noConversion"/>
  </si>
  <si>
    <t>70G</t>
  </si>
  <si>
    <t>保底计提。【BEC新建】连云港三线移动新建70G 2023-2-1节点正式上线  (LYGIXCM)：保底40%即28G，10M。3个1024</t>
  </si>
  <si>
    <t>LYGIXCM</t>
  </si>
  <si>
    <t>0-3均值，超过协商</t>
  </si>
  <si>
    <t>L20221215010</t>
  </si>
  <si>
    <t>南京 NJ02-MOBCOM_BGP</t>
  </si>
  <si>
    <t>BGP南京移动</t>
  </si>
  <si>
    <t>2017/4/10
2020/12/15</t>
  </si>
  <si>
    <t>40G
-20G</t>
  </si>
  <si>
    <t>保底计提。颗粒度10M，南京凤凰机房，保底20%，4G。计费带宽以G为单位保留至个位，小数点后四舍五入</t>
  </si>
  <si>
    <t>NJ02-MOBCOM_BGP</t>
  </si>
  <si>
    <t>合同已预审，需求审批通过后可提交合同</t>
    <phoneticPr fontId="3" type="noConversion"/>
  </si>
  <si>
    <t>南京 NJ02-MOBCOM</t>
  </si>
  <si>
    <t>历史开通
2021/1/6
2021/6/1</t>
  </si>
  <si>
    <t>200G
200G
-200G</t>
  </si>
  <si>
    <t>颗粒度10M，保底为200G*10%=20G
与集团签署200G，提出限速。省内实际开通400G不限速，2021/1/6扩容的200G，无法体现，故2021.6已将端口恢复为200G</t>
  </si>
  <si>
    <t>NJ02-MOBCOM</t>
  </si>
  <si>
    <t>苏州太湖三线-移动（CDN代静态）</t>
  </si>
  <si>
    <t>SZTH-移动CDN</t>
  </si>
  <si>
    <t>2021/9/11
2023/4/8</t>
  </si>
  <si>
    <t>260G
140G</t>
  </si>
  <si>
    <t>2023/4/8扩容140G，扩容后共400G，保底160G，颗粒度10M,CDN代静态。2021/9/11开通苏州太湖三线。保底104G</t>
  </si>
  <si>
    <t>小于等于3%中值，大于协商</t>
  </si>
  <si>
    <t>2022/5/1
2023/4/30</t>
  </si>
  <si>
    <t>2023/4/30节点退租，由BEC转为CDN 宿迁5移动。2022/6/24该节点转BEC使用。
2022/5/1【CDN新建】江苏宿迁移动新建200G，40%保底，80G,10M</t>
  </si>
  <si>
    <t>SQ3CM</t>
  </si>
  <si>
    <t>220G</t>
  </si>
  <si>
    <t>【BEC新建】泰州移动新建220G 2022-12-30节点正式上线 (TAIZCM)，保底88G，10M</t>
  </si>
  <si>
    <t>TAIZCM</t>
  </si>
  <si>
    <t>2015/11/1
2022/4/30
2022/5/31</t>
  </si>
  <si>
    <t>240G
-60G
-180G</t>
  </si>
  <si>
    <t>2022/5/31退租180G，截止2022.5已全部退租
2022/4/30退租60G，10M</t>
  </si>
  <si>
    <t>WXCM</t>
  </si>
  <si>
    <t>2016/3/1
2022/7/31</t>
  </si>
  <si>
    <t>40G
-30G</t>
  </si>
  <si>
    <t>保底计提，2022/7/31 退租30G，剩余10G，保底4G，10M。无锡移动整体保底计提。（若与CDN合并达结算达到总量的40%保底，则该节点流量可以按实际流量计提，否则要按保底计提）</t>
  </si>
  <si>
    <t>WXSSLMOBCOM</t>
  </si>
  <si>
    <t>无锡 WX2CM</t>
  </si>
  <si>
    <t>无锡2移动</t>
  </si>
  <si>
    <t>2019/12/23
2020/5/31</t>
  </si>
  <si>
    <t>30G
-30G</t>
  </si>
  <si>
    <t>2020/5/31退租端口及160个IP
江苏无锡移动 增量30G，新增160个IP,于2019-12-23开始正式切流量上线，均免费
12.25.83.0/25 112.25.85.32/27</t>
  </si>
  <si>
    <t>WX2CM</t>
  </si>
  <si>
    <t>2020/7/1
2022/7/31</t>
  </si>
  <si>
    <t>100G
-70G</t>
  </si>
  <si>
    <t>2022/7/31 退租70G，剩余30G，10M，保底12G。江苏无锡移动 增量100G完成业务测试，已于2020-05-15开始正式切流量上线。2020/7/1开始计费</t>
  </si>
  <si>
    <t>WX3CM</t>
  </si>
  <si>
    <t>盐城</t>
  </si>
  <si>
    <t>2019/2/1
2022/4/30</t>
  </si>
  <si>
    <t>240G
-40G</t>
  </si>
  <si>
    <t>2022.6该节点转为BEC使用。
2022/4/30退租40G，退租后保底80G,10M</t>
  </si>
  <si>
    <t>YANCCM</t>
  </si>
  <si>
    <t>计提参考。100G+200G分两组核算，需根据各自实际流量分别计算保底【BEC新建】300G，保底120G。计提参考值</t>
  </si>
  <si>
    <t>YANC3CM</t>
  </si>
  <si>
    <t>2018/4/20
2022/4/30</t>
  </si>
  <si>
    <t>80G
-80G</t>
  </si>
  <si>
    <t>2022/4/30 扬州移动节点全部退租</t>
  </si>
  <si>
    <t>差异小于等于3%中值，大于协商</t>
  </si>
  <si>
    <t>2018/11/1
2022/8/1</t>
  </si>
  <si>
    <t>200G
140G</t>
  </si>
  <si>
    <t>2022/7/31 扬州3移动退租140G迁移至扬州移动二级，剩余带宽340G， 保底136G，颗粒度10M</t>
  </si>
  <si>
    <t>2019/4/25
2022/4/30
2022/5/12
2022/5/31
2022/7/31</t>
  </si>
  <si>
    <t>480G
-20G
-220G
-80G
-140G</t>
  </si>
  <si>
    <t>2022/7/31 扬州3移动退租140G迁移至扬州移动二级，剩余带宽20G，保底8G。  2022/4/30 扬州3移动退租20G，2022/5/12退租80G，2022/5/31退租220G，从2022.5退租后160G，保底64G，10M</t>
  </si>
  <si>
    <t>JN4CM 100G
JNCMCACHE 400G
JNCM 0G
JNCMGROUP3</t>
  </si>
  <si>
    <t>2018/1/1
2020/12/29
2021/9/1
2022/5/31
2022/5/31
2022/7/31</t>
  </si>
  <si>
    <t>500G
+120G
+80G
-20G(JNCM)
-80G(JNCM)
-100G(JNCM)</t>
  </si>
  <si>
    <t>2022/7/31 JNCM退租100G，该节点下线。剩余500G，保底200G。2022/5/31 JNCM退租20G，JN4CM退租80G，2022.5开始带宽总量为600G，40%保底，即240G；95计费；颗粒度10M。2020.12.31济南移动二级扩容120G</t>
  </si>
  <si>
    <t>JN4CM</t>
  </si>
  <si>
    <t>差异小于等于3%，取中值；超过协商</t>
  </si>
  <si>
    <t>182115IDC00402</t>
  </si>
  <si>
    <t>山东
JNGFTELECOM-SDMOBCOM_BGP</t>
  </si>
  <si>
    <t>济南高防电信山东移动BGP</t>
  </si>
  <si>
    <t>保底计提。500M颗粒度，4G保底</t>
  </si>
  <si>
    <t>JNGFTELECOM-SDMOBCOM_BGP</t>
  </si>
  <si>
    <t>出现误差，取均值结算</t>
  </si>
  <si>
    <t>保底计提。【BEC新建】济南移动新建  (JN10CM)节点正式上线，200G，保底80G，10M</t>
  </si>
  <si>
    <t>JN10CM</t>
  </si>
  <si>
    <t>2020/1/24
2020/12/31
2021/1/31
2022/7/31
2023/7/13</t>
    <phoneticPr fontId="3" type="noConversion"/>
  </si>
  <si>
    <t>400G
200G
-200G
-100G
-150G</t>
    <phoneticPr fontId="3" type="noConversion"/>
  </si>
  <si>
    <t>【CDN新建】山东青岛移动  新建150G  2023-07-14 节点正式上线  (QD7CM)。2023/7/14原青岛4移动拆分节点，保留150G带宽，拆分青岛7移动150G带宽，保底60G。
2022/7/31 退租100G，剩余300G，保底120G，颗粒度10M，于2020.12.31扩容200G，于2021.2.1迁移至青岛移动二级200G；</t>
  </si>
  <si>
    <t>QD4CM</t>
  </si>
  <si>
    <t>3%以内取中值，超出协商</t>
  </si>
  <si>
    <t>150G</t>
  </si>
  <si>
    <t>【CDN新建】山东青岛移动  新建150G  2023-07-14 节点正式上线  (QD7CM)。2023/7/14原青岛4移动拆分节点，保留150G带宽，拆分青岛7移动150G带宽，保底60G</t>
  </si>
  <si>
    <t>QD7CM</t>
  </si>
  <si>
    <t>于2021.2.1从青岛4移动节点迁移至青岛移动二级200G，颗粒度10M，保底80G</t>
  </si>
  <si>
    <t>QD2CMCACHE</t>
  </si>
  <si>
    <t>600G</t>
  </si>
  <si>
    <t>【BEC新建】潍坊移动增量600G 2023-2-1节点正式上线  (WF3CM)，保底40%即240G，10M。3个1024</t>
  </si>
  <si>
    <t>WF3CM</t>
  </si>
  <si>
    <t>0-3取均值，超过协商</t>
  </si>
  <si>
    <t>【CDN新建】山东淄博三级移动新建200G  2023-04-06 节点正式上线  (ZBIXCM)，保底80G</t>
  </si>
  <si>
    <t>ZBIXCM</t>
  </si>
  <si>
    <t>2020/6/29
2022/5/31</t>
  </si>
  <si>
    <t>100G
-80G</t>
  </si>
  <si>
    <t>2022/5/31退租80G，从2022.5开始带宽量为20G，保底8G，10M。计费带宽以Gbps为单位保留两位小数点，小数点后第三位四舍五入
上海移动 增量100G完成业务测试，已于2020-06-28开始正式切流量上线,2020.6.29开始计费</t>
  </si>
  <si>
    <t>SH4CM</t>
  </si>
  <si>
    <t>2022/6/1
2022/8/1</t>
  </si>
  <si>
    <t>160G
120G</t>
  </si>
  <si>
    <t>2023.8调整单价。20220801扩容120G，扩容后带宽280G，保底30%，84G，100M。不达保底可按实际流量计提</t>
  </si>
  <si>
    <t>WZIXCT</t>
  </si>
  <si>
    <t>160G
20G</t>
  </si>
  <si>
    <t>2023.8调整单价。20220801扩容20G，扩容后带宽180G，保底30%，54G，100M</t>
  </si>
  <si>
    <t>WZIXUN</t>
  </si>
  <si>
    <t>160G
100G</t>
  </si>
  <si>
    <t>2023.8调整单价。20220801扩容100G，扩容后带宽260G，保底40%，104G，100M。不达保底可按实际流量计提</t>
    <phoneticPr fontId="3" type="noConversion"/>
  </si>
  <si>
    <t>WZIXCM</t>
  </si>
  <si>
    <t>保底计提。20230108开始计费。颗粒度1M，保底90G</t>
  </si>
  <si>
    <t>HUZ2CT</t>
  </si>
  <si>
    <t>3%以内认甲方，超过协商</t>
  </si>
  <si>
    <t>宁波电信
NB2CTCACHE 340G
NB4CT 80G
NB5CT 20G</t>
  </si>
  <si>
    <t>2014/3/20
2018/6/1
2020/6/30
2020/6/30
2020/9/16
2020/9/16
2022/8/1</t>
  </si>
  <si>
    <t>160G
80G
-160G
-80G
160G
80G
180G</t>
  </si>
  <si>
    <t xml:space="preserve">2022/8/1从 NB5CT 迁移180G至NB2CTCACHE。20220701NB4CT迁移80G至宁波电信二级。 NB2CTCACHE NB4CT NB5CT合并计费，共440G，30%，保底132G。100M颗粒度。
2021.1 NB2CTCACHE NB4CT NB5CT合并计费，共440G
2020.6.30NB4CT 80G NB2CTCACHE 160G退租；2020.9.16NB4CT 80G NB2CTCACHE 160G重新上线开始计费
NB2CTCACHE 160G与NB4CT 80G合并计费
</t>
  </si>
  <si>
    <t>NB2CTCACHE</t>
  </si>
  <si>
    <t>0-3取均值，超出协商</t>
  </si>
  <si>
    <t>宁波
NB5CT
与NB2CTCACHE 160G
NB4CT 80G合并计费</t>
  </si>
  <si>
    <t>2018/10/2
2022/7/31
2022/7/31</t>
  </si>
  <si>
    <t>200G
-180G
-20G与NB2CTCACHE合并计费</t>
  </si>
  <si>
    <t>2022/7/31 退租180G迁移至NB2CTCACHE 。剩余20G与NB2CTCACHE 
NB4CT合并计费，100M颗粒度。
2021.1 NB2CTCACHE NB4CT NB5CT合并计费</t>
  </si>
  <si>
    <t>保底计提。100M颗粒度，从19.4.1开始保底降为3G</t>
  </si>
  <si>
    <t>NBSSLTELECOM</t>
  </si>
  <si>
    <t>温州电信2</t>
  </si>
  <si>
    <t>2010/8/1
2019/12/31
2020/6/1
2020/7/7
2022/4/30</t>
  </si>
  <si>
    <t>320G
-80G
80G
-80G
-220G</t>
  </si>
  <si>
    <t>20220430退租 220G，退租后保底为6G,100M。每万兆赠送32个IP</t>
  </si>
  <si>
    <t>WZ2CT</t>
  </si>
  <si>
    <t>0-3认百度，3-5均值，超出协商</t>
  </si>
  <si>
    <t>L20211203012</t>
  </si>
  <si>
    <t>温州8电信</t>
  </si>
  <si>
    <t>2020/7/7
2020/8/31</t>
  </si>
  <si>
    <t>20200831节点下线
从WZ2CT节点拆出来80G免费带宽，使用存量机柜以及IP，已于20200707开始正式切流量上线</t>
  </si>
  <si>
    <t>温州5电信</t>
  </si>
  <si>
    <t>2018/8/10
2019/12/31</t>
  </si>
  <si>
    <t>120G
-120G</t>
  </si>
  <si>
    <t>20191231退租。与温州电信2合并计费</t>
  </si>
  <si>
    <t>L20220220001</t>
  </si>
  <si>
    <t>2022/2/1
2022/3/31</t>
  </si>
  <si>
    <t>免费节点退租：20220201新建WZ10CT，该节点为免费节点</t>
  </si>
  <si>
    <t>2022/5/15
2023/3/31</t>
  </si>
  <si>
    <t>120G-40G</t>
  </si>
  <si>
    <t>边缘计算。20230331退租40G。20220515开始计费。从2022.9开始执行10M颗粒度</t>
    <phoneticPr fontId="3" type="noConversion"/>
  </si>
  <si>
    <t>HZ2UN</t>
  </si>
  <si>
    <t>原合同0-3认百度，超过协商</t>
  </si>
  <si>
    <t>2022/10/1
2022/11/1</t>
  </si>
  <si>
    <t>100G+100G</t>
  </si>
  <si>
    <t xml:space="preserve"> 【BEC新建】嘉兴联通边缘计算节点新建100G正式交付  (JIAXUN)，20221101扩容100G，100M</t>
    <phoneticPr fontId="3" type="noConversion"/>
  </si>
  <si>
    <t>JIAXUN</t>
  </si>
  <si>
    <t>0-3认百度，超过协商</t>
  </si>
  <si>
    <t>2022/10/16
2023/2/16</t>
  </si>
  <si>
    <t>200G+100G</t>
  </si>
  <si>
    <t>20230216扩容100G（30%保底）。【BEC新建】新建200G，保底60G，10M</t>
    <phoneticPr fontId="3" type="noConversion"/>
  </si>
  <si>
    <t>JHUN</t>
  </si>
  <si>
    <t>2018/6/20
2019/1/20
2020/4/30</t>
  </si>
  <si>
    <t>40G
40G
-40G</t>
    <phoneticPr fontId="3" type="noConversion"/>
  </si>
  <si>
    <t>按集约约定，3%认乙方。颗粒度100M,保底12G
2020.4.30绍兴联通40G退租，退租后只剩绍兴2联通40G</t>
  </si>
  <si>
    <t>SHAOX2UN</t>
  </si>
  <si>
    <t>10调增保底，需重签合同。DMNN2023042748</t>
    <phoneticPr fontId="3" type="noConversion"/>
  </si>
  <si>
    <t>按集约约定，3%认乙方。20230316开始计费。边缘计算，保底30G</t>
  </si>
  <si>
    <t>SHAOX3UN</t>
  </si>
  <si>
    <t>10调增保底，需重签合同DMNN2023092731</t>
    <phoneticPr fontId="3" type="noConversion"/>
  </si>
  <si>
    <t>2022/8/1
2022/10/1</t>
  </si>
  <si>
    <t>100G+
100G</t>
  </si>
  <si>
    <t>【BEC扩容】台州联通扩容100G 节点正式上线。10M
【BEC新建】台州联通新增100G 节点正式上线</t>
    <phoneticPr fontId="3" type="noConversion"/>
  </si>
  <si>
    <t>TZUN</t>
  </si>
  <si>
    <t>0-3认运营商，超过协商</t>
  </si>
  <si>
    <t>2022/4/15
2022/6/15
2022/10/15
2023/5/31</t>
  </si>
  <si>
    <t>300G
100G
100G
-100G</t>
    <phoneticPr fontId="3" type="noConversion"/>
  </si>
  <si>
    <t>2023/5/31退租100G。100M。
20221015扩容100G，扩容后保底100G，100M。
边缘计算20220615扩容100G，累计带宽400G，保底20%，80G，100M</t>
    <phoneticPr fontId="3" type="noConversion"/>
  </si>
  <si>
    <t>WZUN</t>
  </si>
  <si>
    <t>【BEC新建】舟山联通新增100G ，20%保底即20G，10M</t>
  </si>
  <si>
    <t>ZHOUSHUN</t>
  </si>
  <si>
    <t>2017/1/1
2019/12/10
2020/9/1</t>
    <phoneticPr fontId="3" type="noConversion"/>
  </si>
  <si>
    <t>80G
20G
10G</t>
    <phoneticPr fontId="3" type="noConversion"/>
  </si>
  <si>
    <t>保底44G，10M。
117.148.160.128/25；117.148.161.0/24</t>
  </si>
  <si>
    <t>HZCM</t>
  </si>
  <si>
    <t>2022/11/3
2023/6/8</t>
    <phoneticPr fontId="3" type="noConversion"/>
  </si>
  <si>
    <t>200G
300G</t>
    <phoneticPr fontId="3" type="noConversion"/>
  </si>
  <si>
    <t>【BEC扩容】BEC浙江杭州移动扩容300G 2023-5-30 节点正式上线 (BECHZ4CM)，从6.8计费。累计500G，保底200G
边缘计算，20221103开始计费。颗粒度10M，保底80G</t>
  </si>
  <si>
    <t>HZ4CM</t>
  </si>
  <si>
    <t>2020/1/1
2022/4/30
2022/5/31</t>
  </si>
  <si>
    <t>120G
-40G
-80G</t>
  </si>
  <si>
    <t>20220430退租40G，20220531退租80G。截止2022.5已全部退租</t>
  </si>
  <si>
    <t>2017/8/31
2020/5/15
2022/4/30
2022/5/31</t>
  </si>
  <si>
    <t>100G
90G
-50
-140G</t>
  </si>
  <si>
    <t>20220430退租50G，20220531退租140G，截止2022.5已全部退租。10M颗粒度</t>
  </si>
  <si>
    <t>2020/5/19
2020/7/20
2022/4/30
2022/5/31
2022/7/31</t>
  </si>
  <si>
    <t>190G
-10G
-50G
-30G
-20G</t>
  </si>
  <si>
    <t>保底计提。20220731退租20G，剩余80G，保底32G，10M。20220430退租50G，20220531退租30G，2022.5退租后带宽量100G；20200720切给SSL10G，金华2移动及金华移动SSL合并计费</t>
  </si>
  <si>
    <t>JH2CM</t>
  </si>
  <si>
    <t>2020/7/20
2022/11/30</t>
  </si>
  <si>
    <t>10G-10G</t>
  </si>
  <si>
    <t>2020/7/20切给SSL10G，金华2移动及金华移动SSL合并计费</t>
  </si>
  <si>
    <t>2019/11/6
2020/1/1
2020/5/15
2022/4/30
2022/5/31
2022/7/31</t>
  </si>
  <si>
    <t>80G
40G
80G
-80G
-60G
-60G</t>
  </si>
  <si>
    <t>20220731退租60G，节点下线。2022/4/30退租80G，20220531退租60G，从2022.5开始带宽量60G，保底24G，10M</t>
  </si>
  <si>
    <t>2017/3/29
2022/5/31
2022/7/31</t>
  </si>
  <si>
    <t>160G
-80G
-80G</t>
  </si>
  <si>
    <t>20220731退租80G，节点下线。20220531退租80G，从2022.5开始带宽量为80G，保底32G，10M</t>
  </si>
  <si>
    <t>2018/8/17
2022/4/30</t>
  </si>
  <si>
    <t>20220430宁波2移动全部退租。保底32G，10M</t>
  </si>
  <si>
    <t>保底计提。20230401开始计费，保底80G</t>
  </si>
  <si>
    <t>QUZCM</t>
  </si>
  <si>
    <t>【BEC新建】绍兴移动新建(SHAOX3CM)：200G，保底40%即80G，10M</t>
  </si>
  <si>
    <t>SHAOX3CM</t>
  </si>
  <si>
    <t>2020/5/14
2022/5/12
2022/5/31
2022/7/31</t>
  </si>
  <si>
    <t>340G
-50G
-150
-20G</t>
    <phoneticPr fontId="3" type="noConversion"/>
  </si>
  <si>
    <t>20220731退租20G，剩余120G，保底48G，10M。20220512退租50G，202205311退租,150G，从2022.6开始带宽量为140G</t>
  </si>
  <si>
    <t>TZ2CM</t>
  </si>
  <si>
    <t>260G</t>
  </si>
  <si>
    <t>【BEC新建】台州移动 (TZ3CM)：保底40%，即104G，10M</t>
  </si>
  <si>
    <t>TZ3CM</t>
  </si>
  <si>
    <t>2020/5/15
2022/5/31
2022/7/31</t>
  </si>
  <si>
    <t>300G
-200G
-20G</t>
  </si>
  <si>
    <t>20220731退租20G，剩余80G，保底32G，10M。20220531退租200G，从2022.5带宽量为100G，保底40%，即40G，10M</t>
  </si>
  <si>
    <t>WZ2CM</t>
  </si>
  <si>
    <t>2022/6/26
2022/9/1
2023/6/8</t>
  </si>
  <si>
    <t>240G+
60G
400G</t>
  </si>
  <si>
    <t>【BEC扩容】BEC浙江舟山移动扩容400G  2023-06-01 节点正式上线  (ZHOUSCM)，累计700G，保底280G；
20220901扩容60G，共300G，保底120G，10M。【BEC新建】舟山移动新建240G</t>
  </si>
  <si>
    <t>ZHOUSCM</t>
  </si>
  <si>
    <t>2013/6/26
2019/10/10
2022/8/31</t>
  </si>
  <si>
    <t>2022/8/31退租10G，节点下线。2022年5月1日-15日免费，颗粒度100M，保底3G，与CDN合并计费；8月让CDN帮SSL跑了保底，SSL无成本，9月不需要</t>
  </si>
  <si>
    <t>FZSSLTELECOM</t>
  </si>
  <si>
    <t>2020/1/31
2022/8/31</t>
  </si>
  <si>
    <t>320G-120G
-100G</t>
  </si>
  <si>
    <t>2022/8/31退租100G，2022年5月1日-15日免费，需要注意周睿发邮件2020年1月31日退租120G,颗粒度100M，保底60G。存量240，扩容80G20190711开始计费，存量同时降价；SSL与CDN合并计费；8月让CDN帮SSL跑了保底，SSL无成本，9月不需要</t>
  </si>
  <si>
    <t>FZCTCACHE</t>
  </si>
  <si>
    <t>2019/6/14
2020/1/31
2022/4/30</t>
  </si>
  <si>
    <t>240G-120G-90G</t>
  </si>
  <si>
    <t>需要注意周睿发邮件2020年1月31日退租120G。颗粒度100M，保底36G.2019-6-14日起正式计费。</t>
  </si>
  <si>
    <t>XM2CT</t>
  </si>
  <si>
    <t>2019/6/26
2020/1/31</t>
  </si>
  <si>
    <t>80G-60G</t>
  </si>
  <si>
    <t>需要注意2020年1月31日退租60G。颗粒度100M，保底6G</t>
  </si>
  <si>
    <t>FZ3UN</t>
  </si>
  <si>
    <t>0-1认百度，1-3均值，超过协商</t>
    <phoneticPr fontId="3" type="noConversion"/>
  </si>
  <si>
    <t>2017/9/30
2020/6/29
2022/7/31</t>
  </si>
  <si>
    <t>40G+
20G
-60G</t>
  </si>
  <si>
    <t>2022/7/31退租。（1）需要注意20200629扩容20G，颗粒度10M，保底40%；（2）202006开始合并了福州移动2+福州3移动</t>
  </si>
  <si>
    <t>FZCM</t>
  </si>
  <si>
    <t>2017/9/30
2020/6/29
2022/5/13
2022/7/31</t>
    <phoneticPr fontId="3" type="noConversion"/>
  </si>
  <si>
    <t>80G+50G-30G
-80G</t>
  </si>
  <si>
    <t>保底计提。(1)需要注意20200629扩容50G，颗粒度10M，保底40%；（2）历史备注信息：2018年9月11日扩容80G，2019年10月11日计费。以后此节点保底64G。2022.7.31退租后此节点剩余带宽是BEC使用</t>
  </si>
  <si>
    <t>FZ2CM</t>
  </si>
  <si>
    <t>福州3</t>
  </si>
  <si>
    <t>2018/9/11
2020/6/29
2022/4/30
2022/5/13</t>
  </si>
  <si>
    <t>80G+90G-100G-70G</t>
  </si>
  <si>
    <t>2022/5/13退租。（1）需要注意20200629扩容90G，颗粒度10M，保底40%；（2）历史备注信息：2018年9月11日扩容80G，2019年10月11日计费。以后此节点保底64G。</t>
  </si>
  <si>
    <t>FZ3CM</t>
  </si>
  <si>
    <t>CDNXMCM2</t>
    <phoneticPr fontId="3" type="noConversion"/>
  </si>
  <si>
    <t>2023/1/1
2023/6/8</t>
    <phoneticPr fontId="3" type="noConversion"/>
  </si>
  <si>
    <t>600G
200G</t>
    <phoneticPr fontId="3" type="noConversion"/>
  </si>
  <si>
    <t>【BEC扩容】BEC福建厦门移动扩容200G 2023-6-1 节点正式上线 (BECXM2CM )，累计800G，保底320G，从6.8开始计费。
【BEC新建】厦门移动新建600G 2022-12-3节点正式上线  (XM2CM)，增量600G</t>
  </si>
  <si>
    <t>BEC：XM2CM节点对账采用N+2的方式，3月对1月数据，4月对2月数据</t>
  </si>
  <si>
    <t>XM2CM</t>
  </si>
  <si>
    <t>厦门4</t>
  </si>
  <si>
    <t>厦门4移动</t>
  </si>
  <si>
    <t>2023/8/1
2023/9/1</t>
    <phoneticPr fontId="3" type="noConversion"/>
  </si>
  <si>
    <t>200G
200G</t>
    <phoneticPr fontId="3" type="noConversion"/>
  </si>
  <si>
    <t>【BEC扩容】BEC福建厦门移动扩容200G2023-09-01节点正式上线 ，复用厦门2移动的一个机柜CDNXMCM2:4F:406-MOD1-BEC22，(BECXM4CM)，保底160G
【BEC扩容】BEC福建厦门移动扩容200G  2023-08-01 节点正式上线  (XM4CM)</t>
  </si>
  <si>
    <t>XM4CM</t>
  </si>
  <si>
    <t>SQ5CM</t>
  </si>
  <si>
    <t>2023/5/8
2023/9/7</t>
    <phoneticPr fontId="3" type="noConversion"/>
  </si>
  <si>
    <t>400G
200G</t>
    <phoneticPr fontId="3" type="noConversion"/>
  </si>
  <si>
    <t xml:space="preserve"> 【BEC扩容】BEC福建福州移动扩容200G 2023-08-31节点正式上线 (BECFZ6CM)，保底240G
BEC福州移动新增400G 2023-5-1节点正式上线 (FZ6CM)</t>
  </si>
  <si>
    <t>FZ6CM</t>
  </si>
  <si>
    <t>【BEC-新建】潍坊移动 新建200G 2023-05-01 节点正式上线 (WF4CM)，保底80G</t>
  </si>
  <si>
    <t>WF4CM</t>
  </si>
  <si>
    <t>新壹云_小红书_移动</t>
  </si>
  <si>
    <t>新壹云_小红书</t>
  </si>
  <si>
    <t>1M颗粒度，无保底，3个1000进制，系数1</t>
  </si>
  <si>
    <t>xyyun_xhs</t>
  </si>
  <si>
    <t>182315IDC00279</t>
  </si>
  <si>
    <t>新壹云_帆一</t>
  </si>
  <si>
    <t>1M颗粒度，无保底。95计费，1000进制，系数1</t>
  </si>
  <si>
    <t>xyyun_fanyi</t>
  </si>
  <si>
    <t>1.1   双方数据有差异时，如果偏差小于5%，以甲方数据为准确认计费带宽，如果偏差大于等于5%，双方进行技术核对，核对后找到原因的，按双方最后确认的计费带宽结算，如核对后依然有差异的，按下面原则进行：①差异超过5%，但不超过8%，以双方提供带宽平均值作为计费值，②差异超过8%，以甲方提供的带宽值 * 1.025作为计费值。差异计算方式：（较大数据—较小数据）/ 较大数据。</t>
  </si>
  <si>
    <t>182315IDC00389</t>
  </si>
  <si>
    <t>华为云_快手_移动</t>
  </si>
  <si>
    <t>hwyun_kuaishou_cmnet</t>
  </si>
  <si>
    <t>贵州白山云科技股份有限公司</t>
  </si>
  <si>
    <t>白山云</t>
  </si>
  <si>
    <t>182315IDC00278</t>
  </si>
  <si>
    <t>白山CDN_爱奇艺_移动</t>
  </si>
  <si>
    <t>bscdn_iqiyi_cmnet</t>
  </si>
  <si>
    <t>182315IDC00216</t>
  </si>
  <si>
    <t>意如CDN_快手_联通</t>
  </si>
  <si>
    <t>yrcdn_kuaishou_cnc</t>
  </si>
  <si>
    <t>【BEC新建】BEC浙江丽水移动新建400G 2023-6-1 节点正式上线 (BECLS4CM )，保底160G</t>
  </si>
  <si>
    <t>LS4CM</t>
  </si>
  <si>
    <t>2023/6/1
2023/7/1</t>
  </si>
  <si>
    <t>200G
400G</t>
    <phoneticPr fontId="3" type="noConversion"/>
  </si>
  <si>
    <t>保底计提。【BEC扩容】BEC泉州移动新增400G 2023-6-1节点正式上线 (QZCM)，保底240G；
【CDN新建】BEC泉州移动新增200G 2023-4-27节点正式上线 (QZCM)</t>
  </si>
  <si>
    <t>QZCM</t>
  </si>
  <si>
    <t>200G
200G</t>
  </si>
  <si>
    <t xml:space="preserve">保底160G【BEC扩容】BEC江苏徐州移动扩容200G 2023-7-1 节点正式上线 (BECXZ2CM)
【BEC新建】BEC江苏徐州移动新建200G  2023-05-30 节点正式上线  (BECXZ2CM)
</t>
  </si>
  <si>
    <t>XZ2CM</t>
  </si>
  <si>
    <t>【BEC新建】BEC浙江杭州移动新建400G  2023-06-01 节点正式上线  (HZ6CM)，保底160G</t>
  </si>
  <si>
    <t>HZ6CM</t>
  </si>
  <si>
    <t>保底计提。BEC新建】BEC山东济南移动新建100G 2023-6-1 节点正式上线 (BECJN13CM )，保底40G</t>
  </si>
  <si>
    <t>JN13CM</t>
  </si>
  <si>
    <t>2023/6/1
2023/6/21
2023/8/1</t>
  </si>
  <si>
    <t>60G
-60G
60G</t>
  </si>
  <si>
    <t>2023/8/1重新开通。2023/6/21临时关停。【CDN新建】山东烟台联通新建60G  2023-06-01 节点正式上线  (YT2UN)，免费节点。赠送5个月，23年6月-10月，7月暂停，8月开启，使用期延长至11月</t>
  </si>
  <si>
    <t>YT2UN</t>
  </si>
  <si>
    <t>保底计提。【BEC新建】BEC山东青岛联通新建200G 2023-7-1 节点正式上线 (BECQD11UN )，保底60G</t>
  </si>
  <si>
    <t>QD11UN</t>
  </si>
  <si>
    <t>保底计提。【BEC扩容】BEC山东威海移动扩容200G  2023-7-01 节点正式上线  (WEIH2CM），保底80G</t>
  </si>
  <si>
    <t>WEIH2CM</t>
  </si>
  <si>
    <t>【BEC新建】BEC江苏常州电信新建200G 2023-7-1 节点正式上线 (BECCZ5CT )，保底60G</t>
  </si>
  <si>
    <t>CZ5CT</t>
  </si>
  <si>
    <t>保底计提【BEC新建】BEC江苏宿迁移动新建200G 2023-7-1 节点正式上线 (BECSQ6CM)，保底80G</t>
  </si>
  <si>
    <t>SQ6CM</t>
  </si>
  <si>
    <t>金山云（深圳）边缘计算科技有限公司</t>
  </si>
  <si>
    <t>金山云</t>
  </si>
  <si>
    <t>L20230801019</t>
  </si>
  <si>
    <t>金山云_快手_联通</t>
  </si>
  <si>
    <t>不计提。1M颗粒度，无保底。95计费，1000进制，系数1.0</t>
  </si>
  <si>
    <t>ksyun_kuaishou_cnc</t>
  </si>
  <si>
    <t>商业cdn</t>
  </si>
  <si>
    <t>L20230801021</t>
  </si>
  <si>
    <t>梦网_点播_西瓜</t>
  </si>
  <si>
    <t>1M颗粒度，无保底。95计费，1000进制，系数1.0</t>
  </si>
  <si>
    <t>mwcdn_video_xigua</t>
  </si>
  <si>
    <t>L20230801022</t>
  </si>
  <si>
    <t>超巨云威_点播_电联</t>
  </si>
  <si>
    <t>cjcdn_video_ct_cnc</t>
  </si>
  <si>
    <t>厦门5</t>
  </si>
  <si>
    <t>厦门5移动</t>
  </si>
  <si>
    <t>【BEC新建】BEC福建厦门移动新建200G 2023-8-3 节点正式上线 (BECXM5CM)，保底80G，10M</t>
  </si>
  <si>
    <t>XM5CM</t>
  </si>
  <si>
    <t>青岛_爱奇艺</t>
  </si>
  <si>
    <t>青岛联通爱奇艺合作项目。0保底，1M</t>
  </si>
  <si>
    <t>qingdao_iqiyi</t>
  </si>
  <si>
    <t>四川晖云网络科技有限公司</t>
  </si>
  <si>
    <t>四川晖云</t>
  </si>
  <si>
    <t>182315IDC00548</t>
  </si>
  <si>
    <t>天翼云_黑龙江</t>
  </si>
  <si>
    <t>无保底。1M</t>
  </si>
  <si>
    <t>ctyun_hlj</t>
  </si>
  <si>
    <t>凤凰</t>
    <phoneticPr fontId="3" type="noConversion"/>
  </si>
  <si>
    <t>L20231021001</t>
  </si>
  <si>
    <t>第五批。2023.10更新主体，原在江苏联通。NJ022F-A-25、NJ022F-C-08、NJ022F-C-10、NJ022F-C-16、NJ022F-C-17、NJ022F-C-18</t>
    <phoneticPr fontId="3" type="noConversion"/>
  </si>
  <si>
    <t>已操作开通</t>
    <phoneticPr fontId="3" type="noConversion"/>
  </si>
  <si>
    <t>第六批。2023.10更新主体，原在江苏联通。NJ022F-D-17、NJ022F-E-15</t>
    <phoneticPr fontId="3" type="noConversion"/>
  </si>
  <si>
    <t>第七批。2023.10更新主体，原在江苏联通。NJ022F-A-30、NJ022F-A-31</t>
    <phoneticPr fontId="3" type="noConversion"/>
  </si>
  <si>
    <t>第五批。2023.10更新主体，原在南京电信。NJ022A-D-10、NJ022B-C-08、NJ022B-C-03、NJ022B-C-04、NJ022B-C-01、NJ022B-C-02、NJ022B-C-13、NJ023A-E-01、NJ022A-E-02、NJ022A-E-01、NJ022A-E-08、NJ022B-G-01、NJ022B-G-08、NJ022B-G-09、NJ022B-G-06、NJ022B-G-10、NJ022B-G-11、NJ022C-A-10、NJ022C-A-05、NJ022C-A-08、NJ022C-A-06、NJ022C-A-07、NJ022C-F-01、NJ022B-H-07、NJ022B-H-11、NJ022B-H-10、NJ022B-D-08、NJ022B-D-09、NJ022B-D-03、NJ022B-D-19、NJ022B-D-18、NJ022B-D-15、NJ022B-D-16、NJ022B-D-13、NJ022B-D-14、NJ022A-F-15、NJ022A-F-13、NJ022A-F-16、NJ022A-F-02、NJ022A-F-08、NJ022D-A-17、NJ022D-A-11、NJ022D-A-10、NJ022D-A-13、NJ022D-A-12、NJ022D-A-19、NJ022D-A-18、NJ022E-H-11、NJ022E-H-10、NJ022A-G-03、NJ022A-G-05、NJ022A-G-04、NJ022A-G-06、NJ022A-G-08、NJ022A-G-13、NJ022A-G-10、NJ022A-G-12、NJ022A-G-11、NJ022B-E-02、NJ022B-E-03、NJ022B-E-11、NJ022B-E-10、NJ022D-B-04、NJ022D-B-03、NJ022E-I-10、NJ022E-I-09、NJ022B-A-17、NJ022B-A-16、NJ022B-A-12、NJ022B-A-11、NJ022B-A-03、NJ022B-A-02、NJ023A-B-11、NJ022A-C-05、NJ022A-C-07、NJ022A-C-06、NJ022A-C-12、NJ022B-B-07、NJ022B-B-06、NJ022B-B-02、NJ022B-B-01、NJ022B-B-12、NJ022B-B-11、NJ022B-F-07、NJ022B-F-06、NJ022B-F-08、NJ022B-F-03、NJ022B-F-02、NJ022B-F-04、NJ022B-F-10、NJ022B-F-11、NJ022B-F-16、NJ022B-F-15、NJ022A-H-11、NJ022A-H-12、NJ022A-H-04、NJ022A-H-03、NJ022A-H-06、NJ022A-H-09</t>
    <phoneticPr fontId="3" type="noConversion"/>
  </si>
  <si>
    <t>第六批。2023.10更新主体，原在南京电信。NJ022A-A-03、NJ022A-A-08、NJ022A-A-04、NJ022E-H-09、NJ022D-F-14</t>
    <phoneticPr fontId="3" type="noConversion"/>
  </si>
  <si>
    <t>第七批。2023.10更新主体，原在南京电信。NJ022A-D-11、NJ022C-F-22、NJ022C-F-25、NJ022A-A-05、NJ022A-A-06、NJ023B-B-11、NJ022A-B-01、NJ022D-A-04、NJ022D-F-13、NJ022D-B-07、NJ022D-B-06、NJ023D-E-03、NJ023D-E-02、NJ022A-H-01</t>
    <phoneticPr fontId="3" type="noConversion"/>
  </si>
  <si>
    <t>第八批。2023.10更新主体，原在南京电信。NJ022D-H-05、NJ022A-A-19、NJ022A-A-18、NJ022D-F-02、NJ022C-C-14、NJ022C-C-13、NJ022C-D-32</t>
    <phoneticPr fontId="3" type="noConversion"/>
  </si>
  <si>
    <t>第九批。2023.10更新主体，原在南京电信。NJ022E-G-06、NJ022E-G-07、NJ022E-G-08、NJ022E-G-10、NJ022E-G-12、NJ022E-G-13、NJ022E-G-15、NJ023F-B-06</t>
    <phoneticPr fontId="3" type="noConversion"/>
  </si>
  <si>
    <t>第十批。2023.10更新主体，原在南京电信。NJ022D-D-16、NJ022E-H-14、NJ022E-H-15、NJ023F-F-10、NJ023F-F-32</t>
    <phoneticPr fontId="3" type="noConversion"/>
  </si>
  <si>
    <t>未操作</t>
    <phoneticPr fontId="3" type="noConversion"/>
  </si>
  <si>
    <t>2023.10更新主体，原在南京电信。</t>
  </si>
  <si>
    <t>182315IDC00118</t>
  </si>
  <si>
    <t>补提5月温州2移动带宽差异，结算32.76G，提32.5G，补0.26G</t>
    <phoneticPr fontId="3" type="noConversion"/>
  </si>
  <si>
    <t>+</t>
    <phoneticPr fontId="3" type="noConversion"/>
  </si>
  <si>
    <t>补提6月温州2移动带宽差异，结算32.26G，提32G，补0.26G</t>
    <phoneticPr fontId="3" type="noConversion"/>
  </si>
  <si>
    <t>补提7月温州2移动带宽差异，结算32.48G，提32.16G，补0.32G</t>
    <phoneticPr fontId="3" type="noConversion"/>
  </si>
  <si>
    <t>补提8月温州2移动带宽差异，结算33.36G，提33.12G，补0.24G</t>
    <phoneticPr fontId="3" type="noConversion"/>
  </si>
  <si>
    <t>补提宁波电信二级机柜9月费用【CDN新建】浙江宁波电信二级  扩容0G  2022-05-27 新增1个机柜  (NB2CTCACHE)：NB2CT3F-A-08。此机柜为B2回源机柜，回源光纤签署在中信下，机柜前期未计费，从2023.9开始补收</t>
    <phoneticPr fontId="3" type="noConversion"/>
  </si>
  <si>
    <t>补提2月上海4移动带宽差异，结算8.83G，提8.82G，补0.01G</t>
    <phoneticPr fontId="3" type="noConversion"/>
  </si>
  <si>
    <t>补提3月上海4移动带宽差异，结算8.83G，提8.77G，补0.06G</t>
    <phoneticPr fontId="3" type="noConversion"/>
  </si>
  <si>
    <t>补提4月上海4移动带宽差异，结算8.34G，提8.3G，补0.04G</t>
    <phoneticPr fontId="3" type="noConversion"/>
  </si>
  <si>
    <t>补提6月上海4移动带宽差异，结算8.07G，提8.06G，补0.01G</t>
    <phoneticPr fontId="3" type="noConversion"/>
  </si>
  <si>
    <t>南京
NJ02-电信 140G
NJ02-电信代播 200G
NJ03 80G</t>
  </si>
  <si>
    <t>补提5月NJ02-电信带宽差异，结算93.101G，提91.2G，补1.901G</t>
    <phoneticPr fontId="3" type="noConversion"/>
  </si>
  <si>
    <t>补提5月南京吉山电信带宽差异，结算79.288G，提77.5G，补1.788G</t>
    <phoneticPr fontId="3" type="noConversion"/>
  </si>
  <si>
    <t>补提5月BGP南京电信带宽差异，结算3.873G，提3.8G，补0.073G</t>
    <phoneticPr fontId="3" type="noConversion"/>
  </si>
  <si>
    <t>BGP</t>
    <phoneticPr fontId="3" type="noConversion"/>
  </si>
  <si>
    <t>补提6月NJ02-电信带宽差异，结算92.71G，提90.76G，补1.95G</t>
    <phoneticPr fontId="3" type="noConversion"/>
  </si>
  <si>
    <t>补提6月南京吉山电信带宽差异，结算92.358G，提90.4G，补1.958G</t>
    <phoneticPr fontId="3" type="noConversion"/>
  </si>
  <si>
    <t>补提6月BGP南京电信带宽差异，结算3.949G，提3.78G，补0.169G</t>
    <phoneticPr fontId="3" type="noConversion"/>
  </si>
  <si>
    <t>补提7月NJ02-电信带宽差异，结算87.881G，提86.13G，补1.751G</t>
    <phoneticPr fontId="3" type="noConversion"/>
  </si>
  <si>
    <t>补提7月南京吉山电信带宽差异，结算105.905G，提103.74G，补2.165G</t>
    <phoneticPr fontId="3" type="noConversion"/>
  </si>
  <si>
    <t>补提7月BGP南京电信带宽差异，结算4.284G，提4.11G，补0.174G</t>
    <phoneticPr fontId="3" type="noConversion"/>
  </si>
  <si>
    <t>补提8月NJ02-电信带宽差异，结算88.892G，提87.06G，补1.832G</t>
    <phoneticPr fontId="3" type="noConversion"/>
  </si>
  <si>
    <t>补提8月南京吉山电信带宽差异，结算105.77G，提103.62G，补2.15G</t>
    <phoneticPr fontId="3" type="noConversion"/>
  </si>
  <si>
    <t>补提8月BGP南京电信带宽差异，结算4.092G，提3.92G，补0.172G</t>
    <phoneticPr fontId="3" type="noConversion"/>
  </si>
  <si>
    <t>补提9月BGP南京联通带宽，结算4.5G，提4.4G，补0.1G</t>
    <phoneticPr fontId="3" type="noConversion"/>
  </si>
  <si>
    <t>补提9月NJ02-联通带宽，结算58.97G，提57.8G，补1.17G</t>
    <phoneticPr fontId="3" type="noConversion"/>
  </si>
  <si>
    <t>补提9月苏州万国联通带宽，结算15.88G，提15.7G，补0.18G</t>
    <phoneticPr fontId="3" type="noConversion"/>
  </si>
  <si>
    <t>补提9月SZTH-联通CDN带宽，结算77.31G，提75.6G，提1.71G</t>
    <phoneticPr fontId="3" type="noConversion"/>
  </si>
  <si>
    <t>补提9月常州电信带宽，结算136.8G，提134.2G，补2.6G</t>
    <phoneticPr fontId="3" type="noConversion"/>
  </si>
  <si>
    <t>补提9月常州移动带宽，结算128.7G，提123.1G，补5.6G</t>
    <phoneticPr fontId="3" type="noConversion"/>
  </si>
  <si>
    <t>补提9月徐州2联带宽，结算72.6G*9000，提73.2*6000G，补提差异</t>
    <phoneticPr fontId="3" type="noConversion"/>
  </si>
  <si>
    <t>补提9月苏州联通带宽，结算5.82G，提5.8G，补0.02G</t>
    <phoneticPr fontId="3" type="noConversion"/>
  </si>
  <si>
    <t>王冬雨</t>
  </si>
  <si>
    <t>补提9月华为云换量带宽，结算2276.147255G，提2257.895G，补18.252255G</t>
    <phoneticPr fontId="3" type="noConversion"/>
  </si>
  <si>
    <t>补提9月温州三级电信带宽，结算121.8G，提120.7G，补1.1G</t>
    <phoneticPr fontId="3" type="noConversion"/>
  </si>
  <si>
    <t>补提9月温州三级联通带宽，结算71.52G，提71G，补0.52G</t>
    <phoneticPr fontId="3" type="noConversion"/>
  </si>
  <si>
    <t>补提9月温州三级移动带宽，结算134.91G，提133.9G，补1.01G</t>
    <phoneticPr fontId="3" type="noConversion"/>
  </si>
  <si>
    <t>补提9月厦门2电信带宽，结算9.88G，提9.8G，补0.08G</t>
    <phoneticPr fontId="3" type="noConversion"/>
  </si>
  <si>
    <t>补提9月太湖机房六期超电流</t>
    <phoneticPr fontId="3" type="noConversion"/>
  </si>
  <si>
    <t>补提9月NJ02-电信带宽，结算102.633G，提100.534G，补2.099G</t>
    <phoneticPr fontId="3" type="noConversion"/>
  </si>
  <si>
    <t>补提9月南京吉山电信带宽，结算110.182G，提108.079G，补2.103G</t>
    <phoneticPr fontId="3" type="noConversion"/>
  </si>
  <si>
    <t>补提9月BGP南京电信带宽，结算4.209G，提4.064G，补0.145G</t>
    <phoneticPr fontId="3" type="noConversion"/>
  </si>
  <si>
    <t>补提9月太湖电信带宽，结算30.322G，提29.992G，补0.33G</t>
    <phoneticPr fontId="3" type="noConversion"/>
  </si>
  <si>
    <t>182315IDC00423</t>
  </si>
  <si>
    <t>补提9月SZTH-电信CDN带宽，结算142.73G，提141.1G，补1.63G</t>
    <phoneticPr fontId="3" type="noConversion"/>
  </si>
  <si>
    <t>补提9月宁波5电信机架费用，2023/9/15退租计费15天</t>
    <phoneticPr fontId="3" type="noConversion"/>
  </si>
  <si>
    <t>补提9月上海4电信带宽，结算10G，提9.8G，补0.2G</t>
    <phoneticPr fontId="3" type="noConversion"/>
  </si>
  <si>
    <t>补提9月福州3联通带宽，结算6.835G，提6.7G，补0.135G</t>
    <phoneticPr fontId="3" type="noConversion"/>
  </si>
  <si>
    <t>补提9月青岛2联通带宽，结算49.829G，提48.876G，补0.953G</t>
    <phoneticPr fontId="3" type="noConversion"/>
  </si>
  <si>
    <t>补提9月青岛联通带宽，结算71.627G，提70.334G，补1.293G</t>
    <phoneticPr fontId="3" type="noConversion"/>
  </si>
  <si>
    <t>160G
-60G
-40G</t>
  </si>
  <si>
    <t>补提9月烟台联通带宽，结算19.5G，提19.2G，补0.3G</t>
    <phoneticPr fontId="3" type="noConversion"/>
  </si>
  <si>
    <t>补提9月SZTH-移动CDN带宽，结算178.53G，提175.47G，补3.06G</t>
    <phoneticPr fontId="3" type="noConversion"/>
  </si>
  <si>
    <t>补提9月盐城移动带宽，结算97.81G，提96.91G，补0.9G</t>
    <phoneticPr fontId="3" type="noConversion"/>
  </si>
  <si>
    <t>补提9月盐城3移动带宽，结算137.07G，提120.03G，补17.04G</t>
    <phoneticPr fontId="3" type="noConversion"/>
  </si>
  <si>
    <t>补提9月济南4移动带宽，结算205.085G，提203.86G，补1.225G</t>
    <phoneticPr fontId="3" type="noConversion"/>
  </si>
  <si>
    <t>补提9月淄博三级移动带宽，结算83.3G，提82.62G，补0.68G</t>
    <phoneticPr fontId="3" type="noConversion"/>
  </si>
  <si>
    <t>2022/11/3
2023/6/8</t>
  </si>
  <si>
    <t>200G
300G</t>
  </si>
  <si>
    <t>补提9月杭州4移动带宽，结算221.72G，提221.51G，补0.21G</t>
    <phoneticPr fontId="3" type="noConversion"/>
  </si>
  <si>
    <t>补提9月金华2移动带宽，结算32.16G，提32G，补0.16G</t>
    <phoneticPr fontId="3" type="noConversion"/>
  </si>
  <si>
    <t>L20230805006</t>
  </si>
  <si>
    <t>补提9月绍兴3移动带宽，结算86.28G，提85.57G，补0.71G</t>
    <phoneticPr fontId="3" type="noConversion"/>
  </si>
  <si>
    <t>340G
-50G
-150
-20G</t>
  </si>
  <si>
    <t>补提9月台州2移动带宽，结算49.49G，提49.16G，补0.33G</t>
    <phoneticPr fontId="3" type="noConversion"/>
  </si>
  <si>
    <t>补提9月温州2移动带宽，结算32.43G，提32.18G，补0.25G</t>
    <phoneticPr fontId="3" type="noConversion"/>
  </si>
  <si>
    <t>补提9月舟山移动带宽，结算 383.01G，提377.08G，补5.93G</t>
    <phoneticPr fontId="3" type="noConversion"/>
  </si>
  <si>
    <t>202310 SZZJ一期电费参照9月金额预估</t>
    <phoneticPr fontId="3" type="noConversion"/>
  </si>
  <si>
    <t>202310 SZZJ二期电费参照9月金额预估。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phoneticPr fontId="3" type="noConversion"/>
  </si>
  <si>
    <t>100G
40G</t>
    <phoneticPr fontId="3" type="noConversion"/>
  </si>
  <si>
    <t>2023.9经与SYS核对，更新机柜编号，更新后QUZ-BY2F-D-09，更新前2FD09-D-BEC09</t>
  </si>
  <si>
    <t>供应商</t>
  </si>
  <si>
    <t>机架/带宽/裸光纤/电路/工位&amp;库房/其他</t>
  </si>
  <si>
    <t>费用类型（机架、带宽、光纤/电路、其他）</t>
  </si>
  <si>
    <t>金额</t>
  </si>
  <si>
    <t>业务备注</t>
  </si>
  <si>
    <t>财务备注</t>
  </si>
  <si>
    <t>运营商统计</t>
  </si>
  <si>
    <t>保底率</t>
  </si>
  <si>
    <t>保底量</t>
  </si>
  <si>
    <t>第三方分类</t>
  </si>
  <si>
    <t>备注</t>
    <phoneticPr fontId="3" type="noConversion"/>
  </si>
  <si>
    <t>更新合同号</t>
    <phoneticPr fontId="3" type="noConversion"/>
  </si>
  <si>
    <t>预计从2023.11.24开始可能产生空置费。机房自交付之日起，六个月内为免费预占期。合同生效后乙方根据甲方业务需求对机架进行加电，甲方租用但未加电机架自合同生效后的第7个月开始收取未开通机架的预占费。</t>
  </si>
  <si>
    <t>更新资源类别</t>
    <phoneticPr fontId="3" type="noConversion"/>
  </si>
  <si>
    <t>第五批。2023.10更新主体，原在南京电信。NJ022A-D-10、NJ022B-C-08、NJ022B-C-03、NJ022B-C-04、NJ022B-C-01、NJ022B-C-02、NJ022B-C-13、NJ023A-E-01、NJ022A-E-02、NJ022A-E-01、NJ022A-E-08、NJ022B-G-01、NJ022B-G-08、NJ022B-G-09、NJ022B-G-06、NJ022B-G-10、NJ022B-G-11、NJ022C-A-10、NJ022C-A-05、NJ022C-A-08、NJ022C-A-06、NJ022C-A-07、NJ022C-F-01、NJ022B-H-07、NJ022B-H-11、NJ022B-H-10、NJ022B-D-08、NJ022B-D-09、NJ022B-D-03、NJ022B-D-19、NJ022B-D-18、NJ022B-D-15、NJ022B-D-16、NJ022B-D-13、NJ022B-D-14、NJ022A-F-15、NJ022A-F-13、NJ022A-F-16、NJ022A-F-02、NJ022A-F-08、NJ022D-A-17、NJ022D-A-11、NJ022D-A-10、NJ022D-A-13、NJ022D-A-12、NJ022D-A-19、NJ022D-A-18、NJ022E-H-11、NJ022E-H-10、NJ022A-G-03、NJ022A-G-05、NJ022A-G-04、NJ022A-G-06、NJ022A-G-08、NJ022A-G-13、NJ022A-G-10、NJ022A-G-12、NJ022A-G-11、NJ022B-E-02、NJ022B-E-03、NJ022B-E-11、NJ022B-E-10、NJ022D-B-04、NJ022D-B-03、NJ022E-I-10、NJ022E-I-09、NJ022B-A-17、NJ022B-A-16、NJ022B-A-12、NJ022B-A-11、NJ022B-A-03、NJ022B-A-02、NJ023A-B-11、NJ022A-C-05、NJ022A-C-07、NJ022A-C-06、NJ022A-C-12、NJ022B-B-07、NJ022B-B-06、NJ022B-B-02、NJ022B-B-01、NJ022B-B-12、NJ022B-B-11、NJ022B-F-07、NJ022B-F-06、NJ022B-F-08、NJ022B-F-03、NJ022B-F-02、NJ022B-F-04、NJ022B-F-10、NJ022B-F-11、NJ022B-F-16、NJ022B-F-15、NJ022A-H-11、NJ022A-H-12、NJ022A-H-04、NJ022A-H-03、NJ022A-H-06、NJ022A-H-09</t>
  </si>
  <si>
    <t>更新计算公式调整尾差</t>
    <phoneticPr fontId="3" type="noConversion"/>
  </si>
  <si>
    <t>第七批。2023.10更新主体，原在南京电信。NJ022A-D-11、NJ022C-F-22、NJ022C-F-25、NJ022A-A-05、NJ022A-A-06、NJ023B-B-11、NJ022A-B-01、NJ022D-A-04、NJ022D-F-13、NJ022D-B-07、NJ022D-B-06、NJ023D-E-03、NJ023D-E-02、NJ022A-H-01</t>
  </si>
  <si>
    <t>网宿_晚高峰下载</t>
  </si>
  <si>
    <t>wangsu_epd</t>
  </si>
  <si>
    <t>1M，1000进制，系数1</t>
    <phoneticPr fontId="3" type="noConversion"/>
  </si>
  <si>
    <t>意如CDN_小红书_非内蒙</t>
  </si>
  <si>
    <t>yrcdn_xhs_not_nmg</t>
  </si>
  <si>
    <t>yrcdn_xhs_nmg</t>
  </si>
  <si>
    <t>意如CDN_小红书_内蒙古</t>
  </si>
  <si>
    <t>L20231031006</t>
  </si>
  <si>
    <t>L20231031007</t>
  </si>
  <si>
    <t>NJXG205-E-14、NJXG205-E-17、NJXG205-E-18</t>
  </si>
  <si>
    <t>增加计提行</t>
    <phoneticPr fontId="3" type="noConversion"/>
  </si>
  <si>
    <t>SZTH1D3D-07-16</t>
  </si>
  <si>
    <t>太湖机房二期（改造后）</t>
  </si>
  <si>
    <t>SZZJ3D204E-B-11</t>
  </si>
  <si>
    <t>【BEC扩容】BEC江苏徐州联通扩容64个IP (BECXZ2UN)：122.192.154.128/26</t>
  </si>
  <si>
    <t>江苏中物达物联网科技有限公司</t>
  </si>
  <si>
    <t>WXYM</t>
  </si>
  <si>
    <t>202310 无锡扬名一期一批（四层、五层）超电流费用,参照9月金额预估。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</si>
  <si>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无锡扬名一期二批（二层、三层）</t>
  </si>
  <si>
    <t>更新计提金额和备注中的费用期间</t>
    <phoneticPr fontId="3" type="noConversion"/>
  </si>
  <si>
    <t>更新备注中的费用期间</t>
    <phoneticPr fontId="3" type="noConversion"/>
  </si>
  <si>
    <t>202310 无锡扬名一期二批（二层、三层）超电流费用,参照9月金额预估。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phoneticPr fontId="3" type="noConversion"/>
  </si>
  <si>
    <t>202310 无锡扬名一期一批&amp;一期二批超电流费用,参照运营商账单计提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</si>
  <si>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202310 无锡扬名一期二批（二层、三层）超电流费用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</si>
  <si>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更新计提金额和备注</t>
    <phoneticPr fontId="3" type="noConversion"/>
  </si>
  <si>
    <t>删除行</t>
    <phoneticPr fontId="3" type="noConversion"/>
  </si>
  <si>
    <t>意如CDN_爱奇艺</t>
  </si>
  <si>
    <t>1M颗粒度，无保底，1000进制，系数1</t>
    <phoneticPr fontId="3" type="noConversion"/>
  </si>
  <si>
    <t>yrcdn_iqiyi</t>
  </si>
  <si>
    <t>100G
40G</t>
    <phoneticPr fontId="3" type="noConversion"/>
  </si>
  <si>
    <t>2022.9.1开始JN2UN和JNUNCACHE单独计费，JNUNCACHE保底90G。2022/5/31 JN2UN 退租200G，从2022.6带宽总量为480G，降低30G保底，实际保底114G。
2022.4济南2联通保底降低30G；2022/5/31 JN2UN 退租180G，从2022.5带宽总量为480G颗粒度100M，济南联通2、济南联通二级与SSL合并保底180G。5%以内以甲方数据为准，超出取中值。201910+201911免费，济南联通二级节点于2021.10.1扩容60G至300G。</t>
    <phoneticPr fontId="3" type="noConversion"/>
  </si>
  <si>
    <t>【BEC新建】济南联通新建500G，100M，保底150G。计提参考</t>
    <phoneticPr fontId="3" type="noConversion"/>
  </si>
  <si>
    <t>2022.9.1开始JN2UN和JNUNCACHE单独计费，JN2UN保底24G。2022/5/31 JN2UN 退租200G，从2022.6带宽总量为480G，降低30G保底，实际保底114G。
2022.4济南2联通保底降低30G；2022/5/31 JN2UN 退租180G，从2022.5带宽总量为480G颗粒度100M，济南联通2、济南联通二级与SSL合并保底180G。5%以内以甲方数据为准，超出取中值。201910+201911免费，济南联通二级节点于2021.10.1扩容60G至300G。</t>
    <phoneticPr fontId="3" type="noConversion"/>
  </si>
  <si>
    <t>【BEC扩容】BEC山东威海移动扩容200G  2023-7-01 节点正式上线  (WEIH2CM），保底80G</t>
    <phoneticPr fontId="3" type="noConversion"/>
  </si>
  <si>
    <t>NJXG-移动</t>
  </si>
  <si>
    <t>2022/5/1
2023/4/30</t>
    <phoneticPr fontId="3" type="noConversion"/>
  </si>
  <si>
    <t>NJXG-CM-ST-1</t>
  </si>
  <si>
    <t>历史开通
2021/1/6
2021/6/1
2023/10/26</t>
    <phoneticPr fontId="3" type="noConversion"/>
  </si>
  <si>
    <t>NJ02移动出口迁移至NJXG，原端口于2023/10/26关闭。颗粒度10M，保底为200G*10%=20G
与集团签署200G，提出限速。省内实际开通400G不限速，2021/1/6扩容的200G，无法体现，故2021.6已将端口恢复为200G</t>
    <phoneticPr fontId="3" type="noConversion"/>
  </si>
  <si>
    <t>2023.10无流量，暂按保底计提。【BEC新建】BEC福建泉州移动新建200G2023-09-01节点正式上线 (BECQZ3CM)，保底80G</t>
    <phoneticPr fontId="3" type="noConversion"/>
  </si>
  <si>
    <t>2022/7/31 退租180G迁移至NB2CTCACHE 。剩余20G与NB2CTCACHE 
NB4CT合并计费，100M颗粒度。
2021.1 NB2CTCACHE NB4CT NB5CT合并计费</t>
    <phoneticPr fontId="3" type="noConversion"/>
  </si>
  <si>
    <t>240G
-40G
60G
-200G</t>
    <phoneticPr fontId="3" type="noConversion"/>
  </si>
  <si>
    <t>保底计提。2022/5/31退租80G，从2022.5开始带宽量为20G，保底8G，10M。计费带宽以Gbps为单位保留两位小数点，小数点后第三位四舍五入
上海移动 增量100G完成业务测试，已于2020-06-28开始正式切流量上线,2020.6.29开始计费</t>
    <phoneticPr fontId="3" type="noConversion"/>
  </si>
  <si>
    <t>保底计提。边缘计算。20230331退租40G。20220515开始计费。从2022.9开始执行10M颗粒度</t>
    <phoneticPr fontId="3" type="noConversion"/>
  </si>
  <si>
    <t>保底计提。20230216扩容100G（30%保底）。【BEC新建】新建200G，保底60G，10M</t>
    <phoneticPr fontId="3" type="noConversion"/>
  </si>
  <si>
    <t>保底计提。【BEC新建】舟山联通新增100G ，20%保底即20G，10M</t>
    <phoneticPr fontId="3" type="noConversion"/>
  </si>
  <si>
    <t>保底计提。【BEC扩容】BEC浙江杭州移动扩容300G 2023-5-30 节点正式上线 (BECHZ4CM)，从6.8计费。累计500G，保底200G
边缘计算，20221103开始计费。颗粒度10M，保底80G</t>
    <phoneticPr fontId="3" type="noConversion"/>
  </si>
  <si>
    <t>阶梯计费
0-100G   15000
100G以上   14000</t>
    <phoneticPr fontId="3" type="noConversion"/>
  </si>
  <si>
    <t>CDN承担保底，按实际流量计提。2022/7/31 退租30G，剩余10G，保底4G，10M。无锡移动整体保底计提。（若与CDN合并达结算达到总量的40%保底，则该节点流量可以按实际流量计提，否则要按保底计提）</t>
    <phoneticPr fontId="3" type="noConversion"/>
  </si>
  <si>
    <t>杜若彬</t>
    <phoneticPr fontId="3" type="noConversion"/>
  </si>
  <si>
    <t>王阳</t>
    <phoneticPr fontId="3" type="noConversion"/>
  </si>
  <si>
    <t>200G
200G
-200G</t>
    <phoneticPr fontId="3" type="noConversion"/>
  </si>
  <si>
    <t>400G</t>
    <phoneticPr fontId="3" type="noConversion"/>
  </si>
  <si>
    <t>NJ02移动出口迁移至NJXG，新端口于2023/10/24开通。开通带宽量实际为400G，按200G计算保底，保底30%，即60G.颗粒度10M
与集团签署200G，提出限速。省内实际开通400G不限速，2021/1/6扩容的200G，无法体现，故2021.6已将端口恢复为200G</t>
    <phoneticPr fontId="3" type="noConversion"/>
  </si>
  <si>
    <t>中值计提。2023.9调整单价（预计从2023.8降价）【BEC扩容】BEC江苏徐州联通扩容40G  2023-07-01 节点正式上线  (XZ2UN)，保底42G，100M颗粒度。分端口计费
【BEC新建】徐州联通新增100G 节点正式上线  (XZ2UN)</t>
    <phoneticPr fontId="3" type="noConversion"/>
  </si>
  <si>
    <t>运营商计提。2023/6/30【CDN退租】CDN江苏徐州联通二级退租40G (XZUNCACHE)，退租后200G，保底60G。3%认乙方，超过协商。100M颗粒度</t>
    <phoneticPr fontId="3" type="noConversion"/>
  </si>
  <si>
    <t>中值计提。保底2G。100M颗粒度。3%认乙方，超过协商</t>
    <phoneticPr fontId="3" type="noConversion"/>
  </si>
  <si>
    <t>中值计提。2022.7 原南京联通【NJM2】拆分为【 NJ02-联通代播】及【NJ02-联通IDC】南京联通与苏州万国联通合并保底56G，100M</t>
    <phoneticPr fontId="3" type="noConversion"/>
  </si>
  <si>
    <t>运营商计提。从2022.2保底调整为20%。南京联通与苏州万国联通合并保底56G，100M</t>
    <phoneticPr fontId="3" type="noConversion"/>
  </si>
  <si>
    <t>中值计提。保底54G，100M</t>
    <phoneticPr fontId="3" type="noConversion"/>
  </si>
  <si>
    <t>运营商计提。【BEC新建】苏州联通新增1G 2023-4-10节点正式上线 (CDNSUZUN)；
【BEC扩容】苏州联通新增9G 2023-4-29节点正式上线 (CDNSUZUN)</t>
    <phoneticPr fontId="3" type="noConversion"/>
  </si>
  <si>
    <t>中值计提。3%认乙方，超过协商。2022.8.1原QD5UN 200G+QDIXUN 180G +QD2UN 160G 合并计费，本月拆分为单节点计费。2022/5/31 QD5UN退租80G，QD2UN退租80G，QD6UN退租100G即全部退租。从2022.5带宽总量为540G，与SSL、QD8UN合并保底255G，计费颗粒度1M；包含青岛三级联通节点;2021.5.1从QD3UN节点迁移120G至QD5UN节点；2021.6.30退租260G带宽；自2022.1.20起，QD6UN节点100G带宽转BEC使用</t>
    <phoneticPr fontId="3" type="noConversion"/>
  </si>
  <si>
    <t>运营商计提。2022.8.1原QD5UN 200G+QDIXUN 180G +QD2UN 160G 合并计费，本月拆分为单节点计费。</t>
    <phoneticPr fontId="3" type="noConversion"/>
  </si>
  <si>
    <t>中值计提。2023.4.1扩容120G，扩容后共400G，保底120G，颗粒度100M，2021/10/1开通苏州太湖三线</t>
    <phoneticPr fontId="3" type="noConversion"/>
  </si>
  <si>
    <t xml:space="preserve">中值计提。保底16G。1M
SZTH-TELECOM 80G与SZWG 40合并计费，计入SZTH-TELECOM </t>
    <phoneticPr fontId="3" type="noConversion"/>
  </si>
  <si>
    <t>中值计提。2022.8.1原SUZCT 160+SUZ2CT 140G合并计费，拆分为单节点计费。2022/5/31 SUZ2CT退租20G，从2022.5带宽量为300G，保底90G,100M；SUZCT 160G与SUZ2CT 140G合并计费</t>
    <phoneticPr fontId="3" type="noConversion"/>
  </si>
  <si>
    <t>中值计提。2022.8.1原SUZCT 160+SUZ2CT 140G合并计费，拆分为单节点计费 。</t>
    <phoneticPr fontId="3" type="noConversion"/>
  </si>
  <si>
    <t>中值计提。2023/8/31【CDN退租】CDN江苏宿迁电信二级退租200G (SQCTCACHE)，退租后保底60G。
2022/6/17 宿迁电信 宿迁2电信调整为宿迁电信二级。
SQCT 200G与SQ2CT 200G合并计费
共配送40个机柜，每万兆送32个IP</t>
    <phoneticPr fontId="3" type="noConversion"/>
  </si>
  <si>
    <t>中值计提。20220801扩容120G，扩容后带宽280G，保底30%，84G，100M。不达保底可按实际流量计提</t>
    <phoneticPr fontId="3" type="noConversion"/>
  </si>
  <si>
    <t>中值计提。20220801扩容100G，扩容后带宽260G，保底40%，104G，100M。不达保底可按实际流量计提</t>
    <phoneticPr fontId="3" type="noConversion"/>
  </si>
  <si>
    <t>中值计提。20220801扩容20G，扩容后带宽180G，保底30%，54G，100M</t>
    <phoneticPr fontId="3" type="noConversion"/>
  </si>
  <si>
    <t>华中-WM</t>
  </si>
  <si>
    <t>湖北</t>
  </si>
  <si>
    <t>中国联合网络通信有限公司武汉市分公司</t>
  </si>
  <si>
    <t>武汉联通</t>
  </si>
  <si>
    <t>182015IDC00374</t>
  </si>
  <si>
    <t>武汉
WHGG-UNICOM_BGP</t>
  </si>
  <si>
    <t>武汉光谷联通BGP</t>
  </si>
  <si>
    <t>WHGG-UNICOM_BGP</t>
  </si>
  <si>
    <t>2018/8/21
2023/6/2</t>
  </si>
  <si>
    <t>2023.6.2退租，6月费用减免。保底1G</t>
  </si>
  <si>
    <t>中国电信股份有限公司湖北互联网数据事业部</t>
  </si>
  <si>
    <t>黄石电信</t>
  </si>
  <si>
    <t>182315IDC00420</t>
  </si>
  <si>
    <t>黄石电信
HSCTCACHE</t>
  </si>
  <si>
    <t>2015/1/28
2021/5/1
2021/6/30
2021/10/1
2021/11/1
2022/8/31</t>
  </si>
  <si>
    <t>120G
+10G
-10G
+140G
+140G
-200G</t>
  </si>
  <si>
    <t>保底下调为25%，颗粒度100M
。HSCT、HS2CT、HS3CT合并至HS2CT，2021.5.1从SSL迁移10G给CDN使用；2022.8.31迁移200G带宽至襄阳电信二级节点；2022.9开始拆分计提，不合并，帮SSL10G跑保底
3%以内以甲方为准，3%~5%取中值，超出协商；</t>
  </si>
  <si>
    <t>HSCTCACHE</t>
  </si>
  <si>
    <t>黄石电信SSL
WHHSSSLTELECOM</t>
  </si>
  <si>
    <t>黄石电信SSL</t>
  </si>
  <si>
    <t>2017/4/1
2021/5/1</t>
  </si>
  <si>
    <t>20G-10G</t>
  </si>
  <si>
    <t>颗粒度100M
。与HSCTCACHE合并保底，按实际流量计提。
3%以内以甲方为准，3%~5%取中值，超出协商；</t>
  </si>
  <si>
    <t>WHHSSSLTELECOM</t>
  </si>
  <si>
    <t>黄石2电信
HS2CT</t>
  </si>
  <si>
    <t>黄石2电信</t>
  </si>
  <si>
    <t>2018/9/25
2023/8/31</t>
  </si>
  <si>
    <t>2023.8.31节点退租。2023年5月保底暂时下调为25%，颗粒度100M
；3%以内以甲方为准，3%~5%取中值，超出协商；2022.9开始拆分计提，不合并</t>
  </si>
  <si>
    <t>HS2CT</t>
  </si>
  <si>
    <t>黄石3电信
HS3CT</t>
  </si>
  <si>
    <t>黄石3电信</t>
  </si>
  <si>
    <t>2018/12/15
2023/8/31</t>
  </si>
  <si>
    <t>2023.8.31退租80G带宽。2023年5月保底暂时下调为25%，颗粒度100M
。HSCT、HS2CT、HS3CT合并至HS2CT；2022.9开始拆分计提，不合并
3%以内以甲方为准，3%~5%取中值，超出协商；</t>
  </si>
  <si>
    <t>HS3CT</t>
  </si>
  <si>
    <t>襄阳电信</t>
  </si>
  <si>
    <t>182315IDC00421</t>
  </si>
  <si>
    <t>云自采-襄阳电信 XIANGYCT</t>
  </si>
  <si>
    <t>云自采-襄阳电信</t>
  </si>
  <si>
    <t>2017/10/10
2022/9/1</t>
  </si>
  <si>
    <t>160G
+200G</t>
  </si>
  <si>
    <t>保底下调为20%，100M颗粒度,保底108G;2022.9.1新增200G带宽，从HSCTCACHE节点迁移
3%以内以甲方为准，3%~5%取中值，超出协商；</t>
  </si>
  <si>
    <t>XIANGYCT</t>
  </si>
  <si>
    <t>襄阳电信2 XIANGY2CT</t>
  </si>
  <si>
    <t>襄阳电信2</t>
  </si>
  <si>
    <t>160G</t>
  </si>
  <si>
    <t>保底下调为20%，100M颗粒度,保底48G
3%以内以甲方为准，3%~5%取中值，超出协商；</t>
  </si>
  <si>
    <t>XIANGY2CT</t>
  </si>
  <si>
    <t>襄阳三级电信 XIANGYIXCT</t>
  </si>
  <si>
    <t>襄阳三级电信</t>
  </si>
  <si>
    <t>保底下调为20%，100M颗粒度,保底48G；差异：3%以内以甲方为准，3%~5%取中值，超出协商；</t>
  </si>
  <si>
    <t>XIANGYIXCT</t>
  </si>
  <si>
    <t>XN襄阳三级电信</t>
  </si>
  <si>
    <t>120G</t>
  </si>
  <si>
    <t>保底下调为20%，100M颗粒度,保底48G;襄阳三级电信2022.9.8扩容120G；差异：3%以内以甲方为准，3%~5%取中值，超出协商；</t>
  </si>
  <si>
    <t>XNXIANGYIXCT</t>
  </si>
  <si>
    <t>拓研信息</t>
  </si>
  <si>
    <t>L20230920001</t>
  </si>
  <si>
    <t>襄阳4电信</t>
  </si>
  <si>
    <t>CDNXIANGYCT</t>
  </si>
  <si>
    <t>XIANGY4CT</t>
  </si>
  <si>
    <t>补9月计提，提35.9G，运营商39.17G，依据合同暂以中值37.6G结算，补1.7G</t>
  </si>
  <si>
    <t>中国联合网络通信有限公司黄石市分公司</t>
  </si>
  <si>
    <t>黄石联通</t>
  </si>
  <si>
    <t>L20230923003</t>
  </si>
  <si>
    <t>30G保底，1M颗粒度，HSUN节点，2022.10.1新增100G带宽</t>
  </si>
  <si>
    <t>HSUN</t>
  </si>
  <si>
    <t>182015IDC00343</t>
  </si>
  <si>
    <t>武汉联通SSL</t>
  </si>
  <si>
    <t>历史开通
2019/12/31
2022/11/30</t>
  </si>
  <si>
    <t>20G
-10G
-10G</t>
  </si>
  <si>
    <t>2022.11.30节点退租。2019/12/31退10G,退租后SSL保底3G，100M颗粒度；（TCO机房：武汉联通    武汉联通SSL合并计费）CDN 60G已于8.24下线</t>
  </si>
  <si>
    <t>WHSSLUNICOM</t>
  </si>
  <si>
    <t>182315IDC00416</t>
  </si>
  <si>
    <t>武汉联通CDN</t>
  </si>
  <si>
    <t>武汉3联通</t>
  </si>
  <si>
    <t>CDNWHUN2</t>
  </si>
  <si>
    <t>40G</t>
  </si>
  <si>
    <t>按中值计提。WH3UN节点，2022.9.1开始计费40G带宽，保底12G，颗粒度100M；差异：0-1以百度为准，1-3取中值，超出协商</t>
  </si>
  <si>
    <t>WH3UN</t>
  </si>
  <si>
    <t>补9月计提，提15.4G，运营商16G，依据合同条款暂按中值15.7G结算，补0.3G</t>
  </si>
  <si>
    <t>武汉4联通</t>
  </si>
  <si>
    <t>CDNWHUN4</t>
  </si>
  <si>
    <t>2022/10/1
2023/4/1
2023/5/16</t>
  </si>
  <si>
    <t>40G
+100G
-140</t>
  </si>
  <si>
    <t>于2023.5.16节点退租。WH4UN节点，2022.10.1新增40G带宽，免费使用；武汉联通40G在22年10月至23年8月赠送；2023.4.1扩容100G带宽</t>
  </si>
  <si>
    <t>WH4UN</t>
  </si>
  <si>
    <t>武汉5联通</t>
  </si>
  <si>
    <t>CDNWHUN5</t>
  </si>
  <si>
    <t>2023.6.8WH5UN节点，BEC新增20G带宽，保底G，颗粒度M</t>
  </si>
  <si>
    <t>WH5UN</t>
  </si>
  <si>
    <t>中国联合网络通信有限公司荆门市分公司</t>
  </si>
  <si>
    <t>荆门联通</t>
  </si>
  <si>
    <t>182315IDC00545</t>
  </si>
  <si>
    <t>荆门联通
BEC</t>
  </si>
  <si>
    <t>CDNJINGMUN</t>
  </si>
  <si>
    <t>2023.7.10JINGMUN节点，BEC新增200G带宽，保底60G，颗粒度1M;差异：3%以内按乙方结算，3%~5%取均值，超出协商</t>
  </si>
  <si>
    <t>JINGMUN</t>
  </si>
  <si>
    <t>中国联合网络通信有限公司襄阳市分公司</t>
  </si>
  <si>
    <t>襄阳联通</t>
  </si>
  <si>
    <t>182315IDC00424</t>
  </si>
  <si>
    <t>襄阳三线</t>
  </si>
  <si>
    <t>襄阳三级联通</t>
  </si>
  <si>
    <t>XIANGYIXUN</t>
  </si>
  <si>
    <t>2019/6/6
2021/9/1
2022/4/30
2022/9/20
2023/5/1</t>
  </si>
  <si>
    <t>80G
+40G
-80G
+60G
+80G</t>
  </si>
  <si>
    <t>30G保底，1M颗粒度。该节点未使用机架；差异解决：0-3,以运营商为准，超出双方协商。2021.9.1扩容40G带宽，自9.1开始合并计费对我司有利（商务确认9.23开始计费）2022.4.30关闭80G带宽转签代理合同。2022年9月20日新增的60G，9月无保底，与40G分开计费。2022年10月1日开始，40G与60G合并计费。2023.5.1新合同起橘智的80G重新迁回襄阳联通。</t>
  </si>
  <si>
    <t>补9月计提，提71.574G，结73.162G，补1.588G</t>
  </si>
  <si>
    <t>橘智科技有限公司</t>
  </si>
  <si>
    <t>橘智科技</t>
  </si>
  <si>
    <t>L20230423002</t>
  </si>
  <si>
    <t>XN襄阳三级联通</t>
  </si>
  <si>
    <t>襄阳联通三线,2022.5.1开始直签资源转代理，新增代理80G三线带宽，7500元/月/G，保底24G，100M颗粒度，95计费，免费提供173个IP地址，超出按照50元/月/个计费。差异：0-3取甲方，超出协商。2023.5.1新合同起橘智的80G重新迁回襄阳联通。</t>
  </si>
  <si>
    <t>XNXIANGYIXUN</t>
  </si>
  <si>
    <t>中国移动通信集团湖北有限公司</t>
  </si>
  <si>
    <t>湖北移动</t>
  </si>
  <si>
    <t>L20230626005</t>
  </si>
  <si>
    <t>襄阳</t>
  </si>
  <si>
    <t>襄阳2移动</t>
  </si>
  <si>
    <t>2019/5/11
2021/10/1
2022/4/30
2022/5/31
2023/4/30</t>
  </si>
  <si>
    <t>320G
+100G
-100G
-50G
-150G</t>
  </si>
  <si>
    <t>保底48G ,10M颗粒度；2022.4.30XIANGY2CM节点退租100G带宽2022.5.31XIANGY2CM节点退租50G；2023.1.1XIANGY3CM节点100G转给XIANGY2CM节点CDN使用；0-3取均值，超出协商。</t>
  </si>
  <si>
    <t>XIANGY2CM</t>
  </si>
  <si>
    <t>补9月计提，提49.3G，结49.71G，补0.41G</t>
  </si>
  <si>
    <t xml:space="preserve">襄阳 </t>
  </si>
  <si>
    <t>襄阳3移动</t>
  </si>
  <si>
    <t>100G
-100G</t>
  </si>
  <si>
    <t>襄阳3移动（边缘计算节点），新增200G完成业务测试，已于2021-09-22开始正式切流量上线，于2021.10.1开始计费，与襄阳2移动合并</t>
  </si>
  <si>
    <t>XIANGY3CM</t>
  </si>
  <si>
    <t>襄阳 XIANGYIXCM</t>
  </si>
  <si>
    <t>襄阳三级移动</t>
  </si>
  <si>
    <t>2019/6/1
2021/11/8
2022/9/10</t>
  </si>
  <si>
    <t>80G
+80G
+100G</t>
  </si>
  <si>
    <t>保底40%即104G，10M；2021.11.1扩容80G带宽，于2021.11.8开始计费。0-3取均值，超出协商。</t>
  </si>
  <si>
    <t>XIANGYIXCM</t>
  </si>
  <si>
    <t>补9月计提，提119.63G，结120.54G，补0.91G</t>
  </si>
  <si>
    <t>武汉移动
BEC</t>
  </si>
  <si>
    <t>武汉6移动</t>
  </si>
  <si>
    <t>CDNWHCM3</t>
  </si>
  <si>
    <t>2023.9.7WH6CM节点，BEC新增200G带宽，保底80G，颗粒度10M</t>
  </si>
  <si>
    <t>WH6CM</t>
  </si>
  <si>
    <t>补9月计提，提82.85G，结83.35G，补0.5G</t>
  </si>
  <si>
    <t>武汉7移动</t>
  </si>
  <si>
    <t>CDNWHCM4</t>
  </si>
  <si>
    <t>2023.9.8WH7CM节点，BEC新增200G带宽，保底80G，颗粒度10M</t>
  </si>
  <si>
    <t>WH7CM</t>
  </si>
  <si>
    <t>中国联合网络通信有限公司黄冈市分公司</t>
  </si>
  <si>
    <t>黄冈联通</t>
  </si>
  <si>
    <t>182315IDC00225</t>
  </si>
  <si>
    <t>黄冈</t>
  </si>
  <si>
    <t>黄冈联通BEC节点，2023.4.1开通200G带宽，保底60G，颗粒度1M；差异：0~3取乙方，3~5取均值，超出协商</t>
  </si>
  <si>
    <t>HUANGGUN</t>
  </si>
  <si>
    <t>补9月计提，提62.171G，结62.592G，补0.421G</t>
  </si>
  <si>
    <t>中国电信股份有限公司武汉分公司</t>
  </si>
  <si>
    <t>武汉电信</t>
  </si>
  <si>
    <t>182315IDC00417</t>
  </si>
  <si>
    <t>IDC带宽</t>
  </si>
  <si>
    <t>WHGG电信2</t>
  </si>
  <si>
    <t>WHGG</t>
  </si>
  <si>
    <t>WHGG电信2节点，2023.4.23开通40G带宽，保底12G，颗粒度100M</t>
  </si>
  <si>
    <t>WHGG-CT-ST-2</t>
  </si>
  <si>
    <t>华南-WM</t>
  </si>
  <si>
    <t>广西</t>
  </si>
  <si>
    <t>广西壮族自治区公众信息产业有限公司</t>
  </si>
  <si>
    <t>广西电信</t>
  </si>
  <si>
    <t>L20230424009</t>
  </si>
  <si>
    <t>南宁电信ssl</t>
  </si>
  <si>
    <t>CDNNNCT</t>
  </si>
  <si>
    <t>2013/6/25
2023/4/27</t>
  </si>
  <si>
    <t>2023.4.27节点退租。颗粒度100M，保底3G/口，181915IDC00219合同期内最后14天为流量赠送期。</t>
  </si>
  <si>
    <t>GXSSLTELECOM</t>
  </si>
  <si>
    <t xml:space="preserve">南宁电信2
南宁3电信
南宁4电信 </t>
  </si>
  <si>
    <t>南宁4电信</t>
  </si>
  <si>
    <t>2013/6/25，2019/1/25，2019/4/3，2019/11/30，2021/10/30，2022/4/30
2022/5/31
2022/6/30
2022/6/30
2022/8/31</t>
  </si>
  <si>
    <t>160G
+160G
+200G
-100G
+40G
-150G
-120G
-30G NN3CT
-70G NN4CT
-50G</t>
  </si>
  <si>
    <t>2022/8/31退租50G，2022/5/31退租120G，退租NN3CT及NN4CT节点共计 150G，11月送20天测试期，与SSL合并保底141G，需要注意20211030扩容40G，20191130退租南宁2电信100G。颗粒度100M，保底3G/口，181915IDC00219合同期内最后14天为流量赠送期。</t>
  </si>
  <si>
    <t>NN4CT</t>
  </si>
  <si>
    <t>南宁5电信</t>
  </si>
  <si>
    <t>CDNNNCT2</t>
  </si>
  <si>
    <t>2020/11/23
2022/5/31</t>
  </si>
  <si>
    <t>80G-80G</t>
  </si>
  <si>
    <t>2022/5/31退租80G，11月送20天测试期，20201123开始计费，颗粒度100M，保底24G</t>
  </si>
  <si>
    <t>NN5CT</t>
  </si>
  <si>
    <t>中国联合网络通信有限公司广西壮族自治区分公司</t>
  </si>
  <si>
    <t>广西联通</t>
  </si>
  <si>
    <t>L20230223004</t>
  </si>
  <si>
    <t>南宁2
NNUNGROUP</t>
  </si>
  <si>
    <t xml:space="preserve">南宁2联通
南宁3联通
</t>
  </si>
  <si>
    <t>CDNNNUN</t>
  </si>
  <si>
    <t>2018/12/18
2019/3/5</t>
  </si>
  <si>
    <t>40G+
60G</t>
  </si>
  <si>
    <t>颗粒度100M，南宁2*南宁3共保底30G；差异：3%以内取乙方，3%~5%取中值，超出协商</t>
  </si>
  <si>
    <t>NN2UN</t>
  </si>
  <si>
    <t>补9月计提，提33.8G，运营商34.34G，依据合同条款暂按34.34G结算，补0.54G</t>
  </si>
  <si>
    <t>中国移动通信集团广西有限公司南宁分公司</t>
  </si>
  <si>
    <t>南宁移动</t>
  </si>
  <si>
    <t>L20230728002</t>
  </si>
  <si>
    <t>南宁</t>
  </si>
  <si>
    <t>CDNNNCM</t>
  </si>
  <si>
    <t>2019/1/25
2020/7/1
2022/4/30
2022/5/12
2022/7/31</t>
  </si>
  <si>
    <t>160G
+80G
-100G
-90G
-50G</t>
  </si>
  <si>
    <t>（1）颗粒度10M，保底96；（2）需要注意20200701扩容80G</t>
  </si>
  <si>
    <t>NNCM</t>
  </si>
  <si>
    <t>南宁3移动</t>
  </si>
  <si>
    <t>CDNNNCM3</t>
  </si>
  <si>
    <t>2019/2/25
2022/4/30
2022/7/31</t>
  </si>
  <si>
    <t>160G-60G
-80G</t>
  </si>
  <si>
    <t>按保底计提。颗粒度10M，保底40G；2022.7.31退租后此节点剩余带宽是BEC使用</t>
  </si>
  <si>
    <t>NN3CM</t>
  </si>
  <si>
    <t>南宁7移动</t>
  </si>
  <si>
    <t>2023.5.5新增BEC南宁7移动节点，颗粒度10M，保底200G</t>
  </si>
  <si>
    <t>NN7CM</t>
  </si>
  <si>
    <t>补9月计提，提236.78G，按235.94G与运营商对账，运营商240.17G，依据合同条款暂按中值238.06G结算，补1.28G。</t>
  </si>
  <si>
    <t>南宁9移动</t>
  </si>
  <si>
    <t>CDNNNCM4</t>
  </si>
  <si>
    <t>按保底计提。2023.8.8新增BEC南宁9移动节点，颗粒度10M，保底160G</t>
  </si>
  <si>
    <t>NN9CM</t>
  </si>
  <si>
    <t>西南-WM</t>
  </si>
  <si>
    <t>云南</t>
  </si>
  <si>
    <t>中国电信股份有限公司昆明分公司</t>
  </si>
  <si>
    <t>昆明电信</t>
  </si>
  <si>
    <t>182315IDC00501</t>
  </si>
  <si>
    <t>昆明2</t>
  </si>
  <si>
    <t>昆明电信2</t>
  </si>
  <si>
    <t>CDNKMCT</t>
  </si>
  <si>
    <t>-80G</t>
  </si>
  <si>
    <t>需要注意2019年12月31日退租80G。颗粒度100M，保底3G/口</t>
  </si>
  <si>
    <t>KM2CT</t>
  </si>
  <si>
    <t>昆明3</t>
  </si>
  <si>
    <t>昆明电信3</t>
  </si>
  <si>
    <t>CDNKMCT2</t>
  </si>
  <si>
    <t xml:space="preserve">需要注意2019年12月31日退租80G。颗粒度100M，保底3G/口
</t>
  </si>
  <si>
    <t>KM3CT</t>
  </si>
  <si>
    <t>昆明5+6 
KMCTGROUP</t>
  </si>
  <si>
    <t>昆明5电信
昆明6电信</t>
  </si>
  <si>
    <t>2018/1/1
2022/4/30
2022/5/31
2022/6/30</t>
  </si>
  <si>
    <t>80G+240G
-180G
-40G
-60G</t>
  </si>
  <si>
    <t>颗粒度100M，保底3G/口；KM5CT  20G
KM6CT  20G
合同约定乙方给予甲方互联网带宽实际按确认流量的74.56%结算，计提折算在单价上，故流量不用折算。
差异：3%之内认百度，3%-5%取均值</t>
  </si>
  <si>
    <t>KM5CT</t>
  </si>
  <si>
    <t>昆明4</t>
  </si>
  <si>
    <t>昆明电信4</t>
  </si>
  <si>
    <t>2018/4/18
2022/4/30
2022/5/31</t>
  </si>
  <si>
    <t>80G-20G-60G</t>
  </si>
  <si>
    <t xml:space="preserve">2022/5/31节点退租。颗粒度100M，保底3G/口
</t>
  </si>
  <si>
    <t>KM4CT</t>
  </si>
  <si>
    <t>中国联合网络通信有限公司云南省分公司</t>
  </si>
  <si>
    <t>云南联通</t>
  </si>
  <si>
    <t>L20230626006</t>
  </si>
  <si>
    <t>昆明</t>
  </si>
  <si>
    <t>昆明联通</t>
  </si>
  <si>
    <t>CDNKMUN</t>
  </si>
  <si>
    <t>（1）颗粒度1M，保底4G；（2）2019年7月1日开始价格为6666.67，注意历史单价付款冲销；0~1以百度为准，1~3取均值，超出协商</t>
  </si>
  <si>
    <t>KMUN</t>
  </si>
  <si>
    <t>L20230424007</t>
  </si>
  <si>
    <t>昆明4联通</t>
  </si>
  <si>
    <t>CDNKMUN3</t>
  </si>
  <si>
    <t>2021/5/1
2023/6/2</t>
  </si>
  <si>
    <t>80G
-70G</t>
  </si>
  <si>
    <t>按保底计提。云南联通新建80G节点，颗粒度100M，保底24G;2023.6.2退租70G带宽；此节点涉及产品反购，查询收款情况后再付款</t>
  </si>
  <si>
    <t>KM4UN</t>
  </si>
  <si>
    <t>昆明5联通</t>
  </si>
  <si>
    <t>CDNKMUN4</t>
  </si>
  <si>
    <t>2022/9/1，2023/1/31</t>
  </si>
  <si>
    <t>40G-40G</t>
  </si>
  <si>
    <t>23年1月31日KM5UN整节点退租，退租40G，KM5UN节点新增40G带宽，保底12G，颗粒度1M；0~1以百度为准，1~3取均值，超出协商</t>
  </si>
  <si>
    <t>KM5UN</t>
  </si>
  <si>
    <t>L20230426007</t>
  </si>
  <si>
    <t>昆明6联通</t>
  </si>
  <si>
    <t>2023/4/1
2023/5/31</t>
  </si>
  <si>
    <t>60G
-60G</t>
  </si>
  <si>
    <t>【BEC新建】昆明联通新建60G 2023-4-1节点正式上线 (KM6UN)，2023年4月1日 开始计费;2023.5.1退租60G带宽。
差异：差异率1%以内以我司流量为准，1%-3%取平均值</t>
  </si>
  <si>
    <t>KM6UN</t>
  </si>
  <si>
    <t>中国移动通信集团云南有限公司昆明分公司</t>
  </si>
  <si>
    <t>昆明移动</t>
  </si>
  <si>
    <t>L20230626007</t>
  </si>
  <si>
    <t>昆明3移动</t>
  </si>
  <si>
    <t>CDNKMCM3</t>
  </si>
  <si>
    <t>2019/1/25
2020/1/1
2016/9/1
2022/5/31</t>
  </si>
  <si>
    <t>150G
+40G
+10G
-200G</t>
  </si>
  <si>
    <t>2022/5/31退租200G，（1）颗粒度10M，保底80G；（2）昆明移动+昆明3移动=200G合并计费</t>
  </si>
  <si>
    <t>KM3CM</t>
  </si>
  <si>
    <t>昆明4移动</t>
  </si>
  <si>
    <t>CDNKMCM4</t>
  </si>
  <si>
    <t>2019/3/1
2020/1/1
2023/4/30</t>
  </si>
  <si>
    <t>200G
+120G
-100G</t>
  </si>
  <si>
    <t>颗粒度10M，保底128G</t>
  </si>
  <si>
    <t>KM4CM</t>
  </si>
  <si>
    <t>海南</t>
  </si>
  <si>
    <t>中国电信股份有限公司文昌分公司</t>
  </si>
  <si>
    <t>海口电信</t>
  </si>
  <si>
    <t>L20230424008</t>
  </si>
  <si>
    <t>海口2</t>
  </si>
  <si>
    <t>海口电信2</t>
  </si>
  <si>
    <t>CDNHKCT2</t>
  </si>
  <si>
    <t>2018/8/1
2019/7/25</t>
  </si>
  <si>
    <t>需要注意202007开始合并至海口3电信，颗粒度100M，保底24G，新增40G2019年7月25日开始计费，存量同时降价，注意新合同约定存量120G2019年7月1日开始按照9833计费</t>
  </si>
  <si>
    <t>HK2CT</t>
  </si>
  <si>
    <t>海口3</t>
  </si>
  <si>
    <t>海口3电信</t>
  </si>
  <si>
    <t>CDNHKCT3</t>
  </si>
  <si>
    <t>2018/12/19
2022/5/31</t>
  </si>
  <si>
    <t>80G
+40G
+40G
-80G</t>
  </si>
  <si>
    <t>2022/5/31退租80G，需要注意202007开始合并海口2电信的80G，颗粒度100M，保底24G</t>
  </si>
  <si>
    <t>HK3CT</t>
  </si>
  <si>
    <t>补5月计提，提26.8G，运营商27.8G，依据合同条款暂以中值27.3G结算，补0.5G</t>
  </si>
  <si>
    <t>补6月计提，提24.8G，运营商25.7G，依据合同条款暂以中值25.3G结算，补0.5G</t>
  </si>
  <si>
    <t>补7月计提，提26.2G，运营商27.16G，依据合同条款暂以中值26.7G结算，补0.5G</t>
  </si>
  <si>
    <t>补8月计提，提30.3G，运营商31.53G，依据合同条款暂以中值30.9G结算，补0.6G</t>
  </si>
  <si>
    <t>补9月计提，提26.7G，运营商27.78G，依据合同条款暂以中值27.3G结算，补0.6G</t>
  </si>
  <si>
    <t>中国联合网络通信有限公司海南省分公司</t>
  </si>
  <si>
    <t>海口联通</t>
  </si>
  <si>
    <t>L20230725017</t>
  </si>
  <si>
    <t>海南海口</t>
  </si>
  <si>
    <t>海口2联通</t>
  </si>
  <si>
    <t>CDNHKUN</t>
  </si>
  <si>
    <t>2018/7/25
2020/4/8
2020/9/30
2022/6/30</t>
  </si>
  <si>
    <t>40G
+40G
-20G
-20G</t>
  </si>
  <si>
    <t>（1）颗粒度10M，保底12G；（2）20200930退租20G。（3）需要注意20200801开始价格为9000，需要注意20200408扩容40G，2019年11月1日开始价格为8333.差异：3%以内以运营商为准，超出协商</t>
  </si>
  <si>
    <t>HK2UN</t>
  </si>
  <si>
    <t>补9月计提，提14.21G，运营商14.51G，依据合同暂按14.51G结算，补0.3G。</t>
  </si>
  <si>
    <t>中国移动通信集团海南有限公司</t>
  </si>
  <si>
    <t>海口移动</t>
  </si>
  <si>
    <t>L20230728003</t>
  </si>
  <si>
    <t>海口</t>
  </si>
  <si>
    <t>海口2移动</t>
  </si>
  <si>
    <t>CDNHKCM</t>
  </si>
  <si>
    <t>2019/1/10
2022/5/31</t>
  </si>
  <si>
    <t>HK2CM2022/5/31退租40G，202101对账已扣减，（1）需要注意2020年9月1日开始海口2移动合并海口3移动；（2）颗粒度10M，保底48G；2022.6.1起不合并，海口2移动已退租。</t>
  </si>
  <si>
    <t>HK2CM</t>
  </si>
  <si>
    <t>海口3移动</t>
  </si>
  <si>
    <t>2020/6/29
2022/7/31</t>
  </si>
  <si>
    <t>80G
-60G</t>
  </si>
  <si>
    <t>（1）需要注意2020年9月1日开始合并至海口2移动；（2）颗粒度10M，保底32G；2022.6.1起不合并，海口2移动已退租。</t>
  </si>
  <si>
    <t>HK3CM</t>
  </si>
  <si>
    <t>补9月计提，提8.65G，运营商8.67G，依据合同条款暂以8.66G结算，补0.01G</t>
  </si>
  <si>
    <t>华东-WM</t>
  </si>
  <si>
    <t>江西</t>
  </si>
  <si>
    <t>中国电信股份有限公司江西分公司</t>
  </si>
  <si>
    <t>江西电信</t>
  </si>
  <si>
    <t>182315IDC00283</t>
  </si>
  <si>
    <t>南昌电信2</t>
  </si>
  <si>
    <t>CDNNCCT2</t>
  </si>
  <si>
    <t>2013/7/16
2019/7/25
2020/06/30</t>
  </si>
  <si>
    <t>80G
40G
-120G</t>
  </si>
  <si>
    <t>南昌电信2和南昌电信3合并计费，南昌2节点退租。19.7.25扩容40G.。计费颗粒度100M。从19.11.1开始保底降为30%，即36G</t>
  </si>
  <si>
    <t>182315IDC00262</t>
  </si>
  <si>
    <t>江西南昌3</t>
  </si>
  <si>
    <t>南昌3电信</t>
  </si>
  <si>
    <t>2019/1/6 2020/06/30
2021/10/31
2021/12/4</t>
  </si>
  <si>
    <t>100G
120G
-210G
+210G</t>
  </si>
  <si>
    <t>2021.11从NC3CT拆出210G，11月免费。保留的10G边缘正常计费（2021.12恢复）
南京电信2和南昌电信3合并计费，合并保底66G，30%。南昌2退租后并入南昌3，自2023年9月起保底变更为20%；计费颗粒度100M</t>
  </si>
  <si>
    <t>NC3CT</t>
  </si>
  <si>
    <t>江西南昌4</t>
  </si>
  <si>
    <t>南昌4电信</t>
  </si>
  <si>
    <t>2021/11/1
2021/12/3</t>
  </si>
  <si>
    <t>210G
-210G</t>
  </si>
  <si>
    <t>2021.11从NC3CT拆出210G，11月免费。保留的10G边缘正常计费。因不涉及计费，2021.12还原</t>
  </si>
  <si>
    <t>L20221129001</t>
  </si>
  <si>
    <t>南昌</t>
  </si>
  <si>
    <t>南昌5电信</t>
  </si>
  <si>
    <t>CDNNCCT4</t>
  </si>
  <si>
    <t>2022/11/1
2022/12/31</t>
  </si>
  <si>
    <t>220G-220G</t>
  </si>
  <si>
    <t>20221231退租。20221101开始计费，保底66G</t>
  </si>
  <si>
    <t>中国联合网络通信有限公司南昌市分公司</t>
  </si>
  <si>
    <t>江西联通</t>
  </si>
  <si>
    <t>L20230519001</t>
  </si>
  <si>
    <t>南昌：南昌联通+南昌2联通</t>
  </si>
  <si>
    <t>南昌2联通</t>
  </si>
  <si>
    <t>CDNNCUN</t>
  </si>
  <si>
    <t>2017/7/1
2019/1/25
2022/7/31
2022/8/31</t>
  </si>
  <si>
    <t>40G
60G
-40G
-40G</t>
  </si>
  <si>
    <t>20220831退租40G，剩余带宽20G，5G保底，颗粒100M。20220731退租40G，剩余带宽60G。
TCO机房：南昌联通+南昌2联通合并计费</t>
  </si>
  <si>
    <t>NC2UN</t>
  </si>
  <si>
    <t>中国移动通信集团江西有限公司南昌分公司</t>
  </si>
  <si>
    <t>南昌移动</t>
  </si>
  <si>
    <t>L20230626008</t>
  </si>
  <si>
    <t>南昌2
NC2CM 0G
NC5CM  200G</t>
  </si>
  <si>
    <t>南昌5移动</t>
  </si>
  <si>
    <t>CDNNCCM2</t>
  </si>
  <si>
    <t>2017/5/12
2022/3/31
2022/5/31
2022/7/31</t>
  </si>
  <si>
    <t>40G+200G
-40G-60G
-80
-40G</t>
  </si>
  <si>
    <t>20220731退租40G，剩余带宽20G，10M,40%保底，8G。从20220501开始带宽总量为60G，
南昌5移动200G于2022.3.31退租60G， 南昌2移动 40G全部退租。
南昌5移动2022.5.31退租80G。</t>
  </si>
  <si>
    <t>NC5CM</t>
  </si>
  <si>
    <t>L20230529002</t>
  </si>
  <si>
    <t>南昌8</t>
  </si>
  <si>
    <t>南昌8移动</t>
  </si>
  <si>
    <t>CDNNCCM3</t>
  </si>
  <si>
    <t>2023/5/5
2023/7/31</t>
  </si>
  <si>
    <t>600G
-200G</t>
  </si>
  <si>
    <t>2023.5.5新增BEC南昌8移动节点，颗粒度10M，保底160G;2023.7.31退租200G，搬迁至南昌9移动和南昌10移动节点</t>
  </si>
  <si>
    <t>NC8CM</t>
  </si>
  <si>
    <t>补5月计提，提263.23G，结267G，补3.77G</t>
  </si>
  <si>
    <t>补9月计提，提220.67G，运营商220.85G，依据合同条款暂以中值220.76G结算，补0.09G</t>
  </si>
  <si>
    <t>南昌9</t>
  </si>
  <si>
    <t>南昌9移动</t>
  </si>
  <si>
    <t>按保底计提。2023.8.10新增BEC南昌9移动节点，颗粒度10M，保底40G;</t>
  </si>
  <si>
    <t>NC9CM</t>
  </si>
  <si>
    <t>南昌10</t>
  </si>
  <si>
    <t>南昌10移动</t>
  </si>
  <si>
    <t>按保底计提。2023.8.10新增BEC南昌10移动节点，颗粒度10M，保底40G;</t>
  </si>
  <si>
    <t>NC10CM</t>
  </si>
  <si>
    <t>南昌11</t>
  </si>
  <si>
    <t>南昌11移动</t>
  </si>
  <si>
    <t>按保底计提。2023.8.4新增BEC南昌11移动节点，颗粒度10M，保底80G;从南昌8移动搬迁</t>
  </si>
  <si>
    <t>NC11CM</t>
  </si>
  <si>
    <t>补8月计提，提69.96G，结72.62G，补2.66G</t>
  </si>
  <si>
    <t>武汉优普拉斯通信有限公司</t>
  </si>
  <si>
    <t>优普拉斯</t>
  </si>
  <si>
    <t>L20231101002</t>
  </si>
  <si>
    <t>优普拉斯_RTC</t>
  </si>
  <si>
    <t>CDNOTHER</t>
  </si>
  <si>
    <t>湖北广佳项目需要采购视频处理算力+IM服务资源，采购时间从2023.10.1开始。颗粒度1M，浮动带宽量，无保底。</t>
  </si>
  <si>
    <t>ypls_rtc</t>
  </si>
  <si>
    <t>华北-WM</t>
  </si>
  <si>
    <t>李腾</t>
  </si>
  <si>
    <t>中国电信股份有限公司北京分公司</t>
  </si>
  <si>
    <t>北京电信</t>
  </si>
  <si>
    <t>L20230626002</t>
  </si>
  <si>
    <t>兆维
BJHW-TELECOM</t>
  </si>
  <si>
    <t>BJHW-电信</t>
  </si>
  <si>
    <t>2007/9/1
2021/1/29</t>
  </si>
  <si>
    <t>140G+120G</t>
  </si>
  <si>
    <t>BJHW-TELECOM</t>
  </si>
  <si>
    <t>补9月计提，提111G，结114.82G，补3.82G</t>
  </si>
  <si>
    <t>科技城CP01
CP01-TELECOM</t>
  </si>
  <si>
    <t>CP01-电信</t>
  </si>
  <si>
    <t>120G-120G</t>
  </si>
  <si>
    <t>于2021.1.29关闭。颗粒度1G；昌平电信原60G+昌平电信新60G 合并新端口计费，保底40G.</t>
  </si>
  <si>
    <t>CP01-TELECOM</t>
  </si>
  <si>
    <t>科技城CP01</t>
  </si>
  <si>
    <t>阳泉电信2</t>
  </si>
  <si>
    <t>60G-60G</t>
  </si>
  <si>
    <t>阳泉1（40G）和阳泉2（60G）节点于2020年8月合并，新建端口组  BJHW-电信CDN。</t>
  </si>
  <si>
    <t>YQ01-TELECOM_N60</t>
  </si>
  <si>
    <t>合并至BJHW-电信CDN</t>
  </si>
  <si>
    <t>兆维CDN静态</t>
  </si>
  <si>
    <t>2014/1/27
2022/5/1
2023/9/4</t>
  </si>
  <si>
    <t>40G
100G
-140G</t>
  </si>
  <si>
    <t>自2022.5.1扩容100G开始，颗粒度100M，保底42G，降价为6000元/月/G（
182215IDC00260）。原颗粒度1G，保底12G。2023.9.4退租140G带宽</t>
  </si>
  <si>
    <t>BJCT</t>
  </si>
  <si>
    <t>次渠CDN</t>
  </si>
  <si>
    <t>BJHW-电信CDN</t>
  </si>
  <si>
    <t>2016/3/19
2018/12/12
2021/5/14
2022/4/15</t>
  </si>
  <si>
    <t>40G
60G
40G
-140G</t>
  </si>
  <si>
    <t>颗粒度1G。保底42G（2021.4.27迁移至次渠机房），阳泉1（40G）和阳泉2（60G）节点于2020年8月合并，新建端口组  BJHW-电信CDN。2021.5.14扩容40G带宽，保底不变。2022.4.15退租140G。</t>
  </si>
  <si>
    <t>BJHW-CT-ST-2</t>
  </si>
  <si>
    <t>次渠CDN静态</t>
  </si>
  <si>
    <t>BJDD-电信CDN</t>
  </si>
  <si>
    <t>BJDD</t>
  </si>
  <si>
    <t>BJDD-CT-ST-1</t>
  </si>
  <si>
    <t>补9月计提，提263.4G，结266.32G，补2.92G</t>
  </si>
  <si>
    <t>兆维
TELECOM_BGP</t>
  </si>
  <si>
    <t>BGP北京电信</t>
  </si>
  <si>
    <t>2009/6/9  
2020-4-15</t>
  </si>
  <si>
    <t>40G+40G</t>
  </si>
  <si>
    <t>按保底计提。颗粒度1G，保底20G。8个万兆端口，其中6个万兆端口收取端口占用费， 3万元/个/月，共计18万元/月（含保底4.8万元/月天翼云服务）；每提高5G保底，可减免一个端口占用费。</t>
  </si>
  <si>
    <t>TELECOM_BGP</t>
  </si>
  <si>
    <t>河北</t>
  </si>
  <si>
    <t>中国电信股份有限公司</t>
  </si>
  <si>
    <t>石家庄电信</t>
  </si>
  <si>
    <t>L20230725016</t>
  </si>
  <si>
    <t>石家庄</t>
  </si>
  <si>
    <t>0G</t>
  </si>
  <si>
    <t>2019-11-30退租120G;保底36G,100M颗粒度；新合同2021.8.1单价降为9500元/G/月</t>
  </si>
  <si>
    <t>SJZCT</t>
  </si>
  <si>
    <t>石家庄2</t>
  </si>
  <si>
    <t>石家庄电信2</t>
  </si>
  <si>
    <t>2019-11-30退租80G,保底24G;2020-1-13退租80G；新合同2021.8.1单价降为9500元/G/月</t>
  </si>
  <si>
    <t>SJZ2CT</t>
  </si>
  <si>
    <t>石家庄3
SJZ3CT</t>
  </si>
  <si>
    <t>石家庄3电信</t>
  </si>
  <si>
    <t>2018/9/1
2022/4/30
2023/8/31</t>
  </si>
  <si>
    <t>160G
-80G
-60G</t>
  </si>
  <si>
    <t>保底24G，100M颗粒度，合同约定单价11583；新合同2021.8.1单价降为9500元/G/月；2022.4.30退租80G带宽。2023.8.31退租60G带宽。差异：0-3取中值，超出协商</t>
  </si>
  <si>
    <t>SJZ3CT</t>
  </si>
  <si>
    <t>补9月计提，提11.1G，结11.18G，补0.08G</t>
  </si>
  <si>
    <t>石家庄4
SJZ4CT</t>
  </si>
  <si>
    <t>石家庄4电信</t>
  </si>
  <si>
    <t>2018/11/1
2021/12/31</t>
  </si>
  <si>
    <t>160G
-160G</t>
  </si>
  <si>
    <t>保底48G，合同约定单价11583；新合同2021.8.1单价降为9500元/G/月；差异：0-1取甲方、1-3取均值、超出协商</t>
  </si>
  <si>
    <t>SJZ4CT</t>
  </si>
  <si>
    <t>廊坊电信</t>
  </si>
  <si>
    <t>廊坊2
LF2CT</t>
  </si>
  <si>
    <t>廊坊2电信</t>
  </si>
  <si>
    <t>2013/11/22
2021/3/31</t>
  </si>
  <si>
    <t>2021.3.31退租，保底48G，100M颗粒度；新合同2021.8.1单价降为9500元/G/月</t>
  </si>
  <si>
    <t>LF2CT</t>
  </si>
  <si>
    <t>廊坊3
LF3CT</t>
  </si>
  <si>
    <t>廊坊3电信</t>
  </si>
  <si>
    <t>2018/7/29
2020/1/1
2022/5/31</t>
  </si>
  <si>
    <t>160G
+140G
-260G</t>
  </si>
  <si>
    <t>合并保底12G，100M颗粒度；新合同2021.8.1单价降为9500元/G/月;2022.5.31退租260G带宽；差异：0-3取中值，超出协商</t>
  </si>
  <si>
    <t>LF3CT</t>
  </si>
  <si>
    <t>补9月计提，提12.7G，结12.84G，补0.14G</t>
  </si>
  <si>
    <t>廊坊4</t>
  </si>
  <si>
    <t>廊坊4电信</t>
  </si>
  <si>
    <t>2018/11/1
2020/1/1</t>
  </si>
  <si>
    <t>140G
-140g</t>
  </si>
  <si>
    <t>2020-1-1廊坊4电信于廊坊3电信合并计费；新合同2021.8.1单价降为9500元/G/月</t>
  </si>
  <si>
    <t>LF4CT</t>
  </si>
  <si>
    <t>廊坊5
LF5CT</t>
  </si>
  <si>
    <t>廊坊5电信</t>
  </si>
  <si>
    <t>2020/5/1
2021/3/31</t>
  </si>
  <si>
    <t>2021.3.31退租，保底42G，100M颗粒度；新合同2021.8.1单价降为9500元/G/月</t>
  </si>
  <si>
    <t>LF5CT</t>
  </si>
  <si>
    <t>唐山电信</t>
  </si>
  <si>
    <t>唐山</t>
  </si>
  <si>
    <t>100G-100G</t>
  </si>
  <si>
    <t>2020年1月10日退租100G,；新合同2021.8.1单价降为9500元/G/月</t>
  </si>
  <si>
    <t>TSCT</t>
  </si>
  <si>
    <t>唐山
TS2CT</t>
  </si>
  <si>
    <t>唐山2电信</t>
  </si>
  <si>
    <t>2019/2/14
2020/1/10
2022/4/30
2022/5/31</t>
  </si>
  <si>
    <t>200G
-40G
-80G
-40G</t>
  </si>
  <si>
    <t>2020年1月10日退租40G,2022.4.30退租80G；2022.5.31退租40G，保底更新为12G，100M颗粒度；差异条款：0-3取中值，超出协商；新合同2021.8.1单价降为9500元/G/月</t>
  </si>
  <si>
    <t>TS2CT</t>
  </si>
  <si>
    <t>中国联合网络通信有限公司河北省分公司</t>
  </si>
  <si>
    <t>河北联通</t>
  </si>
  <si>
    <t>182315IDC00235</t>
  </si>
  <si>
    <t>石家庄1
HBSSLUNICOM</t>
  </si>
  <si>
    <t>河北联通SSL</t>
  </si>
  <si>
    <t>2010/1/8
2021/6/30</t>
  </si>
  <si>
    <t xml:space="preserve"> 2021.6.30节点退租。SSL-1  颗粒度100M，每个万兆端口保底3G。</t>
  </si>
  <si>
    <t>HBSSLUNICOM</t>
  </si>
  <si>
    <t>石家庄2
HBSSLUNICOM-2</t>
  </si>
  <si>
    <t>石家庄联通SSL</t>
  </si>
  <si>
    <t>2010/1/8
2021/5/31
2022/11/30</t>
  </si>
  <si>
    <t>30G
-20G
-10G</t>
  </si>
  <si>
    <t>2022.11.30节点退租。SSL-2   颗粒度100M，保底3G；2021.5.31退租20G带宽。0-3取乙方，超出协商</t>
  </si>
  <si>
    <t>HBSSLUNICOM-2</t>
  </si>
  <si>
    <t>沧州
CANGZUNCACHE</t>
  </si>
  <si>
    <t>沧州联通</t>
  </si>
  <si>
    <t>颗粒度100M，保底48G；0-3取乙方，超出协商</t>
  </si>
  <si>
    <t>CANGZUNCACHE</t>
  </si>
  <si>
    <t>保定
BDUN</t>
  </si>
  <si>
    <t>保定联通二级</t>
  </si>
  <si>
    <t>历史开通
2021/11/1</t>
  </si>
  <si>
    <t>160G
+140G</t>
  </si>
  <si>
    <t>颗粒度100M，保底90G；0-3取乙方，超出协商;2021.10.1扩容140G带宽，自2021.11.1开始计费。</t>
  </si>
  <si>
    <t>BDUNCACHE</t>
  </si>
  <si>
    <t>邯郸
HDUN</t>
  </si>
  <si>
    <t>云自采-邯郸联通</t>
  </si>
  <si>
    <t>80G</t>
  </si>
  <si>
    <t>颗粒度100M，保底24G，扩容到16个万兆按7500元/G/月执行；0-3取乙方，超出协商</t>
  </si>
  <si>
    <t>HDUN</t>
  </si>
  <si>
    <t>邢台
XTUN</t>
  </si>
  <si>
    <t>云自采-邢台联通</t>
  </si>
  <si>
    <t>颗粒度100M，保底48G，扩容到16个万兆按7500元/G/月执行；0-3取乙方，超出协商</t>
  </si>
  <si>
    <t>XTUN</t>
  </si>
  <si>
    <t xml:space="preserve">唐山
唐山2
唐山3
唐山4
TS2UN
</t>
  </si>
  <si>
    <t>唐山4联通</t>
  </si>
  <si>
    <t>TSUN
TS2UN
TS3UN
TS4UN</t>
  </si>
  <si>
    <t>2018/6/20
2018/10/16
2022/5/31
2022/4/30
2022/12/31
2018/11/27
2019/2/20
2022/6/1
2022/12/31
2023/8/31</t>
  </si>
  <si>
    <t>TSUN:160G
-50G
-110G
TS2UN:160G
-60G
-100G
TS4UN:200G
+80G
+20G
-100G
-100G</t>
  </si>
  <si>
    <t>100M颗粒度，保底30G
唐山：于2018.7.25开始计费,保底48G，2022.5.31退租90G带宽后，保底更新为6G；
唐山2：2018.10.16开始计费，保底48G（自2022.1.20开始TS2UN节点160G带宽转BEC使用）；
唐山3：2018.11.27开始计费，保底24G；
唐山4：2019.2.20开始计费，保底60G。
唐山于2020.6.30退租5个端口（唐山3联通80G合并至唐山4联通200个，共280G）;2022.4.30TS2UN节点退租60G带宽。2022.5.31TSUN节点退租90G带宽，剩余20G合并至TS4UN节点上；
TS2UN 100G带宽2022.11.30退租，转TS4UN;2023.8.31TS4UN节点退租100G带宽。节点.0-3取乙方，超出协商</t>
  </si>
  <si>
    <t>TS4UN</t>
  </si>
  <si>
    <t>唐山7</t>
  </si>
  <si>
    <t>唐山7联通</t>
  </si>
  <si>
    <t>TS7UN
（CDNTSUN）</t>
  </si>
  <si>
    <t>2023.1.1新建TS7UN节点200G（由TS4UN节点转100G、TS2UN节点转100G）</t>
  </si>
  <si>
    <t>TS7UN</t>
  </si>
  <si>
    <t>L20210324002</t>
  </si>
  <si>
    <t>唐山6</t>
  </si>
  <si>
    <t>唐山6联通</t>
  </si>
  <si>
    <t>TS6UN</t>
  </si>
  <si>
    <t>2020/7/29
2022/1/1
2022/5/31
2023/4/6</t>
  </si>
  <si>
    <t>150G
+50G
-40G
+40G</t>
  </si>
  <si>
    <t>此节点免费，河北唐山联通 增量150G完成业务测试，已于2020-07-29开始正式切流量上线.;2022.1.1扩容50G带宽；2022.5.31退租40G带宽。2023.4.6扩容40G带宽</t>
  </si>
  <si>
    <t>廊坊
LFUN</t>
  </si>
  <si>
    <t>廊坊联通</t>
  </si>
  <si>
    <t>2018/10/11
2022/5/31</t>
  </si>
  <si>
    <t>2022.5.31节点退租。10.11开始计费，20个万兆端口，60G保底，100M颗粒度；0-3取乙方，超出协商</t>
  </si>
  <si>
    <t>LFUN</t>
  </si>
  <si>
    <t>保定大王店
BDDWD-CU-ST-2</t>
  </si>
  <si>
    <t>BDDWD-联通CDN</t>
  </si>
  <si>
    <t>保定三级联通</t>
  </si>
  <si>
    <t>60G保底
BDDWD机房联通CDN出口开通200G，于2021-9-30交付;于2021.10.1开始计费；（CDN出口给IDC使用；保定三级联通节点）0-3取乙方，超出协商</t>
  </si>
  <si>
    <t>BDDWD-CU-ST-2</t>
  </si>
  <si>
    <t>182115IDC00119</t>
  </si>
  <si>
    <t>保定大王店
BDDWD-CU-ST-1</t>
  </si>
  <si>
    <t>BDDWD-联通</t>
  </si>
  <si>
    <t>2020/10/26
2021/3/1</t>
  </si>
  <si>
    <t>200G+200G</t>
  </si>
  <si>
    <t>按中值计提。2020年10月26日开始计费，100M颗粒度，保底80G。0-3取均值，超出协商</t>
  </si>
  <si>
    <t>BDDWD-CU-ST-1</t>
  </si>
  <si>
    <t>182115IDC00455</t>
  </si>
  <si>
    <t>保定大王店
联通BGP</t>
  </si>
  <si>
    <t>BDDWD-联通BGP</t>
  </si>
  <si>
    <t>按保底计提。2021年2月6日开始计费，合同未签署，暂按100M颗粒度，保底1G，20G端口限速1G。</t>
  </si>
  <si>
    <t>BDDWD-CU-BGP-1</t>
  </si>
  <si>
    <t>石家庄3
BEC</t>
  </si>
  <si>
    <t>石家庄3联通</t>
  </si>
  <si>
    <t>CDNSJZUN</t>
  </si>
  <si>
    <t>450G</t>
  </si>
  <si>
    <t>石家庄3联通边缘计算于2023.5.1开通450G带宽，100M颗粒度，30%保底</t>
  </si>
  <si>
    <t>SJZ3UN</t>
  </si>
  <si>
    <t>衡水
BEC</t>
  </si>
  <si>
    <t>衡水联通</t>
  </si>
  <si>
    <t>CDNHENGSUN</t>
  </si>
  <si>
    <t>250G</t>
  </si>
  <si>
    <t>衡水联通边缘计算于2023.5.1开通250G带宽100M颗粒度，30%保底</t>
  </si>
  <si>
    <t>HENGSUN</t>
  </si>
  <si>
    <t>补6月计提，按保底75G结算，支付74.617G，差额已冲销，本月补计提0.38G</t>
  </si>
  <si>
    <t>沧州2
BEC</t>
  </si>
  <si>
    <t>沧州2联通</t>
  </si>
  <si>
    <t>CDNCANGZUN</t>
  </si>
  <si>
    <t>沧州2联通边缘计算于2023.5.1开通200G带宽100M颗粒度，30%保底</t>
  </si>
  <si>
    <t>CANGZ2UN</t>
  </si>
  <si>
    <t>L20230705001</t>
  </si>
  <si>
    <t>承德
BEC</t>
  </si>
  <si>
    <t>承德联通</t>
  </si>
  <si>
    <t>CDNCHENGDUN</t>
  </si>
  <si>
    <t>承德联通边缘计算于2023.7.1开通100G带宽100M颗粒度，30%保底</t>
  </si>
  <si>
    <t>CHENGDUN</t>
  </si>
  <si>
    <t>L20230725009</t>
  </si>
  <si>
    <t>沧州3
BEC</t>
  </si>
  <si>
    <t>沧州3联通</t>
  </si>
  <si>
    <t>沧州3联通边缘计算于2023.7.1开通100G带宽100M颗粒度，30%保底</t>
  </si>
  <si>
    <t>CANGZ3UN</t>
  </si>
  <si>
    <t>秦皇岛2
BEC</t>
  </si>
  <si>
    <t>秦皇岛2联通</t>
  </si>
  <si>
    <t>CDNQHDUN</t>
  </si>
  <si>
    <t>秦皇岛2联通边缘计算于2023.9.1开通100G带宽100M颗粒度，30%保底</t>
  </si>
  <si>
    <t>QHD2UN</t>
  </si>
  <si>
    <t>中国移动通信集团河北有限公司</t>
  </si>
  <si>
    <t>廊坊移动</t>
  </si>
  <si>
    <t xml:space="preserve">带宽 </t>
  </si>
  <si>
    <t>182215IDC00679</t>
  </si>
  <si>
    <t>保定移动二级
保定2移动二级</t>
  </si>
  <si>
    <t>2018/8/29
2018/11/14
2020/12/31
2023/1/31
2023/9/14
2023/9/15</t>
  </si>
  <si>
    <t>200G
+140G
-20G
-100G
+100G</t>
  </si>
  <si>
    <t>2020.12.31开始保定2移动140G合并至保定移动二级，100M；2023.2.1起与BDGF-移动合并计费，保底144G，。2023.9.14退租100G带宽，转给保定2移动二级CDN节点。差异：3%以内以甲方为准，超出协商。</t>
  </si>
  <si>
    <t>BDCMCACHE</t>
  </si>
  <si>
    <t>补9月计提，提144G，结145.83G，补1.83G</t>
  </si>
  <si>
    <t xml:space="preserve">保定百楼
BD_CM_ST_1 </t>
  </si>
  <si>
    <t>BDGF-移动</t>
  </si>
  <si>
    <t>2023.2.1起转廊坊移动，与保定移动二级节点合并计费。2021.1.19开通40G，保底16G，颗粒度10M。与BDBL-移动合并（另备注：BDGF-移动与保定2移动共160G，属于CDN、高防、SSL共同使用，无法区分，CDN和高防可以用到160G，SSL复用高防20G）</t>
  </si>
  <si>
    <t>BDBL-CM-ST-2</t>
  </si>
  <si>
    <t>保定
DBL-HEBEI_MOBCOM</t>
  </si>
  <si>
    <t>大白楼河北移动</t>
  </si>
  <si>
    <t>于2020.11.30退租。静态带宽，60G，保底18G按照CDN单价计费</t>
  </si>
  <si>
    <t>DBL-HEBEI_MOBCOM</t>
  </si>
  <si>
    <t>保定百楼
BDBL-MOBCOM_BGP</t>
  </si>
  <si>
    <t>保定百楼移动BGP</t>
  </si>
  <si>
    <t>2018/10/25
2023/8/31</t>
  </si>
  <si>
    <t>20G
-16G</t>
  </si>
  <si>
    <t>按保底计提。4G,20%保底即0.8G;2023.8.31退租16G带宽。</t>
  </si>
  <si>
    <t>BDBL-MOBCOM_BGP</t>
  </si>
  <si>
    <t>中国移动通信集团河北有限公司承德分公司</t>
  </si>
  <si>
    <t>承德移动</t>
  </si>
  <si>
    <t>L20230626003</t>
  </si>
  <si>
    <t xml:space="preserve">CDN带宽 </t>
  </si>
  <si>
    <t>承德2
BEC</t>
  </si>
  <si>
    <t>承德2移动</t>
  </si>
  <si>
    <t>CDNCHENGDCM</t>
  </si>
  <si>
    <t>按保底计提。承德2移动BEC节点，2023.1.9开通200G带宽，40%保底，10M颗粒度</t>
  </si>
  <si>
    <t>CHENGD2CM</t>
  </si>
  <si>
    <t>中国移动通信集团河北有限公司保定分公司</t>
  </si>
  <si>
    <t>保定移动</t>
  </si>
  <si>
    <t>L20230626004</t>
  </si>
  <si>
    <t>保定计费组
BD_CM_ST_1</t>
  </si>
  <si>
    <t>BDBL-移动</t>
  </si>
  <si>
    <t>2020/3/1
2020/11/27
2020/11/28
2021/10/1</t>
  </si>
  <si>
    <t>100G
+60G
+160G
+280G</t>
  </si>
  <si>
    <t>按保底计提。合并保底共360G，10M颗粒度
静态端口从3月1号开始保留100G，自2020年7月开始执行6100元/g/月，保底40G，.2020.11.27扩容60G，保底24G，。2020.11.28扩容160G，保底64G。2021.9.30扩容280G，于2021.10.1开始计费；CDN出口实际是IDC使用；差异：0-3取均值，超出协商。</t>
  </si>
  <si>
    <t>BDBL-CM-ST-1</t>
  </si>
  <si>
    <t xml:space="preserve">保定
BD_CM_ST_1 </t>
  </si>
  <si>
    <t>BDBL-移动CDN</t>
  </si>
  <si>
    <t>保定三级移动</t>
  </si>
  <si>
    <t>2020/12/30
2021/4/1</t>
  </si>
  <si>
    <t>100G+160G</t>
  </si>
  <si>
    <t>自2021.4.1开始，2020.12.30开通的100G从BDBL-移动中拆分出来，并扩容至260G，保底104G，颗粒度10M。保定三级移动节点使用。与BDBL-移动合并</t>
  </si>
  <si>
    <t>BDBL-CM-ST-3</t>
  </si>
  <si>
    <t>2021/1/19
2023/2/1</t>
  </si>
  <si>
    <t>40G
-40G</t>
  </si>
  <si>
    <t xml:space="preserve">保定2移动
BD_CM_ST_1 </t>
  </si>
  <si>
    <t>保定2移动</t>
  </si>
  <si>
    <t>历史开通
2020/12/31
2021/1/1
2022/12/31</t>
  </si>
  <si>
    <t>140G-140G+120G
-120G</t>
  </si>
  <si>
    <t>2020.12.31开通120G，于2021.1.1开始计费，40%保底，100M颗粒度，保底48G。与BDBL-移动合并（另备注：BDGF-移动与保定2移动共160G，属于CDN、高防、SSL共同使用，无法区分，CDN和高防可以用到160G，SSL复用高防20G）2022.12.31退租120G。</t>
  </si>
  <si>
    <t>BD2CM</t>
  </si>
  <si>
    <t>中国电信股份有限公司保定分公司</t>
  </si>
  <si>
    <t>保定电信</t>
  </si>
  <si>
    <t>182115IDC00095</t>
  </si>
  <si>
    <t>保定大王店
BDDWD-CT-ST-1</t>
  </si>
  <si>
    <t>BDDWD-电信</t>
  </si>
  <si>
    <t>BDDWD-CT-ST-1</t>
  </si>
  <si>
    <t>定兴
BDDX-CT-ST-2</t>
  </si>
  <si>
    <t>BDDX-电信CDN</t>
  </si>
  <si>
    <t>保定三级电信</t>
  </si>
  <si>
    <t>2021/1/1
2021/9/1</t>
  </si>
  <si>
    <t>200G
+200G</t>
  </si>
  <si>
    <t>BDDX-CT-ST-2</t>
  </si>
  <si>
    <t>定兴
BDDX-CT-ST-1</t>
  </si>
  <si>
    <t>BDDX-电信</t>
  </si>
  <si>
    <t>BDDX</t>
  </si>
  <si>
    <t>BDDX-CT-ST-1</t>
  </si>
  <si>
    <t>保定大王店
电信BGP</t>
  </si>
  <si>
    <t>BDDWD-电信BGP</t>
  </si>
  <si>
    <t>按保底计提。2021年2月1日开始计费，合同未签署，暂按100M颗粒度，保底1G；20G端口限速1G。</t>
  </si>
  <si>
    <t>BDDWD-CT-BGP-1</t>
  </si>
  <si>
    <t>WM</t>
  </si>
  <si>
    <t>182315IDC00433</t>
  </si>
  <si>
    <t>保定</t>
  </si>
  <si>
    <t>超巨云威_河北电信ICT</t>
  </si>
  <si>
    <t>颗粒度1M，保底0G;
差异：5%以内取百度，5%~8%取中值，超出协商</t>
  </si>
  <si>
    <t>cjcdn_hbdxict</t>
  </si>
  <si>
    <t>华北-lijia</t>
  </si>
  <si>
    <t>中国联合网络通信有限公司北京市分公司</t>
  </si>
  <si>
    <t>北京联通</t>
  </si>
  <si>
    <t>182215IDC00131</t>
  </si>
  <si>
    <t>次渠</t>
  </si>
  <si>
    <t>北京2联通</t>
  </si>
  <si>
    <t>历史开通
2019/1/25
2022/5/31</t>
  </si>
  <si>
    <t>100G+200G-200G-100G</t>
  </si>
  <si>
    <t>20220531退租BJ2UN200G，BJUN100G，颗粒度100M，保底由140G/月调整为2400G/年，单价由13000元/G/月降低至10000元/G/月，降幅23%。新增弹性计费条款：全年按照2400G承诺保底， 前11个月可按照实际流量付费，最后一个月按照全年保底2400G清算费用系统部已核实此节点合并BJUN+BJ2UN=300G计费；自2019年1月25日开始带宽按新价格执行。按协议1%以内以乙方为准，1%-5%取平均值。</t>
  </si>
  <si>
    <t>BJ2UN</t>
  </si>
  <si>
    <t>182115IDC00017</t>
  </si>
  <si>
    <t>联通BGP</t>
  </si>
  <si>
    <t>60G</t>
  </si>
  <si>
    <t>颗粒度100M，保底4G；3%以内乙方数据为准，3%-5%取中值。UNICOM_BGP端口20G，M1-UNICOM_BGP端口40G合并计费</t>
  </si>
  <si>
    <t>M1-UNICOM_BGP</t>
  </si>
  <si>
    <t>经SYS确认，2021年2月5日，CQ02的20G退租，土城40G迁移至窦店40G</t>
  </si>
  <si>
    <t>182115IDC00034</t>
  </si>
  <si>
    <t>窦店</t>
  </si>
  <si>
    <t>按保底计提，经SYS确认，2021年2月5日，CQ02的20G退租，土城40G迁移至窦店40G，颗粒度100M，保底4G；3%以内乙方数据为准，3%-5%取中值。</t>
  </si>
  <si>
    <t>M1-CU-BGP-1</t>
  </si>
  <si>
    <t>L20230630005</t>
  </si>
  <si>
    <t>土城24-土城24、次渠18-次渠18、窦店20+12-2</t>
  </si>
  <si>
    <t>窦店联通</t>
  </si>
  <si>
    <t>历史开通
2019/1/25，20210205退租土城，20220131退租次渠180,202204退租窦店20</t>
  </si>
  <si>
    <t>240G+180G+200G-240G+120-180-20</t>
  </si>
  <si>
    <t>按中值计提，202204退租20G，现共计300G，保底50G，2022.1.31次渠退租，BJDD机房联通出口扩容120G至320G，于2021-4-30交付，现共计500G，第二阶段2021年4月1日至协议有效期结束：保底带宽70G/月，即每月支付带款费不少于245万元；保底带宽单价3.5万元/1000M/月。溢出流量（弹性带宽）单价：3500元/100M/月。颗粒度100M，保底70G，静态带宽，带宽降价。3%以内乙方数据为准，3%-5%取中值。原来TC端口240G、CQ02端口180G，BJDD-UNICOM端口200G合并计费，共620G，2月TC退租240G，CQ02端口180G，BJDD-UNICOM端口200G合并计费，共380G后续会扩容</t>
  </si>
  <si>
    <t>BJDD-UNICOM</t>
  </si>
  <si>
    <t>中国移动通信集团北京有限公司</t>
  </si>
  <si>
    <t>北京移动</t>
  </si>
  <si>
    <t>L20221228014</t>
  </si>
  <si>
    <t>北京基地</t>
  </si>
  <si>
    <t>北京2移动</t>
  </si>
  <si>
    <t>CDNBJCM</t>
  </si>
  <si>
    <t>历史开通,2022/5/31</t>
  </si>
  <si>
    <t>100G-80G</t>
  </si>
  <si>
    <t>20220531退租BJ2CM80G，颗粒度10M，保底8G，系统部已核实此节点100G，9月1号开始先款后票</t>
  </si>
  <si>
    <t>BJ2CM</t>
  </si>
  <si>
    <t>181915IDC00099</t>
  </si>
  <si>
    <t>顺义华威</t>
  </si>
  <si>
    <t>华威移动</t>
  </si>
  <si>
    <t>2010/6/1
历史开通</t>
  </si>
  <si>
    <t>补202309，计提84，结算89.56，补5.56</t>
  </si>
  <si>
    <t>颗粒度1G。保底72G，降为35000元/G/月。与系统部核实华威移动+华威移动原80G+华威移动新60G=240G合并计费</t>
  </si>
  <si>
    <t>BJHW-MOBCOM</t>
  </si>
  <si>
    <t>L20230327006</t>
  </si>
  <si>
    <t>移动-M1</t>
  </si>
  <si>
    <t>BGP移动-M1</t>
  </si>
  <si>
    <t>2010/6/1，2023/8/31</t>
  </si>
  <si>
    <t>40G-20G</t>
  </si>
  <si>
    <t>2023.8.31退租20G，需要注意BD告知20200401开始为12万，保底4G；（3G以内15，以上12），颗粒度100M</t>
  </si>
  <si>
    <t>M1-MOBCOM_BGP</t>
  </si>
  <si>
    <t>亦庄移动</t>
  </si>
  <si>
    <t>002215IDC00023</t>
  </si>
  <si>
    <t>亦庄</t>
  </si>
  <si>
    <t>按照保底计提，颗粒度1G，保底50G。0-50G，5万</t>
  </si>
  <si>
    <t>BJYZ-MOBILE</t>
  </si>
  <si>
    <t>颗粒度1G，保底50G，大于50G，超保底3万</t>
  </si>
  <si>
    <t>中移铁通有限公司北京分公司</t>
  </si>
  <si>
    <t>北京铁通</t>
  </si>
  <si>
    <t>182215IDC00216</t>
  </si>
  <si>
    <t>铁通</t>
  </si>
  <si>
    <t>BGP铁通</t>
  </si>
  <si>
    <t>20G包端口</t>
  </si>
  <si>
    <t>按照保底计提，包端口，每10G，3.5万元。包端口20G。需要用该金额减去系统数再做一个正预提</t>
  </si>
  <si>
    <t>TieTong_BGP</t>
  </si>
  <si>
    <t>北京3移动</t>
  </si>
  <si>
    <t>按保底计提，21年12月10日开始启用，测试期到12月20日，21日开始计费，颗粒度100M，保底64G</t>
  </si>
  <si>
    <t>BJ3CM</t>
  </si>
  <si>
    <t>182315IDC00391</t>
  </si>
  <si>
    <t>北京4移动</t>
  </si>
  <si>
    <t>CDNBJTT2</t>
  </si>
  <si>
    <t>【CDN新建】北京北京移动新建100G  2023-06-02 节点正式上线  (BJ4CM)，颗粒度100M，保底40G</t>
  </si>
  <si>
    <t>BJ4CM</t>
  </si>
  <si>
    <t>甘肃</t>
  </si>
  <si>
    <t>中电万维信息技术有限责任公司</t>
  </si>
  <si>
    <t>甘肃电信</t>
  </si>
  <si>
    <t>L20230424005</t>
  </si>
  <si>
    <t>兰州</t>
  </si>
  <si>
    <t>兰州9电信</t>
  </si>
  <si>
    <t>2016/8/2,2022/8/31,2023/5/31</t>
  </si>
  <si>
    <t>2023.5.31退租，2022.9.1开始原兰州3 兰州4 兰州5 兰州9合并计费，拆分为单独计费。兰州9共40G，保底12G。LZCT节点改名为LZ9CT，合并至LZ3CT，甘肃电信目前存量720G、合同按集团集约签署11.3万/G/年、实际结算价格为10万/G/年，每万兆保底3G，即12G。与百度云节点合并端口。100M</t>
  </si>
  <si>
    <t>LZ9CT</t>
  </si>
  <si>
    <t>兰州3电信</t>
  </si>
  <si>
    <t>2017/9/11，2022/8/31，2023/8/31</t>
  </si>
  <si>
    <t>200G+160G+160G+40G-360G（兰州4 兰州5 兰州9）-20G</t>
  </si>
  <si>
    <t>【CDN退租】CDN甘肃兰州电信退租信息 (LZ3CT)，2023.8.31退租20G，2022.9.1开始原兰州3 兰州4 兰州5  兰州9合并计费，拆分为单独计费。兰州3共200G，保底60G。甘肃电信目前存量720G、合同按集团集约签署11.3万/G/年、实际结算价格为10万/G/年，2020.7.10LZ2CT退40G，扩容到LZ3CT 
每万兆保底3G，即156G。颗粒度100M
LZ3CT LZ4CT LZ5CT合并计费，流量出在LZ3C</t>
  </si>
  <si>
    <t>LZ3CT</t>
  </si>
  <si>
    <t>兰州4电信</t>
  </si>
  <si>
    <t>2017/9/11
2022/8/31</t>
  </si>
  <si>
    <t>2022.9.1开始原兰州3 兰州4 兰州5  兰州9合并计费，拆分为单独计费。兰州4共160G，保底48G。甘肃电信目前存量720G、合同按集团集约签署11.3万/G/年、实际结算价格为10万/G/年，2020.7.10LZ2CT退40G，扩容到LZ3CT 
每万兆保底3G，即156G。颗粒度100M
LZ3CT LZ4CT LZ5CT合并计费，流量出在LZ3C</t>
  </si>
  <si>
    <t>LZ4CT</t>
  </si>
  <si>
    <t>兰州5电信</t>
  </si>
  <si>
    <t>2022.9.1开始原兰州3 兰州4 兰州5  兰州9合并计费，拆分为单独计费。兰州5共160G，保底48G。甘肃电信目前存量720G、合同按集团集约签署11.3万/G/年、实际结算价格为10万/G/年，2020.7.10LZ2CT退40G，扩容到LZ3CT 
每万兆保底3G，即156G。颗粒度100M
LZ3CT LZ4CT LZ5CT合并计费，流量出在LZ3C</t>
  </si>
  <si>
    <t>LZ5CT</t>
  </si>
  <si>
    <t>平凉电信
PLCT</t>
  </si>
  <si>
    <t>平凉电信</t>
  </si>
  <si>
    <t>2018/4/27,2023/5/31</t>
  </si>
  <si>
    <t>160G-160G</t>
  </si>
  <si>
    <t>2023.5.31退租，甘肃电信目前存量720G、合同按集团集约签署11.3万/G/年、实际结算价格为10万/G/年，每万兆保底3G，即48G，100M</t>
  </si>
  <si>
    <t>PLCT</t>
  </si>
  <si>
    <t>华东-lijia</t>
  </si>
  <si>
    <t>安徽</t>
  </si>
  <si>
    <t>中国电信股份有限公司马鞍山分公司</t>
  </si>
  <si>
    <t>安徽电信</t>
  </si>
  <si>
    <t>182315IDC00491</t>
  </si>
  <si>
    <t>马鞍山电信
MASCT</t>
  </si>
  <si>
    <t>马鞍山电信</t>
  </si>
  <si>
    <t>2019/4/13
2019/12/31</t>
  </si>
  <si>
    <t>202301降价为9500，保底6G,1M</t>
  </si>
  <si>
    <t>MASCT</t>
  </si>
  <si>
    <t>宁夏</t>
  </si>
  <si>
    <t>中国电信股份有限公司宁夏分公司</t>
  </si>
  <si>
    <t>宁夏电信</t>
  </si>
  <si>
    <t>182315IDC00395</t>
  </si>
  <si>
    <t>银川电信 YCCT</t>
  </si>
  <si>
    <t>银川电信</t>
  </si>
  <si>
    <t>2018/10/25
2022/3/31</t>
  </si>
  <si>
    <t>银川节点退租。2022/3/31退租40G,保底12G,颗粒度100M</t>
  </si>
  <si>
    <t>YCCT</t>
  </si>
  <si>
    <t>中卫2电信 ZW2CT</t>
  </si>
  <si>
    <t>中卫2电信</t>
  </si>
  <si>
    <t>40G-10G-20G</t>
  </si>
  <si>
    <t>补202309，计提3.7，结算3.77，补0.07</t>
  </si>
  <si>
    <t>2023/7/31退租20G，2022/3/31退租10G,保底3G,颗粒度100M</t>
  </si>
  <si>
    <t>ZW2CT</t>
  </si>
  <si>
    <t>中卫
ZWCT</t>
  </si>
  <si>
    <t>中卫电信</t>
  </si>
  <si>
    <t>2018/4/24
2022/3/31
2022/5/31</t>
  </si>
  <si>
    <t>40G-10G
-30G</t>
  </si>
  <si>
    <t>2022/5/31节点退租。2022/3/31退租10G,保底12G,颗粒度100M</t>
  </si>
  <si>
    <t>ZWCT</t>
  </si>
  <si>
    <t>华南-lijia</t>
  </si>
  <si>
    <t>青海</t>
  </si>
  <si>
    <t>中国电信股份有限公司青海分公司</t>
  </si>
  <si>
    <t>西宁电信</t>
  </si>
  <si>
    <t>182315IDC00454</t>
  </si>
  <si>
    <t>西宁-建国路IDC机房</t>
  </si>
  <si>
    <t>CDNXNCT</t>
  </si>
  <si>
    <t>（1）需要注意此节点下线合并至西宁2电信；（2）颗粒度100M，保底12G</t>
  </si>
  <si>
    <t>XNCT</t>
  </si>
  <si>
    <t>西宁2电信</t>
  </si>
  <si>
    <t>2018/11/1
2020/6/8
2022/5/31</t>
  </si>
  <si>
    <t>80G+40G
-100G</t>
  </si>
  <si>
    <t>补202309，计提7.77，结算7.83，补0.06</t>
  </si>
  <si>
    <t>（1）20200608西宁电信40G和西宁2电信合并计费；（2）颗粒度1M，保底36G</t>
  </si>
  <si>
    <t>XN2CT</t>
  </si>
  <si>
    <t>河南</t>
  </si>
  <si>
    <t>中国电信集团有限公司河南分公司</t>
  </si>
  <si>
    <t>洛阳电信</t>
  </si>
  <si>
    <t>L20220627004</t>
  </si>
  <si>
    <t>洛阳电信+洛阳3电信 LYCT 200G
LY3CT  100G</t>
  </si>
  <si>
    <t>2015/11/1
2018/4/28
2018/10/22
2022/5/31
2022/5/31
2022/8/31</t>
  </si>
  <si>
    <t>120G
80G
100G
LY3CT-100G
LYCT-190G
G
LYCT-10G</t>
  </si>
  <si>
    <t>2022/8/31退租10G，节点下线。2022/5/31洛阳3电信退租100G，洛阳电信退租190G，从2022.6开始带宽量为10G。LY3CT(2018/10/22 100G)与LYCT 200G合并至LYCT，保底3G，30%保底。100M</t>
  </si>
  <si>
    <t>LYCT</t>
  </si>
  <si>
    <t>洛阳电信2 LY2CT</t>
  </si>
  <si>
    <t>洛阳2电信</t>
  </si>
  <si>
    <t>2019/6/25
2019/12/31</t>
  </si>
  <si>
    <t>2019/12/31退租。保底35G，颗粒度100M。
原LY2CT的80G合并至LYCT。目前LY2CT的100G即为19.6.25扩容后的100G</t>
  </si>
  <si>
    <t>LY2CT</t>
  </si>
  <si>
    <t>郑州电信</t>
  </si>
  <si>
    <t>182315IDC00275</t>
  </si>
  <si>
    <t>郑州</t>
  </si>
  <si>
    <t>郑州4电信</t>
  </si>
  <si>
    <t>补202309，计提31，结算31.24，补0.24</t>
  </si>
  <si>
    <t>商务确认6月5日开始计费，河南郑州电信 增量100G完成业务测试，已于2021-06-04开始正式切流量上线，颗粒度1M</t>
  </si>
  <si>
    <t>ZZ4CT</t>
  </si>
  <si>
    <t>L20210827008</t>
  </si>
  <si>
    <t>郑州5电信</t>
  </si>
  <si>
    <t>2021/8/4,2022/2/16</t>
  </si>
  <si>
    <t>30G-30G</t>
  </si>
  <si>
    <t>节点退租。本次30g为河南电信赠送、赠送时长为6个月12天，8月4日正式开始增送，河南郑州电信新建30G  2021-08-04 节点正式上线  (ZZ5CT)，2022/2/16退租</t>
  </si>
  <si>
    <t>ZZ5CT</t>
  </si>
  <si>
    <t>山西</t>
  </si>
  <si>
    <t>中国电信集团有限公司山西分公司</t>
  </si>
  <si>
    <t>山西电信</t>
  </si>
  <si>
    <t>L20230531003</t>
  </si>
  <si>
    <t>太原2</t>
  </si>
  <si>
    <t>太原电信2</t>
  </si>
  <si>
    <t>颗粒度100M，保底12G，合并在太原3电信</t>
  </si>
  <si>
    <t>TY2CT</t>
  </si>
  <si>
    <t>太原3
TY3CT</t>
  </si>
  <si>
    <t>太原3电信</t>
  </si>
  <si>
    <t>2019/5/15
2022/5/31</t>
  </si>
  <si>
    <t>160G+40G
-140G</t>
  </si>
  <si>
    <t>2022/5/31退租140G，从2022.6开始带宽量为60G。5月初赠送100G*7天，100M颗粒度，18G保底；新建节点，费用参考存量节点</t>
  </si>
  <si>
    <t>TY3CT</t>
  </si>
  <si>
    <t>阳泉电信</t>
  </si>
  <si>
    <t>182315IDC00188</t>
  </si>
  <si>
    <t>阳泉
YQ01-TELECOM</t>
  </si>
  <si>
    <t>YQ01-电信</t>
  </si>
  <si>
    <t>保底30G,颗粒度100M</t>
  </si>
  <si>
    <t>YQ01-TELECOM</t>
  </si>
  <si>
    <t>西藏</t>
  </si>
  <si>
    <t>中国电信集团有限公司拉萨分公司</t>
  </si>
  <si>
    <t>拉萨电信</t>
  </si>
  <si>
    <t>L20230926002</t>
  </si>
  <si>
    <t>拉萨</t>
  </si>
  <si>
    <t>CDNLASCT</t>
  </si>
  <si>
    <t>2019/2/7
2019/8/25
2021/12/31</t>
  </si>
  <si>
    <t>10G+30G-20G</t>
  </si>
  <si>
    <t>自23年9月1日起，我方若实际用量未达保底，请以百度侧实际流量为计费依据。21年12月31日退租20G，颗粒度1M，保底10G，超保底收费</t>
  </si>
  <si>
    <t>LASCT</t>
  </si>
  <si>
    <t>中国联合网络通信有限公司大同市分公司</t>
  </si>
  <si>
    <t>大同联通</t>
  </si>
  <si>
    <t>L20220304002</t>
  </si>
  <si>
    <t>大同
DTUN</t>
  </si>
  <si>
    <t>2018/8/20
2022/3/31</t>
  </si>
  <si>
    <t>2022/3/31退租160G，自2020.9开始合并在大同联通节点上，本月SYS流量出在大同联通节点。4-1开始执行集约价格，需要重新签署合同。与大同2联通合并取量。100M颗粒，48G保底,依据合同，差异率在3%-5%取平均值</t>
  </si>
  <si>
    <t>DTUN</t>
  </si>
  <si>
    <t>大同
DT2UN</t>
  </si>
  <si>
    <t>大同2联通</t>
  </si>
  <si>
    <t>2020-4-30退租160G;4-1开始执行集约价格，需要重新签署合同。2020年3月免费赠送。100M颗粒，与大同1共保底48G,依据合同，差异率在3%-5%取平均值</t>
  </si>
  <si>
    <t>DT2UN</t>
  </si>
  <si>
    <t>中国联合网络通信有限公司定西市分公司</t>
  </si>
  <si>
    <t>甘肃联通</t>
  </si>
  <si>
    <t>182315IDC00097</t>
  </si>
  <si>
    <t>兰州
LZ2UN</t>
  </si>
  <si>
    <t>兰州2联通</t>
  </si>
  <si>
    <t>2020/12/1
2022/9/1</t>
  </si>
  <si>
    <t>20G
20G</t>
  </si>
  <si>
    <t>按运营商数据计提，2022/9/1 从兰州3联通迁移20G至兰州2联通。保底12G，100M颗粒度。</t>
  </si>
  <si>
    <t>LZ2UN</t>
  </si>
  <si>
    <t>LZ3UN</t>
  </si>
  <si>
    <t>兰州3联通</t>
  </si>
  <si>
    <t>2022/3/2
2022/9/1</t>
  </si>
  <si>
    <t>2022/9/1 从兰州3联通迁移20G至兰州2联通，兰州3联通节点下线。免费4个半月，从2022.8.16开始计费。甘肃兰州联通 增量20G完成业务测试，已于2022-03-02开始正式切流量上线</t>
  </si>
  <si>
    <t>L20230829008</t>
  </si>
  <si>
    <t>DXUN</t>
  </si>
  <si>
    <t>定西联通</t>
  </si>
  <si>
    <t>CDNDXUN</t>
  </si>
  <si>
    <t>2023/8/1
2023/9/1</t>
  </si>
  <si>
    <t>20G+20G</t>
  </si>
  <si>
    <t>【CDN新建】甘肃定西联通  2023-08-01  新建20G节点正式上线  (DXUN)，23.8.1开始计费，免费节点，9月1日新增20G</t>
  </si>
  <si>
    <t>中国联合网络通信有限公司合肥市分公司</t>
  </si>
  <si>
    <t>合肥联通</t>
  </si>
  <si>
    <t>182215IDC00057</t>
  </si>
  <si>
    <t>合肥：合肥联通+合肥2联通</t>
  </si>
  <si>
    <t>合肥2联通</t>
  </si>
  <si>
    <t>2017/1/13
2019/5/7
2022/5/31</t>
  </si>
  <si>
    <t>40G
40G
-40G</t>
  </si>
  <si>
    <t>按中值计提，2022/5/31退租40G，从2022.6开始带宽量为40G，共保底12G，颗粒度100M
TCO机房：合肥联通+合肥2联通合并计费</t>
  </si>
  <si>
    <t>HF2UN</t>
  </si>
  <si>
    <t>182315IDC00535</t>
  </si>
  <si>
    <t>合肥</t>
  </si>
  <si>
    <t>合肥3联通</t>
  </si>
  <si>
    <t>CDNHFUN</t>
  </si>
  <si>
    <t>2023/4/1
2023/5/1
2023/5/12
2023/5/31
2023/6/1</t>
  </si>
  <si>
    <t>1G+20G+30G-1G+150G</t>
  </si>
  <si>
    <t>按运营商数据计提，1+20+30-1+150,【BEC新建】合肥联通新建1G 2023-4-1节点正式上线 (HF3UN)</t>
  </si>
  <si>
    <t>HF3UN</t>
  </si>
  <si>
    <t>L20230427002</t>
  </si>
  <si>
    <t>合肥4联通</t>
  </si>
  <si>
    <t>CDNHFUN2</t>
  </si>
  <si>
    <t>2023/6/1
2023/7/31
2023/8/31</t>
  </si>
  <si>
    <t>40G-20G-20G</t>
  </si>
  <si>
    <t>6.1-8.15免费，2023.8.31退租20G，2023.7.31退租20G，【CDN新建】安徽合肥联通新建40G  2023-06-01 节点正式上线  (HF4UN)</t>
  </si>
  <si>
    <t>HF4UN</t>
  </si>
  <si>
    <t>中国联合网络通信有限公司马鞍山市分公司</t>
  </si>
  <si>
    <t>马鞍山联通</t>
  </si>
  <si>
    <t>182315IDC00455</t>
  </si>
  <si>
    <t>马鞍山</t>
  </si>
  <si>
    <t>CDNMASUN</t>
  </si>
  <si>
    <t>2023/5/1
2023/6/30</t>
  </si>
  <si>
    <t>240G-120G</t>
  </si>
  <si>
    <t>按保底计提，【CDN新建】马鞍山联通 新建240G 2023-05-01 节点正式上线 (MASUN)，颗粒度100M，保底72G，6月30日退租120G</t>
  </si>
  <si>
    <t>MASUN</t>
  </si>
  <si>
    <t>中国联合网络通信有限公司河南省分公司</t>
  </si>
  <si>
    <t>河南联通</t>
  </si>
  <si>
    <t>182215IDC00425</t>
  </si>
  <si>
    <t>中原基地 ZZUN+ZZSSLUNICOM</t>
  </si>
  <si>
    <t>郑州联通SSL</t>
  </si>
  <si>
    <t>2013/7/11
2019/10/31</t>
  </si>
  <si>
    <t>180G
-160G
-20G</t>
  </si>
  <si>
    <t>23年4月30日退租20G。从19.11.1开始只剩SSL20G，1M颗粒，保底30%，即6G</t>
  </si>
  <si>
    <t>ZZSSLUNICOM</t>
  </si>
  <si>
    <t>郑州3（西区）中原基地 ZZ3UN</t>
  </si>
  <si>
    <t>郑州3联通</t>
  </si>
  <si>
    <t>2018/8/25
2019/10/31
2022/6/30</t>
  </si>
  <si>
    <t>160G
-40G
-120G</t>
  </si>
  <si>
    <t>2022.6.30节点全部退租。36G保底，30%.1M颗粒度</t>
  </si>
  <si>
    <t>ZZ3UN</t>
  </si>
  <si>
    <t>郑州二长 ZZ2UN</t>
  </si>
  <si>
    <t>郑州联通2</t>
  </si>
  <si>
    <t>2018/3/29
2022/5/31</t>
  </si>
  <si>
    <t>2022/5/31节点退租。保底48G 1M</t>
  </si>
  <si>
    <t>ZZ2UN</t>
  </si>
  <si>
    <t>新乡 XXUN</t>
  </si>
  <si>
    <t>新乡联通</t>
  </si>
  <si>
    <t>2018/3/26
2021/12/31</t>
  </si>
  <si>
    <t>2021年12月31日退租，保底48G,1M</t>
  </si>
  <si>
    <t>XXUN</t>
  </si>
  <si>
    <t>驻马店 ZMDUN</t>
  </si>
  <si>
    <t>驻马店联通</t>
  </si>
  <si>
    <t>2018/5/10
2020/7/31</t>
  </si>
  <si>
    <t>2020/7/31退租。保底48G，1M</t>
  </si>
  <si>
    <t>ZMDUN</t>
  </si>
  <si>
    <t>洛阳 LYUN</t>
  </si>
  <si>
    <t>洛阳联通</t>
  </si>
  <si>
    <t>2018/8/25
2021/12/31</t>
  </si>
  <si>
    <t>2021年12月31日退租，48G保底，1M颗粒度</t>
  </si>
  <si>
    <t>LYUN</t>
  </si>
  <si>
    <t>郑州4 中原基地 ZZ4UN</t>
  </si>
  <si>
    <t>郑州4联通</t>
  </si>
  <si>
    <t>2019/2/1
2022/5/31
2023/9/30</t>
  </si>
  <si>
    <t>160G-60G-40G</t>
  </si>
  <si>
    <t>补202306，计提31.96，运营商32.66，按中值32.31补0.35</t>
  </si>
  <si>
    <t>补202307，计提32.62，运营商33.38，按中值33补0.38</t>
  </si>
  <si>
    <t>补202308，计提30，运营商30.39，按中值30.12补0.12</t>
  </si>
  <si>
    <t>补202309，计提32.27，运营商32.91，按中值32.59补0.32</t>
  </si>
  <si>
    <t>2023/9/30退租40G，2022/5/31退租60G，2022.6开始带宽量为100G。30G保底，1M颗粒度</t>
  </si>
  <si>
    <t>ZZ4UN</t>
  </si>
  <si>
    <t>云-信阳联通</t>
  </si>
  <si>
    <t>L20221229031</t>
  </si>
  <si>
    <t>信阳 XINYUN</t>
  </si>
  <si>
    <t>云自采-信阳联通</t>
  </si>
  <si>
    <t>2018/2/13
2021/12/31
2022/5/31</t>
  </si>
  <si>
    <t>160G-80G
-80G</t>
  </si>
  <si>
    <t>2022/5/31节点退租。2021年12月31日退租80G,1M颗粒度，保底24G</t>
  </si>
  <si>
    <t>XINYUN</t>
  </si>
  <si>
    <t>云-周口联通</t>
  </si>
  <si>
    <t>周口 ZKUN</t>
  </si>
  <si>
    <t>云自采-周口联通</t>
  </si>
  <si>
    <t>2017/8/24
2022/5/31</t>
  </si>
  <si>
    <t>2022/5/31节点退租。保底48G。1M.新合同续签：赠送8个机架</t>
  </si>
  <si>
    <t>ZKUN</t>
  </si>
  <si>
    <t>中国联合网络通信有限公司拉萨市分公司</t>
  </si>
  <si>
    <t>西藏联通</t>
  </si>
  <si>
    <t>182315IDC00307</t>
  </si>
  <si>
    <t>拉萨联通</t>
  </si>
  <si>
    <t>CDNLASUN</t>
  </si>
  <si>
    <t>按保底计提。需要注意2020年3月1日开始买断模式计费每月1G。2019年1月1日开始正式计费，合同约定自然月计费。</t>
  </si>
  <si>
    <t>LASUN</t>
  </si>
  <si>
    <t>中国联合网络通信有限公司临汾市分公司</t>
  </si>
  <si>
    <t>临汾联通</t>
  </si>
  <si>
    <t>182215IDC00354</t>
  </si>
  <si>
    <t>临汾</t>
  </si>
  <si>
    <t>2018/8/2
2022/7/13</t>
  </si>
  <si>
    <t>160G-160G
220G</t>
  </si>
  <si>
    <t>LINFUN</t>
  </si>
  <si>
    <t>临汾2
LINFUN 220G
LINF2UN 120G-退租
LINFUNGROUP</t>
  </si>
  <si>
    <t>临汾2联通</t>
  </si>
  <si>
    <t>2018/8/2
2020/6/1
2022/5/31
2022/5/31
2022/7/13
2022/7/13</t>
  </si>
  <si>
    <t>LINFUN 160G
LINF2UN 160G
LINFUN-60G
LINF2UN-40G
LINF2UN-120G
LINFUN-120G</t>
  </si>
  <si>
    <t>2022/7/13 LINF2UN退租4个机柜和288个IP，120G带宽迁移至LINFUN。LINF2UN端口关闭
2022/5/31临汾联通退租60G，临汾2联通退租40G，从2022.6开始带宽量为220G，保底66，G100M，大同2联通160G 转临汾联通.5月免费赠送；</t>
  </si>
  <si>
    <t>LINF2UN</t>
  </si>
  <si>
    <t>L20210430002</t>
  </si>
  <si>
    <t>临汾3联通</t>
  </si>
  <si>
    <t>2021/6/1
2022/7/18
2023/7/31</t>
  </si>
  <si>
    <t>80G-40G-40G</t>
  </si>
  <si>
    <t>根据预审合同，该端口继续免费，2022 7.18退租40G，剩余40G继续免费。商务确认免费12个月，山西临汾联通 增量80G完成业务测试，已于2021-06-01开始正式切流量上线</t>
  </si>
  <si>
    <t>LINF3UN</t>
  </si>
  <si>
    <t>182315IDC00521</t>
  </si>
  <si>
    <t>临汾4联通</t>
  </si>
  <si>
    <t>CDNLINFUN2</t>
  </si>
  <si>
    <t>【CDN新建】BEC临汾联通新增200G LINF4UN,开始计费时间23年5月1日，颗粒度100M，保底60G</t>
  </si>
  <si>
    <t>LINF4UN</t>
  </si>
  <si>
    <t>中国联合网络通信有限公司太原市分公司</t>
  </si>
  <si>
    <t>山西联通</t>
  </si>
  <si>
    <t>182215IDC00321</t>
  </si>
  <si>
    <t>太原
TY2UN</t>
  </si>
  <si>
    <t>太原联通</t>
  </si>
  <si>
    <t>2013/3/21
2022/3/31
2022/7/31</t>
  </si>
  <si>
    <t>160G
-40G
-40G</t>
  </si>
  <si>
    <t>TY2UN</t>
  </si>
  <si>
    <t>中国联合网络通信有限公司西宁市分公司</t>
  </si>
  <si>
    <t>西宁联通</t>
  </si>
  <si>
    <t>182115IDC00359</t>
  </si>
  <si>
    <t>西宁</t>
  </si>
  <si>
    <t>CDNXNUN2</t>
  </si>
  <si>
    <t>2018/11/25
2019/10/1
2020/1/31
2021/5/31</t>
  </si>
  <si>
    <t>40G60G-60G-20G</t>
  </si>
  <si>
    <t>补202309，计提6.8，结算6.87，补0.07</t>
  </si>
  <si>
    <t>XNUN</t>
  </si>
  <si>
    <t>中国联合网络通信有限公司阳泉市分公司</t>
  </si>
  <si>
    <t>阳泉联通</t>
  </si>
  <si>
    <t>182215IDC00129</t>
  </si>
  <si>
    <t>阳泉
YQ01-UNICOM</t>
  </si>
  <si>
    <t>YQ01-联通</t>
  </si>
  <si>
    <t>2019/12/14
2021/4/1
2021/11/1</t>
  </si>
  <si>
    <t>100G+100G+100G</t>
  </si>
  <si>
    <t>补202309，计提78.3，结算79.9，补1.6</t>
  </si>
  <si>
    <t>YQ01-CU-ST-1</t>
  </si>
  <si>
    <t>中国联合网络通信有限公司中卫市分公司</t>
  </si>
  <si>
    <t>宁夏联通</t>
  </si>
  <si>
    <t>182315IDC00256</t>
  </si>
  <si>
    <t>中卫
ZWUN</t>
  </si>
  <si>
    <t>中卫联通</t>
  </si>
  <si>
    <t>2018/1/5
2023/6/30</t>
  </si>
  <si>
    <t>按中值计提，100M颗粒，保底12G,2023/6/30退租20G</t>
  </si>
  <si>
    <t>ZWUN</t>
  </si>
  <si>
    <t>L20230727010</t>
  </si>
  <si>
    <t>中卫ZW2UN</t>
  </si>
  <si>
    <t>中卫2联通</t>
  </si>
  <si>
    <t>CDNZWUN2</t>
  </si>
  <si>
    <t>【BEC新建】BEC宁夏中卫联通新建160G  2023-06-29节点正式上线  (ZW2UN)，7月10日开始计费</t>
  </si>
  <si>
    <t>ZW2UN</t>
  </si>
  <si>
    <t>中国移动通信集团安徽有限公司</t>
  </si>
  <si>
    <t>合肥移动</t>
  </si>
  <si>
    <t>L20230630012</t>
  </si>
  <si>
    <t>淮南</t>
  </si>
  <si>
    <t>淮南6移动</t>
  </si>
  <si>
    <t>CDNHNCM</t>
  </si>
  <si>
    <t>240G
-240G</t>
  </si>
  <si>
    <t>2022/5/31 节点退租。淮南6移动合并至淮南4移动。保底96G，10M
安徽淮南移动 增量240G完成业务测试，已于2020-05-15开始正式切流量上线，2020.6.29开始计费</t>
  </si>
  <si>
    <t>HN6CM</t>
  </si>
  <si>
    <t>淮南4移动</t>
  </si>
  <si>
    <t>2020/2/1
2022/4/30</t>
  </si>
  <si>
    <t>2022/4/30节点退租。淮南6移动合并至淮南4移动。保底40G，10M。
安徽淮南移动增量100G完成业务测试，已于2020-02-01开始正式切流量上线。3月1日开始计费</t>
  </si>
  <si>
    <t>HN4CM</t>
  </si>
  <si>
    <t>合肥 HFSSLMOBCOM</t>
  </si>
  <si>
    <t>合肥移动SSL</t>
  </si>
  <si>
    <t>按合并保底计提，计费颗粒10M。保底40%,即8G</t>
  </si>
  <si>
    <t>HFSSLMOBCOM</t>
  </si>
  <si>
    <t>合肥 HFCM</t>
  </si>
  <si>
    <t>2015/8/20
2022/6/30</t>
  </si>
  <si>
    <t>180G
-160G</t>
  </si>
  <si>
    <t>2023.6.1BEC安徽合肥2移动所有资源全部转交给CDN部署使用，2022/6/30【CDN退租】CDN安徽合肥移动退租 (HFCM)160G，计费颗粒10M。保底40%,即8G。合肥移动 合肥2移动合并计费，合并保底56G</t>
  </si>
  <si>
    <t>HFCM</t>
  </si>
  <si>
    <t xml:space="preserve"> HFCM 20G
HF2CM 120G</t>
  </si>
  <si>
    <t>合肥2移动</t>
  </si>
  <si>
    <t>2019/5/25
2023/4/30</t>
  </si>
  <si>
    <t>120G-100G</t>
  </si>
  <si>
    <t>2023.6.1BEC安徽合肥2移动所有资源全部转交给CDN部署使用，2023.4.30CDN退租资源：带宽100G，计费颗粒10M。保底40%,即48G。合肥移动 合肥2移动合并计费，合并保底56G</t>
  </si>
  <si>
    <t>HF2CM</t>
  </si>
  <si>
    <t>淮南9移动</t>
  </si>
  <si>
    <t>CDNHNCM2</t>
  </si>
  <si>
    <t>补202309，计提101.63，结算102.53，补0.9</t>
  </si>
  <si>
    <t>【BEC新建】淮南移动新建200G(HN9CM)，（蚌埠对账）正式计费日期为2022年11月8日</t>
  </si>
  <si>
    <t>HN9CM</t>
  </si>
  <si>
    <t>淮南10移动</t>
  </si>
  <si>
    <t>补202309，计提89.71，结算90.49，补0.78</t>
  </si>
  <si>
    <t>【BEC新建】淮南移动新建200G(HN10CM)，（亳州对账）正式计费日期为2022年11月1日，对账折算天数，计费23天</t>
  </si>
  <si>
    <t>HN10CM</t>
  </si>
  <si>
    <t>中国移动通信集团甘肃有限公司</t>
  </si>
  <si>
    <t>兰州移动</t>
  </si>
  <si>
    <t>182315IDC00520</t>
  </si>
  <si>
    <t>兰州
LZ3CM</t>
  </si>
  <si>
    <t>兰州3移动</t>
  </si>
  <si>
    <t>CDNLZCM3</t>
  </si>
  <si>
    <t xml:space="preserve">2019/2/1，2020/3/31，2021/9/6，2022/2/1,2022/4/30，2022/6/30，2023/4/30，2023/7/31
</t>
  </si>
  <si>
    <t>200G-100G+200G+100G-100G-60G-180G-30G</t>
  </si>
  <si>
    <t>2023.7.31退租30G(LZ3CM)，2023.4.30退租180G(LZ3CM)，2022.6.30【BEC退租】BEC兰州移动退租60G（LZ3CM）。保底40%，96G，。颗粒度10M，100+200【边缘计算节点新建】甘肃兰州移动边缘计算节点新建（LZ3CM），增量200G，9月6日开始计费,2022/2/1新增100G</t>
  </si>
  <si>
    <t>LZ3CM</t>
  </si>
  <si>
    <t>L20230829007</t>
  </si>
  <si>
    <t>天水</t>
  </si>
  <si>
    <t>兰州5移动</t>
  </si>
  <si>
    <t>补202309，计提42.06，SYS更新流量45.015，运营商45.04，按中值45.03补2.97</t>
  </si>
  <si>
    <t>【BEC新建】BEC甘肃兰州移动新建100G 2023-7-28 节点正式上线 (BECLZ5CM)，开始计费时间8月1日。</t>
  </si>
  <si>
    <t>LZ5CM</t>
  </si>
  <si>
    <t>中国移动通信集团河南有限公司安阳分公司</t>
  </si>
  <si>
    <t>安阳移动</t>
  </si>
  <si>
    <t>182115IDC00141</t>
  </si>
  <si>
    <t>安阳 AY2CM</t>
  </si>
  <si>
    <t>安阳2移动</t>
  </si>
  <si>
    <t>2019/5/25
2022/5/31
2022/5/31
2022/7/31</t>
  </si>
  <si>
    <t>240G+140G
AY2CM -40G
AYCM -140G
AY2CM -200G</t>
  </si>
  <si>
    <t>2022/7/31 AY2CM全部退租。2022/5/31AY2CM退租40G，AYCM全部退租，退租后仅剩AY2CM 200G
按运营商数据计提，96G+56G=152G合并保底，10M，AYCM开通140G，AY2CM开通240G，共计380G，合并计费在AY2CM</t>
  </si>
  <si>
    <t>AY2CM</t>
  </si>
  <si>
    <t>安阳 AYCM</t>
  </si>
  <si>
    <t>140G-140G</t>
  </si>
  <si>
    <t>2022/5/31 AYCM全部退租
合并至AY2CM，56G保底 10M。边缘计算，2020.4.1由代理商转直签</t>
  </si>
  <si>
    <t>AYCM</t>
  </si>
  <si>
    <t>中国移动通信集团河南有限公司漯河分公司</t>
  </si>
  <si>
    <t>漯河移动</t>
  </si>
  <si>
    <t>182115IDC00142</t>
  </si>
  <si>
    <t>漯河 LHCM</t>
  </si>
  <si>
    <t>2019/5/25
2022/5/31
2022/7/31</t>
  </si>
  <si>
    <t>240G
-40G
-200G</t>
  </si>
  <si>
    <t>2022/7/31 节点退租。2022/5/31退租40G，2022.6开始带宽量为200G。96G保底 10M</t>
  </si>
  <si>
    <t>LHCM</t>
  </si>
  <si>
    <t>中国移动通信集团河南有限公司郑州分公司</t>
  </si>
  <si>
    <t>郑州移动</t>
  </si>
  <si>
    <t>182315IDC00551</t>
  </si>
  <si>
    <t xml:space="preserve">郑州移动-郑州西区180G  </t>
  </si>
  <si>
    <t>2015/8/20
2022/5/31</t>
  </si>
  <si>
    <t>180G
-180G</t>
  </si>
  <si>
    <t>2022/5/31节点退租。保底72G 计费粒度10M。郑州西区开通180G。原合并计费在ZZ2CM，现单独出数</t>
  </si>
  <si>
    <t>ZZCM</t>
  </si>
  <si>
    <t>郑州2移动-白沙中原云120G
郑州4移动-白沙中原云340G
郑州5移动-白沙中原云200G</t>
  </si>
  <si>
    <t>郑州2移动</t>
  </si>
  <si>
    <t>180G+120G-180G</t>
  </si>
  <si>
    <t>补202309，计提49.09，运营商49.14，按中值49.12补0.03</t>
  </si>
  <si>
    <t>2022.9.1调整拆分合并计费组。120G，保底48G，颗粒度10M。郑州ZZ2CM白沙开通120G，郑州ZZ4CM-白沙中原云开通240G，郑州 ZZ5CM-白沙中原云开通300G，共660G，保底264G。合并计费在ZZ2CM</t>
  </si>
  <si>
    <t>ZZ2CM</t>
  </si>
  <si>
    <t>郑州4移动-白沙中原云
ZZ4CM</t>
  </si>
  <si>
    <t>郑州4移动</t>
  </si>
  <si>
    <t>2020/5/18
2022/5/15
2022/5/31
2022/7/1</t>
  </si>
  <si>
    <t>300G
-50G
-10G
100G</t>
  </si>
  <si>
    <t>补202309，计提102.87，运营商104.47，按中值103.67补0.8</t>
  </si>
  <si>
    <t>2022.9.1调整拆分合并计费组，郑州4 郑州5合并计费，共540G，保底216G，颗粒度10M。20221209，ZZ4CM拆分120G 新建 ZZ6CM，剩余220G 和 ZZ5CM 200G合并计费
2022/7/1 ZZ5CM BEC 100G带宽转 ZZ4CM CDN使用。保底136G
2022/5/15退租50G，2022/5/31退租10G，2022.6开始带宽量为240G，保底40%，即96G，与ZZ2CM合并出数，合并保底，出在ZZ2CM上。10M
合同签署中182015IDC00111
512个免费IP:111.7.110.0/24 111.7.111.0/24</t>
  </si>
  <si>
    <t>ZZ4CM</t>
  </si>
  <si>
    <t>郑州7移动</t>
  </si>
  <si>
    <t>CDNZZCM2</t>
  </si>
  <si>
    <t>【CDN新建】河南郑州移动  新建200G  2023-07-01 节点正式上线  (ZZ7CM)</t>
  </si>
  <si>
    <t>ZZ7CM</t>
  </si>
  <si>
    <t>郑州6移动</t>
  </si>
  <si>
    <t>补202309，计提56.35，运营商56.44，按中值56.4补0.05</t>
  </si>
  <si>
    <t>【CDN新建】河南郑州移动新建120G  2022-12-09 节点正式上线  (ZZ6CM)，ZZ4CM拆分120G 新建 ZZ6CM，剩余220G 和 ZZ5CM 200G合并计费</t>
  </si>
  <si>
    <t>ZZ6CM</t>
  </si>
  <si>
    <t>郑州 ZZ5CM-白沙中原云</t>
  </si>
  <si>
    <t>郑州5移动</t>
  </si>
  <si>
    <t>2020/6/15，2021/12/16
2022/6/30,2023/6/30</t>
  </si>
  <si>
    <t>200G+100G
-100G-200G</t>
  </si>
  <si>
    <t>20221209，ZZ4CM拆分120G 新建 ZZ6CM，剩余220G 和 ZZ5CM 200G合并计费，2022.9.1调整拆分合并计费组，郑州4 郑州5合并计费，共540G，保底216G。
2022/6/30 ZZ5CM BEC 100G带宽转 ZZ4CM CDN使用。10M，保底80G。与ZZ2CM合并出数，合并保底，出在ZZ2CM上，河南郑州移动 增量200G完成业务测试，已于2020-06-15开始正式切流量上线，从2020.7.1开始计费。使用256个IP：111.6.170.0/24，河南移动 BEC 新建100G 21年11月15日上线，12月16日正式计费，河南郑州移动新增100G</t>
  </si>
  <si>
    <t>ZZ5CM</t>
  </si>
  <si>
    <t>L20230829010</t>
  </si>
  <si>
    <t>郑州8移动</t>
  </si>
  <si>
    <t>CDNZZCM3</t>
  </si>
  <si>
    <t xml:space="preserve"> 【CDN新建】河南郑州移动  新建30G  2023-08-04 节点正式上线  (ZZ8CM)，2023.8.4开始计费，免费节点，免费12个月</t>
  </si>
  <si>
    <t>ZZ8CM</t>
  </si>
  <si>
    <t>开封 KFCM</t>
  </si>
  <si>
    <t>开封移动</t>
  </si>
  <si>
    <t>140G
-140G</t>
  </si>
  <si>
    <t>202302+B1023:R1023</t>
  </si>
  <si>
    <t>KFCM</t>
  </si>
  <si>
    <t>三门峡 SMXCM</t>
  </si>
  <si>
    <t>三门峡移动</t>
  </si>
  <si>
    <t>2019/1/25
2020/6/15</t>
  </si>
  <si>
    <t>20200615退租</t>
  </si>
  <si>
    <t>SMXCM</t>
  </si>
  <si>
    <t>182315IDC00525</t>
  </si>
  <si>
    <t>安阳</t>
  </si>
  <si>
    <t>安阳3移动</t>
  </si>
  <si>
    <t>CDNAYCM</t>
  </si>
  <si>
    <t>【BEC新建】BEC河南安阳移动新建200G  (BECAY3CM )，2023-7-6 节点正式计费</t>
  </si>
  <si>
    <t>AY3CM</t>
  </si>
  <si>
    <t>182315IDC00526</t>
  </si>
  <si>
    <t>漯河</t>
  </si>
  <si>
    <t>漯河2移动</t>
  </si>
  <si>
    <t>CDNLHCM</t>
  </si>
  <si>
    <t>【BEC新建】BEC河南漯河移动扩容200G (LH2CM)， 2023-07-8节点正式计费</t>
  </si>
  <si>
    <t>LH2CM</t>
  </si>
  <si>
    <t>中国移动通信集团宁夏有限公司</t>
  </si>
  <si>
    <t>宁夏移动</t>
  </si>
  <si>
    <t>182315IDC00507</t>
  </si>
  <si>
    <t>银川 YCCM</t>
  </si>
  <si>
    <t>银川移动</t>
  </si>
  <si>
    <t>2017/1/1
2018/9/1
2020/4/30</t>
  </si>
  <si>
    <t>10G
10G
-20G</t>
  </si>
  <si>
    <t>2020.4.30银川移动退租，迁移至中卫3移动</t>
  </si>
  <si>
    <t>YCCM</t>
  </si>
  <si>
    <t>中卫移动</t>
  </si>
  <si>
    <t>2018/9/1
2020/4/30</t>
  </si>
  <si>
    <t>20G-20G</t>
  </si>
  <si>
    <t>ZWCM</t>
  </si>
  <si>
    <t>中卫: ZW2CM+ZW3CM</t>
  </si>
  <si>
    <t>中卫3移动</t>
  </si>
  <si>
    <t>2018/12/1
2019/2/1
2019/7/1
2020/4/30</t>
  </si>
  <si>
    <t>40G
45G
35G
40G</t>
  </si>
  <si>
    <t>中卫3移动共160G,合并保底64G。10M</t>
  </si>
  <si>
    <t>ZW3CM</t>
  </si>
  <si>
    <t>银川 YC2CM</t>
  </si>
  <si>
    <t>银川2移动</t>
  </si>
  <si>
    <t>CDNYCCM</t>
  </si>
  <si>
    <t>2021/9/11
2022/11/30</t>
  </si>
  <si>
    <t>【边缘计算节点新建】宁夏银川移动边缘计算节点新建（YC2CM），增量100G，9月11日开始计费，颗粒度10M，保底40G</t>
  </si>
  <si>
    <t>YC2CM</t>
  </si>
  <si>
    <t>银川 YC3CM</t>
  </si>
  <si>
    <t>银川3移动</t>
  </si>
  <si>
    <t>【CDN新建】宁夏银川移动新建100G-YC3CM ，节点正式计费日期为2022年12月份04日，100G的BEC的YC2CM转给CDN，，颗粒度10M，保底40G</t>
  </si>
  <si>
    <t>YC3CM</t>
  </si>
  <si>
    <t>L20230329002</t>
  </si>
  <si>
    <t>银川YC4CM</t>
  </si>
  <si>
    <t>银川4移动</t>
  </si>
  <si>
    <t>【CDN新建】宁夏银川移动新建80G  2023-03-01 节点正式上线  (YC4CM),该节点不计费，为赠送节点</t>
  </si>
  <si>
    <t>YC4CM</t>
  </si>
  <si>
    <t>中卫ZW4CM</t>
  </si>
  <si>
    <t>中卫4移动</t>
  </si>
  <si>
    <t>CDNZWCM</t>
  </si>
  <si>
    <t>【CDN新建】宁夏中卫移动新建200G  2023-03-01 节点正式上线  (ZW4CM)</t>
  </si>
  <si>
    <t>ZW4CM</t>
  </si>
  <si>
    <t>中国移动通信集团青海有限公司</t>
  </si>
  <si>
    <t>西宁移动</t>
  </si>
  <si>
    <t>182315IDC00517</t>
  </si>
  <si>
    <t>2019/1/19
2020/1/1</t>
  </si>
  <si>
    <t>40G+
30G</t>
  </si>
  <si>
    <t>颗粒度10M，保底28G</t>
  </si>
  <si>
    <t>XNCM</t>
  </si>
  <si>
    <t>中国移动通信集团山西有限公司</t>
  </si>
  <si>
    <t>山西移动</t>
  </si>
  <si>
    <t>L20230630014</t>
  </si>
  <si>
    <t>太原4
TY4CM
TYCMGROUP</t>
  </si>
  <si>
    <t>太原4移动</t>
  </si>
  <si>
    <t>2018/8/27
2020/7/1
2022/4/30</t>
  </si>
  <si>
    <t>80G+80G+160G
(TY5CM)-160G</t>
  </si>
  <si>
    <t>补202309，计提64.55，结算64.6，补0.05</t>
  </si>
  <si>
    <t>64G保底，10M颗粒度。2020-7-1扩容80G</t>
  </si>
  <si>
    <t>TY4CM</t>
  </si>
  <si>
    <t>太原</t>
  </si>
  <si>
    <t>太原5移动</t>
  </si>
  <si>
    <t>2022/4/30节点退租。新合同直接降价至5300，与太原4移动存量80G合并</t>
  </si>
  <si>
    <t>TY5CM</t>
  </si>
  <si>
    <t>太原10移动</t>
  </si>
  <si>
    <t>360G</t>
  </si>
  <si>
    <t>【BEC新建】太原移动新建360G 2023-1-1节点正式上线  (TY10CM)，</t>
  </si>
  <si>
    <t>TY10CM</t>
  </si>
  <si>
    <t>阳泉</t>
  </si>
  <si>
    <t>YQ01-移动</t>
  </si>
  <si>
    <t>补202309，计提64，结算65.44，补1.44</t>
  </si>
  <si>
    <t>YQ01移动出口带宽160G开通，于2023-3-1日开通，CDN代静态，保底64G，颗粒度10M，</t>
  </si>
  <si>
    <t>YQ01-CM-ST-1</t>
  </si>
  <si>
    <t>182315IDC00527</t>
  </si>
  <si>
    <t>太原11移动</t>
  </si>
  <si>
    <t>CDNTYCM3</t>
  </si>
  <si>
    <t>按保底计提，【BEC新建】BEC山西太原移动新建200G 2023-8-1 节点正式上线 (BECTY11CM)，新增200G，开始计费时间2023.8.1</t>
  </si>
  <si>
    <t>TY11CM</t>
  </si>
  <si>
    <t>阳泉移动</t>
  </si>
  <si>
    <t>L20211230024</t>
  </si>
  <si>
    <t>阳泉
YQ01-MOBCOM</t>
  </si>
  <si>
    <t>100G+100G-200G</t>
  </si>
  <si>
    <t>于2021.3.31退租。保底80G ，100M 颗粒度。2020-3-25扩容100G</t>
  </si>
  <si>
    <t>YQ01-MOBCOM</t>
  </si>
  <si>
    <t>中国移动通信集团西藏有限公司</t>
  </si>
  <si>
    <t>拉萨移动</t>
  </si>
  <si>
    <t>182315IDC00516</t>
  </si>
  <si>
    <t xml:space="preserve">拉萨 </t>
  </si>
  <si>
    <t>CDNLASCM</t>
  </si>
  <si>
    <t>2019/2/1
2020/1/1</t>
  </si>
  <si>
    <t>10G
+10G</t>
  </si>
  <si>
    <t>颗粒度10M，保底8G</t>
  </si>
  <si>
    <t>LASCM</t>
  </si>
  <si>
    <t>甘肃铁通</t>
  </si>
  <si>
    <t>L20220422002</t>
  </si>
  <si>
    <t>兰州2
LZ2CM</t>
  </si>
  <si>
    <t>兰州移动2</t>
  </si>
  <si>
    <t>2018/4/18
2022/4/15</t>
  </si>
  <si>
    <t>2022.4.15节点退租。20220415退租80G，甘肃铁通4月15日终止计费，22年4月免费半个月，保底28G，颗粒度100M</t>
  </si>
  <si>
    <t>LZ2CM</t>
  </si>
  <si>
    <t>西北-lijia</t>
  </si>
  <si>
    <t>陕西</t>
  </si>
  <si>
    <t>中国电信股份有限公司陕西分公司</t>
  </si>
  <si>
    <t>陕西电信</t>
  </si>
  <si>
    <t>182015IDC00019</t>
  </si>
  <si>
    <t>西安开元
XAKY-TELECOM</t>
  </si>
  <si>
    <t>XAKY-电信</t>
  </si>
  <si>
    <t>2019/12/</t>
  </si>
  <si>
    <t>按保底计提，颗粒度100M；</t>
  </si>
  <si>
    <t>XAKY-TELECOM</t>
  </si>
  <si>
    <t>L20230810001</t>
  </si>
  <si>
    <t>西安开元
XAFJ-CT-ST-1</t>
  </si>
  <si>
    <t>XAFJ-电信CDN</t>
  </si>
  <si>
    <t>2019/12/
2020/3/6
2020/7/8
2021/2/1
2021/6/11</t>
  </si>
  <si>
    <t>200G
200G
100G
300G
200G</t>
  </si>
  <si>
    <t>0G-60G:9500
60G:7750</t>
  </si>
  <si>
    <t>保底60G，100M。60G按9500结算，剩余按8691.67结算。</t>
  </si>
  <si>
    <t>XAFJ-CT-ST-1</t>
  </si>
  <si>
    <t>中国电信股份有限公司云计算（陕西）基地</t>
  </si>
  <si>
    <t>182315IDC00500</t>
  </si>
  <si>
    <t>西安电信2+西安5电信
XA2CT</t>
  </si>
  <si>
    <t>西安电信2</t>
  </si>
  <si>
    <t>2010/6/1
2019/2/10
2022/4/30
2022/7/31</t>
  </si>
  <si>
    <t>100G
160G
-100G
-140G</t>
  </si>
  <si>
    <t>100M,Xa5ct+xa2ct合并至XA2CT。+SSL合并对账，合并保底84G，30%；自2021.5.1开始与西安电信SSL节点合并；2022.4.30退租100G带宽。差异条款：</t>
  </si>
  <si>
    <t>XA2CT</t>
  </si>
  <si>
    <t>XASSLTELECOM-3</t>
  </si>
  <si>
    <t>西安电信SSL</t>
  </si>
  <si>
    <t>2010/6/1
2019/2/10</t>
  </si>
  <si>
    <t>按合并保底计提，100M,Xa5ct+xa2ct合并至XA2CT。+SSL合并对账，合并保底84G，30%；自2021.5.1开始与西安电信2节点合并，SSL按实际流量计提；差异条款</t>
  </si>
  <si>
    <t>云-陕西电信</t>
  </si>
  <si>
    <t>西安电信二级
XACTCACHE</t>
  </si>
  <si>
    <t>西安电信二级</t>
  </si>
  <si>
    <t>2018/10/10
2021/9/1
2022/6/10
2022/7/31</t>
  </si>
  <si>
    <t>240G
+160G
+40G
-40G</t>
  </si>
  <si>
    <t>保底120G,100M;2021.9.1扩容160G</t>
  </si>
  <si>
    <t>XACTCACHE</t>
  </si>
  <si>
    <t>云自采-西安3电信
XA3CT</t>
  </si>
  <si>
    <t>云自采-西安3电信</t>
  </si>
  <si>
    <t>历史开通
2022/5/31
2022/6/9</t>
  </si>
  <si>
    <t>160G
-120G
-40G</t>
  </si>
  <si>
    <t>保底48G,100M；2022.5.31退租120G带宽。2022.6.10剩余40G带宽迁移至西安电信二级节点。差异条款：0-3取中值、超出协商</t>
  </si>
  <si>
    <t>XA3CT</t>
  </si>
  <si>
    <t>西安
 XA4CT</t>
  </si>
  <si>
    <t>西安4电信</t>
  </si>
  <si>
    <t>2018/6/1
2019/7/9
2021/5/31
2022/5/31</t>
  </si>
  <si>
    <t>80G
240G
-100G
-220G</t>
  </si>
  <si>
    <t>保底66G,100M;2021.5.31退租100G带宽。；差异条款：0-3取中值、超出协商</t>
  </si>
  <si>
    <t>XA4CT</t>
  </si>
  <si>
    <t>XAIXCT</t>
  </si>
  <si>
    <t>西安三级电信</t>
  </si>
  <si>
    <t>2020/9/20
2021/5/1</t>
  </si>
  <si>
    <t>按保底计提，保底112G，100M。无合同。陕西新建三线，2020/9/10切量上线，2020/9/20开始计费;2021.4.16扩容120G于2021.5.1开始计费；</t>
  </si>
  <si>
    <t>咸阳</t>
  </si>
  <si>
    <t>咸阳电信</t>
  </si>
  <si>
    <t>CDNXYCT</t>
  </si>
  <si>
    <t>【CDN新建】陕西咸阳电信新建200G  2023-06-01 节点正式上线  (XYCT)，颗粒度100M，保底60G</t>
  </si>
  <si>
    <t>XYCT</t>
  </si>
  <si>
    <t>中国联合网络通信有限公司陕西省分公司</t>
  </si>
  <si>
    <t>陕西联通</t>
  </si>
  <si>
    <t>L20230531004</t>
  </si>
  <si>
    <t>西安 XA2UN</t>
  </si>
  <si>
    <t>西安2联通</t>
  </si>
  <si>
    <t>2013/11/1
2019/6/26
2020/8/31
2022/4/30
2022/5/31</t>
  </si>
  <si>
    <t>80G
40G
-60G
-50G
-10G</t>
  </si>
  <si>
    <t>2020/8/31退租60G，退租后保底18G,100M颗粒度；XA2UN2022.4.30退租50G带宽。XA2UN2022.5.31退租10G带宽。差异取中值</t>
  </si>
  <si>
    <t>XA2UN</t>
  </si>
  <si>
    <t>182015IDC00319</t>
  </si>
  <si>
    <t>西安开元
XAKY-UNICOM</t>
  </si>
  <si>
    <t>XAKY-联通</t>
  </si>
  <si>
    <t>2019/12/1
2020/3/6</t>
  </si>
  <si>
    <t>100G
100G</t>
  </si>
  <si>
    <t>补202309，计提63.15，结算64.764，补1.614</t>
  </si>
  <si>
    <t>按中值计提，10M颗粒度，60G保底；</t>
  </si>
  <si>
    <t>XAKY-UNICOM</t>
  </si>
  <si>
    <t>XAIXUN</t>
  </si>
  <si>
    <t>西安三级联通</t>
  </si>
  <si>
    <t>2020/9/4
2021/4/16</t>
  </si>
  <si>
    <t>80G
80G</t>
  </si>
  <si>
    <t>陕西新建三线，2020/9/10切量上线，9.4开始计费,2021.4.16扩容80G。与XAFJ-联通CDN合并；合并保底108G；
差异取中值</t>
  </si>
  <si>
    <t>西安沣景
XAFJ-CU-ST-1</t>
  </si>
  <si>
    <t>XAFJ-联通CDN</t>
  </si>
  <si>
    <t>补202309，计提203，结算206.61，补3.61</t>
  </si>
  <si>
    <t>按中值计提，与西安三级联通合并保底108G；100M颗粒度;2021.4.30开通，2021.5.1开始计费。</t>
  </si>
  <si>
    <t>XAFJ-CU-ST-1</t>
  </si>
  <si>
    <t>中国联合网络通信有限公司西安市分公司</t>
  </si>
  <si>
    <t>西安联通</t>
  </si>
  <si>
    <t>L20230731017</t>
  </si>
  <si>
    <t>西安</t>
  </si>
  <si>
    <t>西安联通二级</t>
  </si>
  <si>
    <t>2021/8/11
2021/10/9
2023/9/30</t>
  </si>
  <si>
    <t>160G
+140G
-40G</t>
  </si>
  <si>
    <t>按中值计提，2023/9/30退租40G，90G保底，100M颗粒。陕西西安联通二级 增量160G完成业务测试，已于2021-08-02开始正式切流量上线；合同约定赠送10天测试期，自2021.8.12开始计费，48G保底；差异取中值。2021.10.1扩容140G，于2021.10.9中午12点整开始计费（赠送8.5天）</t>
  </si>
  <si>
    <t>XAUNCACHE</t>
  </si>
  <si>
    <t>中国移动通信集团陕西有限公司商洛分公司</t>
  </si>
  <si>
    <t>商洛移动</t>
  </si>
  <si>
    <t>L20230630006</t>
  </si>
  <si>
    <t>XAIXCM</t>
  </si>
  <si>
    <t>西安三级移动</t>
  </si>
  <si>
    <t>2020/9/10
2020/12/31
2021/4/23</t>
  </si>
  <si>
    <t>160G+40G+60G</t>
  </si>
  <si>
    <t>补202309，计提122.74，结算123.71，补0.97</t>
  </si>
  <si>
    <t>保底104G，10M。无合同。陕西新建三线，2020/9/10切量上线，并开始计费;2020/12/31扩容40G带宽;2021.4.16扩容60G，于2021.4.23开始计费</t>
  </si>
  <si>
    <t>中国移动通信集团陕西有限公司西安分公司</t>
  </si>
  <si>
    <t>西安移动</t>
  </si>
  <si>
    <t>L20230630011</t>
  </si>
  <si>
    <t>西安 XACM</t>
  </si>
  <si>
    <t>2015/11/12
2022/7/31</t>
  </si>
  <si>
    <t>40%保底，40G。10M；差异条款：0-3取中值、超出协商</t>
  </si>
  <si>
    <t>XACM</t>
  </si>
  <si>
    <t>咸阳移动 咸阳2移动
XY2CM
XYCMGROUP2</t>
  </si>
  <si>
    <t>咸阳移动</t>
  </si>
  <si>
    <t>2018/12/25
2020/1/22
2020/3/6</t>
  </si>
  <si>
    <t>120G
100G
-100G</t>
  </si>
  <si>
    <t>补202309，计提48.98，结算49.03，补0.05</t>
  </si>
  <si>
    <t>保底48G，颗粒度10M；2022.6起咸阳移动和咸阳2移动拆分计提。2022.8起咸阳移动和咸阳2移动合并计提。差异条款：0-3取中值、超出协商</t>
  </si>
  <si>
    <t>XYCM</t>
  </si>
  <si>
    <t>咸阳2移动</t>
  </si>
  <si>
    <t>2018/12/25
2022/5/31</t>
  </si>
  <si>
    <t>240G
-100G</t>
  </si>
  <si>
    <t>补202309，计提56.54，结算57.09，补0.55</t>
  </si>
  <si>
    <t>保底56G，颗粒度10M；2022.6起咸阳移动和咸阳2移动拆分计提。2022.8起咸阳移动和咸阳2移动合并计提。</t>
  </si>
  <si>
    <t>XY2CM</t>
  </si>
  <si>
    <t>中国移动通信集团陕西有限公司汉中分公司</t>
  </si>
  <si>
    <t>汉中移动</t>
  </si>
  <si>
    <t>L20230630009</t>
  </si>
  <si>
    <t>西安移动二级</t>
  </si>
  <si>
    <t>CDNXACM2</t>
  </si>
  <si>
    <t>补202308，计提140.57，结算140.75，补0.18</t>
  </si>
  <si>
    <t>补202309，计提126.01，结算126.03，补0.02</t>
  </si>
  <si>
    <t>22.10.07开始计费，【CDN新建】陕西西安移动二级新建300G2022-09-30节点正式上线  (XACMCACHE)，保底120G，颗粒度10M</t>
  </si>
  <si>
    <t>XACMCACHE</t>
  </si>
  <si>
    <t>182015IDC00002</t>
  </si>
  <si>
    <t>西安开元
XAKY-MOBCOM</t>
  </si>
  <si>
    <t>XAKY-移动</t>
  </si>
  <si>
    <t>阶梯计费
《40G：19500
40-60:18000
60-80:16500
&gt;80G:15000</t>
  </si>
  <si>
    <t>每月注意计提价格，保底30G，颗粒度100M。
95计费流量&lt;=40G 单价19500元；
（40G-60G】单价18000元;
（60G-80G】单价16500元；
&gt;80G；单价15000元</t>
  </si>
  <si>
    <t>XAKY-MOBCOM</t>
  </si>
  <si>
    <t>西安沣景</t>
  </si>
  <si>
    <t>每月按1G计提，11月折天=1*23/30,陕西沣景为西安天互客户开通1G 移动IDC静态端口，32个IPV4地址和32个IPV6地址(V6免费），保底400M，</t>
  </si>
  <si>
    <t>XAFJ-CM-IDC-1G</t>
  </si>
  <si>
    <t>咸阳3移动</t>
  </si>
  <si>
    <t>合并保底200G。3%以内取中值。陕西咸阳移动 增量100G完成业务测试，已于2020-03-06开始正式切流量上线（此节点于2021.5.1开始合并至XAFJ-移动CDN）</t>
  </si>
  <si>
    <t>XY3CM</t>
  </si>
  <si>
    <t>西安沣景
XAFJ-CM-ST-1</t>
  </si>
  <si>
    <t>XAFJ-移动CDN</t>
  </si>
  <si>
    <t>2020/3/25
2020/8/1
2020/12/31
2021/3/25</t>
  </si>
  <si>
    <t>100G
60G
40G
200G</t>
  </si>
  <si>
    <t>补202308，计提217.51，结算221.42，补3.91</t>
  </si>
  <si>
    <t>补202309，计提209.31，结算211.55，补2.24</t>
  </si>
  <si>
    <t>合并保底200G，10M颗粒度，2020/3/25新建100G，从2020.4.1开始计费，2020/7/22扩容60G，从2020.8.1开始计费，扩容后40%保底，64G。2020.12.31扩容40G，节点由XAKY-移动CDN变更为XAFJ-移动CDN，2021.3.25扩容200G（于2021.5.1开始XY3CM与XAFJ-移动CDN合并计费）</t>
  </si>
  <si>
    <t>XAFJ-CM-ST-1</t>
  </si>
  <si>
    <t>新疆</t>
  </si>
  <si>
    <t>中国电信股份有限公司乌鲁木齐分公司</t>
  </si>
  <si>
    <t>乌鲁木齐电信</t>
  </si>
  <si>
    <t>L20231023006</t>
  </si>
  <si>
    <t>乌鲁木齐</t>
  </si>
  <si>
    <t>颗粒度100M，保底8G；差异：0-1以甲方为准，1-3取中值，超出协商；2022.9.1开始执行9600元/月/G</t>
  </si>
  <si>
    <t>WLMQCT</t>
  </si>
  <si>
    <t>乌鲁木齐2电信</t>
  </si>
  <si>
    <t>2019/9/1
2022/4/30</t>
  </si>
  <si>
    <t>2022.4.30退租40G。颗粒度100M，保底16G；差异：0-1以甲方为准，1-3取中值，超出协商</t>
  </si>
  <si>
    <t>WLMQ2CT</t>
  </si>
  <si>
    <t>内蒙</t>
  </si>
  <si>
    <t>中国联合网络通信有限公司阿拉善盟分公司</t>
  </si>
  <si>
    <t>阿拉善联通</t>
  </si>
  <si>
    <t>182115IDC00192</t>
  </si>
  <si>
    <t>阿盟机房3</t>
  </si>
  <si>
    <t>阿拉善3联通</t>
  </si>
  <si>
    <t>2018/12/25
2020/10/1
2021/6/30</t>
  </si>
  <si>
    <t>120G
+40G
-40</t>
  </si>
  <si>
    <t>按中值计提，我方流量不足保底，颗粒度100M，保底36G；202010合并阿拉善联通计费，乙方向甲方赠送3个月的测试期，测试期具体时间为2019年11月25日至2020年2月24日；2018年12月25日开始计费。2021.6.30退租40G带宽。5%以内取中值，超出协商</t>
  </si>
  <si>
    <t>ALS3UN</t>
  </si>
  <si>
    <t>L20210726007</t>
  </si>
  <si>
    <t>阿盟机房4</t>
  </si>
  <si>
    <t>阿拉善4联通</t>
  </si>
  <si>
    <t>2022.5确认延长至2023.2；2021.7.1新建40G带宽；5%以内取中值，超出协商</t>
  </si>
  <si>
    <t>ALS4UN</t>
  </si>
  <si>
    <t>呼市</t>
  </si>
  <si>
    <t>呼和浩特联通2</t>
  </si>
  <si>
    <t>补202309，计提12.7，运营商13.1，按均值12.9补0.2</t>
  </si>
  <si>
    <t>按中值计提，颗粒度100M，保底12G；5%以内取中值，超出协商</t>
  </si>
  <si>
    <t>HHHT2UN</t>
  </si>
  <si>
    <t>阿盟机房1</t>
  </si>
  <si>
    <t>202010合并至阿拉善3联通计费，颗粒度100M，保底12G，合同约定：6个月试用期（自2018年12月10日至2019年6月9日），甲方向乙方预付100万元，付款前，乙方向甲方一次性提供100万元的增值税专用发票，税率为6%，试用期内按照95计费自然月对账，6个月试用期内不产生其他费用。试用期结束后：12G保底，100M颗粒度，带宽单价为13000元/G/月；2个机柜单价为4500元/个/月；160个IP地址，其中免费64个，超出部分单价60元/个/月。；5%以内取中值，超出协商</t>
  </si>
  <si>
    <t>ALSUN</t>
  </si>
  <si>
    <t>L20230628002</t>
  </si>
  <si>
    <t>呼和浩特</t>
  </si>
  <si>
    <t>呼和浩特5联通</t>
  </si>
  <si>
    <t>【CDN新建】内蒙古呼和浩特联通  新建40G  2023-06-01 节点正式上线  (HHHT5UN)，免费节点，100M</t>
  </si>
  <si>
    <t>HHHT5UN</t>
  </si>
  <si>
    <t>中国联合网络通信有限公司新疆维吾尔自治区分公司</t>
  </si>
  <si>
    <t>新疆联通</t>
  </si>
  <si>
    <t>182115IDC00596</t>
  </si>
  <si>
    <t>乌鲁木齐联通</t>
  </si>
  <si>
    <t>颗粒度100M，保底12G，合同约定：6个月试用期（自2018年12月10日至2019年6月9日），甲方向乙方预付100万元，付款前，乙方向甲方一次性提供100万元的增值税专用发票，税率为6%，试用期内按照95计费自然月对账，6个月试用期内不产生其他费用。试用期结束后：12G保底，100M颗粒度，带宽单价为13000元/G/月；2个机柜单价为4500元/个/月；160个IP地址，其中免费64个，超出部分单价60元/个/月。差异条款：0-3取甲方、超出取中值</t>
  </si>
  <si>
    <t>WLMQUN</t>
  </si>
  <si>
    <t>中国移动通信集团内蒙古有限公司包头分公司</t>
  </si>
  <si>
    <t>包头移动</t>
  </si>
  <si>
    <t>182315IDC00519</t>
  </si>
  <si>
    <t>呼和浩特3</t>
  </si>
  <si>
    <t>呼和浩特3移动</t>
  </si>
  <si>
    <t>2018/12/25
2020/7/1</t>
  </si>
  <si>
    <t>80G+40G</t>
  </si>
  <si>
    <t>补202309，计提49.04，结算49.33，补0.29</t>
  </si>
  <si>
    <t>需要注意20200701扩容40G，颗粒度10M，保底48G；20200101保底40%；3%以内取中值，超出协商</t>
  </si>
  <si>
    <t>HHHT3CM</t>
  </si>
  <si>
    <t>L20230927006</t>
  </si>
  <si>
    <t>呼和浩特7</t>
  </si>
  <si>
    <t>呼和浩特7移动</t>
  </si>
  <si>
    <t>CDNHHHTCM</t>
  </si>
  <si>
    <t>【BEC新建】BEC内蒙古呼和浩特移动新建400G，2023-09-01节点正式上线开始计费 (BECHHHT7CM)</t>
  </si>
  <si>
    <t>HHHT7CM</t>
  </si>
  <si>
    <t>中国移动通信集团新疆有限公司</t>
  </si>
  <si>
    <t>新疆移动</t>
  </si>
  <si>
    <t>182315IDC00515</t>
  </si>
  <si>
    <t>克拉玛依</t>
  </si>
  <si>
    <t>克拉玛依4移动</t>
  </si>
  <si>
    <t>2020/3/1
2020/6/29
2020/8/6</t>
  </si>
  <si>
    <t>30G+
30G+20G</t>
  </si>
  <si>
    <t>补202309，计提39.86，结算40.23，补0.37</t>
  </si>
  <si>
    <t>颗粒度10M，保底32G；需要注意20200806扩容20G，需要注意20200701开始价格为6100，20200629扩容30G。</t>
  </si>
  <si>
    <t>KLMY4CM</t>
  </si>
  <si>
    <t>辽宁</t>
  </si>
  <si>
    <t>中国电信集团有限公司大连分公司</t>
  </si>
  <si>
    <t>大连电信</t>
  </si>
  <si>
    <t>L20230731018</t>
  </si>
  <si>
    <t>大连2电信</t>
  </si>
  <si>
    <t>2019/8/11，2023/8/31</t>
  </si>
  <si>
    <t>2023.8.31退租40G，颗粒度1M,保底12G。差异：1%以内以甲方为准，1%~3%取中值，超出协商;2022.6.1起带宽降价</t>
  </si>
  <si>
    <t>DL2CT</t>
  </si>
  <si>
    <t>中国电信股份有限公司锦州分公司</t>
  </si>
  <si>
    <t>锦州电信</t>
  </si>
  <si>
    <t>182315IDC00219</t>
  </si>
  <si>
    <t>2018/10/14
2022/5/31
2023/8/31</t>
  </si>
  <si>
    <t>80G-60G-20G</t>
  </si>
  <si>
    <t>2023.8.31退租20G，2021.10降价，2021.11-12免费（80G），2022.5.31退租60G；颗粒度1M，保底6G</t>
  </si>
  <si>
    <t>JZCT</t>
  </si>
  <si>
    <t>L20220328010</t>
  </si>
  <si>
    <t>锦州2电信</t>
  </si>
  <si>
    <t>2022/5/1
2022/5/31</t>
  </si>
  <si>
    <t>2022.5.31免费节点退租。2022.5.1新增30G带宽、1个机柜、128个IP，免费节点</t>
  </si>
  <si>
    <t>JZ2CT</t>
  </si>
  <si>
    <t>中国电信股份有限公司沈阳分公司</t>
  </si>
  <si>
    <t>沈阳电信</t>
  </si>
  <si>
    <t>L20221229015</t>
  </si>
  <si>
    <t>沈阳</t>
  </si>
  <si>
    <t>2017/12/25
2023/5/31</t>
  </si>
  <si>
    <t>2023.5.31退租，颗粒度1M，保底12G；差异解决条款：双方协商</t>
  </si>
  <si>
    <t>SYCT</t>
  </si>
  <si>
    <t>沈阳2电信</t>
  </si>
  <si>
    <t>2021/4/1
2023/5/31</t>
  </si>
  <si>
    <t>2023.5.31退租，颗粒度1M，保底12G；免费到期后转为低价节点，确定继续使用，2021年6月1日开始计费，带宽价格是9833/2=4917元。202104-05临时新建40G带宽，免费；自2022.6.1起正常对账。差异解决条款：双方协商</t>
  </si>
  <si>
    <t>SY2CT</t>
  </si>
  <si>
    <t>天津</t>
  </si>
  <si>
    <t>中国电信集团有限公司天津分公司</t>
  </si>
  <si>
    <t>天津电信</t>
  </si>
  <si>
    <t>L20230810002</t>
  </si>
  <si>
    <t>天津电信（大港机房）</t>
  </si>
  <si>
    <t>TJCTCACHE</t>
  </si>
  <si>
    <t>2016/1/1
2022/6/1
2023/8/31</t>
  </si>
  <si>
    <t>160G+30G-10G</t>
  </si>
  <si>
    <t>2023.8.31退租10G，（1）颗粒度100M，保底36G；（2）sys反馈160，但是此节点已经下线，应该是tjctcache在用；2022.6.1起SY4CT节点剩余30G合并至此节点。差异：双方协商。190G带宽，免费60G，保底按130G计算</t>
  </si>
  <si>
    <t>TJCT</t>
  </si>
  <si>
    <t>TJ3CT（武清）</t>
  </si>
  <si>
    <t>天津3电信</t>
  </si>
  <si>
    <t>2019/1/18
2022/5/31</t>
  </si>
  <si>
    <t>颗粒度100M，保底0G；2022.5.31退租160G；差异：双方协商。</t>
  </si>
  <si>
    <t>TJ3CT</t>
  </si>
  <si>
    <t>天津4</t>
  </si>
  <si>
    <t>天津4电信</t>
  </si>
  <si>
    <t>2019/10/15
2022/5/31</t>
  </si>
  <si>
    <t>70G
-40G
-30G</t>
  </si>
  <si>
    <t>颗粒度100M，保底9G；sys反馈70G；差异：双方协商。2022.5.31退租40G;剩余30G合并至SYCT节点（TJCTCACHE）</t>
  </si>
  <si>
    <t>TJ4CT</t>
  </si>
  <si>
    <t>天津电信2SSL</t>
  </si>
  <si>
    <t>按实际流量计提，颗粒度100M，保底3G，从2021年5月计提开始按照实际流量计提费用；差异：双方协商。运营商对账，SSL节点与天津4电信节点合并给流量</t>
  </si>
  <si>
    <t>SSLTJCT</t>
  </si>
  <si>
    <t>吉林</t>
  </si>
  <si>
    <t>中国电信集团有限公司长春分公司</t>
  </si>
  <si>
    <t>长春电信</t>
  </si>
  <si>
    <t>L20230731016</t>
  </si>
  <si>
    <t>长春电信2</t>
  </si>
  <si>
    <t>颗粒度100M，保底24G；20200923长春2电信合并至长春4电信计费；</t>
  </si>
  <si>
    <t>CC2CT</t>
  </si>
  <si>
    <t>长春4电信</t>
  </si>
  <si>
    <t>2019/8/26
2020/9/23
2022/5/31</t>
  </si>
  <si>
    <t>40G
+40G
-40G</t>
  </si>
  <si>
    <t>颗粒度1M，保底12G；20200923长春2电信合并至长春4电信计费；2022.5.31退租40G带宽；差异：1%以内以百度为准，1%~3%取中值，超出协商</t>
  </si>
  <si>
    <t>CC4CT</t>
  </si>
  <si>
    <t>长春6电信</t>
  </si>
  <si>
    <t>CDNCCCT2</t>
  </si>
  <si>
    <t>2021/8/3
2021/9/30</t>
  </si>
  <si>
    <t>2021.9.30退租。吉林长春电信新建60G  2021-08-03正式上线，商务确认免费2个月。</t>
  </si>
  <si>
    <t>CC6CT</t>
  </si>
  <si>
    <t>黑龙江</t>
  </si>
  <si>
    <t>中国联合网络通信有限公司鹤岗市分公司</t>
  </si>
  <si>
    <t>鹤岗联通</t>
  </si>
  <si>
    <t>182115IDC00030</t>
  </si>
  <si>
    <t>鹤岗</t>
  </si>
  <si>
    <t>鹤岗2联通</t>
  </si>
  <si>
    <t>2018/8/13
2018/9/15</t>
  </si>
  <si>
    <t>40G+80G-40G</t>
  </si>
  <si>
    <t xml:space="preserve">2023.7.31退租40G，需要注意202001-02不计费，颗粒度100M，保底36G；40G资源9.13开始计费；80G资源10.15开始计费；差异条款：0-5取中值、超出协商
</t>
  </si>
  <si>
    <t>HG2UN</t>
  </si>
  <si>
    <t>L20230222003</t>
  </si>
  <si>
    <t>鹤岗3联通</t>
  </si>
  <si>
    <t>202101-02免费，黑龙江鹤岗联通，增量100G完成业务测试，已于2021-01-01开始正式切流量上线</t>
  </si>
  <si>
    <t>HG3UN</t>
  </si>
  <si>
    <t>L20220224002</t>
  </si>
  <si>
    <t>鹤岗4联通</t>
  </si>
  <si>
    <t>2022/2/1
2022/4/30</t>
  </si>
  <si>
    <t>免费节点（3个月后退租）。鹤岗4联通节点增量100G、3个机柜、288个IP，已于2022-02-01开始正式切流量上线;2022.4.30退租</t>
  </si>
  <si>
    <t>HG4UN</t>
  </si>
  <si>
    <t>L20230829002</t>
  </si>
  <si>
    <t>鹤岗5联通</t>
  </si>
  <si>
    <t>CDNHGUN</t>
  </si>
  <si>
    <t>【CDN新建】黑龙江鹤岗联通新建60G  2023-08-01 节点正式上线  (HG5UN)，免费节点，免费12个月</t>
  </si>
  <si>
    <t>HG5UN</t>
  </si>
  <si>
    <t>中国联合网络通信有限公司鸡西市分公司</t>
  </si>
  <si>
    <t>鸡西联通</t>
  </si>
  <si>
    <t>L20230222004</t>
  </si>
  <si>
    <t>鸡西</t>
  </si>
  <si>
    <t>2018/6/25
2019/1/25
2023/7/31</t>
  </si>
  <si>
    <t>40G-40G
60G-60G-40G</t>
  </si>
  <si>
    <t>需要注意202001-02不计费，颗粒度100M，保底12G，保底30%，20191224退租60G，按照集约价格走；差异条款：0-5取中值、超出协商</t>
  </si>
  <si>
    <t>JXUN</t>
  </si>
  <si>
    <t>鸡西2联通</t>
  </si>
  <si>
    <t>202101-02免费，黑龙江鸡西联通，增量60G完成业务测试，已于2021-01-01开始正式切流量上线，鸡西联通2021年1月1日即将增量60G，</t>
  </si>
  <si>
    <t>JX2UN</t>
  </si>
  <si>
    <t>L20220111002</t>
  </si>
  <si>
    <t>鸡西3联通</t>
  </si>
  <si>
    <t>CDNJXUN2</t>
  </si>
  <si>
    <t>2022/1/1
2022/3/31</t>
  </si>
  <si>
    <t>2022.3.31退租。免费节点（3个月后退租）。鸡西3联通节点增量60G、2个机柜、288个IP，已于2022-01-01开始正式切流量上线</t>
  </si>
  <si>
    <t>JX3UN</t>
  </si>
  <si>
    <t>中国联合网络通信有限公司沈阳市分公司</t>
  </si>
  <si>
    <t>沈阳联通</t>
  </si>
  <si>
    <t>182115IDC00440</t>
  </si>
  <si>
    <t>沈阳联通2</t>
  </si>
  <si>
    <t>2012/9/26
2019/12/31
2022/5/31</t>
  </si>
  <si>
    <t>120G
-60G
-60G</t>
  </si>
  <si>
    <t>颗粒度100M，保底0G，20191231退租60G；2022.5.31tuizu 60G带宽；差异条款：0-3取甲方、3-5取中值、超出协商</t>
  </si>
  <si>
    <t>SY2UN</t>
  </si>
  <si>
    <t>沈阳3</t>
  </si>
  <si>
    <t>沈阳联通3</t>
  </si>
  <si>
    <t>2018/3/1
2022/5/31</t>
  </si>
  <si>
    <t>颗粒度100M，保底0G，新增部分首月免费，赠送10个机柜，合同期内再赠送0.5个月，具体执行时间双方协商；单价同步降至10000.；差异条款：0-3取甲方、3-5取中值、超出协商;2022.5.31退租160G</t>
  </si>
  <si>
    <t>SY3UN</t>
  </si>
  <si>
    <t>沈阳联通SSL</t>
  </si>
  <si>
    <t>2012/9/26
历史退租
2021/6/30</t>
  </si>
  <si>
    <t>50G-30G-10G</t>
  </si>
  <si>
    <t>按保底计提，颗粒度100M，按实际流量计提；差异条款：0-3取甲方、3-5取中值、超出协商</t>
  </si>
  <si>
    <t>SYSSLUNICOM</t>
  </si>
  <si>
    <t>沈阳4联通</t>
  </si>
  <si>
    <t>CDNSYUN2</t>
  </si>
  <si>
    <t>2020/10/1
2022/5/31
2022/7/31</t>
  </si>
  <si>
    <t>200G
-100G
-100G</t>
  </si>
  <si>
    <t>2021.9~2021.12免费4个月。新增的200G从10月1日开始计费，颗粒度100M，保底60G；差异条款：0-3取甲方、3-5取中值、超出协商;2022.5.31退租100G带宽</t>
  </si>
  <si>
    <t>SY4UN</t>
  </si>
  <si>
    <t>中国联合网络通信有限公司天津市分公司</t>
  </si>
  <si>
    <t>天津联通</t>
  </si>
  <si>
    <t>L20221229016</t>
  </si>
  <si>
    <t>天津2
天津3</t>
  </si>
  <si>
    <t>天津3联通</t>
  </si>
  <si>
    <t>2018/4/28
2018/8/4
2021/1/1
2022/4/30</t>
  </si>
  <si>
    <t>160G
80G
-200G</t>
  </si>
  <si>
    <t>颗粒度100M，保底12G，系统部已核实2021.1.1开始TJ2UN80G合并至TJ3UN共240G，差异率3%以内以甲方数据为准，超出3%取中值。;2019年10月31日下线160G;2022.4.30退租200G；与天津联通SSL合并保底15G</t>
  </si>
  <si>
    <t>TJ3UN</t>
  </si>
  <si>
    <t>CDNTJUN2</t>
  </si>
  <si>
    <t>天津联通SSL</t>
  </si>
  <si>
    <t>按实际流量计提，2021.7.15开通10G SSL带宽按实际流量计提。差异率3%以内以甲方数据为准，超出3%取中值。与TJ3UN合并保底15G</t>
  </si>
  <si>
    <t>TJSSLUNICOM</t>
  </si>
  <si>
    <t>天津5联通</t>
  </si>
  <si>
    <t>2021.4.30退租。202102-04免费，天津联通，增量100G完成业务测试，已于2021-02-01开始正式切流量上线</t>
  </si>
  <si>
    <t>TJ5UN</t>
  </si>
  <si>
    <t>182315IDC00025</t>
  </si>
  <si>
    <t>天津7
BEC</t>
  </si>
  <si>
    <t>天津7联通</t>
  </si>
  <si>
    <t>CDNTJUN3</t>
  </si>
  <si>
    <t>2023/1/1
2023/4/30
2023/8/31</t>
  </si>
  <si>
    <t>400G-200G-100G</t>
  </si>
  <si>
    <t>TJ7UN节点，2023.1.1开通400G带宽，BEC使用,23.4.30退租200G，23.8.31退租100G，。100M颗粒度，30G保底。差异：0~3取甲方，超出协商</t>
  </si>
  <si>
    <t>TJ7UN</t>
  </si>
  <si>
    <t>L20230531001</t>
  </si>
  <si>
    <t>天津8BEC</t>
  </si>
  <si>
    <t>天津8联通</t>
  </si>
  <si>
    <t>130G</t>
  </si>
  <si>
    <t>补202309，计提101.1，运营商117.3，按预对账103.4补2.3</t>
  </si>
  <si>
    <t>【CDN新建】BEC天津联通新建130G2023-05-12节点开始计费  (TJ8UN)</t>
  </si>
  <si>
    <t>TJ8UN</t>
  </si>
  <si>
    <t>天津9BEC</t>
  </si>
  <si>
    <t>天津9联通</t>
  </si>
  <si>
    <t>【CDN新建】BEC天津联通新建180G2023-05-12节点开始计费  (TJ9UN)</t>
  </si>
  <si>
    <t>TJ9UN</t>
  </si>
  <si>
    <t>天津10BEC</t>
  </si>
  <si>
    <t>天津10联通</t>
  </si>
  <si>
    <t>补202309，计提24，运营商27.1，按中值25.55,补1.55</t>
  </si>
  <si>
    <t>按中值计提，【BEC新建】BEC天津天津联通新建80G2023-09-04节点正式上线 (BECTJ10UN)，开始计费时间2023.9.1</t>
  </si>
  <si>
    <t>TJ10UN</t>
  </si>
  <si>
    <t>中国移动通信集团黑龙江有限公司</t>
  </si>
  <si>
    <t>黑龙江移动</t>
  </si>
  <si>
    <t>L20230627010</t>
  </si>
  <si>
    <t>哈尔滨</t>
  </si>
  <si>
    <t>哈尔滨2移动</t>
  </si>
  <si>
    <t>2018/7/17
2018/11/9
2020/7/1
2021/10/1
2022/1/1
2022/6/30
2022/7/31
2023/5/31</t>
  </si>
  <si>
    <t>60G
+80G
+80G
+100G
+100G
-80G
-120G
-60G</t>
  </si>
  <si>
    <t>2023/5/31退60G，挪到HRB5CM，颗粒度10M，保底44G；
2022.12.1开始BEC迁移80G至CDN，CDN共使用160G带宽，BEC使用60G带宽；
2023.1.1开始BEC迁移60G至CDN，CDN共使用220G带宽，BEC使用0G带宽</t>
  </si>
  <si>
    <t>HRB2CM</t>
  </si>
  <si>
    <t>L20230627012</t>
  </si>
  <si>
    <t>哈尔滨5移动</t>
  </si>
  <si>
    <t>CDNHEBCM2</t>
  </si>
  <si>
    <t>【CDN新建】黑龙江哈尔滨移动新建140G  2023-06-01 节点正式上线  (HRB5CM)，140G带宽其中 新增扩容为80G  试用原有节点带宽为60G</t>
  </si>
  <si>
    <t>HRB5CM</t>
  </si>
  <si>
    <t>L20230829003</t>
  </si>
  <si>
    <t>大兴安岭</t>
  </si>
  <si>
    <t>大兴安岭移动</t>
  </si>
  <si>
    <t>CDNDXALCM</t>
  </si>
  <si>
    <t>【CDN新建】黑龙江大兴安岭移动新建120G  2023-08-02 节点正式上线  (DXALCM)，免费节点，免费12个月</t>
  </si>
  <si>
    <t>DXALCM</t>
  </si>
  <si>
    <t>中国移动通信集团吉林有限公司松原分公司</t>
  </si>
  <si>
    <t>松原移动</t>
  </si>
  <si>
    <t>182115IDC00144</t>
  </si>
  <si>
    <t>松原</t>
  </si>
  <si>
    <t>长春3移动</t>
  </si>
  <si>
    <t>2019/9/1
2022/5/31</t>
  </si>
  <si>
    <t>颗粒度10M，保底0G；2022.5.31节点退租；差异：0-3取均值，超出协商。</t>
  </si>
  <si>
    <t>CC3CM</t>
  </si>
  <si>
    <t>L20230627009</t>
  </si>
  <si>
    <t>长春2移动</t>
  </si>
  <si>
    <t>2019/2/11
2022/1/1
2022/7/31
2023/4/30</t>
  </si>
  <si>
    <t>160G
+40G
-100G
-60G</t>
  </si>
  <si>
    <t>2023.4.30退租60G，颗粒度10M，保底40G;2022.1.1边缘计算新增40G带宽、2个机柜、128个IP(自2023.3.1起40G带宽转给CDN使用)</t>
  </si>
  <si>
    <t>CC2CM</t>
  </si>
  <si>
    <t>中国移动通信集团吉林有限公司吉林市分公司</t>
  </si>
  <si>
    <t>吉林移动</t>
  </si>
  <si>
    <t>L20230727008</t>
  </si>
  <si>
    <t>长春4移动</t>
  </si>
  <si>
    <t>CDNCCCM</t>
  </si>
  <si>
    <t>补202308，计提82.38，结算82.45，补0.07</t>
  </si>
  <si>
    <t>按保底计提，【BEC新建】BEC吉林长春移动扩容200G  2023-07-01 节点正式上线  (CC4CM)，保底80G</t>
  </si>
  <si>
    <t>CC4CM</t>
  </si>
  <si>
    <t>中国移动通信集团辽宁有限公司沈阳分公司</t>
  </si>
  <si>
    <t>辽宁移动</t>
  </si>
  <si>
    <t>L20230627008</t>
  </si>
  <si>
    <t xml:space="preserve">沈阳1+2+3
</t>
  </si>
  <si>
    <t xml:space="preserve">沈阳2移动
</t>
  </si>
  <si>
    <t>2018/9/11
2019/2/10
2022/4/30
2022/5/31
2022/7/31</t>
  </si>
  <si>
    <t>300G
320G
-120G
-180G
-20G-140G</t>
  </si>
  <si>
    <t>补202309，计提64.02，结算64.54，补0.52</t>
  </si>
  <si>
    <t>颗粒度10M，保底64G；系统部已核实此节点包含沈阳移动+沈阳2移动+沈阳3移动=620G，3%以内取中值，超出协商。2022.5.31SY3CM节点退租180G带宽;2022.7.31SY3CM退租140G带宽，SY2CM退租20G带宽</t>
  </si>
  <si>
    <t>SY2CM</t>
  </si>
  <si>
    <t xml:space="preserve">沈阳6移动
</t>
  </si>
  <si>
    <t>补202309，计提137.63，结算137.77，补0.14</t>
  </si>
  <si>
    <t>2023.2.1SY6CM边缘计算节点，新增300G带宽;10M颗粒度，120G保底</t>
  </si>
  <si>
    <t>SY6CM</t>
  </si>
  <si>
    <t>中国移动通信集团天津有限公司</t>
  </si>
  <si>
    <t>天津移动</t>
  </si>
  <si>
    <t>L20230728005</t>
  </si>
  <si>
    <t>经与周睿确认，天津移动的100G都在TJ2CM节点出数，颗粒度10M，保底40G，与天津2移动合并</t>
  </si>
  <si>
    <t>TJCM</t>
  </si>
  <si>
    <t>天津2</t>
  </si>
  <si>
    <t>天津2移动</t>
  </si>
  <si>
    <t>2016/10/16
2018/12/1
2022/5/31
2023/3/31</t>
  </si>
  <si>
    <t>40G
60G
-90G
-10G</t>
  </si>
  <si>
    <t>经与周睿确认，天津移动的100G都在TJ2CM节点出数，颗粒度10M，保底4G；与天津移动合并;2022.5.31退租90G带宽，剩余10G转BEC使用；2023.4.2由BEC转CDN使用</t>
  </si>
  <si>
    <t>TJ2CM</t>
  </si>
  <si>
    <t>天津6</t>
  </si>
  <si>
    <t>天津6移动</t>
  </si>
  <si>
    <t>2023.4.1天津2移动BEC的10G带宽由BEC转CDN使用（交付邮件时间为2023.4.2，黄伟确认4月流量全部出在天津6移动上）</t>
  </si>
  <si>
    <t>TJ6CM</t>
  </si>
  <si>
    <t>天津移动SSL</t>
  </si>
  <si>
    <t>2016/12/29，2023/8/31</t>
  </si>
  <si>
    <t>2023/8/31退租10G，与CDN合并保底，按实际流量计提</t>
  </si>
  <si>
    <t>TJSSLMOBCOM</t>
  </si>
  <si>
    <t>北京华盛云融科技有限公司</t>
  </si>
  <si>
    <t>华盛云融（鹏博士CDN）</t>
  </si>
  <si>
    <t>182115IDC00202</t>
  </si>
  <si>
    <t>北京鹏博士2</t>
  </si>
  <si>
    <t>CDNBJPBS</t>
  </si>
  <si>
    <t>2021/1/1
2021/3/31</t>
  </si>
  <si>
    <t>320G
-180G</t>
  </si>
  <si>
    <t>按照保底计提。包端口。20210101开始计费；
20210331退租180G，退租后140G</t>
  </si>
  <si>
    <t>BJ2PBS</t>
  </si>
  <si>
    <t>深圳</t>
  </si>
  <si>
    <t>深圳鹏博士</t>
  </si>
  <si>
    <t>CDNSZPBS</t>
  </si>
  <si>
    <t>包端口。深圳鹏博士160G于20210331退租；
20210101开始计费</t>
  </si>
  <si>
    <t>CDNSHPBS</t>
  </si>
  <si>
    <t>按照保底计提。包端口。20210101开始计费；</t>
  </si>
  <si>
    <t>武汉鹏博士</t>
  </si>
  <si>
    <t>CDNWHPBS</t>
  </si>
  <si>
    <t>WHPBS</t>
  </si>
  <si>
    <t>沈阳鹏博士</t>
  </si>
  <si>
    <t>CDNSYPBS</t>
  </si>
  <si>
    <t>100G
-20G</t>
  </si>
  <si>
    <t>按照保底计提。包端口。20210101开始计费。；
沈阳鹏博士20210331退租20G，退租后80G</t>
  </si>
  <si>
    <t>SYPBS</t>
  </si>
  <si>
    <t>佛山</t>
  </si>
  <si>
    <t>佛山鹏博士</t>
  </si>
  <si>
    <t>CDNFSPBS</t>
  </si>
  <si>
    <t>200G
-60G</t>
  </si>
  <si>
    <t>按照保底计提。包端口。20210101开始计费；
佛山鹏博士20210331退租60G，退租后140G</t>
  </si>
  <si>
    <t>FSPBS</t>
  </si>
  <si>
    <t>成都</t>
  </si>
  <si>
    <t>成都鹏博士</t>
  </si>
  <si>
    <t>CDNCDPBS</t>
  </si>
  <si>
    <t>200G
-160G</t>
  </si>
  <si>
    <t>按照保底计提。包端口。20210101开始计费；
成都鹏博士20210331退租160G，退租后40G</t>
  </si>
  <si>
    <t>CDPBS</t>
  </si>
  <si>
    <t>重庆</t>
  </si>
  <si>
    <t>重庆鹏博士</t>
  </si>
  <si>
    <t>CDNCQPBS</t>
  </si>
  <si>
    <t>按照保底计提。包端口。20210101开始计费；
重庆鹏博士20210331退租20G，退租后20G</t>
  </si>
  <si>
    <t>CQPBS</t>
  </si>
  <si>
    <t>北京企通达科技有限公司</t>
  </si>
  <si>
    <t>企通达（鹏博士BGP）</t>
  </si>
  <si>
    <t>182115IDC00629</t>
  </si>
  <si>
    <t>北京鹏博士BGP</t>
  </si>
  <si>
    <t>BGP电信通</t>
  </si>
  <si>
    <t>BB</t>
  </si>
  <si>
    <t>2021/1/1
2022/4/12</t>
  </si>
  <si>
    <t>120G
80G</t>
  </si>
  <si>
    <t>20220412扩容80G。无保底，100M颗粒度</t>
  </si>
  <si>
    <t>DianXinTong_BGP</t>
  </si>
  <si>
    <t>深圳鹏博士BGP</t>
  </si>
  <si>
    <t>BGP电信通2</t>
  </si>
  <si>
    <t>SZM3B</t>
  </si>
  <si>
    <t>2021/1/1
2021/11/19</t>
  </si>
  <si>
    <t>20G+60G</t>
  </si>
  <si>
    <t>SZM3B机房至电信通运营商出口扩容60G，开始计费时间为11月19日，无保底，100M颗粒度</t>
  </si>
  <si>
    <t>SZM3B-DIANXINTONG</t>
  </si>
  <si>
    <t>赛尔新技术（北京）有限公司</t>
  </si>
  <si>
    <t>赛尔</t>
  </si>
  <si>
    <t>L20230330001</t>
  </si>
  <si>
    <t>北京20G，广州20G</t>
  </si>
  <si>
    <t>BGP教育网</t>
  </si>
  <si>
    <t>CDNBJCE</t>
  </si>
  <si>
    <t>保底8.5G，超过8.5G不收费。100M。北京20G，广州20G，共40G合并计费</t>
  </si>
  <si>
    <t>Cernet</t>
  </si>
  <si>
    <t>L20210407003</t>
  </si>
  <si>
    <t>华南理工-M2A</t>
  </si>
  <si>
    <t>BGP广州教育网</t>
  </si>
  <si>
    <t>GZNS</t>
  </si>
  <si>
    <t>调整单价，不影响计提结算。BGP广州教育网与BGP教育网合并计费</t>
  </si>
  <si>
    <t>GZNSCernet_BGP</t>
  </si>
  <si>
    <t>CDN教育网北京60G、武汉20G、上海20G</t>
  </si>
  <si>
    <t>北京教育网</t>
  </si>
  <si>
    <t>CDNBJCE2</t>
  </si>
  <si>
    <t>2014/1/1，2021/12/01</t>
  </si>
  <si>
    <t>按保底计提，23年5月开始保底为28G，保底24G，100M.超过保底按实际流量计费。CDN教育网北京60G、武汉20G、上海20G。</t>
  </si>
  <si>
    <t>BJCE</t>
  </si>
  <si>
    <t>L20220419001</t>
  </si>
  <si>
    <t>广州教育网</t>
  </si>
  <si>
    <t>CDNGZCE</t>
  </si>
  <si>
    <t>2022/4/1
2022/4/30</t>
  </si>
  <si>
    <t>免费节点，预计使用1个月：广州教育节点</t>
  </si>
  <si>
    <t>GZCE</t>
  </si>
  <si>
    <t>中广宽带网络有限公司</t>
  </si>
  <si>
    <t>中广宽带</t>
  </si>
  <si>
    <t>L20230731014</t>
  </si>
  <si>
    <t>湖北武汉</t>
  </si>
  <si>
    <t>武汉2广电</t>
  </si>
  <si>
    <t>CDNWHOC2</t>
  </si>
  <si>
    <t>【CDN新建】湖北武汉广电新建20G免费节点</t>
  </si>
  <si>
    <t>WH2OC</t>
  </si>
  <si>
    <t>华南</t>
  </si>
  <si>
    <t>湖南</t>
  </si>
  <si>
    <t>王腾</t>
  </si>
  <si>
    <t>中国电信股份有限公司湖南分公司</t>
  </si>
  <si>
    <t>湖南电信</t>
  </si>
  <si>
    <t>182315IDC00267</t>
  </si>
  <si>
    <t>衡阳</t>
  </si>
  <si>
    <t>衡阳电信SSL</t>
  </si>
  <si>
    <t>CDNHY</t>
  </si>
  <si>
    <t>2013/5/14
2021/5/31</t>
  </si>
  <si>
    <t>20210531退租，20210301开始价格变动；颗粒度100M，保底3G</t>
  </si>
  <si>
    <t>株洲</t>
  </si>
  <si>
    <t>株洲电信SSL</t>
  </si>
  <si>
    <t>CDNZHUZCT</t>
  </si>
  <si>
    <t>2016/4/1
2023/3/31</t>
  </si>
  <si>
    <t>20230331退租。20210301开始价格变动；颗粒度100M，保底3G</t>
  </si>
  <si>
    <t>岳阳</t>
  </si>
  <si>
    <t>岳阳2电信</t>
  </si>
  <si>
    <t>CDNYYCT2</t>
  </si>
  <si>
    <t>2019/1/15
2021/3/1</t>
  </si>
  <si>
    <t>100G+80G</t>
  </si>
  <si>
    <t>需要注意202107故障扣减，需要注意202103扩容后存量价格变动；（1）颗粒度100M，保底54G；（2）20210301扩容80G开始计费</t>
  </si>
  <si>
    <t>YY2CT</t>
  </si>
  <si>
    <t>长沙</t>
  </si>
  <si>
    <t>长沙三级电信</t>
  </si>
  <si>
    <t>CDNCSIX</t>
  </si>
  <si>
    <t>2022/9/6
2022/10/1</t>
  </si>
  <si>
    <t>180G+100G</t>
  </si>
  <si>
    <t>20220906开始计费180G，20221001开始计费100G颗粒度100M，保底84G</t>
  </si>
  <si>
    <t>CSIXCT</t>
  </si>
  <si>
    <t>补202309，已计提42.96，先按照43.26，补0.3</t>
  </si>
  <si>
    <t>广东</t>
  </si>
  <si>
    <t>中国电信股份有限公司广东分公司</t>
  </si>
  <si>
    <t>广东电信</t>
  </si>
  <si>
    <t>182315IDC00175</t>
  </si>
  <si>
    <t>东莞2电信（东莞-樟木头机房）+东莞3电信</t>
  </si>
  <si>
    <t>东莞3电信</t>
  </si>
  <si>
    <t>CDNDGCT</t>
  </si>
  <si>
    <t>2010/6/20
2022/1/31
2022/5/31</t>
  </si>
  <si>
    <t>200G+200G-200G-140G</t>
  </si>
  <si>
    <t>sys已核对历史560G，201909月底退租160G，剩余400G(DG2CT200+DG3CT200G)，20220131DG2CT退租200G，20220531退租DG3CT140G；颗粒度100M，保底每个万兆3G，DG2CT与DG3CT合并计费</t>
  </si>
  <si>
    <t>DG3CT</t>
  </si>
  <si>
    <t>云-广州电信（河源）-河源IDC中心</t>
  </si>
  <si>
    <t>云自采-河源电信</t>
  </si>
  <si>
    <t>CBUCDNHYCT</t>
  </si>
  <si>
    <t>历史开通
2019/9/30
2022/1/31
2022/4/30
2022/5/31</t>
  </si>
  <si>
    <t>400G
-100G-100G-100G-100G</t>
  </si>
  <si>
    <t>sys已核对历史400G，201909月底退100G，20220131退租100G，20220430退租100G，20220531退租100G.颗粒度100M ，保底30G</t>
  </si>
  <si>
    <t>潮州枫桥idc中心</t>
  </si>
  <si>
    <t>潮州电信</t>
  </si>
  <si>
    <t>CDNCHAOZCT</t>
  </si>
  <si>
    <t>2018/10/17
2022/5/31</t>
  </si>
  <si>
    <t>200G-200G</t>
  </si>
  <si>
    <t>20220531退租200G。sys已核对200G，颗粒度100M，保底60G</t>
  </si>
  <si>
    <t>阳江</t>
  </si>
  <si>
    <t>阳江电信</t>
  </si>
  <si>
    <t>CDNYJCT</t>
  </si>
  <si>
    <t>历史开通
2022/4/30
2022/5/31</t>
  </si>
  <si>
    <t>200G-100G-100G</t>
  </si>
  <si>
    <t>20220430退租100G。20220531退租100G.颗粒度100M，保底30G</t>
  </si>
  <si>
    <t>东莞-大朗机房</t>
  </si>
  <si>
    <t>东莞电信SSL</t>
  </si>
  <si>
    <t>CDNCZCT</t>
  </si>
  <si>
    <t>2010/6/20
2023/8/31</t>
  </si>
  <si>
    <t>5.1日起2个万兆，无保底</t>
  </si>
  <si>
    <t>佛山电信SSL</t>
  </si>
  <si>
    <t>FS9F</t>
  </si>
  <si>
    <t>2012/6/29
2021/8/18</t>
  </si>
  <si>
    <t>无保底，搬迁机房</t>
  </si>
  <si>
    <t>SSLFSCT</t>
  </si>
  <si>
    <t>2021/8/19
2022/11/30</t>
  </si>
  <si>
    <t>20221130退租；202108原佛山电信SSL搬迁至此机房SSLFSCT</t>
  </si>
  <si>
    <t>云自采-江门2电信</t>
  </si>
  <si>
    <t>CDNJINZCT</t>
  </si>
  <si>
    <t>之前是 JM2CT，JM3CT，JMCT 一起合并计费，受下游系统限制，只能用JM2CT做代表。然后8月账期，JM2CT 下线了。 变成了 JM3CT JMCT 合并计费，同样受系统限制，只能用 JM3CT 做代表了。</t>
  </si>
  <si>
    <t>江门3电信</t>
  </si>
  <si>
    <t>CBUCDNJMCT</t>
  </si>
  <si>
    <t>2018/7/30
2019/11/30
2020/3/31
2021/3/31</t>
  </si>
  <si>
    <t>600G
-200G-200G-160G</t>
  </si>
  <si>
    <t>需要注意20210331退租160G；需要注意20200331退租200G。sys已核对带宽600G，20191130退租200G，颗粒度100M ，保底12G</t>
  </si>
  <si>
    <t>JM3CT</t>
  </si>
  <si>
    <t>GZNS-电信CDN</t>
  </si>
  <si>
    <t>2021/11/5
2023/1/1</t>
  </si>
  <si>
    <t>20230101扩容100G，20211105开始计费，颗粒度100M，保底60G</t>
  </si>
  <si>
    <t>GZNS-CT-ST-2</t>
  </si>
  <si>
    <t>L20221025014</t>
  </si>
  <si>
    <t>BGP广州南沙电信</t>
  </si>
  <si>
    <t>2017/3/25--2017/4/24
2020年新增</t>
  </si>
  <si>
    <t>202011-12单价为18W，与高峰确认目前GZNS在用40G带宽。新合同为95计费，颗粒度100M 。无保底，0-5G（包含5G），250000元/G/月；5G-10G（包含10G），220000元/G/月；10G-15G，200000元/G/月，15G-20G，190000元/G/月，20G以上，180000元/G/月。[注：如BGP带宽使用量超过5G，则前5G带宽费用变更为22万元/G/月；如BGP带宽使用量超过10G，则前10G带宽费用变更为20万元/G/月]。</t>
  </si>
  <si>
    <t>GZNSCT_BGP</t>
  </si>
  <si>
    <t>182315IDC00179</t>
  </si>
  <si>
    <t>南沙电信</t>
  </si>
  <si>
    <t>2017/3/25--2017/4/24
2020/3/20</t>
  </si>
  <si>
    <t>300G（20200320扩容60G）</t>
  </si>
  <si>
    <t>BD反馈此节点存量+扩容一共300G。20210316开始为95计费，需要注意2020年3月20日扩容60G。30个万兆口，每端口保底1G，颗粒度1G</t>
  </si>
  <si>
    <t>L20230511012</t>
  </si>
  <si>
    <t>惠州</t>
  </si>
  <si>
    <t>惠州电信BEC</t>
  </si>
  <si>
    <t>CDNHUIZCT</t>
  </si>
  <si>
    <t>由于惠州电信与存量CDN节点有重复名字，故出流量按照惠州电信BEC出具（等同于惠州电信）保底30G</t>
  </si>
  <si>
    <t>HUIZCT</t>
  </si>
  <si>
    <t>贵州</t>
  </si>
  <si>
    <t>中国电信股份有限公司贵州分公司</t>
  </si>
  <si>
    <t>贵州电信</t>
  </si>
  <si>
    <t>L20230330004</t>
  </si>
  <si>
    <t>安顺电信5</t>
  </si>
  <si>
    <t>安顺5电信</t>
  </si>
  <si>
    <t>CDNASCT</t>
  </si>
  <si>
    <t>2019/1/3
2022/4/30
2022/5/31</t>
  </si>
  <si>
    <t>160G-40G-100G</t>
  </si>
  <si>
    <t>（1）20220430退租40G,20220531退租100G，颗粒度100M，保底36G；（2）计费粒度为100M（不满100M 按照100M 计算） （3）双方确认流量出现偏差时，偏差值在1%之内，以甲方提供的流量值为准；偏差值在1%-3%之内，双方流量数据取中值；偏差值在3%之上的，双方协商解决。</t>
  </si>
  <si>
    <t>AS5CT</t>
  </si>
  <si>
    <t>四川</t>
  </si>
  <si>
    <t>中国电信股份有限公司四川分公司</t>
  </si>
  <si>
    <t>四川电信</t>
  </si>
  <si>
    <t>L20230223026</t>
  </si>
  <si>
    <t>成都1</t>
  </si>
  <si>
    <t>成都电信</t>
  </si>
  <si>
    <t>CDNCDCT</t>
  </si>
  <si>
    <t>2010/2/1
2019/11/30</t>
  </si>
  <si>
    <t>需要注意2019年11月30日退租，颗粒度100M，保底48G。</t>
  </si>
  <si>
    <t>成都2</t>
  </si>
  <si>
    <t>成都2电信</t>
  </si>
  <si>
    <t>CDNCDCT2</t>
  </si>
  <si>
    <t>2018/3/31
2019/11/30
2019/1/25
2021/4/2
2022/1/1
2022/4/1
2022/5/31
2022/7/31
2023/8/31</t>
  </si>
  <si>
    <t>280G
-20G+
300G+100G+100G+100G-400G-260G-180G</t>
  </si>
  <si>
    <t>需要注意资源变动。20220731退租260G。20220401扩容100G开始计费，20220101扩容100G开始计费，20210402扩容100G开始计费，202009-202010带宽不计费，与系统部核实成都6电信与成都2电信合并计费，需要注意2019年11月30日成都2退租20G，20220601开始CD6CT&amp;CD2CT不合并计费。颗粒度100M，保底60G</t>
  </si>
  <si>
    <t>CD2CT</t>
  </si>
  <si>
    <t>成都6</t>
  </si>
  <si>
    <t>成都电信6</t>
  </si>
  <si>
    <t>2022/6/1
2022/7/31
2023/6/30</t>
  </si>
  <si>
    <t>400G-200G-200G</t>
  </si>
  <si>
    <t>20220731退租200G。202206从成都电信2拆分，颗粒度100M，保底60G</t>
  </si>
  <si>
    <t>成都5</t>
  </si>
  <si>
    <t>成都5电信</t>
  </si>
  <si>
    <t>2019/1/25
2021/4/1
2022/7/31</t>
  </si>
  <si>
    <t>300G+100G-200G</t>
  </si>
  <si>
    <t>20220731退租200G。需要注意单价打折后每月保底情况；20210401扩容100G开始计费，202009-202010带宽不计费，与系统部核实成都5电信单独计费，颗粒度100M，保底60G</t>
  </si>
  <si>
    <t>CD5CT</t>
  </si>
  <si>
    <t>云自采-资阳电信</t>
  </si>
  <si>
    <t>CBUCDNZYCT</t>
  </si>
  <si>
    <t>2017/10/26
2019/11/30</t>
  </si>
  <si>
    <t>需要注意2019年11月30日退租，颗粒度100M，保底36G</t>
  </si>
  <si>
    <t>云自采-泸州电信</t>
  </si>
  <si>
    <t>CBUCDNLUZCT</t>
  </si>
  <si>
    <t>需要注意2019年11月30日退租，颗粒度100M，保底12G</t>
  </si>
  <si>
    <t>德阳2电信</t>
  </si>
  <si>
    <t>CDNDYCT</t>
  </si>
  <si>
    <t>2019/9/27
2023/8/31</t>
  </si>
  <si>
    <t>400G-400G</t>
  </si>
  <si>
    <t>202009-202010带宽不计费，2019年9月27日起开始计费,颗粒度100M，保底120G。</t>
  </si>
  <si>
    <t>成都8电信</t>
  </si>
  <si>
    <t>CDNCDCT3</t>
  </si>
  <si>
    <t>2022/12/25
2023/1/20</t>
  </si>
  <si>
    <t>10G+10G</t>
  </si>
  <si>
    <t>边缘计算。20221225开始计费10G+20230120开始计费10G。保底6G</t>
  </si>
  <si>
    <t>CD8CT</t>
  </si>
  <si>
    <t>L20230417001</t>
  </si>
  <si>
    <t>成都三级电信</t>
  </si>
  <si>
    <t>CDNCDIX</t>
  </si>
  <si>
    <t>2023/4/6
2023/5/1</t>
  </si>
  <si>
    <t>160G+120G</t>
  </si>
  <si>
    <t>20230406开始计费，20230501扩容120G开始计费。颗粒度100M，保底84G</t>
  </si>
  <si>
    <t>CDMT-电信CDN</t>
  </si>
  <si>
    <t>CDMT</t>
  </si>
  <si>
    <t>CDMT-电信CDN=成都三级电信。2023年6月开始看IDC出数</t>
  </si>
  <si>
    <t>CDMT-CT-ST-1</t>
  </si>
  <si>
    <t>L20230703001</t>
  </si>
  <si>
    <t>成都电信二级</t>
  </si>
  <si>
    <t>CDNCDCTCACHE</t>
  </si>
  <si>
    <t>20230701开始计费，保底60G</t>
  </si>
  <si>
    <t>CDCTCACHE</t>
  </si>
  <si>
    <t>中国电信股份有限公司重庆分公司</t>
  </si>
  <si>
    <t>重庆电信</t>
  </si>
  <si>
    <t>L20230330005</t>
  </si>
  <si>
    <t>重庆电信2+重庆3电信+重庆4电信</t>
  </si>
  <si>
    <t>2019/7/4
2018/11/1
2018/11/1
2019/6/27
2019/4/1
2019/12/31
2022/5/31
2022/7/31
2023/3/31</t>
  </si>
  <si>
    <t>80G+160G+80G+160G
-160-220G-80G-20G</t>
  </si>
  <si>
    <t xml:space="preserve">20230331退租转给重庆5电信。20220731退租80G。20220531退租200G。202009sys出数在重庆电信2上，因为合并问题数据应该是在重庆电信3上出（1）颗粒度100M，保底6G；（2）20200914重庆电信2下线合并至重庆电信3，CDN320+SSL10G；（3）重庆电信2存量80转移到重庆电信3，并扩容80G,2019年7月4日开始计费，2019年9月1日开始重庆节点合并计费；2019年12月31日重庆4电信退租160G
</t>
  </si>
  <si>
    <t>重庆电信SSL</t>
  </si>
  <si>
    <t>CDNCQCT</t>
  </si>
  <si>
    <t>202310按照保底差额计提。颗粒度100M，保底3G</t>
  </si>
  <si>
    <t>CQSSLTELECOM</t>
  </si>
  <si>
    <t>重庆5电信</t>
  </si>
  <si>
    <t>CDNCQCT5</t>
  </si>
  <si>
    <t>颗粒度100M，保底6G</t>
  </si>
  <si>
    <t>CQ5CT</t>
  </si>
  <si>
    <t>中国联合网络通信有限公司株洲市分公司</t>
  </si>
  <si>
    <t>株洲联通</t>
  </si>
  <si>
    <t>182315IDC00325</t>
  </si>
  <si>
    <t>株洲联通2</t>
  </si>
  <si>
    <t>CDNZHUZUN</t>
  </si>
  <si>
    <t>2016/7/1
2020/1/31
2022/7/31</t>
  </si>
  <si>
    <t>240G-80G-80G</t>
  </si>
  <si>
    <t>20220731退租80G。需要注意202107故障（1）需要注意周睿反馈20200131退租80G；（2）颗粒度100M，保底24G</t>
  </si>
  <si>
    <t>ZHUZUNCACHE</t>
  </si>
  <si>
    <t>中国联合网络通信有限公司成都市分公司</t>
  </si>
  <si>
    <t>成都联通</t>
  </si>
  <si>
    <t>182015IDC00170</t>
  </si>
  <si>
    <t>CDNCDUN</t>
  </si>
  <si>
    <t>2017/9/13
2020/3/31
2023/10/31</t>
  </si>
  <si>
    <t>40G-30G-10G</t>
  </si>
  <si>
    <t>202310按照保底计提。需要注意资源变动。（1）颗粒度100M，保底3G；（2）需要注意20200331退租30G；（3）依据合同差异在1%-3%取双方平均值；（4）181915IDC00338
此合同为备忘录需要注意后期新合同降价后金额抵扣</t>
  </si>
  <si>
    <t>CDUN</t>
  </si>
  <si>
    <t>L20230417002</t>
  </si>
  <si>
    <t>成都三级联通</t>
  </si>
  <si>
    <t>2023/4/6
2023/5/1
2023/6/1</t>
  </si>
  <si>
    <t>40G+80G+60G</t>
  </si>
  <si>
    <t>20230406开始计费，20230501扩容80G开始计费。20230601扩容60G开始计费。颗粒度100M，保底54G</t>
  </si>
  <si>
    <t>CDMT-联通CDN</t>
  </si>
  <si>
    <t>202310按照均值计提。CDMT-联通CDN=成都三级联通。2023年6月开始看IDC出数</t>
  </si>
  <si>
    <t>CDMT-CU-ST-1</t>
  </si>
  <si>
    <t>L20230613001</t>
  </si>
  <si>
    <t>CDMT-联通BGP</t>
  </si>
  <si>
    <t>0.1G</t>
  </si>
  <si>
    <t>202310按照保底计提。20230603开始计费，包端口。</t>
  </si>
  <si>
    <t>CDMT-CU-BGP-1</t>
  </si>
  <si>
    <t>补202309，已计提56.7，结算57.35，补0.65</t>
  </si>
  <si>
    <t>补202306，已计提54.8，结算55.4，补0.6</t>
  </si>
  <si>
    <t>中国联合网络通信有限公司重庆市分公司</t>
  </si>
  <si>
    <t>重庆联通</t>
  </si>
  <si>
    <t>182315IDC00298</t>
  </si>
  <si>
    <t>重庆4联通</t>
  </si>
  <si>
    <t>CDNCQUN</t>
  </si>
  <si>
    <t>2021/6/1
2022/7/31</t>
  </si>
  <si>
    <t>20220731退租40G。202108开始40G从原CDN重庆3联通拆分，重庆4联通新扩容的40G按照备忘录价格</t>
  </si>
  <si>
    <t>重庆联通
重庆联通2
重庆3联通</t>
  </si>
  <si>
    <t>重庆3联通</t>
  </si>
  <si>
    <t>2016/8/25
2017/10
2018/9/11
2019/9/30
2022/7/31</t>
  </si>
  <si>
    <t>10G+
30G+
60G
-40G-20G</t>
  </si>
  <si>
    <t>20220731退租20G（1）颗粒度100M，30%保底；（2）重庆3联通20181025开始计费；（3）20190930退租CQ2UN40G</t>
  </si>
  <si>
    <t>CQ3UN</t>
  </si>
  <si>
    <t>重庆水土</t>
  </si>
  <si>
    <t>重庆联通SSL</t>
  </si>
  <si>
    <t>SSLCQUN</t>
  </si>
  <si>
    <t>2016/7/25
2023/8/31</t>
  </si>
  <si>
    <t>2019.8.1-2019.9.30租用110G独享带宽，单价10833；2019.10.1-2019．12.31租用70G独享带宽，单价10000</t>
  </si>
  <si>
    <t>CQSSLUNICOM</t>
  </si>
  <si>
    <t>联通（广东）产业互联网有限公司</t>
  </si>
  <si>
    <t>广州联通</t>
  </si>
  <si>
    <t>182115IDC00471</t>
  </si>
  <si>
    <t>M3A</t>
  </si>
  <si>
    <t>BGP广州联通</t>
  </si>
  <si>
    <t>202310按照保底计提。颗粒度100M，保底2G</t>
  </si>
  <si>
    <t>GZNSCNC_BGP</t>
  </si>
  <si>
    <t>182115IDC00140</t>
  </si>
  <si>
    <t>广州</t>
  </si>
  <si>
    <t>广州联通SSL</t>
  </si>
  <si>
    <t>CDNGZUN</t>
  </si>
  <si>
    <t>2016/4/8
2023/8/31</t>
  </si>
  <si>
    <t>需要注意2020年4月1日开始新合同颗粒度100M，保底3G</t>
  </si>
  <si>
    <t>GZSSLUNICOM</t>
  </si>
  <si>
    <t>广州联通产业互联网</t>
  </si>
  <si>
    <t>广州联通4</t>
  </si>
  <si>
    <t>广州3联通</t>
  </si>
  <si>
    <t>2019/1/27
2022/3/31</t>
  </si>
  <si>
    <t>160G-80G</t>
  </si>
  <si>
    <t>GZ3UN</t>
  </si>
  <si>
    <t>182115IDC00226</t>
  </si>
  <si>
    <t>化龙机房</t>
  </si>
  <si>
    <t>广州华龙联通</t>
  </si>
  <si>
    <t>GZHL</t>
  </si>
  <si>
    <t>需要注意20191001合并到广州南沙联通计费，颗粒度100M，保底6G，静态带宽，合并到广州南沙联通计费</t>
  </si>
  <si>
    <t>化龙机房（原南沙机房转）</t>
  </si>
  <si>
    <t>广州南沙联通</t>
  </si>
  <si>
    <t>120G+60G</t>
  </si>
  <si>
    <t>需要注意20191001合并广州华龙联通计费，颗粒度100M，合并后保底18G，静态带宽，2018.10月开始正常计费。</t>
  </si>
  <si>
    <t>GZNSUNICOM</t>
  </si>
  <si>
    <t>GZNJ-联通CDN</t>
  </si>
  <si>
    <t>GZNJ</t>
  </si>
  <si>
    <t>GZNJ-CU-ST-1</t>
  </si>
  <si>
    <t>182215IDC00478</t>
  </si>
  <si>
    <t>揭阳</t>
  </si>
  <si>
    <t>揭阳联通</t>
  </si>
  <si>
    <t>CDNJIEYUN</t>
  </si>
  <si>
    <t>2022/7/1
2022/9/30</t>
  </si>
  <si>
    <t>300G-300G</t>
  </si>
  <si>
    <t>20220930退租。20220701开始计费，颗粒度10M，保底90G</t>
  </si>
  <si>
    <t>潮州</t>
  </si>
  <si>
    <t>潮州联通</t>
  </si>
  <si>
    <t>CDNCHAOZUN</t>
  </si>
  <si>
    <t>2022/7/1
2022/9/3</t>
  </si>
  <si>
    <t>20220701开始计费100G，20220903扩容100G开始计费。颗粒度10M，保底60G</t>
  </si>
  <si>
    <t>CHAOZUN</t>
  </si>
  <si>
    <t>揭阳2联通</t>
  </si>
  <si>
    <t>CDNJIEYUN2</t>
  </si>
  <si>
    <t>颗粒度100M，保底60G</t>
  </si>
  <si>
    <t>JIEY2UN</t>
  </si>
  <si>
    <t>补202309，已计提29.3，结算29.5，补0.2</t>
  </si>
  <si>
    <t>补202309，已计提48.7，结算49.3，补0.6</t>
  </si>
  <si>
    <t>中国联合网络通信有限公司贵州省分公司</t>
  </si>
  <si>
    <t>贵州联通</t>
  </si>
  <si>
    <t>182215IDC00582</t>
  </si>
  <si>
    <t>贵阳</t>
  </si>
  <si>
    <t>贵阳联通</t>
  </si>
  <si>
    <t>CDNGYUN</t>
  </si>
  <si>
    <t>GYUN</t>
  </si>
  <si>
    <t>L20230807001</t>
  </si>
  <si>
    <t>贵阳2联通</t>
  </si>
  <si>
    <t>202310按照保底计提。20230803开始计费，颗粒度100M，保底60G</t>
  </si>
  <si>
    <t>GY2UN</t>
  </si>
  <si>
    <t>中国联合网络通信有限公司广安市分公司</t>
  </si>
  <si>
    <t>广安联通</t>
  </si>
  <si>
    <t>182015IDC00171</t>
  </si>
  <si>
    <t>广安</t>
  </si>
  <si>
    <t>广安2联通</t>
  </si>
  <si>
    <t>CBUCDNGAUN</t>
  </si>
  <si>
    <t>2020/4/2
2021/8/31</t>
  </si>
  <si>
    <t>2021年8月31日退租；20200402开始计费，颗粒度100M，保底12G</t>
  </si>
  <si>
    <t>中国联合网络通信有限公司长沙市分公司</t>
  </si>
  <si>
    <t>长沙联通</t>
  </si>
  <si>
    <t>L20230701009</t>
  </si>
  <si>
    <t>长沙三级联通</t>
  </si>
  <si>
    <t>20220906开始计费，颗粒度100M，保底54G</t>
  </si>
  <si>
    <t>CSIXUN</t>
  </si>
  <si>
    <t>中国移动通信集团广东有限公司广州分公司</t>
  </si>
  <si>
    <t>广州移动</t>
  </si>
  <si>
    <t>182315IDC00489</t>
  </si>
  <si>
    <t>广州5移动</t>
  </si>
  <si>
    <t>CDNGZCM3</t>
  </si>
  <si>
    <t>2019/6/1
2019/12/31
2022/5/31
2022/7/31</t>
  </si>
  <si>
    <t>400G-80G-200G-100G</t>
  </si>
  <si>
    <t>需要注意资源变动。20220731退租100G。需要注意20191231退租80G，20220531退租200G，颗粒度10M，保底8G（181915IDC00129这份合同cdn有720G，ssl有30G）</t>
  </si>
  <si>
    <t>GZ5CM</t>
  </si>
  <si>
    <t>广州移动SSL</t>
  </si>
  <si>
    <t>CDNGZCM2</t>
  </si>
  <si>
    <t>2015/9/1
2021/5/31
2023/8/31</t>
  </si>
  <si>
    <t>30G-20G-10G</t>
  </si>
  <si>
    <t>20210531退租20G，颗粒度10M，带宽保底4G</t>
  </si>
  <si>
    <t>GZSSLMOBCOM</t>
  </si>
  <si>
    <t>181815IDC00115
182215IDC00268
182315IDC00162</t>
  </si>
  <si>
    <t>博浩</t>
  </si>
  <si>
    <t>广州博浩移动</t>
  </si>
  <si>
    <t>GZBH</t>
  </si>
  <si>
    <t>2018/3/31
历史开通</t>
  </si>
  <si>
    <t>181515IDC0038合同20210731到期；合并到GZHXY出流量，sys反馈gzhxy+gzbh=22+40=62个端口</t>
  </si>
  <si>
    <t>GZBH-MOBCOM</t>
  </si>
  <si>
    <t>GZHXY</t>
  </si>
  <si>
    <t>20200601开始保底80G。颗粒度1G。从1月起执行合并保底51G。每月带宽赠送4G</t>
  </si>
  <si>
    <t>合同约定80G保底</t>
  </si>
  <si>
    <t>广州南沙</t>
  </si>
  <si>
    <t>BGP广州南沙移动</t>
  </si>
  <si>
    <t>2015/10/1
2020/4/1
2020/9/9
2020/11/3</t>
  </si>
  <si>
    <t>60G-10G-20G-10G</t>
  </si>
  <si>
    <t>202310按照保底计提。需要注意20200909关闭20G+20201103关闭10G，20200401开始15W/G/月，20%保底，颗粒度10M，50G端口；BGP，优惠前价格24万，1、2019年8月1日起，按照补充协议执行。1.5G保底，0.5G颗粒度，不足6G时，每0.5G带宽赠送2万，6G或以上时，前3个G按10万元/0.5G执行，第4个G及以上带宽，每0.5G赠送3万元。
2、2019年8月1日前，0.5G保底，0.5G颗粒度，第1个G每0.5G带宽赠送2万，第2个G及以上每0.5G带宽赠送3万，</t>
  </si>
  <si>
    <t>GZNSCM_BGP</t>
  </si>
  <si>
    <t>GZBH移动CDN</t>
  </si>
  <si>
    <t>202310按照保底计提。20230202开始计费，保底40G</t>
  </si>
  <si>
    <t>GZBH-CM-ST-2</t>
  </si>
  <si>
    <t>广州9移动</t>
  </si>
  <si>
    <t>CDNGZCM4</t>
  </si>
  <si>
    <t>20230701开始计费，保底80G</t>
  </si>
  <si>
    <t>GZ9CM</t>
  </si>
  <si>
    <t>广州10移动</t>
  </si>
  <si>
    <t>20230801开始计费，保底64G</t>
  </si>
  <si>
    <t>GZ10CM</t>
  </si>
  <si>
    <t>补202309，已计提102，结算103，补1</t>
  </si>
  <si>
    <t>补202309，已计提83.23，先按照均值83.42，补0.19</t>
  </si>
  <si>
    <t>补202309，已计提68.65，先按照均值68.83，补0.18</t>
  </si>
  <si>
    <t>中国移动通信集团湖南有限公司长沙分公司</t>
  </si>
  <si>
    <t>长沙移动</t>
  </si>
  <si>
    <t>182315IDC00422</t>
  </si>
  <si>
    <t>长沙2</t>
  </si>
  <si>
    <t>长沙移动2</t>
  </si>
  <si>
    <t>CDNCSCM2</t>
  </si>
  <si>
    <t>2018/11/1
2020/12/31
2021/9/12
2021/11/1</t>
  </si>
  <si>
    <t>160G+160G+80G+80G</t>
  </si>
  <si>
    <t>（1）20201231扩容160G开始计费；202109012扩容80G（2）长沙移动2+长沙3移动2021年11月1日开始合并计费。颗粒度10M，保底192G；（3）存量已争取在2019年赠送2个月免费测试期，执行时间2019年7月25日-9月24日，该时间段免费，不用给运营商支付费用</t>
  </si>
  <si>
    <t>CS2CM</t>
  </si>
  <si>
    <t>长沙3</t>
  </si>
  <si>
    <t>长沙3移动</t>
  </si>
  <si>
    <t>2019/8/1
2019/11/30
2019/12/31
2020/3/31
2021/10/31</t>
  </si>
  <si>
    <t>240G
-160G
+160G
-160G-80G</t>
  </si>
  <si>
    <t>长沙移动2+长沙3移动2021年11月1日开始合并计费。需要注意sys反馈20191231上160G，20200331退160G。颗粒度10M，保底40%，2019年6月1日至2019年8月1日带宽赠送.2019年11月30日退租160G</t>
  </si>
  <si>
    <t>湘潭</t>
  </si>
  <si>
    <t>湘潭移动</t>
  </si>
  <si>
    <t>CDNXIANGTCM</t>
  </si>
  <si>
    <t>2019/3/1
2022/7/31</t>
  </si>
  <si>
    <t>320G-280G</t>
  </si>
  <si>
    <t>20220731退租280G。颗粒度10M，保底16G</t>
  </si>
  <si>
    <t>XIANGTCM</t>
  </si>
  <si>
    <t>岳阳移动</t>
  </si>
  <si>
    <t>CDNYYCM</t>
  </si>
  <si>
    <t>2019/8/1
2022/7/31</t>
  </si>
  <si>
    <t>320G-320G</t>
  </si>
  <si>
    <t>20220731退租320G（1）颗粒度10M，保底128G；（2）201908-201910免费，201911开始计费</t>
  </si>
  <si>
    <t>长沙三级移动</t>
  </si>
  <si>
    <t>160G+100G</t>
  </si>
  <si>
    <t>20220906开始计费160G，20221001开始计费100G，颗粒度10M，保底104G</t>
  </si>
  <si>
    <t>CSIXCM</t>
  </si>
  <si>
    <t>长沙8移动</t>
  </si>
  <si>
    <t>CDNCSCM3</t>
  </si>
  <si>
    <t>20230701开始计费，保底160G</t>
  </si>
  <si>
    <t>CS8CM</t>
  </si>
  <si>
    <t>补202309，已计提200.16，结算201.53，补1.37</t>
  </si>
  <si>
    <t>补202309，已计提250.4，结算250.42，补0.02</t>
  </si>
  <si>
    <t>中国移动通信集团重庆有限公司</t>
  </si>
  <si>
    <t>重庆移动</t>
  </si>
  <si>
    <t>182315IDC00462</t>
  </si>
  <si>
    <t>重庆2移动+重庆移动+重庆移动二级+重庆4移动</t>
  </si>
  <si>
    <t>重庆2移动</t>
  </si>
  <si>
    <t>CDNCQCM2</t>
  </si>
  <si>
    <t>2015/11
2019/2/1
2019/2/1
2020/7/1
2020/11/20
2020/11/20
2022/7/31
2022/7/31
2022/12/31</t>
  </si>
  <si>
    <t>200G+
140G+
160G+200G+60G+20G-260G-40G-320G</t>
  </si>
  <si>
    <t>202301开始取消合并计费。20220731重庆4移动退租40G&amp;重庆移动退租260G(1)需要注意20201120重庆2移动扩容20G，重庆移动扩60G；（2）颗粒度10M，保底40%。20200801开始合并重庆4移动200G合并计费，重庆移动+重庆2移动+重庆移动二级+重庆4移动合并计费，颗粒度</t>
  </si>
  <si>
    <t>CQ2CM</t>
  </si>
  <si>
    <t>重庆移动二级</t>
  </si>
  <si>
    <t>CQCMCACHE</t>
  </si>
  <si>
    <t>重庆4移动</t>
  </si>
  <si>
    <t>2020/7/1
2020/8/1
2023/1/1</t>
  </si>
  <si>
    <t>200G-200G+160G</t>
  </si>
  <si>
    <t>需要注意资源变动。20200801开始合并到重庆2移动计费，20200701开始计费，颗粒度10M，保底40%</t>
  </si>
  <si>
    <t>CQ4CM</t>
  </si>
  <si>
    <t>重庆移动SSL</t>
  </si>
  <si>
    <t>SSLCQCM</t>
  </si>
  <si>
    <t>202310按照保底差额计提。20200801开始计费，颗粒度10M，保底40%</t>
  </si>
  <si>
    <t>中国移动通信集团四川有限公司</t>
  </si>
  <si>
    <t>成都移动</t>
  </si>
  <si>
    <t>L20230423017</t>
  </si>
  <si>
    <t>成都2+3+4+5</t>
  </si>
  <si>
    <t>成都移动3</t>
  </si>
  <si>
    <t>CDNCDCM3</t>
  </si>
  <si>
    <t>2019/2/1 2019/2/1 2019/2/1 2019/3/1
2020/7/1
2022/5/15
2022/5/31
2022/5/31
2022/8/31</t>
  </si>
  <si>
    <t>120G+120G+240G +200G+100G-100G-80G-20G-440G</t>
  </si>
  <si>
    <t xml:space="preserve">（1）需要注意成都3移动20200701扩容100G，20220515成都2移动退租100G，20220531成都3移动退租80G.颗粒度10M，20220531成都2移动退租20G.保底40%。（2）历史备注信息：1. 2019年1月3日扩容的CD2CM + CD3+ CD4CM总计160G，2019年2月1日开始计费，因存增量达到400G以上，故2月份账期存增量同步降价为6000元/G/月；
2. 2019年2月1日新建CD5CM节点200G，2019年3月1日开始计费，且提供为期5个月无保底优惠策略）
</t>
  </si>
  <si>
    <t>CD3CM</t>
  </si>
  <si>
    <t>成都4移动</t>
  </si>
  <si>
    <t>2022/9/1
2023/8/31</t>
  </si>
  <si>
    <t>20220901开始拆分计费。颗粒度10M，保底96G</t>
  </si>
  <si>
    <t>CD4CM</t>
  </si>
  <si>
    <t>成都5移动</t>
  </si>
  <si>
    <t>CDNCDCM4</t>
  </si>
  <si>
    <t>20220901开始拆分计费。颗粒度10M，保底80G</t>
  </si>
  <si>
    <t>CD5CM</t>
  </si>
  <si>
    <t>成都11移动</t>
  </si>
  <si>
    <t>CDNCDCM5</t>
  </si>
  <si>
    <t>2022/12/22
2023/1/13</t>
  </si>
  <si>
    <t>202310按照保底计提。20221222开始计费。20230113扩容10G开始机房。边缘计算，保底8G</t>
  </si>
  <si>
    <t>CD11CM</t>
  </si>
  <si>
    <t>L20230417003</t>
  </si>
  <si>
    <t>成都三级移动</t>
  </si>
  <si>
    <t>2023/4/6
2023/5/4
2023/9/19</t>
  </si>
  <si>
    <t>20230406开始计费，20230504扩容40G开始计费。20230919扩容60G开始计费。颗粒度10M，保底104G</t>
  </si>
  <si>
    <t>CDMT-移动CDN</t>
  </si>
  <si>
    <t>CDMT-移动CDN=成都三级移动。2023年6月开始看IDC出数.20230406开始计费，20230504扩容40G开始计费。20230919扩容60G开始计费。颗粒度10M，保底104G</t>
  </si>
  <si>
    <t>CDMT-CM-ST-1</t>
  </si>
  <si>
    <t>CDMT-移动_BGP</t>
  </si>
  <si>
    <t>202310按照保底计提。20230701开始计费，包端口</t>
  </si>
  <si>
    <t>CDMT-CM-BGP-1</t>
  </si>
  <si>
    <t>补202309，已计提59.67，结算60.03，补0.36</t>
  </si>
  <si>
    <t>补202309，已计提49.88，结算50.29，补0.41</t>
  </si>
  <si>
    <t>补202309，已计提105.85，先按照均值108.53，补2.68</t>
  </si>
  <si>
    <t>中国移动通信集团贵州有限公司贵阳分公司</t>
  </si>
  <si>
    <t>贵阳移动</t>
  </si>
  <si>
    <t>182315IDC00458</t>
  </si>
  <si>
    <t>CDNGYCM</t>
  </si>
  <si>
    <t>2019/1/25
2020/7/1
2022/5/31</t>
  </si>
  <si>
    <t>240G+40G-180G</t>
  </si>
  <si>
    <t>需要注意资源变动。（1）需要注意20200701扩容40G；20220531退租180G.（2）颗粒度10M，保底40G</t>
  </si>
  <si>
    <t>GYCM</t>
  </si>
  <si>
    <t>补202309，已计提43.86，结算44.12，补0.26</t>
  </si>
  <si>
    <t>中国移动通信集团广东有限公司东莞分公司</t>
  </si>
  <si>
    <t>东莞移动</t>
  </si>
  <si>
    <t>182315IDC00457</t>
  </si>
  <si>
    <t>东莞</t>
  </si>
  <si>
    <t>东莞5移动</t>
  </si>
  <si>
    <t>CDNDGCM</t>
  </si>
  <si>
    <t>2019/6/1
2019/12/31
2020/7/1
2022/5/31
2022/7/31</t>
  </si>
  <si>
    <t>400G-60G+20G-260G-20G</t>
  </si>
  <si>
    <t>20220731退租20G（1）20220531退租260G，颗粒度10M，保底32G；（2）需要注意20200701扩容20G，需要注意20191231退租60G</t>
  </si>
  <si>
    <t>DG5CM</t>
  </si>
  <si>
    <t>中国移动通信集团广东有限公司深圳分公司</t>
  </si>
  <si>
    <t>深圳移动</t>
  </si>
  <si>
    <t>182115IDC00187</t>
  </si>
  <si>
    <t>CDNSZCM</t>
  </si>
  <si>
    <t>2019/9/1
2019/12/31
2022/5/31</t>
  </si>
  <si>
    <t>400G-60G-340G</t>
  </si>
  <si>
    <t>（1）20200901开始计费，20220531退租。颗粒度10M，保底136G;（3）需要注意20191231退租60G；</t>
  </si>
  <si>
    <t>LJ</t>
  </si>
  <si>
    <t>深圳市前海新型互联网交换中心有限公司</t>
  </si>
  <si>
    <t>深圳前海</t>
  </si>
  <si>
    <t>182215IDC00152</t>
  </si>
  <si>
    <t>前海IXP</t>
  </si>
  <si>
    <t>SZM3B-前海IX_BGP</t>
  </si>
  <si>
    <t>实行免收端口费优惠政策，优惠期至2023年12月31日止</t>
  </si>
  <si>
    <t>成都旭荣云科技有限公司</t>
  </si>
  <si>
    <t>成都旭荣</t>
  </si>
  <si>
    <t>182215IDC00323</t>
  </si>
  <si>
    <t>成都2联通</t>
  </si>
  <si>
    <t>CACDNCDUN</t>
  </si>
  <si>
    <t>2022/4/1
2023/2/28</t>
  </si>
  <si>
    <t>20230301开始换成和顺泰。边缘计算：20220401开始计费，保底30%，18G，1M颗粒度计提
后续待CDN上量后关注交付邮件，应该扩容了40G给CDN使用</t>
  </si>
  <si>
    <t>陈媛媛</t>
  </si>
  <si>
    <t>鞍山灵动网络科技有限公司</t>
  </si>
  <si>
    <t>鞍山灵动</t>
  </si>
  <si>
    <t>182215IDC00363</t>
  </si>
  <si>
    <t>鞍山</t>
  </si>
  <si>
    <t>鞍山联通</t>
  </si>
  <si>
    <t>CACDNANSHANUN</t>
  </si>
  <si>
    <t>2018/7/1
2020/11/30
2023/2/28</t>
  </si>
  <si>
    <t>160G-60G-100G</t>
  </si>
  <si>
    <t>20230228退租。需要注意20220401开始价格变动。需要注意20210901价格变动，需要注意系统部发邮件20201130退租60G。且2020年12月1日开始价格变动（1）需要注意20200401开始价格变动；（2）颗粒度100M，保底40G；（3）甲乙双方实际流量以100M为结算单位，不足50M按照0M收取，大于等于50M按100M收取。</t>
  </si>
  <si>
    <t>北京奥普奈特网络科技有限公司</t>
  </si>
  <si>
    <t>安徽奥普奈特</t>
  </si>
  <si>
    <t>182015IDC00269
182115IDC00103</t>
  </si>
  <si>
    <t>淮南移动
淮南2移动
淮南3移动</t>
  </si>
  <si>
    <t>淮南2移动</t>
  </si>
  <si>
    <t>CACDNHNCM</t>
  </si>
  <si>
    <t>2018/4/9 
2018/7/26 
2019/5/25
2020/3/1 
2020/3/1
2020/3/31
2020/3/31
2021/1/31
2021/2/28</t>
  </si>
  <si>
    <t>160G+
160G+
240G+
30G+
20G-30G-20G-560G</t>
  </si>
  <si>
    <t>20210301开始变更为上海翱骋信息（1）颗粒度100M，保底224G；淮南移动160+淮南2移动160+淮南3移动240=560（2）需要注意周睿发邮件20200331退租HNCM30G，HN2CM20G；（3）2020年3月1日HNCM扩容30G，HM2CM扩容20G。（4）甲乙双方实际流量以100M为结算单位，不足50M按0M收取，大于等于50M按100M收取。</t>
  </si>
  <si>
    <t>上海翱骋信息科技有限公司</t>
  </si>
  <si>
    <t>翱骋信息</t>
  </si>
  <si>
    <t>182115IDC00104</t>
  </si>
  <si>
    <t>2018/4/9 
2018/7/26 
2019/5/25
2020/3/1 
2020/3/1
2020/3/31
2020/3/31
2021/1/31
2022/2/28</t>
  </si>
  <si>
    <t xml:space="preserve">20220228退租。20210301开始奥普奈特转为上海翱骋信息，颗粒度100M，保底224G；甲乙双方实际流量以100M为结算单位，不足50M按照0M收取，大于等于50M按100M收取 </t>
  </si>
  <si>
    <t>北京承启通科技有限公司</t>
  </si>
  <si>
    <t>北京承启通</t>
  </si>
  <si>
    <t>182215IDC00304</t>
  </si>
  <si>
    <t>扬州电信</t>
  </si>
  <si>
    <t>CACDNYANGZCT</t>
  </si>
  <si>
    <t>2018/6/7
2022/9/30</t>
  </si>
  <si>
    <t xml:space="preserve">20220930退租。需要注意202209无保底&amp;后期资源变动（1）颗粒度100M，保底48G ；（2） 甲乙双方实际流量以100M为结算单位，不足50M按照50M收取，大于等于50M按100M收取
</t>
  </si>
  <si>
    <t>北京互联港湾科技有限公司</t>
  </si>
  <si>
    <t>互联港湾</t>
  </si>
  <si>
    <t>182215IDC00094</t>
  </si>
  <si>
    <t>中山</t>
  </si>
  <si>
    <t>中山移动</t>
  </si>
  <si>
    <t>CACDNZSCM</t>
  </si>
  <si>
    <t>2021/3/1
2021/6/1
2022/2/28</t>
  </si>
  <si>
    <t>200G+100G-300G</t>
  </si>
  <si>
    <t>20220228退租，20220201价格为5200。202103需要注意对账时候故障扣减，3月17日14:50发生网络中断22:30恢复；202104需要注意对账时候故障扣减（1）20210301开始计费200G，20210601开始计费扩容100G，颗粒度100M，保底120G；（2）甲乙双方实际流量以100M为结算单位，不足50M按照0M收取，大于等于50M按100M收取</t>
  </si>
  <si>
    <t>王超越</t>
  </si>
  <si>
    <t>佰云互联（北京）科技有限公司</t>
  </si>
  <si>
    <t>佰云互联</t>
  </si>
  <si>
    <t>182315IDC00299</t>
  </si>
  <si>
    <t>宜昌</t>
  </si>
  <si>
    <t>宜昌2联通</t>
  </si>
  <si>
    <t>CACDNYICUN</t>
  </si>
  <si>
    <t>202310按照均值计提。需要注意202207供应商变动（原龙云天下换佰云互联）。需要注意202205价格变动。需要注意20210801价格变动（1）20200101开始计费，颗粒度100M，保底12G；（2）甲乙双方实际流量以100M为结算单位，不足50M按0M收取；大于等于50M按100M收取</t>
  </si>
  <si>
    <t>YIC2UN</t>
  </si>
  <si>
    <t>182315IDC00315</t>
  </si>
  <si>
    <t>枣庄</t>
  </si>
  <si>
    <t>枣庄联通</t>
  </si>
  <si>
    <t xml:space="preserve">CACDNZAOZUN </t>
  </si>
  <si>
    <t>2022/5/1
2022/7/31
2022/8/1
2023/6/30
2023/7/31</t>
  </si>
  <si>
    <t>200G-100G+100G-40G-60G</t>
  </si>
  <si>
    <t>补202309，已计提31.1，先按照均值31.6，补0.5</t>
  </si>
  <si>
    <t>北京杰之云网络科技有限公司</t>
  </si>
  <si>
    <t>杰之云</t>
  </si>
  <si>
    <t>L20230905006</t>
  </si>
  <si>
    <t>西宁2联通</t>
  </si>
  <si>
    <t>CACDNXNUN</t>
  </si>
  <si>
    <t>2020/7/1
2022/10/1</t>
  </si>
  <si>
    <t>202310按照均值计提。202310变更主体（1）20200701开始计费80G,20221001开始计费扩容40G，颗粒度100M，保底36G；（2）甲乙双方实际流量以100M为结算单位，不足50M按照0M收取，大于等于50M按100M收取。</t>
  </si>
  <si>
    <t>XN2UN</t>
  </si>
  <si>
    <t>L20230903001</t>
  </si>
  <si>
    <t>202310按照均值计提。202310变更主体。20220731BEC退租100G。20220801CDN新增100G；20220501开始计费，颗粒度100M，保底30G</t>
  </si>
  <si>
    <t>ZAOZUN</t>
  </si>
  <si>
    <t>北京数据互通科技有限公司</t>
  </si>
  <si>
    <t>数据互通</t>
  </si>
  <si>
    <t>182115IDC00445</t>
  </si>
  <si>
    <t>广州3移动</t>
  </si>
  <si>
    <t>CACDNGZCM2</t>
  </si>
  <si>
    <t>2019/1/25
2020/3/1
2021/10/31</t>
  </si>
  <si>
    <t>200G
+20G-220G</t>
  </si>
  <si>
    <t>20211031退租。202107价格为5000（1）颗粒度100M，保底66G；（2）20200301扩容20G开始计费；（3）2019年11月1日调整价格为5500元；（4）甲乙双方实际流量以100M为结算单位，不足50M按照0M收取，大于等于50M按100M收取</t>
  </si>
  <si>
    <t>182215IDC00648</t>
  </si>
  <si>
    <t>中山3移动</t>
  </si>
  <si>
    <t>CACDNZSCM3</t>
  </si>
  <si>
    <t>2021/11/1
2022/8/31
2023/2/28</t>
  </si>
  <si>
    <t>220G-60G-160G</t>
  </si>
  <si>
    <t>20230228退租。20220831退租60G（1）20211101开始计费，颗粒度100M，保底88G；（2）甲乙双方实际流量以100M为结算单位，不足50M按照0M收取，大于等于50M按100M收取</t>
  </si>
  <si>
    <t>182315IDC00177</t>
  </si>
  <si>
    <t>广州8移动</t>
  </si>
  <si>
    <t>CACDNGZCM5</t>
  </si>
  <si>
    <t>2023/3/1
2023/7/31</t>
  </si>
  <si>
    <t>20230301开始计费。颗粒度100M，保底64G</t>
  </si>
  <si>
    <t>北京中瑞云祥信息科技发展有限公司</t>
  </si>
  <si>
    <t>中瑞云祥</t>
  </si>
  <si>
    <t>L20230927008</t>
  </si>
  <si>
    <t>廊坊</t>
  </si>
  <si>
    <t>廊坊6电信</t>
  </si>
  <si>
    <t>CACDNLFCT</t>
  </si>
  <si>
    <t>2021/2/7
2021/3/1
2021/4/1
2021/6/1
2021/10/1
2022/4/30
2022/6/30
2022/9/30
2023/6/30</t>
  </si>
  <si>
    <t>100G+40G+160G+140G+200G-100G-260G-60G-20G</t>
  </si>
  <si>
    <t>20230630退租20G。需要注意20230301价格变动。20220201价格变动.（1）20210207开始计费100G，20210301开始计费40G，20210401开始计费160G，20210601开始计费140G，20211001开始计费200G，20220430退租100G.。20220930退租60G.颗粒度100M，保底256G；（2）20210401开始廊坊6电信&amp;廊坊7电信合并计费,20220701开始廊坊6电信&amp;廊坊7电信拆分计费（2）甲乙双方实际流量以100M为结算单位，不足50M按照0M收取，大于等于50M按100M收取</t>
  </si>
  <si>
    <t>LF6CT</t>
  </si>
  <si>
    <t>廊坊7电信</t>
  </si>
  <si>
    <t>2021/4/1
2021/10/1
2022/7/1
2022/9/30
2023/6/30</t>
  </si>
  <si>
    <t>160G-160G+200G-200G+260-40-20G</t>
  </si>
  <si>
    <t>20230630退租20G。需要注意20230301价格变动。20220201价格变动。20210401开始计费160G，20211001扩容200G开始计费，20220930退租40G.颗粒度100M，保底108G；20210401合并至廊坊7电信</t>
  </si>
  <si>
    <t>LF7CT</t>
  </si>
  <si>
    <t>182215IDC00416</t>
  </si>
  <si>
    <t>淄博联通</t>
  </si>
  <si>
    <t>CACDNZBUN</t>
  </si>
  <si>
    <t>2022/2/1
2022/8/31
2022/11/30</t>
  </si>
  <si>
    <t>20220825挪给ZB2UN200G。需要注意20220401价格变动（1）20220201开始计费，颗粒度100M，保底80G；（2）甲乙双方实际流量以100M为结算单位，不足50M按照0M收取，大于等于50M按100M收取</t>
  </si>
  <si>
    <t>淄博2联通</t>
  </si>
  <si>
    <t>2022/9/1
2022/10/31</t>
  </si>
  <si>
    <t>20221031退租。颗粒度100M，保底80G</t>
  </si>
  <si>
    <t>182315IDC00016</t>
  </si>
  <si>
    <t>泰安</t>
  </si>
  <si>
    <t>泰安联通</t>
  </si>
  <si>
    <t>CACDNTAUN</t>
  </si>
  <si>
    <t>20230101从CDN转给BEC。20221101开始计费，颗粒度100M，保底80G</t>
  </si>
  <si>
    <t>L20230804001</t>
  </si>
  <si>
    <t>泰安2联通</t>
  </si>
  <si>
    <t>2022/12/1
2023/1/1</t>
  </si>
  <si>
    <t>202310按照保底计提。需要注意202311价格。20230101从CDN转给BEC。20221201开始计费。颗粒度100M，保底80G</t>
  </si>
  <si>
    <t>TA2UN</t>
  </si>
  <si>
    <t>广东力通网络科技有限公司</t>
  </si>
  <si>
    <t>广东力通</t>
  </si>
  <si>
    <t>182115IDC00428</t>
  </si>
  <si>
    <t>岳阳联通</t>
  </si>
  <si>
    <t>CACDNYYUN</t>
  </si>
  <si>
    <t>2020/7/1
2021/12/31</t>
  </si>
  <si>
    <t>20211231退租，20210701开始价格为5667，需要注意202107故障扣减（1）20200701开始计费，颗粒度100M，保底30G；
（2）甲乙双方实际流量以100M为结算单位，不足50M按照0M收取，大于等于50M按100M收取。</t>
  </si>
  <si>
    <t>182115IDC00076</t>
  </si>
  <si>
    <t>佳木斯</t>
  </si>
  <si>
    <t>佳木斯2联通</t>
  </si>
  <si>
    <t>CACDNJMSUN</t>
  </si>
  <si>
    <t>2021/2/15
2021/12/31</t>
  </si>
  <si>
    <t>20211231退租（1）20210215开始计费，颗粒度100M，保底60G；（2）甲乙双方实际流量以100M为结算单位，不足50M按照0M收取，大于等于50M按100M收取</t>
  </si>
  <si>
    <t>广东图纪网络科技有限公司</t>
  </si>
  <si>
    <t>广东图纪</t>
  </si>
  <si>
    <t>182215IDC00014</t>
  </si>
  <si>
    <t>郴州</t>
  </si>
  <si>
    <t>郴州联通二级</t>
  </si>
  <si>
    <t>CACDNCHENZUN</t>
  </si>
  <si>
    <t>2020/1/22
2022/1/31</t>
  </si>
  <si>
    <t>240G-240G</t>
  </si>
  <si>
    <t>20220131退租。20211001价格为5666.67。需要注意202104-202105故障扣减，20210301价格为5833.33（1）20200122开始计费，颗粒度100M，保底72G；（2）甲乙双方实际流量以100M为结算单位，不足50M按0M收取；大于等于50M按100M收取</t>
  </si>
  <si>
    <t>长沙3联通</t>
  </si>
  <si>
    <t>CACDNCSUN</t>
  </si>
  <si>
    <t>2020/3/11
2022/7/31</t>
  </si>
  <si>
    <t>20220731退租。20211001价格为5666.67。20210301价格为5833.33（1）需要202008暂停不计费；（2）20200311开始计费，颗粒度100M，保底60G；（3）甲乙双方实际流量以100M为结算单位，不足50M按0M收取；大于等于50M按100M收取</t>
  </si>
  <si>
    <t>182315IDC00300</t>
  </si>
  <si>
    <t>洛阳</t>
  </si>
  <si>
    <t>洛阳4电信</t>
  </si>
  <si>
    <t>CACDNLYCT</t>
  </si>
  <si>
    <t>2020/11/1
2021/2/1
2021/9/1
2022/1/31
2023/7/31</t>
  </si>
  <si>
    <t>100G+200G+100G-100G-100G</t>
  </si>
  <si>
    <t>202305保底率降为35%。需要注意202206价格变化。需要注意202202开始价格变动。20210901扩容后降价（1）20201101存量100G开始计费，20210201扩容200G开始计费，20210901扩容100G开始计费，20220131缩容100G，颗粒度100M，保底120G；（2）甲乙双方实际流量以100M为结算单位，不足50M按0M收取，大于等于50M按100M收取</t>
  </si>
  <si>
    <t>LY4CT</t>
  </si>
  <si>
    <t>洛阳5电信</t>
  </si>
  <si>
    <t>2021/10/1
2022/2/1</t>
  </si>
  <si>
    <t>202305保底率降为35%。需要注意202206价格变化。需要注意202202开始价格变动。（1）20211001开始计费100G，20220201扩容100G开始计费，颗粒度100M，保底80G</t>
  </si>
  <si>
    <t>LY5CT</t>
  </si>
  <si>
    <t>182315IDC00296</t>
  </si>
  <si>
    <t>郴州电信</t>
  </si>
  <si>
    <t>CACDNCHENZCT</t>
  </si>
  <si>
    <t>2021/10/1
2022/2/1
2023/9/30</t>
  </si>
  <si>
    <t>202310拆分200G给郴州2电信。需要注意202306价格变动。202305保底率降为25%。需要注意202207价格变动（1）20211001开始计费300G，20220201开始计费100G，颗粒度100M，保底120G；（2）甲乙双方实际流量以100M为结算单位，不足50M按照0M收取，大于等于50M按100M收取</t>
  </si>
  <si>
    <t>CHENZCT</t>
  </si>
  <si>
    <t>郴州2电信</t>
  </si>
  <si>
    <t>CHENZ2CT</t>
  </si>
  <si>
    <t>182315IDC00193</t>
  </si>
  <si>
    <t>株洲2联通</t>
  </si>
  <si>
    <t>CACDNZHUZUN</t>
  </si>
  <si>
    <t>2022/2/1
2023/7/31
2023/9/30
2023/10/1</t>
  </si>
  <si>
    <t>440G-140G-160G+160G</t>
  </si>
  <si>
    <t>需要注意拆分计费。202310株洲2联通&amp;株洲4联通合并计费。20220201开始计费，颗粒度100M，保底132G</t>
  </si>
  <si>
    <t>ZHUZ2UN</t>
  </si>
  <si>
    <t>株洲4联通</t>
  </si>
  <si>
    <t>2023/10/1
2023/10/1</t>
  </si>
  <si>
    <t>颗粒度100M，保底48G</t>
  </si>
  <si>
    <t>182315IDC00301</t>
  </si>
  <si>
    <t>洛阳2联通</t>
  </si>
  <si>
    <t>CACDNLYUN</t>
  </si>
  <si>
    <t>2022/6/1
2023/6/30</t>
  </si>
  <si>
    <t>300G-100G</t>
  </si>
  <si>
    <t>需要注意202306价格变动。20230630退租100G。20220601开始计费，颗粒度100M，保底90G</t>
  </si>
  <si>
    <t>LY2UN</t>
  </si>
  <si>
    <t>182315IDC00368</t>
  </si>
  <si>
    <t>株洲3联通</t>
  </si>
  <si>
    <t>20220802开始计费，颗粒度100M，保底60G</t>
  </si>
  <si>
    <t>ZHUZ3UN</t>
  </si>
  <si>
    <t>182315IDC00289</t>
  </si>
  <si>
    <t>重庆5移动</t>
  </si>
  <si>
    <t>CACDNCQCM5</t>
  </si>
  <si>
    <t>2023/3/2
2023/3/31</t>
  </si>
  <si>
    <t>20230302开始计费。颗粒度100M，包端口，保底80G</t>
  </si>
  <si>
    <t>L20230803001</t>
  </si>
  <si>
    <t>东莞4移动</t>
  </si>
  <si>
    <t>CACDNDGCM2</t>
  </si>
  <si>
    <t>200G
+20G</t>
  </si>
  <si>
    <t>20230801从唯云转图纪。20220101价格为5000（1）颗粒度100M，保底88G；（2）20200301扩容20G开始计费；（3）甲乙双方实际流量以100M为结算单位，不足50M按0M收取，大于等于50M按100M收取；（4）2019年11月1日起调整为：5500元/G/月；</t>
  </si>
  <si>
    <t>DG4CM</t>
  </si>
  <si>
    <t>厦门市唯云网络科技有限公司</t>
  </si>
  <si>
    <t>厦门唯云</t>
  </si>
  <si>
    <t>182215IDC00643</t>
  </si>
  <si>
    <t>2019/1/28 
2020/3/1
2023/7/31</t>
  </si>
  <si>
    <t>182315IDC00322</t>
  </si>
  <si>
    <t>CACDNWXUN</t>
  </si>
  <si>
    <t>2019/10/1
2020/11/1
2022/6/30</t>
  </si>
  <si>
    <t>160G+40G-100G</t>
  </si>
  <si>
    <t>需要注意202207价格变动。20220630退租100G。20201001价格为7000（1）存量160G20191001开始计费，扩容40G20201101开始计费，颗粒度100M，保底60G；（2）甲乙双方实际流量以100M为结算单位，不足50M按0M收取，大于等于50M按100M收取。</t>
  </si>
  <si>
    <t>WXUN</t>
  </si>
  <si>
    <t>L20230801015</t>
  </si>
  <si>
    <t>贵阳电信</t>
  </si>
  <si>
    <t>CACDNGYCT</t>
  </si>
  <si>
    <t>2019/10/1
2021/4/1
2023/7/31</t>
  </si>
  <si>
    <t>200G+60G-120G</t>
  </si>
  <si>
    <t>（1）20191001开始计费200G，20210401扩容60G开始计费，颗粒度100M，保底52G（平均流量计费）；（2）甲乙双方实际流量以100M为结算单位，不足50M按0M收取，大于等于50M按100M收取。</t>
  </si>
  <si>
    <t>GYCT</t>
  </si>
  <si>
    <t>贵阳2电信</t>
  </si>
  <si>
    <t xml:space="preserve">CACDNGYCT </t>
  </si>
  <si>
    <t>2020/1/17
2021/4/1
2023/7/31</t>
  </si>
  <si>
    <t>（1）20200117开始计费200G，20210401扩容60G开始计费，颗粒度100M，保底52G（平均流量计费）；（2）甲乙双方实际流量以100M为结算单位，不足50M按0M收取，大于等于50M按100M收取。</t>
  </si>
  <si>
    <t>GY2CT</t>
  </si>
  <si>
    <t>182315IDC00321</t>
  </si>
  <si>
    <t>吉安</t>
  </si>
  <si>
    <t>吉安电信</t>
  </si>
  <si>
    <t>CACDNJACT</t>
  </si>
  <si>
    <t>2020/6/1
2020/12/1</t>
  </si>
  <si>
    <t>（1）20200601存量80G开始计费，20201201扩容40G开始计费，颗粒度100M，保底36G；（2）甲乙双方实际流量以100M为结算单位，不足50M按0M收取，大于等于50M按100M收取。</t>
  </si>
  <si>
    <t>JACT</t>
  </si>
  <si>
    <t>182215IDC00289</t>
  </si>
  <si>
    <t>大连</t>
  </si>
  <si>
    <t>大连3电信</t>
  </si>
  <si>
    <t>CACDNDLCT</t>
  </si>
  <si>
    <t>2021/4/2
2022/4/30</t>
  </si>
  <si>
    <t>20220430退租。202111对账需要注意故障是否扣减（1）20210402开始计费，颗粒度100M，保底30G；（2）甲乙双方实际流量以100M为结算单位，不足50M按照0M收取，大于等于50M按100M收取</t>
  </si>
  <si>
    <t>182115IDC00610</t>
  </si>
  <si>
    <t>贵阳3电信</t>
  </si>
  <si>
    <t>CACDNGYCT2</t>
  </si>
  <si>
    <t>2021/8/2
2021/10/1
2022/9/30</t>
  </si>
  <si>
    <t>100G+200G-300G</t>
  </si>
  <si>
    <t>20220930退租。20210802开始计费100G，20211001开始计费扩容200G，颗粒度100M，保底90G</t>
  </si>
  <si>
    <t>182215IDC00642</t>
  </si>
  <si>
    <t>绍兴电信</t>
  </si>
  <si>
    <t>CACDNSHAOXCT</t>
  </si>
  <si>
    <t>2021/10/1
2023/5/31</t>
  </si>
  <si>
    <t>（1）20211001开始计费，颗粒度100M，保底200G。包端口；（2）甲乙双方实际流量以100M为结算单位，不足50M按照0M收取，大于等于50M按100M收取</t>
  </si>
  <si>
    <t>182315IDC00008</t>
  </si>
  <si>
    <t>泉州</t>
  </si>
  <si>
    <t>泉州2联通</t>
  </si>
  <si>
    <t>CACDNQZUN2</t>
  </si>
  <si>
    <t>2021/12/2
2022/1/1
2022/2/1</t>
  </si>
  <si>
    <t>60G+40G+40G</t>
  </si>
  <si>
    <t>（1）20211202开始计费60G，20220101扩容40G开始计费；20220201扩容40G开始计费，颗粒度100M，保底42G（2）甲乙双方实际流量以100M为结算单位，不足50M按照0M收取，大于等于50M按100M收取</t>
  </si>
  <si>
    <t>QZ2UN</t>
  </si>
  <si>
    <t>182215IDC00082</t>
  </si>
  <si>
    <t>沧州</t>
  </si>
  <si>
    <t>沧州电信</t>
  </si>
  <si>
    <t>CACDNCANGZCT</t>
  </si>
  <si>
    <t>2022/2/1
2022/6/30</t>
  </si>
  <si>
    <t>20220630退租。（1）20220201开始计费，颗粒度100M，保底60G；（2）甲乙双方实际流量以100M为结算单位，不足50M按照0M收取，大于等于50M按100M收取</t>
  </si>
  <si>
    <t>182315IDC00320</t>
  </si>
  <si>
    <t>常州</t>
  </si>
  <si>
    <t>常州3电信</t>
  </si>
  <si>
    <t>CACDNCZCT</t>
  </si>
  <si>
    <t>202305保底率降为25%。20220901开始计费，颗粒度100M，保底30G</t>
  </si>
  <si>
    <t>CZ3CT</t>
  </si>
  <si>
    <t>182315IDC00007</t>
  </si>
  <si>
    <t>昆明7电信</t>
  </si>
  <si>
    <t>CACDNKMCT</t>
  </si>
  <si>
    <t>2022/11/1
2023/6/30</t>
  </si>
  <si>
    <t>20230630退租。20221101开始计费，颗粒度100M，保底60G</t>
  </si>
  <si>
    <t>广州大一互联网络科技有限公司</t>
  </si>
  <si>
    <t>广州大一</t>
  </si>
  <si>
    <t>182115IDC00064</t>
  </si>
  <si>
    <t>中山电信</t>
  </si>
  <si>
    <t xml:space="preserve">CACDNZSCT </t>
  </si>
  <si>
    <t>2019/9/1
2019/12/1
2021/2/1</t>
  </si>
  <si>
    <t>200G
+100G-300G</t>
  </si>
  <si>
    <t>202110转为广州贝云供应商，需要注意202102价格变化且202102开始合并至中山2电信（1）20200801开始价格为12000；（2）20200901开始计费，颗粒度100M，保底90G；（3）20191201扩容100G开始计费，扩容的100G正式合同181915IDC00343不包含；（4）乙双方实际流量以100M为结算单位，不足50M按0M收取，大于等于50M按100M收取。</t>
  </si>
  <si>
    <t>中山2电信</t>
  </si>
  <si>
    <t>CACDNZSCT</t>
  </si>
  <si>
    <t>2019/9/1
2019/12/1
2021/2/1
2021/9/30</t>
  </si>
  <si>
    <t>200G+200G+100G-500G</t>
  </si>
  <si>
    <t>202110转为广州贝云供应商（1）2021年2月开始中山电信&amp;中山2电信500G合并计费；（2）20210201开始计费，颗粒度100M，保底150G</t>
  </si>
  <si>
    <t>182115IDC00070</t>
  </si>
  <si>
    <t>佛山联通</t>
  </si>
  <si>
    <t>CACDNFSUN</t>
  </si>
  <si>
    <t>2019/9/25
2021/2/28</t>
  </si>
  <si>
    <t>20210228退租160G（1）需要注意2020年4月1日开始降价为10000；（2）20190925开始计费，颗粒度100M，保底48G；（3）甲乙双方实际流量以100M为结算单位，不足50M按0M收取，大于等于50M按100M收取。</t>
  </si>
  <si>
    <t>梅州</t>
  </si>
  <si>
    <t>梅州联通</t>
  </si>
  <si>
    <t>CACDNMZUN</t>
  </si>
  <si>
    <t>2020/5/1
2021/1/31</t>
  </si>
  <si>
    <t>需要注意20210201开始换为广州宏云供应商（1）20200501开始计费，颗粒度100M，保底80G；（2）甲乙双方实际流量以100M为结算单位，不足50M按0M收取，大于等于50M按100M收取。</t>
  </si>
  <si>
    <t>L20230927003</t>
  </si>
  <si>
    <t>东莞6移动</t>
  </si>
  <si>
    <t>CACDNDGCM3</t>
  </si>
  <si>
    <t>注意202308价格变动。需要注意202205价格变动（1）20200101开始计费，颗粒度100M，保底80G；（2）甲乙双方实际流量以100M为结算单位，不足50M按0M收取，大于等于50M按100M收取。</t>
  </si>
  <si>
    <t>DG6CM</t>
  </si>
  <si>
    <t>广州宏云互联网络科技有限公司</t>
  </si>
  <si>
    <t>广州宏云</t>
  </si>
  <si>
    <t>182015IDC00327</t>
  </si>
  <si>
    <t>揭阳移动</t>
  </si>
  <si>
    <t>CACDNJIEYCM</t>
  </si>
  <si>
    <t>2020/5/5
2020/10/1
2021/6/30</t>
  </si>
  <si>
    <t>80G+120G-200G</t>
  </si>
  <si>
    <t>20210630退租（1）扩容120G20201001开始计费，存量80G20200505开始计费，包端口，颗粒度100M，保底200G；（2）甲乙双方实际流量以100M为结算单位，不足50M按0M收取，大于等于50M按100M收取</t>
  </si>
  <si>
    <t>182115IDC00102</t>
  </si>
  <si>
    <t>合肥3移动</t>
  </si>
  <si>
    <t>CACDNHFCM</t>
  </si>
  <si>
    <t>2020/5/1
2021/5/31</t>
  </si>
  <si>
    <t>20210531退租，需要注意202102价格变化为4300（1）20200501开始计费，颗粒度100M，保底30G；（2）甲乙双方实际流量以100M为结算单位，不足50M按照0M收取，大于等于50M按100M收取。</t>
  </si>
  <si>
    <t>182115IDC00107</t>
  </si>
  <si>
    <t>佛山2电信</t>
  </si>
  <si>
    <t>CACDNFSCT</t>
  </si>
  <si>
    <t>2020/10/1
2021/9/30</t>
  </si>
  <si>
    <t>202110转为广州贝云供应商.需要注意202103价格变化为11250（1）20201001开始计费，颗粒度100M，保底30G；（2）甲乙双方实际流量以100M为结算单位，不足50M按0M收取，大于等于50M按100M收取。</t>
  </si>
  <si>
    <t>182115IDC00492</t>
  </si>
  <si>
    <t>许昌</t>
  </si>
  <si>
    <t>许昌联通</t>
  </si>
  <si>
    <t>CACDNXUCUN</t>
  </si>
  <si>
    <t>2020/9/2
2022/5/31</t>
  </si>
  <si>
    <t>（1）20200902开始计费，20220531退租，颗粒度100M，保底60G；（2）甲乙双方实际流量以100M为结算单位，不足50M按0M收取，大于等于50M按100M收取</t>
  </si>
  <si>
    <t>182215IDC00105</t>
  </si>
  <si>
    <t>2021/2/1
2022/4/30</t>
  </si>
  <si>
    <t>20220430退租，自20210201开始从原广州大一转移到广州宏云；（1）颗粒度100M，保底80G；（2）甲乙双方实际流量以100M为结算单位，不足50M按照0M收取，大于等于50M按100M收取</t>
  </si>
  <si>
    <t>182215IDC00103</t>
  </si>
  <si>
    <t>惠州联通</t>
  </si>
  <si>
    <t>CACDNHUIZUN</t>
  </si>
  <si>
    <t>2021/3/2
2022/6/30</t>
  </si>
  <si>
    <t>20220630退租（1）20210302开始计费，颗粒度100M，保底48G；（2）甲乙双方实际流量以100M为结算单位，不足50M按照0M收取，大于等于50M按100M收取</t>
  </si>
  <si>
    <t>182215IDC00024</t>
  </si>
  <si>
    <t>潮州2电信</t>
  </si>
  <si>
    <t>CACDNCHAOZCT</t>
  </si>
  <si>
    <t>2021/4/2
2021/12/31</t>
  </si>
  <si>
    <t>20211231退租，20211101开始价格为10417（1）20210402开始计费，颗粒度100M，保底60G；（2）甲乙双方实际流量以100M为结算单位，不足50M按照0M收取，大于等于50M按100M收取</t>
  </si>
  <si>
    <t>182215IDC00699</t>
  </si>
  <si>
    <t>九江</t>
  </si>
  <si>
    <t>九江电信</t>
  </si>
  <si>
    <t>CACDNJJCT</t>
  </si>
  <si>
    <t>2021/4/1
2023/1/31</t>
  </si>
  <si>
    <t>20230201开始转给广州贝云。需要注意202210价格变动（1）20210401开始计费，颗粒度100M，保底30G；（2）甲乙双方实际流量以100M为结算单位，不足50M按照0M收取，大于等于50M按100M收取。</t>
  </si>
  <si>
    <t>182215IDC00698</t>
  </si>
  <si>
    <t>金华2电信</t>
  </si>
  <si>
    <t>CACDNJHCT2</t>
  </si>
  <si>
    <t>20230201开始转给广州贝云。需要注意202210价格变动（1）20210401开始计费，颗粒度100M，保底60G；（2）甲乙双方实际流量以100M为结算单位，不足50M按照0M收取，大于等于50M按100M收取</t>
  </si>
  <si>
    <t>182115IDC00638</t>
  </si>
  <si>
    <t>周口</t>
  </si>
  <si>
    <t>周口2联通</t>
  </si>
  <si>
    <t>CACDNZKUN</t>
  </si>
  <si>
    <t>2021/10/1
2022/5/31</t>
  </si>
  <si>
    <t>（1）20211001开始计费，20220531退租，颗粒度100M，保底30G；（2）甲乙双方实际流量以100M为结算单位，不足50M按照0M收取，大于等于50M按100M收取</t>
  </si>
  <si>
    <t>佛山3电信</t>
  </si>
  <si>
    <t>CACDNFSCT2</t>
  </si>
  <si>
    <t>2022/1/1
2022/8/31
2023/1/31</t>
  </si>
  <si>
    <t>20230201开始转给广州贝云。需要注意后期资源变动。20220831退租100G（1）20220101开始计费，颗粒度100M，保底60G；（2）甲乙双方实际流量以100M为结算单位，不足50M按照0M收取，大于等于50M按100M收取</t>
  </si>
  <si>
    <t>国网信息通信产业集团有限公司北京分公司</t>
  </si>
  <si>
    <t>国网信息</t>
  </si>
  <si>
    <t>182115IDC00470</t>
  </si>
  <si>
    <t>大连移动</t>
  </si>
  <si>
    <t>CACDNDLCM</t>
  </si>
  <si>
    <t>2021/2/9
2021/12/31</t>
  </si>
  <si>
    <t>20211231退租，需要注意20210802-0804费用是否免除，月付。需要注意20210901价格变动保底5400元，超保底5050，需要注意20210401开始保底4200；(1)20210209开始计费，颗粒度100M，保底80G;(2)甲乙双方实际流量以100M为结算单位，不足50M按照0M收取，大于等于50M按100M收取。</t>
  </si>
  <si>
    <t>大连移动超保底</t>
  </si>
  <si>
    <t>20211231退租，需要注意20210401开始保底4200，需要注意20210901超保底5050</t>
  </si>
  <si>
    <t>哈尔滨臻云科技有限公司</t>
  </si>
  <si>
    <t>臻云科技</t>
  </si>
  <si>
    <t>182315IDC00160</t>
  </si>
  <si>
    <t>哈尔滨4电信</t>
  </si>
  <si>
    <t>CACDNHEBCT</t>
  </si>
  <si>
    <t>2019/11/5
2020/11/1
2023/5/31
2023/6/30</t>
  </si>
  <si>
    <t>200G+40G-120G-20G</t>
  </si>
  <si>
    <t>20230630退租20G。20230601拆分120G到哈尔滨5电信。202303开始价格变动。202103价格变动（1）20191105存量200G开始计费，2020年11月1日扩容40G开始计费，颗粒度100M，保底36G；（2）甲乙双方实际流量以100M为结算单位，不足100M按100M收取。</t>
  </si>
  <si>
    <t>HRB4CT</t>
  </si>
  <si>
    <t>哈尔滨5电信</t>
  </si>
  <si>
    <t>2023/6/1
2023/6/30</t>
  </si>
  <si>
    <t>120G-20G</t>
  </si>
  <si>
    <t>20230630退租20G。颗粒度100M，20230601开始从哈尔滨4电信拆分120G给哈尔滨5电信，保底36G</t>
  </si>
  <si>
    <t>HRB5CT</t>
  </si>
  <si>
    <t>杭州天舰信息技术股份有限公司</t>
  </si>
  <si>
    <t>杭州天舰</t>
  </si>
  <si>
    <t>182315IDC00311</t>
  </si>
  <si>
    <t>丽水</t>
  </si>
  <si>
    <t>丽水电信</t>
  </si>
  <si>
    <t>CACDNLSCT</t>
  </si>
  <si>
    <t>LSCT</t>
  </si>
  <si>
    <t>182315IDC00349</t>
  </si>
  <si>
    <t>台州电信</t>
  </si>
  <si>
    <t>CACDNTZCT</t>
  </si>
  <si>
    <t>202304开始价格变动。202209价格变动（1）颗粒度100M，保底32G；20230501开始保底36G （2）甲乙双方实际流量以100M为结算单位，不足50M按照0M收取，大于等于50M按100M收取</t>
  </si>
  <si>
    <t>TZCT</t>
  </si>
  <si>
    <t>182315IDC00248</t>
  </si>
  <si>
    <t>丽水3移动</t>
  </si>
  <si>
    <t>CACDNLSCM2</t>
  </si>
  <si>
    <t>2021/4/1
2021/5/1
2023/9/30</t>
  </si>
  <si>
    <t>100G+100G-180G</t>
  </si>
  <si>
    <t>202304开始价格变动。需要注意2022年3-4月故障扣减（1）20210401开始计费100G，20210501新增100G开始计费，颗粒度100M，保底100G；（2）甲乙双方实际流量以100M为结算单位，不足50M按照0M收取，大于等于50M按100M收取</t>
  </si>
  <si>
    <t>LS3CM</t>
  </si>
  <si>
    <t>杭州优云科技有限公司</t>
  </si>
  <si>
    <t>杭州优云</t>
  </si>
  <si>
    <t>L20230504006</t>
  </si>
  <si>
    <t>CACDNHUZCT</t>
  </si>
  <si>
    <t>注意资源变动。202306保底率降为25%。需要注意202206价格变动（1）20200401开始计费，颗粒度100M，保底30G；（2）甲乙双方实际流量以100M为结算单位，不足50M按照0M收取，大于等于50M按100M收取。</t>
  </si>
  <si>
    <t>HUZCT</t>
  </si>
  <si>
    <t>L20230706007</t>
  </si>
  <si>
    <t>CACDNTZCM</t>
  </si>
  <si>
    <t>注意20230901保底变动30%到40%。需要注意202102价格为5500（1）20200401开始计费，颗粒度100M，保底80G；（2）甲乙双方实际流量以100M为结算单位，不足50M按照0M收取，大于等于50M按100M收取。</t>
  </si>
  <si>
    <t>TZCM</t>
  </si>
  <si>
    <t>L20230726004</t>
  </si>
  <si>
    <t>厦门三级电信</t>
  </si>
  <si>
    <t>CACDNXMIX</t>
  </si>
  <si>
    <t>20230801开始计费，颗粒度100M，保底3G</t>
  </si>
  <si>
    <t>XMIXCT</t>
  </si>
  <si>
    <t>厦门三级联通</t>
  </si>
  <si>
    <t>XMIXUN</t>
  </si>
  <si>
    <t>厦门三级移动</t>
  </si>
  <si>
    <t>202310按照保底计提。20230801开始计费，颗粒度100M,保底4G</t>
  </si>
  <si>
    <t>XMIXCM</t>
  </si>
  <si>
    <t>L20230726005</t>
  </si>
  <si>
    <t>厦门3移动</t>
  </si>
  <si>
    <t>CACDNXMCM</t>
  </si>
  <si>
    <t>20230801开始计费，颗粒度100M，保底80G</t>
  </si>
  <si>
    <t>XM3CM</t>
  </si>
  <si>
    <t>杭州云之盟科技有限公司</t>
  </si>
  <si>
    <t>云之盟</t>
  </si>
  <si>
    <t>182215IDC00301</t>
  </si>
  <si>
    <t>绍兴2移动</t>
  </si>
  <si>
    <t>CACDNSHAOXCM2</t>
  </si>
  <si>
    <t>2020/4/15
2022/12/31</t>
  </si>
  <si>
    <t>20221231退租。。需要注意202105价格5000和保底50%变动情况（1）20200415开始计费，颗粒度100M，保底50G；（2）甲乙双方实际流量以100M为结算单位，不足50M按照0M收取，大于等于50M按100M收取。</t>
  </si>
  <si>
    <t>182315IDC00330</t>
  </si>
  <si>
    <t>天津4联通</t>
  </si>
  <si>
    <t>CACDNTJUN</t>
  </si>
  <si>
    <t>2020/11/3
2021/1/1
2023/7/31</t>
  </si>
  <si>
    <t>需要注意202306价格变动（1）存量100G20201103开始计费，扩容100G2021010开始计费，颗粒度100M，保底80G；（2）甲乙双方实际流量以100M为结算单位，不足50M按照0M收取，大于等于50M按100M收取。</t>
  </si>
  <si>
    <t>182315IDC00351</t>
  </si>
  <si>
    <t>宁波4移动</t>
  </si>
  <si>
    <t>CACDNNBCM2</t>
  </si>
  <si>
    <t>需要注意202306价格变动。202111对账需要注意故障是否扣减；（1）20210601开始计费，颗粒度100M，保底100G；（2）甲乙双方实际流量以100M为结算单位，不足50M按照0M收取，大于等于50M按100M收取</t>
  </si>
  <si>
    <t>NB4CM</t>
  </si>
  <si>
    <t>L20230821007</t>
  </si>
  <si>
    <t>金华3电信</t>
  </si>
  <si>
    <t>CACDNJHCT3</t>
  </si>
  <si>
    <t>注意202307价格变动。20221001开始计费。颗粒度100M，保底90G</t>
  </si>
  <si>
    <t>JH3CT</t>
  </si>
  <si>
    <t>L20230831014</t>
  </si>
  <si>
    <t>舟山2移动</t>
  </si>
  <si>
    <t>CACDNZHOUSCM</t>
  </si>
  <si>
    <t>20230101开始计费。颗粒度100M，保底80G</t>
  </si>
  <si>
    <t>ZHOUS2CM</t>
  </si>
  <si>
    <t>湖南风云通达信息科技有限公司</t>
  </si>
  <si>
    <t>风云通达</t>
  </si>
  <si>
    <t>182315IDC00396</t>
  </si>
  <si>
    <t>长沙3电信</t>
  </si>
  <si>
    <t>CACDNCSCT2</t>
  </si>
  <si>
    <t>需要注意资源变动。202305保底率降为20%，202306保底率为25%。需要注意202305-202306保底率。需要注意202206价格变化（1）20200201开始计费，颗粒度100M，保底30G；（2）甲乙双方实际流量以100M为结算单位，不足50M按照0M收取，大于等于50M按100M收取。</t>
  </si>
  <si>
    <t>CS3CT</t>
  </si>
  <si>
    <t>内蒙古</t>
  </si>
  <si>
    <t>182315IDC00236</t>
  </si>
  <si>
    <t>包头电信</t>
  </si>
  <si>
    <t>CACDNBAOTCT</t>
  </si>
  <si>
    <t>202310按照保底计提。（1）202010不计费，需要注意202011对账扣减20200928-20200930故障费用。BD反馈202007扣减2天费用；（2）20200702开始计费，包端口，60G保底；（3）甲乙双方实际流量以100M为结算单位，不足50M按照0M收取，大于等于50M按100M收取。</t>
  </si>
  <si>
    <t>BAOTCT</t>
  </si>
  <si>
    <t>182115IDC00051</t>
  </si>
  <si>
    <t>吉首</t>
  </si>
  <si>
    <t>吉首移动</t>
  </si>
  <si>
    <t>CACDNJSCM</t>
  </si>
  <si>
    <t>2020/12/3
2021/8/31</t>
  </si>
  <si>
    <t>20210831退租，202107需要注意故障扣减（1）20201203开始计费，颗粒度100M，保底40G；（2）甲乙双方实际流量以100M为结算单位，不足50M按照0M收取，大于等于50M按100M收取</t>
  </si>
  <si>
    <t>182315IDC00506</t>
  </si>
  <si>
    <t>长沙4移动</t>
  </si>
  <si>
    <t>CACDNCSCM</t>
  </si>
  <si>
    <t>2021/2/7
2021/10/1
2021/10/1
2021/12/1
2022/2/1
2022/2/1
2023/2/28
2023/6/30
2023/6/30
2023/8/31
2023/8/31</t>
  </si>
  <si>
    <t>200G+160G+200G+200G+120G+200G-200G-200G-200G-220G-20G</t>
  </si>
  <si>
    <t>20230630长沙4移动退租200G。20230630长沙5移动退租。20230228退租长沙7移动200G.20230831长沙6移动退租220G20230831长沙4移动退租20G。。20211001开始价格变动，需要注意202108故障是否扣减（1）20210207的200G开始计费，20211001扩容100G开始计费，20211001长沙5移动200G开始计费并合并到长沙4移动，20211201长沙6移动合并到长沙4移动,20220201扩容120G，20220201开始长沙7移动200G合并至此计费。颗粒度100M，保底432G；（2）甲乙双方实际流量以100M为结算单位，不足50M按照0M收取，大于等于50M按100M收取。</t>
  </si>
  <si>
    <t>CS4CM</t>
  </si>
  <si>
    <t>长沙5移动</t>
  </si>
  <si>
    <t>2021/10/1
2021/10/1</t>
  </si>
  <si>
    <t>边缘计算，20211001开始计费，颗粒度100M，保底80G，合并到长沙4移动计费</t>
  </si>
  <si>
    <t>长沙6移动</t>
  </si>
  <si>
    <t>2021/12/1
2022/2/1</t>
  </si>
  <si>
    <t>200G-200G+120G-120G</t>
  </si>
  <si>
    <t>202112对账需要注意故障是否需要扣减。20211201开始计费200G，20220201扩容120G开始计费，合并到长沙4移动计费，颗粒度100M，保底128G</t>
  </si>
  <si>
    <t>长沙7移动</t>
  </si>
  <si>
    <t>2022/2/1
2022/2/1</t>
  </si>
  <si>
    <t>20220201开始计费，颗粒度100M，保底80G。202202开始合并至长沙4移动计费</t>
  </si>
  <si>
    <t>湖南省泛泰巨网信息技术有限公司</t>
  </si>
  <si>
    <t>泛泰巨网</t>
  </si>
  <si>
    <t>182215IDC00377</t>
  </si>
  <si>
    <t>衡阳电信</t>
  </si>
  <si>
    <t>CACDNHENGYCT</t>
  </si>
  <si>
    <t>2018/7/18
2019/9/1
2020/4/30
2023/6/30</t>
  </si>
  <si>
    <t>80G+
180G-60G-200G</t>
  </si>
  <si>
    <t>202305保底率降为20%。2个月一付。需要注意202206价格变动。202111对账需要注意故障是否扣减（1）20200501开始价格为7083.33；（2）颗粒度100M，保底60G；（3）需要注意20200430退60G；（4）.扩容180G新合同 181915IDC00229， 2018年7月18日至2019年7月24日，资源与价格均不作变更； 2019年7月25日至2019年8月31日，带宽价格更新为：7500元/月/G， 2019年9月1日开始带宽7500元；（5）甲乙双方实际流量以100M为结算单位，不足50M按照0M收取，大于等于50M按100M收取。</t>
  </si>
  <si>
    <t>衡阳2电信</t>
  </si>
  <si>
    <t>2020/6/1
2023/6/30</t>
  </si>
  <si>
    <t>202305保底率降为20%。需要注意202206价格变动。（1）20200601开始计费，颗粒度100M，保底18G，（2）甲乙双方实际流量以100M为结算单位，不足50M按照0M收取，大于等于50M按100M收取。</t>
  </si>
  <si>
    <t>吉林省高升科技有限公司</t>
  </si>
  <si>
    <t>高升科技</t>
  </si>
  <si>
    <t>182315IDC00356</t>
  </si>
  <si>
    <t>长春</t>
  </si>
  <si>
    <t>长春3联通</t>
  </si>
  <si>
    <t>CACDNCCUN</t>
  </si>
  <si>
    <t>202310按照均值计提。注意202108价格变化5000。20210101开始价格为5833（1）20200122开始计费，颗粒度100M，保底40G；（2）甲乙双方实际流量以100M为结算单位，不足50M按照0M收取，大于等于50M按100M收取</t>
  </si>
  <si>
    <t>CC3UN</t>
  </si>
  <si>
    <t>吉林省优果网络传媒有限公司</t>
  </si>
  <si>
    <t>吉林优果</t>
  </si>
  <si>
    <t>182215IDC00546</t>
  </si>
  <si>
    <t>哈尔滨4移动</t>
  </si>
  <si>
    <t>CACDNHEBCM3</t>
  </si>
  <si>
    <t>2020/8/1
2023/4/30</t>
  </si>
  <si>
    <t>202306关停。需要注意后期资源变动（1）20200801开始计费，颗粒度100M，保底50G；（2）甲乙双方实际流量以100M为结算单位，不足50M按照0M收取，大于等于50M按100M收取</t>
  </si>
  <si>
    <t>182015IDC00326</t>
  </si>
  <si>
    <t>鞍山电信</t>
  </si>
  <si>
    <t>CACDNANSHANCT</t>
  </si>
  <si>
    <t>2020/10/1
2021/6/30</t>
  </si>
  <si>
    <t>（1）20201001开始计费，颗粒度100M，保底12G；（2）甲乙双方实际流量以100M为结算单位，不足50M按照0M收取，大于等于50M按100M收取。</t>
  </si>
  <si>
    <t>182315IDC00292</t>
  </si>
  <si>
    <t>沈阳3电信</t>
  </si>
  <si>
    <t>CACDNSYCT</t>
  </si>
  <si>
    <t>需要注意202306价格变动。202111对账需要注意故障是否扣减；20210601开始计费，颗粒度100M，保底18G</t>
  </si>
  <si>
    <t>SY3CT</t>
  </si>
  <si>
    <t>182315IDC00293</t>
  </si>
  <si>
    <t>天津4移动</t>
  </si>
  <si>
    <t>CACDNTJCM2</t>
  </si>
  <si>
    <t>2021/6/10
2022/7/31</t>
  </si>
  <si>
    <t>200G-160G</t>
  </si>
  <si>
    <t>202310按照保底计提。20220731退租160G。需要注意202208价格变动（1）20210610开始计费，颗粒度100M，保底100G；20220801开始为包端口（2）甲乙双方实际流量以100M为结算单位，不足50M按照0M收取，大于等于50M按100M收取</t>
  </si>
  <si>
    <t>TJ4CM</t>
  </si>
  <si>
    <t>江苏恒杰网络科技有限公司</t>
  </si>
  <si>
    <t>江苏恒杰</t>
  </si>
  <si>
    <t>182315IDC00006</t>
  </si>
  <si>
    <t>厦门3电信</t>
  </si>
  <si>
    <t>CACDNXMCT2</t>
  </si>
  <si>
    <t>2021/2/1
2021/5/1
2021/12/1
2022/6/30
2023/4/30
2023/5/31
2023/10/31</t>
  </si>
  <si>
    <t>200G+120G+60G-100G-80G-190G-10G</t>
  </si>
  <si>
    <t>20231031退租10G。20230531退租190G。20230430退租80G。20220630退租100G。202112对账需要注意故障是否需要扣减（1）20210201开始计费200G，20210501新增120G开始计费，20211201新增60G，颗粒度100M，保底114G；（2）甲乙双方实际流量以100M为结算单位，不足50M按照0M收取，大于等于50M按100M收取</t>
  </si>
  <si>
    <t>XM3CT</t>
  </si>
  <si>
    <t>182315IDC00096</t>
  </si>
  <si>
    <t>郑州6电信</t>
  </si>
  <si>
    <t>CACDNZZCT</t>
  </si>
  <si>
    <t>2021/11/1
2023/1/1</t>
  </si>
  <si>
    <t>202310按照均值计提。需要注意资源变动。需注意202206价格变化。20211101开始计费100G，20230101开始计费160G.颗粒度100M，保底60G</t>
  </si>
  <si>
    <t>ZZ6CT</t>
  </si>
  <si>
    <t>182315IDC00353</t>
  </si>
  <si>
    <t>芜湖</t>
  </si>
  <si>
    <t>芜湖联通</t>
  </si>
  <si>
    <t>CACDNWUHUN</t>
  </si>
  <si>
    <t>100G+60G</t>
  </si>
  <si>
    <t>需要注意后期扩容并降价。需要注意202206价格变化（1）20211001开始计费100G，20220201开始计费60G，颗粒度100M，保底48G；（2）甲乙双方实际流量以100M为结算单位，不足50M按照0M收取，大于等于50M按100M收取</t>
  </si>
  <si>
    <t>WUHUN</t>
  </si>
  <si>
    <t>182315IDC00288</t>
  </si>
  <si>
    <t>郑州5联通</t>
  </si>
  <si>
    <t>CACDNZZUN</t>
  </si>
  <si>
    <t>202310按照保底计提。颗粒度100M，保底12G</t>
  </si>
  <si>
    <t>ZZ5UN</t>
  </si>
  <si>
    <t>江苏云工场信息技术有限公司</t>
  </si>
  <si>
    <t>江苏云工场</t>
  </si>
  <si>
    <t>L20230928001</t>
  </si>
  <si>
    <t>青岛</t>
  </si>
  <si>
    <t>青岛移动2</t>
  </si>
  <si>
    <t>CACDNQDCM</t>
  </si>
  <si>
    <t>2018/8/6
2019/10/1
2021/2/1</t>
  </si>
  <si>
    <t>160G
+200G+70G</t>
  </si>
  <si>
    <t>需要注意202109价格变动5500（1）需要注意2020年5月1日开始价格为5000，2020年1月1日开始单价为4500；（2）颗粒度100M，保底129G；（3）扩容200G20191001开始计费；扩容70G20210201开始计费，（4）甲乙双方实际流量以100M为结算单位，不足50M按照0M收取，大于等于50M按100M收取。</t>
  </si>
  <si>
    <t>QDCM</t>
  </si>
  <si>
    <t>L20230928002</t>
  </si>
  <si>
    <t>济南2移动二级</t>
  </si>
  <si>
    <t>CACDNJNCM</t>
  </si>
  <si>
    <t>2019/1/26
2023/8/31
2023/10/31</t>
  </si>
  <si>
    <t>300G-100G-100G</t>
  </si>
  <si>
    <t>202310按照均值计提。需要注意价格变动。需要注意202109价格变动5500（1）需要注意2020年5月1日开始价格为5000，2020年1月1日开始单价为4500；（2）颗粒度100M，保底90G；（3）甲乙双方实际流量以100M为结算单位，不足50M按照0M收取，大于等于50M按100M收取。</t>
  </si>
  <si>
    <t>JN2CMCACHE</t>
  </si>
  <si>
    <t>182015IDC00367</t>
  </si>
  <si>
    <t>济南6移动</t>
  </si>
  <si>
    <t>2019/1/26
2020/10/31</t>
  </si>
  <si>
    <t>202009不计费，（1）需要注意BD反馈2020年8月暂停不计费；（2）需要注意2020年5月1日开始价格为5000；（3）颗粒度100M，202001前无保底。2020年1月1日开始单价为4500，保底60G；（4）201908与济南5拆开计费；（5）甲乙双方实际流量以100M为结算单位，不足50M按照0M收取，大于等于50M按100M收取。</t>
  </si>
  <si>
    <t>青岛三线</t>
  </si>
  <si>
    <t>2018/9/25 
2019/7/25 
2020/1/1
2021/6/1</t>
  </si>
  <si>
    <t>80G
+80G
+40G+60G</t>
  </si>
  <si>
    <t>202310按照均值计提。需要注意202109价格变动5500（1）需要注意2020年5月1日开始价格为5000；（2）颗粒度100M，保底78G；（3）20190725扩容80G开始计费，202001扩容40G开始计费；20210601扩容60G开始计费；4）2020年1月1日开始单价4500；（5）甲乙双方实际流量以100M为结算单位，不足50M按照0M收取，大于等于50M按100M收取。</t>
  </si>
  <si>
    <t>QDIXCM</t>
  </si>
  <si>
    <t>原青岛高防转为青岛CDN使用</t>
  </si>
  <si>
    <t>QDWNQ</t>
  </si>
  <si>
    <t>202310按照均值计提。需要注意202109价格变动5500（1）20200901开始200G CDN出口；（2）需要注意2020年5月1日开始价格为5000；（3）颗粒度100M，保底60G；（4）2020年1月1日开始单价为4500；（5）甲乙双方实际流量以100M为结算单位，不足50M按照0M收取，大于等于50M按100M收取。</t>
  </si>
  <si>
    <t>QDCMCACHE</t>
  </si>
  <si>
    <t>182315IDC00327</t>
  </si>
  <si>
    <t>青岛高防（青岛万年泉移动）</t>
  </si>
  <si>
    <t>高防复用CDN60G</t>
  </si>
  <si>
    <t>（1）20210101开始无此费用；（2）复用CDN的60G，保底18G，固定费用，按照5500*18</t>
  </si>
  <si>
    <t>182315IDC00413</t>
  </si>
  <si>
    <t>青岛滨海</t>
  </si>
  <si>
    <t>QDBH-移动</t>
  </si>
  <si>
    <t>202310按照均值计提。需要注意202109价格变动5500（1）需要注意2020年5月1日开始价格为5000；（2）20191104开始计费，颗粒度100M，保底30G，甲乙双方实际流量以100M为结算单位，不足50M按照0M收取，大于等于50M按100M收取。</t>
  </si>
  <si>
    <t>QDBH-MOBCOM</t>
  </si>
  <si>
    <t>青岛3移动</t>
  </si>
  <si>
    <t>2020/1/22
2020/3/1
2021/2/1
2021/9/30
2021/10/1
2022/12/31</t>
  </si>
  <si>
    <t>260G
+10G-70G-100G+100G-200G</t>
  </si>
  <si>
    <t>20221231挪200G给青岛6移动。需要注意202109价格变动5500，（1）颗粒度100M，保底30G；（2）需要注意2020年5月1日开始价格为5000；（3）20200122存量260G开始计费，20200301扩容10G开始计费，20210201有70G迁移到青岛移动2；20211001开始有100G迁移到青岛6移动。青岛3移动100G合并青岛6移动计费（4）甲乙双方实际流量以100M为结算单位，不足50M按照0M收取，大于等于50M按100M收取。</t>
  </si>
  <si>
    <t>青岛6移动</t>
  </si>
  <si>
    <t>CACDNQDCM2</t>
  </si>
  <si>
    <t>2021/10/1
2021/10/1
2023/1/1</t>
  </si>
  <si>
    <t>100G-100G+200G</t>
  </si>
  <si>
    <t>20230101开始200G全在青岛6移动。20211001开始计费，颗粒度100M，保底60G；此节点为青岛3移动拆除的100G。且青岛6移动剩余100G合并到青岛3移动节点合并计费</t>
  </si>
  <si>
    <t>QD6CM</t>
  </si>
  <si>
    <t>182315IDC00277</t>
  </si>
  <si>
    <t>呼和浩特5移动</t>
  </si>
  <si>
    <t>CACDNHHHTCM</t>
  </si>
  <si>
    <t>2020/1/1
2020/5/1
2023/8/31</t>
  </si>
  <si>
    <t>160G+60G-220G</t>
  </si>
  <si>
    <t>202306-202307关停（1）颗粒度100M，保底66G；（2）20200101存量160G开始计费，20200501扩容60G开始计费；（3）甲乙双方实际流量以100M为结算单位，不足50M按照0M收取，大于等于50M按100M收取。</t>
  </si>
  <si>
    <t>182115IDC00062</t>
  </si>
  <si>
    <t>太原6移动</t>
  </si>
  <si>
    <t>CACDNTYCM</t>
  </si>
  <si>
    <t>2020/1/22
2021/1/1
2021/3/31</t>
  </si>
  <si>
    <t>160G+100G-260G</t>
  </si>
  <si>
    <t>20210331退租，需要注意202012临时关停60G，202101恢复160G；202101扩容100G开始计费，（1）存量160G20200122开始计费，扩容100G20210101开始计费，颗粒度100M，保底78G；（2）甲乙双方实际流量以100M为结算单位，不足50M按照0M收取，大于等于50M按100M收取。</t>
  </si>
  <si>
    <t>182115IDC00233</t>
  </si>
  <si>
    <t>南宁4移动+南宁5移动</t>
  </si>
  <si>
    <t>CACDNNNCM</t>
  </si>
  <si>
    <t>2020/5/1
2021/1/1
2021/4/1
2021/9/30</t>
  </si>
  <si>
    <t>150G+50G+160G-360G</t>
  </si>
  <si>
    <t>20210930退租，20210101价格为5500（1）存量150G20200501开始计费，扩容20210101开始计费，颗粒度100M，保底60G；（2）20210401开始南宁5移动合并至南宁4移动（3）甲乙双方实际流量以100M为结算单位，不足50M按照0M收取，大于等于50M按100M收取。</t>
  </si>
  <si>
    <t>南宁5移动</t>
  </si>
  <si>
    <t>（1）20210401开始计费，颗粒度100M，保底48G；20210401合并至南宁4移动；（2）甲乙双方实际流量以100M为结算单位，不足50M按照0M收取，大于等于50M按100M收取</t>
  </si>
  <si>
    <t>L20231001003</t>
  </si>
  <si>
    <t>青岛5移动</t>
  </si>
  <si>
    <t>2021/2/1
2021/10/1
2022/9/30
2023/9/30</t>
  </si>
  <si>
    <t>100G+200G-100G-100G</t>
  </si>
  <si>
    <t>20231001开始转为95计费。需要注意202109价格变动（1）20210201开始计费100G，20211001开始计费扩容200G颗粒度100M，20220930退租100G.包端口，保底300G；（2）甲乙双方实际流量以100M为结算单位，不足50M按照0M收取，大于等于50M按100M收取</t>
  </si>
  <si>
    <t>QD5CM</t>
  </si>
  <si>
    <t>182315IDC00062</t>
  </si>
  <si>
    <t>济南7移动</t>
  </si>
  <si>
    <t>CACDNJNCM2</t>
  </si>
  <si>
    <t>2021/1/5
2021/4/1
2023/7/31</t>
  </si>
  <si>
    <t>200G+200G-400G</t>
  </si>
  <si>
    <t>需要注意20210701开始济南7移动&amp;济南8移动合并到济南7移动计费；需要注意202104故障是否需要扣减（1）20210105开始计费，颗粒度100M，保底120G；（2）甲乙双方实际流量以100M为结算单位，不足50M按照0M收取，大于等于50M按100M收取。</t>
  </si>
  <si>
    <t>济南8移动</t>
  </si>
  <si>
    <t>需要注意20210701开始济南7移动&amp;济南8移动合并到济南7移动计费（1）需要注意202104故障是否需要扣减，20210401开始计费，颗粒度100M，保底60G；（2）甲乙双方实际流量以100M为结算单位，不足50M按照0M收取，大于等于50M按100M收取。</t>
  </si>
  <si>
    <t>182315IDC00400</t>
  </si>
  <si>
    <t>徐州</t>
  </si>
  <si>
    <t>CACDNXZCM</t>
  </si>
  <si>
    <t>202310按照保底计提。（1）20210601开始计费，颗粒度100M，包端口，保底160G；（2）甲乙双方实际流量以100M为结算单位，不足50M按照0M收取，大于等于50M按100M收取</t>
  </si>
  <si>
    <t>XZCM</t>
  </si>
  <si>
    <t>L20230928004</t>
  </si>
  <si>
    <t>潍坊2移动</t>
  </si>
  <si>
    <t>CACDNWFCM2</t>
  </si>
  <si>
    <t>202310按照均值计提。（1）20220130开始计费，颗粒度100M，保底60G；（2）甲乙双方实际流量以100M为结算单位，不足50M按照0M收取，大于等于50M按100M收取</t>
  </si>
  <si>
    <t>WF2CM</t>
  </si>
  <si>
    <t>182315IDC00056</t>
  </si>
  <si>
    <t>济南9移动</t>
  </si>
  <si>
    <t>CACDNJNCM3</t>
  </si>
  <si>
    <t>2022/1/30
2023/6/30</t>
  </si>
  <si>
    <t>20230630退租（1）20220130开始计费，颗粒度100M，保底60G；（2）甲乙双方实际流量以100M为结算单位，不足50M按照0M收取，大于等于50M按100M收取。</t>
  </si>
  <si>
    <t>182315IDC00540</t>
  </si>
  <si>
    <t>潍坊联通</t>
  </si>
  <si>
    <t>CACDNWFUN</t>
  </si>
  <si>
    <t>2022/2/1
2022/3/31
2022/8/31
2023/9/30</t>
  </si>
  <si>
    <t>400G-100G-150G-50G</t>
  </si>
  <si>
    <t>202310按照均值计提。202304开始价格变动。20220829记录挪150G给WF2UN。需要注意20220401价格变动。（1）20220201开始计费400G，20220331退租100G，颗粒度100M，保底90G；（2）甲乙双方实际流量以100M为结算单位，不足50M按照0M收取，大于等于50M按100M收取</t>
  </si>
  <si>
    <t>WFUN</t>
  </si>
  <si>
    <t>潍坊2联通</t>
  </si>
  <si>
    <t>2022/9/1
2023/9/30</t>
  </si>
  <si>
    <t>150G-50G</t>
  </si>
  <si>
    <t>202304开始价格变动。WFUN拆出150G给WF2UN。颗粒度100M，保底45G</t>
  </si>
  <si>
    <t>WF2UN</t>
  </si>
  <si>
    <t>182215IDC00651</t>
  </si>
  <si>
    <t>威海</t>
  </si>
  <si>
    <t>CACDNWEIHCM</t>
  </si>
  <si>
    <t>2022/10/1
2023/9/30</t>
  </si>
  <si>
    <t>20221001开始计费。颗粒度100M，包端口，保底100G</t>
  </si>
  <si>
    <t>182315IDC00418</t>
  </si>
  <si>
    <t>威海3移动</t>
  </si>
  <si>
    <t>20230702开始计费，颗粒度100M，保底80G</t>
  </si>
  <si>
    <t>WEIH3CM</t>
  </si>
  <si>
    <t>182315IDC00474</t>
  </si>
  <si>
    <t xml:space="preserve">淄博移动 </t>
  </si>
  <si>
    <t xml:space="preserve">CACDNZBCM </t>
  </si>
  <si>
    <t>ZBCM</t>
  </si>
  <si>
    <t>淄博2移动</t>
  </si>
  <si>
    <t>ZB2CM</t>
  </si>
  <si>
    <t>L20230901004</t>
  </si>
  <si>
    <t>武汉5移动</t>
  </si>
  <si>
    <t>CACDNWHCM2</t>
  </si>
  <si>
    <t>20230901开始计费，颗粒度100M，保底80G</t>
  </si>
  <si>
    <t>WH5CM</t>
  </si>
  <si>
    <t>L20231010002</t>
  </si>
  <si>
    <t>上海5移动</t>
  </si>
  <si>
    <t>CACDNSHCM</t>
  </si>
  <si>
    <t>颗粒度100M，保底80G</t>
  </si>
  <si>
    <t>SH5CM</t>
  </si>
  <si>
    <t>补202309，已计提35.8，先按照均值36.5，补0.7</t>
  </si>
  <si>
    <t>补202309，已计提37.5，先按照均值38.1，补0.6</t>
  </si>
  <si>
    <t>南通云数网络科技有限公司</t>
  </si>
  <si>
    <t>南通云数</t>
  </si>
  <si>
    <t>182315IDC00054</t>
  </si>
  <si>
    <t>常州移动2</t>
  </si>
  <si>
    <t>CACDNCZCM</t>
  </si>
  <si>
    <t>2018/7/25
2023/7/31</t>
  </si>
  <si>
    <t>需要注意20220101开始由江阴普尔变更为南通云数，需要注意20210801价格为4800（1）20200801开始价格为4400，颗粒度100M，保底24G；（2）甲乙双方实际流量以100M为结算单位，不足50M按照0M收取，大于等于50M按100M收取。</t>
  </si>
  <si>
    <t>182215IDC00163</t>
  </si>
  <si>
    <t>扬州2电信</t>
  </si>
  <si>
    <t>CACDNYANGZCT2</t>
  </si>
  <si>
    <t>2021/5/1
2022/6/30</t>
  </si>
  <si>
    <t>20220630退租。需要注意20220101开始由江阴普尔变更为南通云数，20220120转为边缘计算（1）20210501开始计费，颗粒度100M，保底40G；（2）甲乙双方实际流量以100M为结算单位，不足50M按照0M收取，大于等于50M按100M收取</t>
  </si>
  <si>
    <t>182315IDC00051</t>
  </si>
  <si>
    <t>无锡4移动</t>
  </si>
  <si>
    <t>CACDNWXCM</t>
  </si>
  <si>
    <t>2020/7/6
2021/1/1
2023/6/30</t>
  </si>
  <si>
    <t>80G+80G-160G</t>
  </si>
  <si>
    <t>需要注意20220101开始由江阴普尔变更为南通云数，20210101价格为4800（1）20200706存量80G开始计费，20210101扩容80G开始计费，颗粒度100M，保底64G；（2）甲乙双方实际流量以100M为结算单位，不足50M按照0M收取，大于等于50M按100M收取。</t>
  </si>
  <si>
    <t>182215IDC00548</t>
  </si>
  <si>
    <t>中山4移动</t>
  </si>
  <si>
    <t>CACDNZSCM4</t>
  </si>
  <si>
    <t>2022/1/1
2022/10/31</t>
  </si>
  <si>
    <t>需要注意202207价格变动（1）20220101开始计费，颗粒度100M，保底80G；（2）	
甲乙双方实际流量以100M为结算单位，不足50M按照0M收取，大于等于50M按100M收取</t>
  </si>
  <si>
    <t>青岛燚汇信达通讯科技有限公司</t>
  </si>
  <si>
    <t>燚汇信达</t>
  </si>
  <si>
    <t>182315IDC00361</t>
  </si>
  <si>
    <t>青岛5电信</t>
  </si>
  <si>
    <t>CACDNQDCT</t>
  </si>
  <si>
    <t>2020/9/8
2021/8/2
2022/5/30
2023/6/1</t>
  </si>
  <si>
    <t>160G+200G-200G+40G</t>
  </si>
  <si>
    <t>需要注意202305价格变动。需要注意202205价格变动。（1）青岛5电信20200908开始计费，青岛6电信20210802开始计费，颗粒度100M，保底108G；02108开始青岛5电信与青岛6电信合并计费。202206开始青岛5电信&amp;青岛6电信不合并计费。20230701扩容40G开始计费。（2）甲乙双方实际流量以100M为结算单位，不足50M按照0M收取，大于等于50M按100M收取</t>
  </si>
  <si>
    <t>QD5CT</t>
  </si>
  <si>
    <t>青岛6电信</t>
  </si>
  <si>
    <t>2021/8/2
2022/6/1</t>
  </si>
  <si>
    <t>200G-200G+200G</t>
  </si>
  <si>
    <t>需要注意202305价格变动。需要注意202205价格变动。（1）20210802开始计费，颗粒度100M，保底60G，青岛6电信与青岛5电信合并计费；202206开始青岛5电信&amp;青岛6电信不合并计费（2）甲乙双方实际流量以100M为结算单位，不足50M按照0M收取，大于等于50M按100M收取</t>
  </si>
  <si>
    <t>QD6CT</t>
  </si>
  <si>
    <t>182315IDC00332</t>
  </si>
  <si>
    <t>烟台</t>
  </si>
  <si>
    <t>烟台电信</t>
  </si>
  <si>
    <t>CACDNYTCT</t>
  </si>
  <si>
    <t>2021/10/1
2023/6/30</t>
  </si>
  <si>
    <t>20230630退租。需要注意202207价格变动（1）20211001开始计费，颗粒度100M，保底30G；（2）甲乙双方实际流量以100M为结算单位，不足50M按照0M收取，大于等于50M按100M收取</t>
  </si>
  <si>
    <t>182315IDC00058</t>
  </si>
  <si>
    <t>CACDNQDUN</t>
  </si>
  <si>
    <t>20230101开始计费。颗粒度100M，保底45G</t>
  </si>
  <si>
    <t>QD8UN</t>
  </si>
  <si>
    <t>2023/1/1
2023/9/30</t>
  </si>
  <si>
    <t>150G-150G</t>
  </si>
  <si>
    <t>182315IDC00542</t>
  </si>
  <si>
    <t>20230701开始计费，颗粒度100M，保底60G</t>
  </si>
  <si>
    <t>山西卡伏科技有限公司</t>
  </si>
  <si>
    <t>山西卡伏</t>
  </si>
  <si>
    <t>182315IDC00055</t>
  </si>
  <si>
    <t>太原8移动</t>
  </si>
  <si>
    <t>CACDNTYCM3</t>
  </si>
  <si>
    <t>2021/1/1
2021/4/1</t>
  </si>
  <si>
    <t>100G+200G</t>
  </si>
  <si>
    <t>20220301开始价格为5400。20210401价格5200元/G/月。（1）20210101开始计费100G，20210401开始计费扩容200G，颗粒度100M，保底120G；（2）甲乙双方实际流量以100M为结算单位，不足50M按照0M收取，大于等于50M按100M收取</t>
  </si>
  <si>
    <t>TY8CM</t>
  </si>
  <si>
    <t>182315IDC00150</t>
  </si>
  <si>
    <t>太原9移动</t>
  </si>
  <si>
    <t>202310按照保底计提。20220305开始计费，颗粒度100M，保底100G，包端口</t>
  </si>
  <si>
    <t>TY9CM</t>
  </si>
  <si>
    <t>上海云瑞智通实业有限公司</t>
  </si>
  <si>
    <t>云瑞智通</t>
  </si>
  <si>
    <t>182215IDC00016</t>
  </si>
  <si>
    <t>沈阳4移动</t>
  </si>
  <si>
    <t>CACDNSYCM</t>
  </si>
  <si>
    <t>2020/12/4
2021/10/1
2021/12/31</t>
  </si>
  <si>
    <t>200G+200G-200G-200G</t>
  </si>
  <si>
    <t>20220101开始沈阳4移动节点退租（1）20201204开始计费200G，20211001开始计费200G，沈阳4移动&amp;沈阳5移动合并计费，颗粒度100M，保底160G；（2）甲乙双方实际流量以100M为结算单位，不足50M按照0M收取，大于等于50M按100M收取。</t>
  </si>
  <si>
    <t>沈阳5移动</t>
  </si>
  <si>
    <t>2021/10/1
2022/1/1
2022/1/31</t>
  </si>
  <si>
    <t>20220131退租（1）20211001开始计费200G，20220101扩容200G开始计费，颗粒度100，保底160G；（2）甲乙双方实际流量以100M为结算单位，不足50M按照0M收取，大于等于50M按100M收取</t>
  </si>
  <si>
    <t>182315IDC00138</t>
  </si>
  <si>
    <t>南通</t>
  </si>
  <si>
    <t>南通电信</t>
  </si>
  <si>
    <t>CACDNNTCT</t>
  </si>
  <si>
    <t>2021/2/1
2023/5/31</t>
  </si>
  <si>
    <t>20230531退租（1）20210201开始计费，颗粒度100M，保底30G；（2）甲乙双方实际流量以100M为结算单位，不足50M按照0M收取，大于等于50M按100M收取</t>
  </si>
  <si>
    <t>L20230725013</t>
  </si>
  <si>
    <t>南通2电信</t>
  </si>
  <si>
    <t>CACDNNTCT2</t>
  </si>
  <si>
    <t>2021/2/2
2023/6/30</t>
  </si>
  <si>
    <t>200G-40G</t>
  </si>
  <si>
    <t>（1）20210201开始计费，颗粒度100M，保底50G，平均流量;（2）甲乙双方实际流量以100M为结算单位，不足50M按照0M收取，大于等于50M按100M收取</t>
  </si>
  <si>
    <t>NT2CT</t>
  </si>
  <si>
    <t>182315IDC00313</t>
  </si>
  <si>
    <t>兰州6电信</t>
  </si>
  <si>
    <t>CACDNLZCT</t>
  </si>
  <si>
    <t>202310按照均值计提。需要注意202307价格变动。（1）20210902开始计费，颗粒度100M，保底30G</t>
  </si>
  <si>
    <t>LZ6CT</t>
  </si>
  <si>
    <t>182315IDC00137</t>
  </si>
  <si>
    <t>黄石</t>
  </si>
  <si>
    <t>黄石6电信</t>
  </si>
  <si>
    <t>CACDNHSCT</t>
  </si>
  <si>
    <t>（1）2022年4月1日起为平均流量计费，保底40G（2）20211001开始计费，95计费，颗粒度100，保底60G；（3）甲乙双方实际流量以100M为结算单位，不足50M按照0M收取，大于等于50M按100M收取</t>
  </si>
  <si>
    <t>HS6CT</t>
  </si>
  <si>
    <t>四川奔云行科技有限公司</t>
  </si>
  <si>
    <t>奔云行</t>
  </si>
  <si>
    <t>182115IDC00106</t>
  </si>
  <si>
    <t>成都7移动</t>
  </si>
  <si>
    <t>CACDNCDCM2</t>
  </si>
  <si>
    <t>2021/2/7
2021/9/30</t>
  </si>
  <si>
    <t>2021年9月30日退租（1）20210207开始计费，颗粒度100M，包端口，保底200G；（2）甲乙双方实际流量以100M为结算单位，不足50M按照0M收取，大于等于50M按100M收取。</t>
  </si>
  <si>
    <t>武汉鸿扬通信技术有限公司</t>
  </si>
  <si>
    <t>武汉鸿扬</t>
  </si>
  <si>
    <t>182015IDC00348</t>
  </si>
  <si>
    <t>宜昌电信</t>
  </si>
  <si>
    <t>CACDNYICCT</t>
  </si>
  <si>
    <t>2018/8/13
2021/8/31</t>
  </si>
  <si>
    <t>20210831退租（1）颗粒度100M，保底40G；（2）2018年8月13日至2019年7月24日执行原合同价格8333元/G/月；2019年7月25日至2020年8月31日执行新价格，即6667元/G/月；（3）甲乙双方实际流量以100M为结算单位，不足50M按照0M收取，大于等于50M按100M收取。</t>
  </si>
  <si>
    <t>新疆众合云尚网络股份有限公司</t>
  </si>
  <si>
    <t>众合云尚</t>
  </si>
  <si>
    <t>182315IDC00505</t>
  </si>
  <si>
    <t>阿克苏</t>
  </si>
  <si>
    <t>阿克苏2移动（原名克拉玛依5移动）</t>
  </si>
  <si>
    <t>CACDNKLMYCM2</t>
  </si>
  <si>
    <t>需要注意202207价格变动。需要注意20210701价格变动5500；需要注意202102无保底；需要注意202104故障是否需要扣减（1）20210101开始计费100G，20210401扩容100G开始计费，颗粒度100M，保底80G；（2）甲乙双方实际流量以100M为结算单位，不足50M按照0M收取，大于等于50M按100M收取</t>
  </si>
  <si>
    <t>AKS2CM</t>
  </si>
  <si>
    <t>182215IDC00549</t>
  </si>
  <si>
    <t>阿克苏移动</t>
  </si>
  <si>
    <t>CACDNAKSCM</t>
  </si>
  <si>
    <t>2021/9/1
2022/11/30
2023/4/30</t>
  </si>
  <si>
    <t>（1）边缘计算,20210901开始计费200G，20221130退租100G.颗粒度100M，保底80G；（2）甲乙双方实际流量以100M为结算单位，不足50M按照0M收取，大于等于50M按100M收取</t>
  </si>
  <si>
    <t>182215IDC00186</t>
  </si>
  <si>
    <t>乌鲁木齐移动</t>
  </si>
  <si>
    <t>CACDNWLMQCM</t>
  </si>
  <si>
    <t>2022/1/1
2022/1/31
2022/4/30
2022/6/30
2023/2/28</t>
  </si>
  <si>
    <t>100G-40G-20G-30G-10G</t>
  </si>
  <si>
    <t>20230228退租。20220701开始无保底。20220101开始计费，20220131退租40G，20220430退租20G，20220630退租30G，颗粒度100M，保底24G</t>
  </si>
  <si>
    <t>云端互联（西安）计算机技术有限公司</t>
  </si>
  <si>
    <t>云端互联</t>
  </si>
  <si>
    <t>182315IDC00259</t>
  </si>
  <si>
    <t>昆明2联通</t>
  </si>
  <si>
    <t>CACDNKMUN</t>
  </si>
  <si>
    <t>202304价格变动（1）需要注意20200401开始价格为5416.67；（2）颗粒度100M，保底16G；（3） 甲乙双方实际流量以100M为结算单位，不足50M按照0M收取，大于等于50M按100M收取</t>
  </si>
  <si>
    <t>KM2UN</t>
  </si>
  <si>
    <t>浙江山迅网络科技有限公司</t>
  </si>
  <si>
    <t>浙江山迅</t>
  </si>
  <si>
    <t>182115IDC00274</t>
  </si>
  <si>
    <t>泉州联通</t>
  </si>
  <si>
    <t>CACDNQZUN</t>
  </si>
  <si>
    <t>2018/6/11
2021/12/31</t>
  </si>
  <si>
    <t>20211231退租（1）需要注意海口2020年4月30日退租原带宽优惠20200501-20200524在泉州上抵扣；（2）颗粒度100M，保底32G ；（3）甲乙双方实际流量以100M为结算单位，不足50M按照0M收取，大于等于50M按100M收取。</t>
  </si>
  <si>
    <t>浙江挚云</t>
  </si>
  <si>
    <t>182115IDC00098</t>
  </si>
  <si>
    <t>杭州</t>
  </si>
  <si>
    <t>杭州3移动</t>
  </si>
  <si>
    <t>CACDNHZCM2</t>
  </si>
  <si>
    <t>2018/10/1
2020/4/30
2021/10/31</t>
  </si>
  <si>
    <t>120G-20G-100G</t>
  </si>
  <si>
    <t>20211031退租，需要注意202107故障扣减；需要注意202102价格变化为5500及保底30%变为40%（1）需要注意2020年5月1日开始价格为4800；（2）需要注意20200430退租20G；（3）颗粒度100M，保底40G ；（4）甲乙双方实际流量以100M为结算单位，不足50M按照0M收取，大于等于50M按100M收取。</t>
  </si>
  <si>
    <t>L20230706002</t>
  </si>
  <si>
    <t>XACDNWZCM</t>
  </si>
  <si>
    <t>2018-10-1
2020/4/30</t>
  </si>
  <si>
    <t>需要注意20230301开始价格变动。20220101开始价格为5400.需要注意202102价格变化为5500及保底30%变为40%（1）需要注意2020年5月1日开始价格为4800；（2）需要注意20200430退租40G；（3）颗粒度100M，保底80G；（4）甲乙双方实际流量以100M为结算单位，不足50M按照0M收取，大于等于50M按100M收取。</t>
  </si>
  <si>
    <t>WZCM</t>
  </si>
  <si>
    <t>L20230831008</t>
  </si>
  <si>
    <t>温州电信二级</t>
  </si>
  <si>
    <t>CACDNWZCT</t>
  </si>
  <si>
    <t>2019/7/23
2020/12/1
2022/7/1
2023/7/31</t>
  </si>
  <si>
    <t>80G+40G+200G-120G</t>
  </si>
  <si>
    <t>202305保底降为25%。20230201开始价格变动（1）20201201扩容40G开始计费；20220701扩容200G且从温州6电信变更为温州电信二级（2）需要注意20200801开始价格为7000；（3）颗粒度100M，保底36G；（4）1907新增资源（4）甲乙双方实际流量以100M为结算单位，不足50M按照0M收取，大于等于50M按100M收取。</t>
  </si>
  <si>
    <t>WZCTCACHE</t>
  </si>
  <si>
    <t>L20230706003</t>
  </si>
  <si>
    <t>温州3移动</t>
  </si>
  <si>
    <t>CACDNWZCM</t>
  </si>
  <si>
    <t>202310按照保底计提。需要注意202112是否扣减搬迁费用。需要注意202104故障是否需要扣减（1）20200601开始计费，包端口，颗粒度100M，保底100G；（2）甲乙双方实际流量以100M为结算单位，不足50M按照0M收取，大于等于50M按100M收取。</t>
  </si>
  <si>
    <t>WZ3CM</t>
  </si>
  <si>
    <t>182115IDC00432</t>
  </si>
  <si>
    <t>天津3移动</t>
  </si>
  <si>
    <t>CACDNTJCM</t>
  </si>
  <si>
    <t>2020/9/1
2021/12/31</t>
  </si>
  <si>
    <t>20211231退租，需要注意20210901价格变动5500（1）20200901开始计费，颗粒度100M，保底80G；（2）甲乙双方实际流量以100M为结算单位，不足50M按照0M收取，大于等于50M按100M收取。</t>
  </si>
  <si>
    <t>182115IDC00431</t>
  </si>
  <si>
    <t>温州7电信</t>
  </si>
  <si>
    <t>CACDNWZCT2</t>
  </si>
  <si>
    <t>2020/10/1
2022/6/30</t>
  </si>
  <si>
    <t>20220630退租，20220120转为边缘计算。（1）20201001开始计费，颗粒度100M，保底60G；（2）甲乙双方实际流量以100M为结算单位，不足50M按照0M收取，大于等于50M按100M收取。（3）2020年7月6日，且2020年7月6日-2020年8月31日为100G资源，2020年9月1日-2020年9月30日暂停使用，2020年10月1日起节点资源恢复使用并扩容为200G；（3）20201128-20201202不计费</t>
  </si>
  <si>
    <t>182115IDC00250</t>
  </si>
  <si>
    <t>CACDNSUZCM</t>
  </si>
  <si>
    <t>2021/5/1
2021/10/31</t>
  </si>
  <si>
    <t>（1）20211031退租，20210501开始计费，颗粒度100M，保底80G；（2）甲乙双方实际流量以100M为结算单位，不足50M按照0M收取，大于等于50M按100M收取</t>
  </si>
  <si>
    <t>182115IDC00441</t>
  </si>
  <si>
    <t>淮南7移动</t>
  </si>
  <si>
    <t>CACDNHNCM2</t>
  </si>
  <si>
    <t>2021/8/2
2022/4/30</t>
  </si>
  <si>
    <t>（1）20210802开始计费，20220501开始合并到淮南5移动。20220630退租。颗粒度100M，保底40G；（2）甲乙双方实际流量以100M为结算单位，不足50M按照0M收取，大于等于50M按100M收取</t>
  </si>
  <si>
    <t>淮南5移动</t>
  </si>
  <si>
    <t>2020/4/1
2021/2/1
2022/3/31
2022/5/1
2022/6/30</t>
  </si>
  <si>
    <t>100G+200G-200G+100G-100G-100G</t>
  </si>
  <si>
    <t>20220630退租HN7CM100G。HN5CM100G20210901价格为4300（1）20210101价格为4000且保底30%变为40%（2）20200401开始计费100G，20210201扩容200G开始计费，20220331退租200G，20220501开始淮南5移动&amp;淮南7移动合并计费。颗粒度100M，保底80G；（3）甲乙双方实际流量以100M为结算单位，不足50M按照0M收取，大于等于50M按100M收取</t>
  </si>
  <si>
    <t>182315IDC00005</t>
  </si>
  <si>
    <t>苏州3移动</t>
  </si>
  <si>
    <t>CACDNSUZCM3</t>
  </si>
  <si>
    <t>2021/11/2
2023/4/30</t>
  </si>
  <si>
    <t>200G-180G</t>
  </si>
  <si>
    <t>20220120转为边缘计算。20220701转回CDN（1）20211102开始计费，颗粒度100M，保底80G；（2）甲乙双方实际流量以100M为结算单位，不足50M按照0M收取，大于等于50M按100M收取</t>
  </si>
  <si>
    <t>SUZ3CM</t>
  </si>
  <si>
    <t>182215IDC00207</t>
  </si>
  <si>
    <t>广州7移动</t>
  </si>
  <si>
    <t>CACDNGZCM4</t>
  </si>
  <si>
    <t>2022/3/1
2023/3/31</t>
  </si>
  <si>
    <t>20230331退租。20220301开始计费，颗粒度100M，保底80G</t>
  </si>
  <si>
    <t>L20230905002</t>
  </si>
  <si>
    <t>合肥三级电信</t>
  </si>
  <si>
    <t>CACDNHFIX</t>
  </si>
  <si>
    <t>20230901开始计费，颗粒度100M，保底6G</t>
  </si>
  <si>
    <t>HFIXCT</t>
  </si>
  <si>
    <t>合肥三级联通</t>
  </si>
  <si>
    <t>20230901开始计费，颗粒度100M，保底3G</t>
  </si>
  <si>
    <t>HFIXUN</t>
  </si>
  <si>
    <t>合肥三级移动</t>
  </si>
  <si>
    <t>202310按照保底计提。20230901开始计费，颗粒度100M，保底8G</t>
  </si>
  <si>
    <t>HFIXCM</t>
  </si>
  <si>
    <t>L20230905003</t>
  </si>
  <si>
    <t>襄阳2三级电信</t>
  </si>
  <si>
    <t>CACDNXIANGYIX</t>
  </si>
  <si>
    <t>XIANGY2IXCT</t>
  </si>
  <si>
    <t>襄阳2三级联通</t>
  </si>
  <si>
    <t>XIANGY2IXUN</t>
  </si>
  <si>
    <t>襄阳2三级移动</t>
  </si>
  <si>
    <t>XIANGY2IXCM</t>
  </si>
  <si>
    <t>L20230905004</t>
  </si>
  <si>
    <t>济南三级电信</t>
  </si>
  <si>
    <t>CACDNJNIX</t>
  </si>
  <si>
    <t>JNIXCT</t>
  </si>
  <si>
    <t>济南三级联通</t>
  </si>
  <si>
    <t>JNIXUN</t>
  </si>
  <si>
    <t>济南三级移动</t>
  </si>
  <si>
    <t>JNIXCM</t>
  </si>
  <si>
    <t>广东华云世纪科技有限公司</t>
  </si>
  <si>
    <t>华云世纪</t>
  </si>
  <si>
    <t>L20230821008</t>
  </si>
  <si>
    <t>福州5移动</t>
  </si>
  <si>
    <t>CACDNFZCM2</t>
  </si>
  <si>
    <t>2021/5/1
2022/1/30
2022/9/1
2023/8/31</t>
  </si>
  <si>
    <t>200G+100G+100G-200G</t>
  </si>
  <si>
    <t>需要注意拆分计费。需要注意202307价格变动。需要注意20210901价格变化（1）20210501开始计费200G，20220130扩容100G开始计费，20220901扩容100G开始计费。颗粒度100M，保底120G；（2）甲乙双方实际流量以100M为结算单位，不足50M按照0M收取，大于等于50M按100M收取</t>
  </si>
  <si>
    <t>FZ5CM</t>
  </si>
  <si>
    <t>福州7移动</t>
  </si>
  <si>
    <t>20230901开始计费，颗粒度100M，保底60G</t>
  </si>
  <si>
    <t>FZ7CM</t>
  </si>
  <si>
    <t>182315IDC00509</t>
  </si>
  <si>
    <t>南昌6移动</t>
  </si>
  <si>
    <t>CACDNNCCM</t>
  </si>
  <si>
    <t>2021/11/1
2021/12/1
2023/4/30
2023/10/31</t>
  </si>
  <si>
    <t>100G+100G-140G-40G</t>
  </si>
  <si>
    <t>需要注意资源变动&amp;保底（1）20211101开始计费100G，20211201开始计费100G，20230430退租140G。颗粒度100M，保底80G；（2）甲乙双方实际流量以100M为结算单位，不足50M按照0M收取，大于等于50M按100M收取</t>
  </si>
  <si>
    <t>NC6CM</t>
  </si>
  <si>
    <t>L20230927002</t>
  </si>
  <si>
    <t>中山5移动</t>
  </si>
  <si>
    <t>CACDNZSCM5</t>
  </si>
  <si>
    <t>2022/1/30
2022/9/1
2023/5/31
2023/10/31</t>
  </si>
  <si>
    <t>400G+100G-200G-100G</t>
  </si>
  <si>
    <t>202305资源变化。20220130开始计费，20220901开始计费扩容100G颗粒度100M，保底200G</t>
  </si>
  <si>
    <t>ZS5CM</t>
  </si>
  <si>
    <t>182315IDC00066</t>
  </si>
  <si>
    <t>天津5移动</t>
  </si>
  <si>
    <t>CACDNTJCM4</t>
  </si>
  <si>
    <t>TJ5CM</t>
  </si>
  <si>
    <t>182315IDC00050</t>
  </si>
  <si>
    <t>北海</t>
  </si>
  <si>
    <t>北海移动</t>
  </si>
  <si>
    <t>CACDNBHCM</t>
  </si>
  <si>
    <t>需要注意202311价格。20230101开始计费。颗粒度100M，保底40G</t>
  </si>
  <si>
    <t>BHCM</t>
  </si>
  <si>
    <t>182315IDC00511</t>
  </si>
  <si>
    <t>南昌7移动</t>
  </si>
  <si>
    <t>CACDNNCCM2</t>
  </si>
  <si>
    <t>2023/5/1
2023/10/31</t>
  </si>
  <si>
    <t>颗粒度100M，保底56G</t>
  </si>
  <si>
    <t>NC7CM</t>
  </si>
  <si>
    <t>南昌首页科技股份有限公司</t>
  </si>
  <si>
    <t>南昌首页</t>
  </si>
  <si>
    <t>L20230615001</t>
  </si>
  <si>
    <t>襄樊</t>
  </si>
  <si>
    <t>襄樊电信</t>
  </si>
  <si>
    <t>CACDNXIANGFCT</t>
  </si>
  <si>
    <t>2021/5/1
2021/9/1
2021/11/1
2023/6/30
2023/8/31</t>
  </si>
  <si>
    <t>160G+100G+100G-60G-140G</t>
  </si>
  <si>
    <t>需要注意拆分计费。需要注意202307价格变动。20230630退租60G（1）20210501开始计费160G，20210901开始计费100G，20211101开始计费100G，颗粒度100M，保底108G；（2）甲乙双方实际流量以100M为结算单位，不足50M按照0M收取，大于等于50M按100M收取</t>
  </si>
  <si>
    <t>XIANGFCT</t>
  </si>
  <si>
    <t>襄阳3电信</t>
  </si>
  <si>
    <t>20230901开始计费，颗粒度100M，保底42G</t>
  </si>
  <si>
    <t>XIANGY3CT</t>
  </si>
  <si>
    <t>182315IDC00378</t>
  </si>
  <si>
    <t>上饶</t>
  </si>
  <si>
    <t>上饶电信</t>
  </si>
  <si>
    <t>CACDNSRCT</t>
  </si>
  <si>
    <t>20220401开始计费，颗粒度100M，保底25G，平均流量</t>
  </si>
  <si>
    <t>SRCT</t>
  </si>
  <si>
    <t>182315IDC00388</t>
  </si>
  <si>
    <t>抚顺</t>
  </si>
  <si>
    <t>抚顺联通</t>
  </si>
  <si>
    <t>CACDNFUSUN</t>
  </si>
  <si>
    <t>2023/6/1
2023/7/31</t>
  </si>
  <si>
    <t>颗粒度100M，保底28G，平均流量</t>
  </si>
  <si>
    <t>L20230905001</t>
  </si>
  <si>
    <t>海口三级电信</t>
  </si>
  <si>
    <t>CACDNHKIX</t>
  </si>
  <si>
    <t>HKIXCT</t>
  </si>
  <si>
    <t>海口三级联通</t>
  </si>
  <si>
    <t>HKIXUN</t>
  </si>
  <si>
    <t>海口三级移动</t>
  </si>
  <si>
    <t>20230901开始计费，颗粒度100M，保底8G</t>
  </si>
  <si>
    <t>HKIXCM</t>
  </si>
  <si>
    <t>深圳市新国都万联科技通信有限公司</t>
  </si>
  <si>
    <t>新国都</t>
  </si>
  <si>
    <t>182315IDC00123</t>
  </si>
  <si>
    <t>乌鲁木齐3电信</t>
  </si>
  <si>
    <t>CACDNWLMQCT</t>
  </si>
  <si>
    <t>2021/6/1
2022/2/1
2022/6/30</t>
  </si>
  <si>
    <t>100G+60G-40G</t>
  </si>
  <si>
    <t>202301开始价格变动。20230701价格变动。20220630退租40G（1）20210601开始计费100G，20220201扩容60G开始计费，颗粒度100M，保底64G；（2）甲乙双方实际流量以100M为结算单位，不足50M按照0M收取，大于等于50M按100M收取；（覆盖其他省业务不得超过开通带宽的5%，超出部分带宽按照11000元/月/G结算）覆盖其他省业务不得超过开通带宽的5%，超出部分带宽按照11000元/月/G结算</t>
  </si>
  <si>
    <t>WLMQ3CT</t>
  </si>
  <si>
    <t>云端智度</t>
  </si>
  <si>
    <t>182115IDC00444</t>
  </si>
  <si>
    <t>温州9电信</t>
  </si>
  <si>
    <t>CACDNWZCT3</t>
  </si>
  <si>
    <t>2021/7/1
2021/12/31</t>
  </si>
  <si>
    <t>20211231退租（1）20210701开始计费，颗粒度100M，保底40G；（2）甲乙双方实际流量以100M为结算单位，不足50M按照0M收取，大于等于50M按100M收取</t>
  </si>
  <si>
    <t>南昌市恒州科技有限公司</t>
  </si>
  <si>
    <t>南昌恒州</t>
  </si>
  <si>
    <t>182215IDC00550</t>
  </si>
  <si>
    <t>萍乡</t>
  </si>
  <si>
    <t>萍乡电信</t>
  </si>
  <si>
    <t>CACDNPXCT</t>
  </si>
  <si>
    <t>2021/8/3
2022/9/30</t>
  </si>
  <si>
    <t>（1）20210803开始计费，颗粒度100M，保底30G；（2）甲乙双方实际流量以100M为结算单位，不足50M按照0M收取，大于等于50M按100M收取</t>
  </si>
  <si>
    <t>182115IDC00587</t>
  </si>
  <si>
    <t>九江2电信</t>
  </si>
  <si>
    <t>CACDNJJCT2</t>
  </si>
  <si>
    <t>2021/10/1
2022/9/30</t>
  </si>
  <si>
    <t>（1）20211001开始计费，颗粒度100M，保底60G；（2）甲乙双方实际流量以100M为结算单位，不足50M按照0M收取，大于等于50M按100M收取</t>
  </si>
  <si>
    <t>广东玖云网络科技有限公司</t>
  </si>
  <si>
    <t>广东玖云</t>
  </si>
  <si>
    <t>182115IDC00399</t>
  </si>
  <si>
    <t>中山2移动</t>
  </si>
  <si>
    <t>CACDNZSCM2</t>
  </si>
  <si>
    <t>2021/8/1
2021/12/31</t>
  </si>
  <si>
    <t>20211231退租（1）20210801开始计费，颗粒度100M，保底80G；（2）甲乙双方实际流量以100M为结算单位，不足50M按照0M收取，大于等于50M按100M收取</t>
  </si>
  <si>
    <t>深圳网腾云计算科技有限公司</t>
  </si>
  <si>
    <t>深圳网腾</t>
  </si>
  <si>
    <t>182115IDC00497</t>
  </si>
  <si>
    <t>成都8移动</t>
  </si>
  <si>
    <t>2021/8/1
2022/5/31</t>
  </si>
  <si>
    <t>月付。（1）20210801开始计费，20220531退租，颗粒度100M，保底80G；（2）甲乙双方实际流量以100M为结算单位，不足50M按照0M收取，大于等于50M按100M收取</t>
  </si>
  <si>
    <t>成都9移动</t>
  </si>
  <si>
    <t>CACDNCDCM3</t>
  </si>
  <si>
    <t>2021/9/1
2022/5/31</t>
  </si>
  <si>
    <t>（1）20210901开始计费，20220531退租，颗粒度100M，保底80G；（2）甲乙双方实际流量以100M为结算单位，不足50M按照0M收取，大于等于50M按100M收取</t>
  </si>
  <si>
    <t>四川云互未来科技有限公司</t>
  </si>
  <si>
    <t>云互未来</t>
  </si>
  <si>
    <t>182115IDC00494</t>
  </si>
  <si>
    <t>眉山</t>
  </si>
  <si>
    <t>眉山联通</t>
  </si>
  <si>
    <t>CACDNMSUN</t>
  </si>
  <si>
    <t>2021/9/1
2022/3/31</t>
  </si>
  <si>
    <t>20220331退租（1）20210901开始计费，颗粒度100M，保底12G；（2）甲乙双方实际流量以100M为结算单位，不足50M按照0M收取，大于等于50M按100M收取。</t>
  </si>
  <si>
    <t>北京天云联动科技有限公司</t>
  </si>
  <si>
    <t>天云联动</t>
  </si>
  <si>
    <t>182215IDC00200</t>
  </si>
  <si>
    <t>西安3联通</t>
  </si>
  <si>
    <t>CACDNXAUN</t>
  </si>
  <si>
    <t>2021/10/1
2022/2/1
2022/5/31</t>
  </si>
  <si>
    <t>100G+40G-140G</t>
  </si>
  <si>
    <t>（1）20211001开始计费，20220201扩容40G开始计费，20220531退租。颗粒度100M，保底70G；（2）（2）甲乙双方实际流量以100M为结算单位，不足50M按照0M收取，大于等于50M按100M收取</t>
  </si>
  <si>
    <t>北京庭宇科技有限公司</t>
  </si>
  <si>
    <t>庭宇科技</t>
  </si>
  <si>
    <t>L20230821006</t>
  </si>
  <si>
    <t>CACDNSQCM</t>
  </si>
  <si>
    <t>2021/10/1
2021/11/1
2022/8/31</t>
  </si>
  <si>
    <t>200G+100G-150G</t>
  </si>
  <si>
    <t>需要注意202306价格变动。先按照20220826记录挪给SQ4CM150G（1）20211001开始计费200G，20211101开始计费新增100G，颗粒度100M，保底120G；（2）甲乙双方实际流量以100M为结算单位，不足50M按照0M收取，大于等于50M按100M收取</t>
  </si>
  <si>
    <t>SQCM</t>
  </si>
  <si>
    <t>宿迁4移动</t>
  </si>
  <si>
    <t>需要注意202306价格变动。SQCM拆出150G给SQ4CM。颗粒度100M，保底60G</t>
  </si>
  <si>
    <t>SQ4CM</t>
  </si>
  <si>
    <t>182315IDC00350</t>
  </si>
  <si>
    <t>宿迁2移动</t>
  </si>
  <si>
    <t>SQ2CM</t>
  </si>
  <si>
    <t>霍尔果斯云网联商科技有限公司</t>
  </si>
  <si>
    <t>云网联商</t>
  </si>
  <si>
    <t>182315IDC00355</t>
  </si>
  <si>
    <t>通化</t>
  </si>
  <si>
    <t>通化联通</t>
  </si>
  <si>
    <t>CACDNTHUN</t>
  </si>
  <si>
    <t>注意202307价格变动。（1）20211001开始计费，颗粒度100M，保底30G；（2）甲乙双方实际流量以100M为结算单位，不足50M按照0M收取，大于等于50M按100M收取</t>
  </si>
  <si>
    <t>THUN</t>
  </si>
  <si>
    <t>上海竞信网络科技有限公司</t>
  </si>
  <si>
    <t>上海竞信</t>
  </si>
  <si>
    <t>182215IDC00019</t>
  </si>
  <si>
    <t>保定3移动</t>
  </si>
  <si>
    <t>CACDNBDCM</t>
  </si>
  <si>
    <t>2021/10/1
2021/11/26</t>
  </si>
  <si>
    <t>月付。（1）20211126退租，20211001开始计费实际交付60G，20211020业务切走，颗粒度100M，保底24G；（2）甲乙双方实际流量以100M为结算单位，不足50M按照0M收取，大于等于50M按100M收取</t>
  </si>
  <si>
    <t>182315IDC00243</t>
  </si>
  <si>
    <t>保定4移动</t>
  </si>
  <si>
    <t>2022/6/1
2022/8/1
2023/10/31</t>
  </si>
  <si>
    <t>BD4CM</t>
  </si>
  <si>
    <t>182315IDC00234</t>
  </si>
  <si>
    <t>大连2联通</t>
  </si>
  <si>
    <t>CACDNDLUN</t>
  </si>
  <si>
    <t>需要注意202206价格变动（1）20211101开始计费，颗粒度100M，保底60G；（2）甲乙双方实际流量以100M为结算单位，不足50M按照0M收取，大于等于50M按100M收取</t>
  </si>
  <si>
    <t>DL2UN</t>
  </si>
  <si>
    <t>大连3联通</t>
  </si>
  <si>
    <t>需要注意202206价格变动（1）20220201开始计费，颗粒度100M，保底60G</t>
  </si>
  <si>
    <t>DL3UN</t>
  </si>
  <si>
    <t>182215IDC00367</t>
  </si>
  <si>
    <t>鞍山2联通</t>
  </si>
  <si>
    <t>2022/4/3
2022/7/15</t>
  </si>
  <si>
    <t>20220715退租。20220403开始计费，颗粒度100M，保底30G</t>
  </si>
  <si>
    <t>182215IDC00559</t>
  </si>
  <si>
    <t>锦州</t>
  </si>
  <si>
    <t>锦州3电信</t>
  </si>
  <si>
    <t>CACDNJZCT</t>
  </si>
  <si>
    <t>2022/7/2
2023/2/28</t>
  </si>
  <si>
    <t>20230228退租。20220702开始计费，颗粒度100M，保底80G</t>
  </si>
  <si>
    <t>182315IDC00233</t>
  </si>
  <si>
    <t>辽阳</t>
  </si>
  <si>
    <t>辽阳联通</t>
  </si>
  <si>
    <t>CACDNLIAOYUN</t>
  </si>
  <si>
    <t>2022/9/2
2023/7/31</t>
  </si>
  <si>
    <t>20220902开始计费，颗粒度100M，保底30G</t>
  </si>
  <si>
    <t>182215IDC00561</t>
  </si>
  <si>
    <t>辽阳2电信</t>
  </si>
  <si>
    <t>CACDNLIAOYCT</t>
  </si>
  <si>
    <t>2022/9/1
2023/3/31</t>
  </si>
  <si>
    <t>20230331退租。20220901开始计费，颗粒度100M，保底40G</t>
  </si>
  <si>
    <t>L20230904001</t>
  </si>
  <si>
    <t>贵阳2移动</t>
  </si>
  <si>
    <t>CACDNGYCM</t>
  </si>
  <si>
    <t>GY2CM</t>
  </si>
  <si>
    <t>L20231010003</t>
  </si>
  <si>
    <t>贵阳3移动</t>
  </si>
  <si>
    <t>颗粒度100M，保底40G</t>
  </si>
  <si>
    <t>GY3CM</t>
  </si>
  <si>
    <t>广州贝云信息科技有限公司</t>
  </si>
  <si>
    <t>广州贝云</t>
  </si>
  <si>
    <t>182115IDC00650</t>
  </si>
  <si>
    <t xml:space="preserve">2021/10/1
</t>
  </si>
  <si>
    <t>（1）20211001开始从广州大一转到广州贝云，20220331中山电信退租100G，20220531中山电信退200G&amp;中山2电信退租200G.颗粒度100M，保底80G。与中山2电信合并计费；（2）甲乙双方实际流量以100M为结算单位，不足50M按照0M收取，大于等于50M按100M收取</t>
  </si>
  <si>
    <t>2021/10/1
2022/3/31
2022/5/31</t>
  </si>
  <si>
    <t>200G+200G+100G-100G-200G-200G</t>
  </si>
  <si>
    <t>（1）20211001开始从广州大一转到广州贝云，20220331中山电信退租100G，20220531中山电信退200G&amp;中山2电信退200G.颗粒度100M，保底120G。与中山电信合并计费；（2）甲乙双方实际流量以100M为结算单位，不足50M按照0M收取，大于等于50M按100M收取</t>
  </si>
  <si>
    <t>182215IDC00153</t>
  </si>
  <si>
    <t>2021/10/1
2022/2/1
2022/5/31
2022/6/30</t>
  </si>
  <si>
    <t>100G+100G-100G-100G</t>
  </si>
  <si>
    <t>20220630退租100G。202110开始从广州宏云转到广州贝云，(1)20211001开始计费100G，20220201开始计费100G，20220531退100G.颗粒度100M，保底60G</t>
  </si>
  <si>
    <t>L20230706006</t>
  </si>
  <si>
    <t>20230201从宏云转贝云。需要注意202210价格变动（1）20210401开始计费，颗粒度100M，保底30G；（2）甲乙双方实际流量以100M为结算单位，不足50M按照0M收取，大于等于50M按100M收取。</t>
  </si>
  <si>
    <t>JJCT</t>
  </si>
  <si>
    <t>L20230821005</t>
  </si>
  <si>
    <t>需要注意202306价格变动。20230201从宏云转贝云。需要注意202210价格变动（1）20210401开始计费，颗粒度100M，保底60G；（2）甲乙双方实际流量以100M为结算单位，不足50M按照0M收取，大于等于50M按100M收取</t>
  </si>
  <si>
    <t>JH2CT</t>
  </si>
  <si>
    <t>182315IDC00127</t>
  </si>
  <si>
    <t>2023/2/1
2023/9/30</t>
  </si>
  <si>
    <t>20230930退租。需要注意20231001开始价格变动。20230201从宏云转贝云。需要注意后期资源变动。20220831退租100G（1）20220101开始计费，颗粒度100M，保底60G；（2）甲乙双方实际流量以100M为结算单位，不足50M按照0M收取，大于等于50M按100M收取</t>
  </si>
  <si>
    <t>L20231010001</t>
  </si>
  <si>
    <t>东莞4电信</t>
  </si>
  <si>
    <t>CACDNDGCT</t>
  </si>
  <si>
    <t>颗粒度100M，保底30G</t>
  </si>
  <si>
    <t>DG4CT</t>
  </si>
  <si>
    <t>河北燕云数据有限公司</t>
  </si>
  <si>
    <t>河北燕云</t>
  </si>
  <si>
    <t>182315IDC00357</t>
  </si>
  <si>
    <t>秦皇岛</t>
  </si>
  <si>
    <t>秦皇岛电信</t>
  </si>
  <si>
    <t>CACDNQHDCT</t>
  </si>
  <si>
    <t>2021/12/1
2023/6/30</t>
  </si>
  <si>
    <t>20230630退租。注意20230401开始价格变动。20220120转为边缘计算。20220701转回CDN（1）20211201开始计费，颗粒度100M，保底30G；（2）甲乙双方实际流量以100M为结算单位，不足50M按照0M收取，大于等于50M按100M收取</t>
  </si>
  <si>
    <t>L20230901005</t>
  </si>
  <si>
    <t>秦皇岛联通</t>
  </si>
  <si>
    <t>CACDNQHDUN</t>
  </si>
  <si>
    <t>QHDUN</t>
  </si>
  <si>
    <t>银联商务股份有限公司湖北分公司</t>
  </si>
  <si>
    <t>银联商务</t>
  </si>
  <si>
    <t>182315IDC00411</t>
  </si>
  <si>
    <t>WHGG-电信</t>
  </si>
  <si>
    <t>202310保底计提（1）20211215开始计费，颗粒度100M，保底12G，首月无保底；（2）甲乙双方实际流量以100M为结算单位，不足50M按照0M收取，大于等于50M按100M收取</t>
  </si>
  <si>
    <t>WHGG-CT-ST-1</t>
  </si>
  <si>
    <t>WHGG-联通</t>
  </si>
  <si>
    <t>（1）20211215开始计费，颗粒度100M，保底12G，首月无保底；（2）甲乙双方实际流量以100M为结算单位，不足50M按照0M收取，大于等于50M按100M收取</t>
  </si>
  <si>
    <t>WHGG-CU-ST-1</t>
  </si>
  <si>
    <t>WHGG-移动</t>
  </si>
  <si>
    <t>2021/12/15
2023/7/31</t>
  </si>
  <si>
    <t>（1）20211215开始计费，颗粒度100M，保底16G，首月有保底；（2）甲乙双方实际流量以100M为结算单位，不足50M按照0M收取，大于等于50M按100M收取</t>
  </si>
  <si>
    <t>广东奥飞数据科技股份有限公司</t>
  </si>
  <si>
    <t>广东奥飞</t>
  </si>
  <si>
    <t>182215IDC00364</t>
  </si>
  <si>
    <t>济南7联通</t>
  </si>
  <si>
    <t>CACDNJNUN</t>
  </si>
  <si>
    <t>2022/1/1
2022/4/18</t>
  </si>
  <si>
    <t>需要注意20220401开始价格变动（1）20220101开始计费100G，20220418退租，颗粒度100M，保底30G；（2）甲乙双方实际流量以100M为结算单位，不足50M按照0M收取，大于等于50M按100M收取</t>
  </si>
  <si>
    <t>甘肃柏隆电子商务科技有限责任公司</t>
  </si>
  <si>
    <t>甘肃柏隆</t>
  </si>
  <si>
    <t>182215IDC00062</t>
  </si>
  <si>
    <t>兰州4移动</t>
  </si>
  <si>
    <t>CACDNLZCM</t>
  </si>
  <si>
    <t>2022/1/1
2022/1/31</t>
  </si>
  <si>
    <t>20220131退租。月付（1）20220101开始计费，颗粒度100M，保底100G；（2）甲乙双方实际流量以100M为结算单位，不足50M按照0M收取，大于等于50M按100M收取</t>
  </si>
  <si>
    <t>深圳腾华数据中心科技有限公司</t>
  </si>
  <si>
    <t>深圳腾华</t>
  </si>
  <si>
    <t>182215IDC00176</t>
  </si>
  <si>
    <t>广州4电信</t>
  </si>
  <si>
    <t>CACDNGZCT</t>
  </si>
  <si>
    <t>2022/2/1
2022/7/31</t>
  </si>
  <si>
    <t>20220731退租。20220201开始计费，颗粒度100M，保底60G</t>
  </si>
  <si>
    <t>广西阳晨伟业科技有限公司</t>
  </si>
  <si>
    <t>广西阳晨</t>
  </si>
  <si>
    <t>182315IDC00060</t>
  </si>
  <si>
    <t>南宁6移动</t>
  </si>
  <si>
    <t>CACDNNNCM2</t>
  </si>
  <si>
    <t>202310按照保底计提。（1）20220201开始计费，颗粒度100M，保底100G，包端口；（2）甲乙双方实际流量以100M为结算单位，不足50M按照0M收取，大于等于50M按100M收取</t>
  </si>
  <si>
    <t>NN6CM</t>
  </si>
  <si>
    <t>上海恩晴信息技术有限公司</t>
  </si>
  <si>
    <t>上海恩晴</t>
  </si>
  <si>
    <t>182315IDC00095</t>
  </si>
  <si>
    <t>上海2联通</t>
  </si>
  <si>
    <t>CACDNSHUN</t>
  </si>
  <si>
    <t>SH2UN</t>
  </si>
  <si>
    <t>北京和顺泰科技有限公司</t>
  </si>
  <si>
    <t>和顺泰</t>
  </si>
  <si>
    <t>182315IDC00136</t>
  </si>
  <si>
    <t>武汉4电信</t>
  </si>
  <si>
    <t>CACDNWHCT3</t>
  </si>
  <si>
    <t>需要注意202304开始价格变动。20220401开始计费，颗粒度100M，保底60G</t>
  </si>
  <si>
    <t>WH4CT</t>
  </si>
  <si>
    <t>182315IDC00541</t>
  </si>
  <si>
    <t>天津5电信</t>
  </si>
  <si>
    <t>CACDNTJCT</t>
  </si>
  <si>
    <t>20221001开始计费。颗粒度100M，保底30G</t>
  </si>
  <si>
    <t>TJ5CT</t>
  </si>
  <si>
    <t>182315IDC00323</t>
  </si>
  <si>
    <t>20220401开始计费，保底30%，18G，颗粒度100M
后续待CDN上量后关注交付邮件，应该扩容了40G给CDN使用</t>
  </si>
  <si>
    <t>CD2UN</t>
  </si>
  <si>
    <t>L20230901008</t>
  </si>
  <si>
    <t>成都9电信</t>
  </si>
  <si>
    <t>CACDNCDCT2</t>
  </si>
  <si>
    <t>CD9CT</t>
  </si>
  <si>
    <t>182315IDC00512</t>
  </si>
  <si>
    <t>成都10电信</t>
  </si>
  <si>
    <t>CD10CT</t>
  </si>
  <si>
    <t>182315IDC00513</t>
  </si>
  <si>
    <t>成都11电信</t>
  </si>
  <si>
    <t>CD11CT</t>
  </si>
  <si>
    <t>杭州盈为网络科技有限公司</t>
  </si>
  <si>
    <t>杭州盈为</t>
  </si>
  <si>
    <t>182315IDC00295</t>
  </si>
  <si>
    <t>榆林</t>
  </si>
  <si>
    <t>榆林联通</t>
  </si>
  <si>
    <t>CACDNYLUN</t>
  </si>
  <si>
    <t>需要注意202306价格变动。20220602开始计费，颗粒度100M，保底30G</t>
  </si>
  <si>
    <t>YLUN</t>
  </si>
  <si>
    <t>成都震汉科技有限公司</t>
  </si>
  <si>
    <t>成都震汉</t>
  </si>
  <si>
    <t>182215IDC00413</t>
  </si>
  <si>
    <t>成都10移动</t>
  </si>
  <si>
    <t>CACDNCDCM4</t>
  </si>
  <si>
    <t>2022/6/1
2023/5/31</t>
  </si>
  <si>
    <t>20220601开始计费，颗粒度100M，包端口，保底100G</t>
  </si>
  <si>
    <t>泰州云下科技有限公司</t>
  </si>
  <si>
    <t>云下科技</t>
  </si>
  <si>
    <t>182215IDC00547</t>
  </si>
  <si>
    <t>泰州3电信</t>
  </si>
  <si>
    <t>CACDNTAIZCT</t>
  </si>
  <si>
    <t>2022/8/1
2023/7/31</t>
  </si>
  <si>
    <t>280G-280G</t>
  </si>
  <si>
    <t>20220801开始计费，颗粒度100M，保底84G。月付</t>
  </si>
  <si>
    <t>江苏网擎信息技术有限公司</t>
  </si>
  <si>
    <t>江苏网擎</t>
  </si>
  <si>
    <t>182315IDC00011</t>
  </si>
  <si>
    <t>常州4电信</t>
  </si>
  <si>
    <t>CACDNCZCT2</t>
  </si>
  <si>
    <t>2022/10/1
2023/6/30</t>
  </si>
  <si>
    <t>20221001开始计费，颗粒度100M，保底30G</t>
  </si>
  <si>
    <t>182315IDC00013</t>
  </si>
  <si>
    <t>常州2移动</t>
  </si>
  <si>
    <t>CACDNCZCM2</t>
  </si>
  <si>
    <t>182315IDC00012</t>
  </si>
  <si>
    <t xml:space="preserve">   CACDNCZUN</t>
  </si>
  <si>
    <t>20221001开始计费。颗粒度100M，保底12G</t>
  </si>
  <si>
    <t>L20230602010</t>
  </si>
  <si>
    <t>常州2三级电信</t>
  </si>
  <si>
    <t>CACDNCZIX</t>
  </si>
  <si>
    <t>CZ2IXCT</t>
  </si>
  <si>
    <t>常州2三级移动</t>
  </si>
  <si>
    <t>202310按照保底计提。颗粒度100M，保底6G</t>
  </si>
  <si>
    <t>CZ2IXCM</t>
  </si>
  <si>
    <t>常州2三级联通</t>
  </si>
  <si>
    <t>颗粒度100M，保底3G</t>
  </si>
  <si>
    <t>CZ2IXUN</t>
  </si>
  <si>
    <t>深圳万象天地科技有限公司</t>
  </si>
  <si>
    <t>深圳万象天地</t>
  </si>
  <si>
    <t>L20230728001</t>
  </si>
  <si>
    <t>盐城2移动</t>
  </si>
  <si>
    <t>20221001开始计费。颗粒度10M，保底40G</t>
  </si>
  <si>
    <t>YANC2CM</t>
  </si>
  <si>
    <t>山东蓝海领航大数据发展有限公司</t>
  </si>
  <si>
    <t>蓝海领航</t>
  </si>
  <si>
    <t>182315IDC00257</t>
  </si>
  <si>
    <t>济南11移动</t>
  </si>
  <si>
    <t>CDNJNIX</t>
  </si>
  <si>
    <t>0.3G</t>
  </si>
  <si>
    <t>202310按照保底计提。颗粒度100M，保底0.03G</t>
  </si>
  <si>
    <t>JN11CM</t>
  </si>
  <si>
    <t>浙江宁波本电网络科技有限公司</t>
  </si>
  <si>
    <t>浙江本电</t>
  </si>
  <si>
    <t>182315IDC00231</t>
  </si>
  <si>
    <t>宁波8电信</t>
  </si>
  <si>
    <t>CACDNNBCT2</t>
  </si>
  <si>
    <t>2022/3/3
2023/6/30</t>
  </si>
  <si>
    <t>202306暂停计费。20220901价格变动（1）月付。20210909开始计费，颗粒度100M，保底80G，包端口；（2）甲乙双方实际流量以100M为结算单位，不足50M按（1）月付。20220303开始计费，颗粒度100M，保底140G，包端口</t>
  </si>
  <si>
    <t>182215IDC00563</t>
  </si>
  <si>
    <t>宁波7电信</t>
  </si>
  <si>
    <t>CACDNNBCT</t>
  </si>
  <si>
    <t>2021/9/9
2023/7/31</t>
  </si>
  <si>
    <t>20220901价格变动（1）月付。20210909开始计费，颗粒度100M，保底80G，包端口；（2）甲乙双方实际流量以100M为结算单位，不足50M按照0M收取，大于等于50M按100M收取。</t>
  </si>
  <si>
    <t>北京亿芃科技有限公司</t>
  </si>
  <si>
    <t>北京亿芃</t>
  </si>
  <si>
    <t>182315IDC00240</t>
  </si>
  <si>
    <t>朝阳</t>
  </si>
  <si>
    <t>朝阳电信</t>
  </si>
  <si>
    <t>CACDNCYCT</t>
  </si>
  <si>
    <t>20230401开始计费，颗粒度100M，保底60G</t>
  </si>
  <si>
    <t>CYCT</t>
  </si>
  <si>
    <t>朝阳2电信</t>
  </si>
  <si>
    <t>CY2CT</t>
  </si>
  <si>
    <t>山东爱特云翔信息技术有限公司</t>
  </si>
  <si>
    <t>爱特云翔</t>
  </si>
  <si>
    <t>182315IDC00443</t>
  </si>
  <si>
    <t>淄博三级电信</t>
  </si>
  <si>
    <t>20230406开始计费。颗粒度100M，保底80G</t>
  </si>
  <si>
    <t>ZBIXCT</t>
  </si>
  <si>
    <t>淄博三级联通</t>
  </si>
  <si>
    <t>20230406开始计费。颗粒度100M，保底48G</t>
  </si>
  <si>
    <t>ZBIXUN</t>
  </si>
  <si>
    <t>上海迅悟网络科技有限公司</t>
  </si>
  <si>
    <t>上海迅悟</t>
  </si>
  <si>
    <t>182315IDC00269</t>
  </si>
  <si>
    <t>济南10联通</t>
  </si>
  <si>
    <t>CACDNJNUN2</t>
  </si>
  <si>
    <t>2023/4/1
2023/5/1</t>
  </si>
  <si>
    <t>20230401开始计费100G，20230501扩容100G开始计费。颗粒度100M，保底60G</t>
  </si>
  <si>
    <t>JN10UN</t>
  </si>
  <si>
    <t>182315IDC00261</t>
  </si>
  <si>
    <t>济南12移动</t>
  </si>
  <si>
    <t>CACDNJNCM4</t>
  </si>
  <si>
    <t>JN12CM</t>
  </si>
  <si>
    <t>北京共晟科技有限公司</t>
  </si>
  <si>
    <t>共晟科技</t>
  </si>
  <si>
    <t>182315IDC00309</t>
  </si>
  <si>
    <t>WHGG移动2</t>
  </si>
  <si>
    <t>WHJRG</t>
  </si>
  <si>
    <t>2023/4/22
2023/6/7</t>
  </si>
  <si>
    <t>40G+20G</t>
  </si>
  <si>
    <t>202310按照保底计提。20230422开始计费，20230607扩容20G开始计费。颗粒度100M。保底24G</t>
  </si>
  <si>
    <t>WHGG-CM-ST-2</t>
  </si>
  <si>
    <t>浙江途说科技发展有限公司</t>
  </si>
  <si>
    <t>浙江途说</t>
  </si>
  <si>
    <t>182315IDC00375</t>
  </si>
  <si>
    <t>深圳2移动</t>
  </si>
  <si>
    <t>CACDNSZCM</t>
  </si>
  <si>
    <t>2023/4/1
2023/9/30</t>
  </si>
  <si>
    <t>20230401开始计费，颗粒度100M，保底80G</t>
  </si>
  <si>
    <t>182315IDC00499</t>
  </si>
  <si>
    <t>南宁8移动</t>
  </si>
  <si>
    <t>CACDNNNCM3</t>
  </si>
  <si>
    <t>20230601开始计费，颗粒度100M，保底40G</t>
  </si>
  <si>
    <t>NN8CM</t>
  </si>
  <si>
    <t>杜若彬</t>
  </si>
  <si>
    <t>182315IDC00297</t>
  </si>
  <si>
    <t>V昆明2电信</t>
  </si>
  <si>
    <t>CACDNVKMCT2</t>
  </si>
  <si>
    <t>裸金属，20220501开始计费，颗粒度10M，保底30G。计费流量以G为单位保留两位小数</t>
  </si>
  <si>
    <t>VKM2CT</t>
  </si>
  <si>
    <t>V台州电信</t>
  </si>
  <si>
    <t>CACDNVTZCT</t>
  </si>
  <si>
    <t>2022/5/1
2023/5/31</t>
  </si>
  <si>
    <t>20230531退租。裸金属，20220501开始计费，颗粒度10M，保底30G。计费流量以G为单位保留两位小数</t>
  </si>
  <si>
    <t>V南宁2电信</t>
  </si>
  <si>
    <t>CACDNVNNCT2</t>
  </si>
  <si>
    <t>VNN2CT</t>
  </si>
  <si>
    <t>V武汉电信</t>
  </si>
  <si>
    <t>CACDNVWHCT</t>
  </si>
  <si>
    <t>V昆明3电信</t>
  </si>
  <si>
    <t>2022/10/1
2023/10/31</t>
  </si>
  <si>
    <t>200G-100G</t>
  </si>
  <si>
    <t>裸金属，20221001开始计费，保底60G，月95计费。10M。计费流量以G为单位保留两位小数</t>
  </si>
  <si>
    <t>VKM3CT</t>
  </si>
  <si>
    <t>V台州2电信</t>
  </si>
  <si>
    <t>CACDNVTZCT2</t>
  </si>
  <si>
    <t>2022/10/1
2023/5/31</t>
  </si>
  <si>
    <t>20230531退租。裸金属，20221001开始计费，保底60G，月95计费。10M。计费流量以G为单位保留两位小数</t>
  </si>
  <si>
    <t>182315IDC00105</t>
  </si>
  <si>
    <t>V武汉移动</t>
  </si>
  <si>
    <t>CACDNVWHCM</t>
  </si>
  <si>
    <t>裸金属，20230101开始计费。颗粒度未明确约定，按1M算，无保底</t>
  </si>
  <si>
    <t>VWHCM</t>
  </si>
  <si>
    <t>V咸阳2移动</t>
  </si>
  <si>
    <t>CACDNVXYCM</t>
  </si>
  <si>
    <t>2023/1/1
2023/2/1</t>
  </si>
  <si>
    <t>60G+60G</t>
  </si>
  <si>
    <t>裸金属，20230201扩容60G。颗粒度未明确约定，按1M算，无保底</t>
  </si>
  <si>
    <t>VXY2CM</t>
  </si>
  <si>
    <t>V长沙2移动</t>
  </si>
  <si>
    <t>CACDNVCSCM</t>
  </si>
  <si>
    <t>VCS2CM</t>
  </si>
  <si>
    <t>V昆明移动</t>
  </si>
  <si>
    <t>CACDNVKMCM</t>
  </si>
  <si>
    <t>裸金属，20230201开始计费。颗粒度未明确约定，按1M算，无保底</t>
  </si>
  <si>
    <t>VKMCM</t>
  </si>
  <si>
    <t>L20230422002</t>
  </si>
  <si>
    <t>V重庆2移动</t>
  </si>
  <si>
    <t>CACDNVCQCM</t>
  </si>
  <si>
    <t>2023/3/2
2023/4/1</t>
  </si>
  <si>
    <t>裸金属， 【CDN扩容】V重庆移动  扩容40G  2023-04-01 节点正式上线  (VCQ2CM)；20230302开始计费。颗粒度未明确约定，按1M算，无保底</t>
  </si>
  <si>
    <t>VCQ2CM</t>
  </si>
  <si>
    <t>北京新流万联网络技术有限公司</t>
  </si>
  <si>
    <t>新流万联</t>
  </si>
  <si>
    <t>182315IDC00129</t>
  </si>
  <si>
    <t>V石家庄移动</t>
  </si>
  <si>
    <t>CACDNVSJZCM</t>
  </si>
  <si>
    <t>2022/9/1
2022/9/30</t>
  </si>
  <si>
    <t>需要注意202210暂停使用。裸金属，20220901开始计费，保底40G。</t>
  </si>
  <si>
    <t>182315IDC00348</t>
  </si>
  <si>
    <t>V呼和浩特2移动</t>
  </si>
  <si>
    <t xml:space="preserve">CACDNVHHHTCM </t>
  </si>
  <si>
    <t>2022/3/2
2023/6/30</t>
  </si>
  <si>
    <t>50G-50G</t>
  </si>
  <si>
    <t>裸金属，20220302开始计费，无保底，计提颗粒度100M，95计费</t>
  </si>
  <si>
    <t>182215IDC00373</t>
  </si>
  <si>
    <t>V济南电信</t>
  </si>
  <si>
    <t>CACDNVJNCT</t>
  </si>
  <si>
    <t>2022/3/4
2022/7/31</t>
  </si>
  <si>
    <t>202208关停。裸金属，20220304开始计费，20220601开始从无保底变动为保底30%，95计费</t>
  </si>
  <si>
    <t>182215IDC00463</t>
  </si>
  <si>
    <t>V宁波移动</t>
  </si>
  <si>
    <t>CACDNVNBCM</t>
  </si>
  <si>
    <t>2022/4/1
2022/12/31</t>
  </si>
  <si>
    <t>裸金属，2022.12.31退租。20220401开始计费，无保底，日95月均</t>
  </si>
  <si>
    <t>182215IDC00465</t>
  </si>
  <si>
    <t>V宁波2移动</t>
  </si>
  <si>
    <t>2022/4/1
2022/9/14</t>
  </si>
  <si>
    <t>裸金属，20220401开始计费，20220914退租替换为V宁波7移动。无保底，日95月均，颗粒度100M</t>
  </si>
  <si>
    <t>182215IDC00459</t>
  </si>
  <si>
    <t>V济南2电信</t>
  </si>
  <si>
    <t>2022/4/1
2022/7/31</t>
  </si>
  <si>
    <t>15G-15G</t>
  </si>
  <si>
    <t>202208关停。裸金属，20220401开始计费，无保底，日95月均</t>
  </si>
  <si>
    <t>182215IDC00319</t>
  </si>
  <si>
    <t>V济南3电信</t>
  </si>
  <si>
    <t>CACDNVJNCT2</t>
  </si>
  <si>
    <t>2022/4/7
2022/7/31</t>
  </si>
  <si>
    <t>202208关停。裸金属，20220407开始计费，20220601开始从无保底变动为保底30%，95计费</t>
  </si>
  <si>
    <t>182215IDC00288</t>
  </si>
  <si>
    <t>V济南联通</t>
  </si>
  <si>
    <t>CACDNVJNUN</t>
  </si>
  <si>
    <t>2022/4/9
2022/5/31</t>
  </si>
  <si>
    <t>裸金属，20220409开始计费，20220531退租。无保底，95计费</t>
  </si>
  <si>
    <t>182215IDC00460</t>
  </si>
  <si>
    <t>滨州</t>
  </si>
  <si>
    <t>V滨州联通</t>
  </si>
  <si>
    <t>CACDNVBZUN</t>
  </si>
  <si>
    <t>2022/5/1
2022/9/9</t>
  </si>
  <si>
    <t>裸金属，20220501开始计费，20220909退租。颗粒度100M，无保底</t>
  </si>
  <si>
    <t>182315IDC00380</t>
  </si>
  <si>
    <t>V抚顺电信</t>
  </si>
  <si>
    <t>CACDNVFUSCT</t>
  </si>
  <si>
    <t>裸金属，2023.4调整单价。20220501开始计费，计提颗粒度100M，无保底</t>
  </si>
  <si>
    <t>V抚顺2电信</t>
  </si>
  <si>
    <t>182315IDC00339</t>
  </si>
  <si>
    <t>V兰州电信</t>
  </si>
  <si>
    <t>CACDNVLZCT</t>
  </si>
  <si>
    <t>2022/5/1
2023/6/21</t>
  </si>
  <si>
    <t>202306关停。裸金属，2023.4调整单价。20220501开始计费，计提颗粒度100M，无保底</t>
  </si>
  <si>
    <t>182315IDC00345</t>
  </si>
  <si>
    <t>V苏州移动</t>
  </si>
  <si>
    <t>CACDNVSUZCM</t>
  </si>
  <si>
    <t>裸金属，20220801开始计费，日95月均，无保底，计提颗粒度100M</t>
  </si>
  <si>
    <t>V苏州2移动</t>
  </si>
  <si>
    <t>182215IDC00658</t>
  </si>
  <si>
    <t>V泰安联通</t>
  </si>
  <si>
    <t>CAVTAUN</t>
  </si>
  <si>
    <t>2022/8/1
2023/1/3</t>
  </si>
  <si>
    <t>裸金属，2023/1/3退租。20220801开始计费，日95月均，无保底，颗粒度100M</t>
  </si>
  <si>
    <t>182215IDC00656</t>
  </si>
  <si>
    <t>V宁波3移动</t>
  </si>
  <si>
    <t>CAVNBCM</t>
  </si>
  <si>
    <t>2022/8/1
2022/12/31</t>
  </si>
  <si>
    <t>裸金属，2022.12.31退租。20220801开始计费，日95月均，无保底，颗粒度100M</t>
  </si>
  <si>
    <t>182215IDC00655</t>
  </si>
  <si>
    <t>辽源</t>
  </si>
  <si>
    <t>V辽源移动</t>
  </si>
  <si>
    <t>CAVLIAOYCM</t>
  </si>
  <si>
    <t>2022/8/1
2022/8/30</t>
  </si>
  <si>
    <t>裸金属，20220801开始计费，20220830退租。日95月均，无保底，颗粒度100M</t>
  </si>
  <si>
    <t>182315IDC00343</t>
  </si>
  <si>
    <t>荆州</t>
  </si>
  <si>
    <t>V荆州联通</t>
  </si>
  <si>
    <t>CAVJINGZUN</t>
  </si>
  <si>
    <t>裸金属，2023.4调整单价。20220801开始计费，日95月均，无保底，计提颗粒度100M</t>
  </si>
  <si>
    <t>VJINGZUN</t>
  </si>
  <si>
    <t>182315IDC00336</t>
  </si>
  <si>
    <t>V淮南移动</t>
  </si>
  <si>
    <t>CAVHNCM</t>
  </si>
  <si>
    <t>182215IDC00659</t>
  </si>
  <si>
    <t>V泰安3联通</t>
  </si>
  <si>
    <t>CACDNVTAUN</t>
  </si>
  <si>
    <t>2022/8/2
2023/1/3</t>
  </si>
  <si>
    <t>裸金属，2023/1/3退租。20220802开始计费，日95月均，无保底，颗粒度100M</t>
  </si>
  <si>
    <t>182315IDC00346</t>
  </si>
  <si>
    <t>V苏州3移动</t>
  </si>
  <si>
    <t>2022/9/1
2023/6/30</t>
  </si>
  <si>
    <t>裸金属，20220901开始计费，日95月均，无保底，计提颗粒度100M</t>
  </si>
  <si>
    <t>182315IDC00338</t>
  </si>
  <si>
    <t>V兰州2电信</t>
  </si>
  <si>
    <t>CACDNVLZCT2</t>
  </si>
  <si>
    <t>2022/9/1
2023/6/21</t>
  </si>
  <si>
    <t>202306关停。裸金属，2023.4调整单价。20220901开始计费，日95月均，无保底，计提颗粒度100M</t>
  </si>
  <si>
    <t>V兰州3电信</t>
  </si>
  <si>
    <t>182315IDC00341</t>
  </si>
  <si>
    <t>V鹤岗移动</t>
  </si>
  <si>
    <t>CACDNVHGCM</t>
  </si>
  <si>
    <t>202305关停。裸金属，2023.4调整单价。20220901开始计费，日95月均，无保底，计提颗粒度100M</t>
  </si>
  <si>
    <t>VHGCM</t>
  </si>
  <si>
    <t>V淮南2移动</t>
  </si>
  <si>
    <t>CACDNVHNCM</t>
  </si>
  <si>
    <t>2022/9/1
2023/7/31</t>
  </si>
  <si>
    <t>裸金属，2023.4调整单价。20220901开始计费，日95月均，无保底，计提颗粒度100M</t>
  </si>
  <si>
    <t>182215IDC00672</t>
  </si>
  <si>
    <t>V宁波4移动</t>
  </si>
  <si>
    <t>裸金属，2022.12.31退租。20220901开始计费，日95月均，无保底，颗粒度100M</t>
  </si>
  <si>
    <t>V宁波5移动</t>
  </si>
  <si>
    <t>2022/9/1
2022/9/9</t>
  </si>
  <si>
    <t>裸金属，2022/9/9节点下线。20220901开始计费，日95月均，无保底，颗粒度100M</t>
  </si>
  <si>
    <t>V宁波6移动</t>
  </si>
  <si>
    <t>182215IDC00673</t>
  </si>
  <si>
    <t>V济南2联通</t>
  </si>
  <si>
    <t>CACDNVJNUN2</t>
  </si>
  <si>
    <t>2022/9/1
2023/2/28</t>
  </si>
  <si>
    <t>裸金属，2023/2/28节点退租。20220901开始计费，日95月均，无保底，颗粒度100M</t>
  </si>
  <si>
    <t>V济南3联通</t>
  </si>
  <si>
    <t>182315IDC00021</t>
  </si>
  <si>
    <t>V济南4联通</t>
  </si>
  <si>
    <t>裸金属，2023/2/28节点退租。20220922开始计费，替换V滨州联通。日95月均，无保底，颗粒度100M</t>
  </si>
  <si>
    <t>182215IDC00670</t>
  </si>
  <si>
    <t>V金华移动</t>
  </si>
  <si>
    <t>CACDNVJHCM</t>
  </si>
  <si>
    <t>裸金属，2022/9/30退租。20220901开始计费，日95月均，无保底，颗粒度100M</t>
  </si>
  <si>
    <t>182315IDC00342</t>
  </si>
  <si>
    <t>V荆州2联通</t>
  </si>
  <si>
    <t>CACDNVJINGZUN</t>
  </si>
  <si>
    <t>VJINGZ2UN</t>
  </si>
  <si>
    <t>182315IDC00340</t>
  </si>
  <si>
    <t>V天水电信</t>
  </si>
  <si>
    <t>CACDNVTIANSCT</t>
  </si>
  <si>
    <t>2022/9/1
2023/6/12</t>
  </si>
  <si>
    <t>202306关停。20230612退租。2023.4调整单价。裸金属，20220901开始计费，日95月均，无保底，计提颗粒度100M</t>
  </si>
  <si>
    <t>182215IDC00668</t>
  </si>
  <si>
    <t>延边</t>
  </si>
  <si>
    <t>V延边移动</t>
  </si>
  <si>
    <t>CACDNVYANBCM</t>
  </si>
  <si>
    <t>2022/9/3
2023/3/17</t>
  </si>
  <si>
    <t>裸金属，2023/3/17退租；20220903开始计费，保底24G。月95计费。计提颗粒度100M</t>
  </si>
  <si>
    <t>182315IDC00344</t>
  </si>
  <si>
    <t>V兰州4电信</t>
  </si>
  <si>
    <t>裸金属，2023.4调整单价。20220903开始计费，保底15G。月95计费。计提颗粒度100M</t>
  </si>
  <si>
    <t>VLZ4CT</t>
  </si>
  <si>
    <t>L20220902004</t>
  </si>
  <si>
    <t>鹤壁</t>
  </si>
  <si>
    <t>V鹤壁联通</t>
  </si>
  <si>
    <t>CACDNVHBUN</t>
  </si>
  <si>
    <t>2022/9/3
2022/9/13</t>
  </si>
  <si>
    <t>裸金属，20220903开始计费，颗粒度100M，保底12G。月95计费。20220913退租，202209不计费。</t>
  </si>
  <si>
    <t>V宁波7移动</t>
  </si>
  <si>
    <t>2022/9/14
2022/12/31</t>
  </si>
  <si>
    <t>裸金属，2022.12.31节点下线。20220914开始计费，V宁波2移动替换过来的。日95月均，无保底，颗粒度100M</t>
  </si>
  <si>
    <t>L20230421001</t>
  </si>
  <si>
    <t>V济南5联通</t>
  </si>
  <si>
    <t>CACDNVJNUN3</t>
  </si>
  <si>
    <t>2023/3/2
2023/4/7</t>
  </si>
  <si>
    <t>裸金属，2023.4调整单价。2023/3/2开始计费，日95月均，无保底，计提颗粒度100M</t>
  </si>
  <si>
    <t>V济南6联通</t>
  </si>
  <si>
    <t>L20230421002</t>
  </si>
  <si>
    <t>V济南7联通</t>
  </si>
  <si>
    <t>182315IDC00364</t>
  </si>
  <si>
    <t>V泰安4联通</t>
  </si>
  <si>
    <t>20230407开始计费，无保底。</t>
  </si>
  <si>
    <t>VTA4UN</t>
  </si>
  <si>
    <t>V泰安5联通</t>
  </si>
  <si>
    <t>VTA5UN</t>
  </si>
  <si>
    <t>V泰安6联通</t>
  </si>
  <si>
    <t>VTA6UN</t>
  </si>
  <si>
    <t>京东云计算有限公司</t>
  </si>
  <si>
    <t>京东云</t>
  </si>
  <si>
    <t>182215IDC00636</t>
  </si>
  <si>
    <t>呼和浩特6移动</t>
  </si>
  <si>
    <t>CACDNHHHTCM2</t>
  </si>
  <si>
    <t>2022/5/1
2022/12/31</t>
  </si>
  <si>
    <t>裸金属，20220501开始计费，颗粒度100M，保底24G</t>
  </si>
  <si>
    <t>裸金属，20220501开始计费，颗粒度100M，保底40G</t>
  </si>
  <si>
    <t>广州爱耐特科技有限责任公司</t>
  </si>
  <si>
    <t>广州爱耐特</t>
  </si>
  <si>
    <t>182315IDC00316</t>
  </si>
  <si>
    <t>佛山4移动</t>
  </si>
  <si>
    <t xml:space="preserve">CACDNFSCM3 </t>
  </si>
  <si>
    <t>20230601开始计费，颗粒度100M，保底80G</t>
  </si>
  <si>
    <t>FS4CM</t>
  </si>
  <si>
    <t>北京云亿互联网络科技有限公司</t>
  </si>
  <si>
    <t>北京云亿</t>
  </si>
  <si>
    <t>182315IDC00302</t>
  </si>
  <si>
    <t>沈阳4电信</t>
  </si>
  <si>
    <t>CACDNSYCT2</t>
  </si>
  <si>
    <t>20230601开始计费，颗粒度100M，保底24G</t>
  </si>
  <si>
    <t>SY4CT</t>
  </si>
  <si>
    <t>杭州爱云网络科技有限公司</t>
  </si>
  <si>
    <t>杭州爱云</t>
  </si>
  <si>
    <t>L20230821001</t>
  </si>
  <si>
    <t>杭州5移动</t>
  </si>
  <si>
    <t xml:space="preserve">CACDNHZCM3 </t>
  </si>
  <si>
    <t>注意202309价格变动。20230601开始计费，颗粒度100M，保底30G</t>
  </si>
  <si>
    <t>HZ5CM</t>
  </si>
  <si>
    <t>上饶天利新云技术有限公司</t>
  </si>
  <si>
    <t>上饶天利</t>
  </si>
  <si>
    <t>182315IDC00390</t>
  </si>
  <si>
    <t>泉州2移动</t>
  </si>
  <si>
    <t>CACDNQZCM</t>
  </si>
  <si>
    <t>2023/6/1
2023/8/30</t>
  </si>
  <si>
    <t>杭州网鼎科技有限公司</t>
  </si>
  <si>
    <t>杭州网鼎</t>
  </si>
  <si>
    <t>182315IDC00399</t>
  </si>
  <si>
    <t>合肥电信</t>
  </si>
  <si>
    <t>CACDNHFCT</t>
  </si>
  <si>
    <t>20230701开始计费，颗粒度100M，保底30G</t>
  </si>
  <si>
    <t>HFCT</t>
  </si>
  <si>
    <t>杭州云算力科技有限公司</t>
  </si>
  <si>
    <t>云算力</t>
  </si>
  <si>
    <t>L20230726002</t>
  </si>
  <si>
    <t>昆明5移动</t>
  </si>
  <si>
    <t>CACDNKMCM</t>
  </si>
  <si>
    <t>200G+60G</t>
  </si>
  <si>
    <t>KM5CM</t>
  </si>
  <si>
    <t>昆明6移动</t>
  </si>
  <si>
    <t>2023/9/1
2023/9/1</t>
  </si>
  <si>
    <t>合并至昆明5移动出流量。20230901开始计费，颗粒度100M，保底24G</t>
  </si>
  <si>
    <t>上海赫民科技有限公司</t>
  </si>
  <si>
    <t>上海赫民</t>
  </si>
  <si>
    <t>L20230905007</t>
  </si>
  <si>
    <t>成都2三级电信</t>
  </si>
  <si>
    <t>CACDNCDIX2</t>
  </si>
  <si>
    <t>CD2IXCT</t>
  </si>
  <si>
    <t>成都2三级联通</t>
  </si>
  <si>
    <t>CD2IXUN</t>
  </si>
  <si>
    <t>成都2三级移动</t>
  </si>
  <si>
    <t>CD2IXCM</t>
  </si>
  <si>
    <t>上海璟量网络科技有限公司</t>
  </si>
  <si>
    <t>上海璟量</t>
  </si>
  <si>
    <t>L20230907001</t>
  </si>
  <si>
    <t>石家庄三级移动</t>
  </si>
  <si>
    <t>CACDNSJZIX</t>
  </si>
  <si>
    <t>SJZIXCM</t>
  </si>
  <si>
    <t>石家庄三级联通</t>
  </si>
  <si>
    <t>SJZIXUN</t>
  </si>
  <si>
    <t>石家庄三级电信</t>
  </si>
  <si>
    <t>SJZIXCT</t>
  </si>
  <si>
    <t>浙江海淘云数据有限公司</t>
  </si>
  <si>
    <t>海淘云</t>
  </si>
  <si>
    <t>L20230918001</t>
  </si>
  <si>
    <t>QZ2CM</t>
  </si>
  <si>
    <t>庭宇科技-PCDN</t>
  </si>
  <si>
    <t>182315IDC00331</t>
  </si>
  <si>
    <t>PCDN带宽</t>
  </si>
  <si>
    <t>庭宇云PCDN</t>
  </si>
  <si>
    <t>20220930下线。融合CDN加速服务。1M，1000进制，日95月平均，包头系数1</t>
  </si>
  <si>
    <t>tyyun_pcdn</t>
  </si>
  <si>
    <t>feed庭宇非盒子</t>
  </si>
  <si>
    <t>PCDN庭宇_移动</t>
  </si>
  <si>
    <t>（1）自2022年6月1日起价格变动。1M，包头系数1，进制1000，月95计费。；（2）视频 网盘合并计算流量，确定阶梯价格</t>
  </si>
  <si>
    <t>bdpcdn_tingyu_cmnet</t>
  </si>
  <si>
    <t>PCDN庭宇_非移动</t>
  </si>
  <si>
    <t>bdpcdn_tingyu_not_cmnet</t>
  </si>
  <si>
    <t>网盘庭宇非盒子</t>
  </si>
  <si>
    <t>网盘PCDN庭宇_移动</t>
  </si>
  <si>
    <t>注意202306价格变动（1）自2022年6月1日起价格变动。1M，包头系数1，进制1000，月95计费。；（2）视频 网盘合并计算流量，确定阶梯价格</t>
  </si>
  <si>
    <t>bdpcdn_wangpan_tingyu_cm</t>
  </si>
  <si>
    <t>网盘PCDN庭宇_电联</t>
  </si>
  <si>
    <t>bdpcdn_wangpan_tingyu_cu_ct</t>
  </si>
  <si>
    <t>PCDN-网盘-ACDN专线资源移动</t>
  </si>
  <si>
    <t>网盘PCDN庭宇_ANT _移动</t>
  </si>
  <si>
    <t>20230601开始计费，PCDN-网盘-ACDN专线资源-庭宇移动，计费方式：日95月均，包头系数：1，进制：1000</t>
  </si>
  <si>
    <t>bdpcdn_wangpan_tingyu_ant_cm</t>
  </si>
  <si>
    <t>PCDN-网盘-ACDN专线资源电联</t>
  </si>
  <si>
    <t>网盘PCDN庭宇_ANT _电联</t>
  </si>
  <si>
    <t>20230601开始计费，PCDN-网盘-ACDN专线资源-庭宇电联，计费方式：日95月均，包头系数：1，进制：1000</t>
  </si>
  <si>
    <t>bdpcdn_wangpan_ tingyu_ant _cu_ct</t>
  </si>
  <si>
    <t>L20230831001</t>
  </si>
  <si>
    <t>XCDN带宽</t>
  </si>
  <si>
    <t>302PCDN_庭宇_汇聚_移动_快手</t>
  </si>
  <si>
    <t>20230901开始计费，电联，PCDN-庭宇-xcdn汇聚&amp;小盒子-新签，计费信息如下： 【供大客户快手】：  计费模式：日95月均 ,包头：0 进制：1000</t>
  </si>
  <si>
    <t>bd302pcdn_tingyu_not_special_cmnet_kuaishou</t>
  </si>
  <si>
    <t>302PCDN_庭宇_汇聚_非移动_快手</t>
  </si>
  <si>
    <t>bd302pcdn_tingyu_not_special_not_cmnet_kuaishou</t>
  </si>
  <si>
    <t>L20230831002</t>
  </si>
  <si>
    <t>302PCDN_庭宇_汇聚_移动_小度</t>
  </si>
  <si>
    <t>20230901开始计费，移动，【供xcdn业务（实际为小度业务）】： ——汇聚资源 。计费模式：日95月均 9) 包头：0 ，进制：1000</t>
  </si>
  <si>
    <t>bd302pcdn_tingyu_not_special_cmnet_xiaodu</t>
  </si>
  <si>
    <t>302PCDN_庭宇_汇聚_非移动_小度</t>
  </si>
  <si>
    <t>20230901开始计费，电联，【供xcdn业务（实际为小度业务）】： ——汇聚资源 。计费模式：日95月均 9) 包头：0 ，进制：1000</t>
  </si>
  <si>
    <t>bd302pcdn_tingyu_not_special_not_cmnet_xiaodu</t>
  </si>
  <si>
    <t>L20230831003</t>
  </si>
  <si>
    <t>302PCDN_庭宇_盒子_小度</t>
  </si>
  <si>
    <t>20230901开始计费，小盒子资源 ，三网合一，计费模式：日95月均，包头：0 ，进制：1000</t>
  </si>
  <si>
    <t>bd302pcdn_tingyu_arm_xiaodu</t>
  </si>
  <si>
    <t>补202309，已计提0，SYS更新数据61.959893，补61.960</t>
  </si>
  <si>
    <t>补202309，已计提0，SYS更新数据91.020317，补91.021</t>
  </si>
  <si>
    <t>补202309，已计提0，SYS更新数据28.346972，补28.347</t>
  </si>
  <si>
    <t>云端智度-PCDN</t>
  </si>
  <si>
    <t>L20221214002</t>
  </si>
  <si>
    <t>网盘非盒子非移动</t>
  </si>
  <si>
    <t>网盘PCDN云端智度_电联</t>
  </si>
  <si>
    <t>反馈21年Q4已下线。202205开始电信&amp;联通合并给数。1000进制，系数1</t>
  </si>
  <si>
    <t>网盘非盒子移动</t>
  </si>
  <si>
    <t>网盘PCDN云端智度_移动</t>
  </si>
  <si>
    <t>反馈21年Q4已下线。21000进制，系数1</t>
  </si>
  <si>
    <t>网盘PCDN云端智度_其他</t>
  </si>
  <si>
    <t>云端智度-XCDN</t>
  </si>
  <si>
    <t>182315IDC00377</t>
  </si>
  <si>
    <t>302 XCDN汇聚移动（非盒子类资源）</t>
  </si>
  <si>
    <t>302PCDN_云端_汇聚_移动</t>
  </si>
  <si>
    <t>需要注意202307价格变动。需要注意202207价格变动，日95月均峰值计费。颗粒度1M。1000进制。包头系数1</t>
  </si>
  <si>
    <t>bd302pcdn_yd_not_special_cmnet</t>
  </si>
  <si>
    <t>302 XCDN汇聚非移动（非盒子类资源）</t>
  </si>
  <si>
    <t>302PCDN_云端_汇聚_非移动</t>
  </si>
  <si>
    <t>bd302pcdn_yd_not_special_not_cmnet</t>
  </si>
  <si>
    <t>302 XCDN专线移动</t>
  </si>
  <si>
    <t>302PCDN_云端_专线_移动</t>
  </si>
  <si>
    <t>bd302pcdn_yd_special_cmnet</t>
  </si>
  <si>
    <t>302 XCDN专线非移动</t>
  </si>
  <si>
    <t>302PCDN_云端_专线_非移动</t>
  </si>
  <si>
    <t>bd302pcdn_yd_special_not_cmnet</t>
  </si>
  <si>
    <t>182315IDC00538</t>
  </si>
  <si>
    <t>视频盒子非移动</t>
  </si>
  <si>
    <t>PCDN云端智度普通节点_非移动</t>
  </si>
  <si>
    <t>需要注意20231001价格变动。2022.10调整单价。1000进制，系数1</t>
  </si>
  <si>
    <t>bdpcdn_normalperf_yd_not_cmnet</t>
  </si>
  <si>
    <t>视频盒子移动</t>
  </si>
  <si>
    <t>PCDN云端智度普通节点_移动</t>
  </si>
  <si>
    <t>bdpcdn_normalperf_yd_cmnet</t>
  </si>
  <si>
    <t>视频非盒子非移动</t>
  </si>
  <si>
    <t>PCDN云端智度高性能节点_非移动</t>
  </si>
  <si>
    <t>2022.10调整单价。1000进制，系数1</t>
  </si>
  <si>
    <t>bdpcdn_highperf_yd_not_cmnet</t>
  </si>
  <si>
    <t>视频非盒子移动</t>
  </si>
  <si>
    <t>PCDN云端智度高性能节点_移动</t>
  </si>
  <si>
    <t>bdpcdn_highperf_yd_cmnet</t>
  </si>
  <si>
    <t>北京云枫网络科技有限公司</t>
  </si>
  <si>
    <t>云枫</t>
  </si>
  <si>
    <t>182315IDC00448</t>
  </si>
  <si>
    <t>网盘PCDN云枫_移动</t>
  </si>
  <si>
    <t>需要注意202307价格变动。云枫，汇聚资源，包头系数1，1000进制，2022年8月日95月均计费，2022年9月起月95计费，合作期截止2023年7月底。</t>
  </si>
  <si>
    <t>bdpcdn_wangpan_yunfeng_cm</t>
  </si>
  <si>
    <t>网盘PCDN云枫_电联</t>
  </si>
  <si>
    <t>bdpcdn_wangpan_yunfeng_cu_ct</t>
  </si>
  <si>
    <t>182315IDC00352</t>
  </si>
  <si>
    <t>PCDN汇聚资源移动</t>
  </si>
  <si>
    <t>302PCDN_云枫_汇聚_移动</t>
  </si>
  <si>
    <t>20230601开始计费，PCDN汇聚资源移动，计费方式：日95月均；包头系数：1；
进制：1000；</t>
  </si>
  <si>
    <t>bd302pcdn_yunfeng_not_special_cmnet</t>
  </si>
  <si>
    <t>PCDN汇聚资源电联</t>
  </si>
  <si>
    <t>302PCDN_云枫_汇聚_非移动</t>
  </si>
  <si>
    <t>20230601开始计费，PCDN汇聚资源电联，计费方式：日95月均；包头系数：1；
进制：1000；</t>
  </si>
  <si>
    <t>bd302pcdn_yunfeng_not_special_not_cmnet</t>
  </si>
  <si>
    <t>ACDN专线资源电联</t>
  </si>
  <si>
    <t>302PCDN_云枫_专线_非移动</t>
  </si>
  <si>
    <t>20230601开始计费，ACDN专线资源电联，计费方式：日95月均；包头系数：1；
进制：1000；</t>
  </si>
  <si>
    <t>bd302pcdn_yunfeng_special_not_cmnet</t>
  </si>
  <si>
    <t>ACDN专线资源移动</t>
  </si>
  <si>
    <t>302PCDN_云枫_专线_移动</t>
  </si>
  <si>
    <t>20230601开始计费，ACDN专线资源移动，计费方式：日95月均；包头系数：1；
进制：1000；</t>
  </si>
  <si>
    <t>bd302pcdn_yunfeng_special_cmnet</t>
  </si>
  <si>
    <t>L20230828002</t>
  </si>
  <si>
    <t>网盘-云枫-专线</t>
  </si>
  <si>
    <t>网盘PCDN云枫_ANT_移动</t>
  </si>
  <si>
    <t>20230901开始计费，移动，PCDN-网盘-云枫-专线新签，计费信息如下：2023年9月1日开始，2.计费方式：月95； 3.包头系数：1； 4.进制：1000</t>
  </si>
  <si>
    <t xml:space="preserve">bdpcdn_wangpan_yunfeng_ant_cm </t>
  </si>
  <si>
    <t>网盘PCDN云枫_ANT_电联</t>
  </si>
  <si>
    <t>20230901开始计费，电联，PCDN-网盘-云枫-专线新签，计费信息如下：2023年9月1日开始，2.计费方式：月95； 3.包头系数：1； 4.进制：1000</t>
  </si>
  <si>
    <t>bdpcdn_wangpan_yunfeng_ant_cu_ct</t>
  </si>
  <si>
    <t>补202308，已计提39.932，SYS更新数据48.77，补8.838</t>
  </si>
  <si>
    <t>云帆-PCDN</t>
  </si>
  <si>
    <t>182315IDC00061</t>
  </si>
  <si>
    <t>云帆PCDN</t>
  </si>
  <si>
    <t>需要注意202311价格变动。1M,1000进制，日95月均计费，包头系数1</t>
  </si>
  <si>
    <t>yunfan_pcdn</t>
  </si>
  <si>
    <t>派欧云计算（上海）有限公司</t>
  </si>
  <si>
    <t>缀初网络-PCDN</t>
  </si>
  <si>
    <t>L20221106005</t>
  </si>
  <si>
    <t>融合CDN-OPPO业务</t>
  </si>
  <si>
    <t>PPIO_PCDN_OPPO</t>
  </si>
  <si>
    <t>融合CDN-OPPO业务，夜间（00:00 - 09:00）计费带宽减半。日95月均计费、包头1、进制1000。</t>
  </si>
  <si>
    <t>ppio_pcdn_oppo</t>
  </si>
  <si>
    <t>182215IDC00445</t>
  </si>
  <si>
    <t>视频PPIO</t>
  </si>
  <si>
    <t>PCDN PPIO_非移动</t>
  </si>
  <si>
    <t>包头系数1，进制1000，月95计费。</t>
  </si>
  <si>
    <t>bdpcdn_ppio_not_cmnet</t>
  </si>
  <si>
    <t>PCDN PPIO_移动</t>
  </si>
  <si>
    <t>20221231下线。包头系数1，进制1000，月95计费。</t>
  </si>
  <si>
    <t>bdpcdn_ppio_cmnet</t>
  </si>
  <si>
    <t>182315IDC00238</t>
  </si>
  <si>
    <t>网盘PPIO</t>
  </si>
  <si>
    <t>网盘PCDNPPIO_移动</t>
  </si>
  <si>
    <t>bdpcdn_wangpan_ppio_cm</t>
  </si>
  <si>
    <t>网盘PCDNPPIO_电联</t>
  </si>
  <si>
    <t>bdpcdn_wangpan_ppio_cu_ct</t>
  </si>
  <si>
    <t>XCDN 非盒子资源-百度云客户使用</t>
  </si>
  <si>
    <t>XCDN容器PPIO_移动</t>
  </si>
  <si>
    <t>2022.4将XCDN容器合并至302PCDN_PPIO计费。日95月均计费，包头系数1，进制1000</t>
  </si>
  <si>
    <t>bdxcdn_container_ppio_cmnet</t>
  </si>
  <si>
    <t>XCDN容器PPIO_非移动</t>
  </si>
  <si>
    <t>bdxcdn_container_ppio_not_cmnet</t>
  </si>
  <si>
    <t>182315IDC00134</t>
  </si>
  <si>
    <t>XCDN 非盒子资源-302使用汇聚移动</t>
  </si>
  <si>
    <t>302PCDN_PPIO_汇聚_移动</t>
  </si>
  <si>
    <t>2023.3调整单价。包头系数1，进制1000，日95月均计费</t>
  </si>
  <si>
    <t>bd302pcdn_ppio_not_special_cmnet</t>
  </si>
  <si>
    <t>XCDN 非盒子资源-302使用汇聚非移动</t>
  </si>
  <si>
    <t>302PCDN_PPIO_汇聚_非移动</t>
  </si>
  <si>
    <t>bd302pcdn_ppio_not_special_not_cmnet</t>
  </si>
  <si>
    <t>L20230504026</t>
  </si>
  <si>
    <t>XCDN 非盒子资源-302使用专线移动</t>
  </si>
  <si>
    <t>302PCDN_PPIO_专线_移动</t>
  </si>
  <si>
    <t>不计提。包头系数1，进制1000，日95月均计费</t>
  </si>
  <si>
    <t>bd302pcdn_ppio_special_cmnet</t>
  </si>
  <si>
    <t>XCDN 非盒子资源-302使用专线非移动</t>
  </si>
  <si>
    <t>302PCDN_PPIO_专线_非移动</t>
  </si>
  <si>
    <t>bd302pcdn_ppio_special_not_cmnet</t>
  </si>
  <si>
    <t>网盘PCDN带宽存储费</t>
  </si>
  <si>
    <t>网盘PPIO带宽存储费用</t>
  </si>
  <si>
    <t>新合同存储费取消。网盘PPIO带宽存储费用</t>
  </si>
  <si>
    <t>L20230801003</t>
  </si>
  <si>
    <t>融合CDN PPIO</t>
  </si>
  <si>
    <t>PPIO_PCDN_非OPPO</t>
  </si>
  <si>
    <t>需要注意20231001价格变动。2022.10调整单价。融合CDN（支持HTTP协议）。颗粒度1M。1000进制。日95月均计费模式</t>
  </si>
  <si>
    <t>ppio_pcdn_not_oppo</t>
  </si>
  <si>
    <t>厦门琪珑网络科技有限公司</t>
  </si>
  <si>
    <t>厦门琪珑</t>
  </si>
  <si>
    <t>182315IDC00091</t>
  </si>
  <si>
    <t>302PCDN_琪珑_汇聚_移动</t>
  </si>
  <si>
    <t>包头系数1，进制1000，日95月均计费</t>
  </si>
  <si>
    <t>bd302pcdn_qilong_not_special_cmnet</t>
  </si>
  <si>
    <t>302PCDN_琪珑_汇聚_非移动</t>
  </si>
  <si>
    <t>bd302pcdn_qilong_not_special_not_cmnet</t>
  </si>
  <si>
    <t>网宿-PCDN</t>
  </si>
  <si>
    <t>182315IDC00206</t>
  </si>
  <si>
    <t>网盘PCDN网宿_移动</t>
  </si>
  <si>
    <t>不计提。1M，1000进制，系数1</t>
  </si>
  <si>
    <t>bdpcdn_wangpan_wangsu_cm</t>
  </si>
  <si>
    <t>网盘PCDN网宿_其他</t>
  </si>
  <si>
    <t>1M，1000进制，系数1</t>
  </si>
  <si>
    <t>bdpcdn_wangpan_wangsu_other</t>
  </si>
  <si>
    <t>网盘PCDN网宿_电联</t>
  </si>
  <si>
    <t>2023.1调整单价。202205开始电信&amp;联通合并给数。1M，1000进制，系数1</t>
  </si>
  <si>
    <t>bdpcdn_wangpan_wangsu_cu_ct</t>
  </si>
  <si>
    <t>网盘PCDN网宿存储费</t>
  </si>
  <si>
    <t>网盘PCDN网宿节点，带宽存储费</t>
  </si>
  <si>
    <t>182215IDC00132</t>
  </si>
  <si>
    <t>网盘PCDN网宿节点，带宽存储费，暂按运营商数据计提</t>
  </si>
  <si>
    <t>上海沐桦科技有限公司</t>
  </si>
  <si>
    <t>上海沐桦</t>
  </si>
  <si>
    <t>L20230408003</t>
  </si>
  <si>
    <t>汇聚资源</t>
  </si>
  <si>
    <t>302PCDN_博纳云_汇聚_移动</t>
  </si>
  <si>
    <t>20230331下线。日95月均计费，包头系数1，1000进制</t>
  </si>
  <si>
    <t>bd302pcdn_bonayun_not_special_cmnet</t>
  </si>
  <si>
    <t>302PCDN_博纳云_汇聚_非移动</t>
  </si>
  <si>
    <t>bd302pcdn_bonayun_not_special_not_cmnet</t>
  </si>
  <si>
    <t>上海涂鸟信息技术有限公司</t>
  </si>
  <si>
    <t>上海涂鸟-PCDN</t>
  </si>
  <si>
    <t>182315IDC00211</t>
  </si>
  <si>
    <t>网盘PCDN涂鸟_移动</t>
  </si>
  <si>
    <t>注意202305价格变动。2023.4调整单价。包头系数1，1000进制，2022年4月日95月均计费，2022年5月起月95计费，合作期截止2023年3月底</t>
  </si>
  <si>
    <t>bdpcdn_wangpan_tuniao_cm</t>
  </si>
  <si>
    <t>网盘PCDN涂鸟_电联</t>
  </si>
  <si>
    <t>注意202305价格变动。2023.4调整单价。202205开始电信&amp;联通合并给数据。包头系数1，1000进制，2022年4月日95月均计费，2022年5月起月95计费，合作期截止2023年3月底</t>
  </si>
  <si>
    <t>bdpcdn_wangpan_tuniao_cu_ct</t>
  </si>
  <si>
    <t>182315IDC00451</t>
  </si>
  <si>
    <t>网盘PCDN涂鸟_ANT_移动</t>
  </si>
  <si>
    <t>20230701开始计费，移动。PCDN-网盘-ACDN专线资源-涂鸟，计费方式：日95月均。包头系数：1，进制：1000</t>
  </si>
  <si>
    <t>bdpcdn_wangpan_tuniao_ant_cm</t>
  </si>
  <si>
    <t>网盘PCDN涂鸟_ANT_电联</t>
  </si>
  <si>
    <t>20230701开始计费，电联。PCDN-网盘-ACDN专线资源-涂鸟，计费方式：日95月均。包头系数：1，进制：1000</t>
  </si>
  <si>
    <t>bdpcdn_wangpan_tuniao_ant_cu_ct</t>
  </si>
  <si>
    <t>上海七牛信息技术有限公司</t>
  </si>
  <si>
    <t>七牛云</t>
  </si>
  <si>
    <t>182315IDC00088</t>
  </si>
  <si>
    <t>302PCDN_七牛云_汇聚_移动</t>
  </si>
  <si>
    <t>bd302pcdn_qnyun_not_special_cmnet</t>
  </si>
  <si>
    <t>L20230825001</t>
  </si>
  <si>
    <t>302PCDN_七牛云_汇聚_非移动</t>
  </si>
  <si>
    <t>20230901价格变动。包头系数1，进制1000，日95月均计费</t>
  </si>
  <si>
    <t>bd302pcdn_qnyun_not_special_not_cmnet</t>
  </si>
  <si>
    <t>182315IDC00271</t>
  </si>
  <si>
    <t>网盘 边缘节点（大节点资源）</t>
  </si>
  <si>
    <t>网盘PCDN七牛_移动</t>
  </si>
  <si>
    <t>包头系数1，0保底，日95月平均计费，1000进制</t>
  </si>
  <si>
    <t>bdpcdn_wangpan_qiniu_cm</t>
  </si>
  <si>
    <t>网盘PCDN七牛_电联</t>
  </si>
  <si>
    <t>bdpcdn_wangpan_qiniu_cu_ct</t>
  </si>
  <si>
    <t>182315IDC00449</t>
  </si>
  <si>
    <t>ACDN（专线）移动</t>
  </si>
  <si>
    <t>302PCDN_七牛云_专线_移动</t>
  </si>
  <si>
    <t>20230601开始计费，新增ACDN（专线）七牛资源电联：日95月均，包头系数1，进制1000</t>
  </si>
  <si>
    <t>bd302pcdn_qnyun_special_cmnet</t>
  </si>
  <si>
    <t>ACDN（专线）电联</t>
  </si>
  <si>
    <t>302PCDN_七牛云_专线_非移动</t>
  </si>
  <si>
    <t>20230601开始计费，新增ACDN（专线）七牛资源移动，日95月均，包头系数1，进制1000</t>
  </si>
  <si>
    <t>bd302pcdn_qnyun_special_not_cmnet</t>
  </si>
  <si>
    <t>补202309，已计提177.185，SYS更新数据231.07655，结算231.07，补53.885</t>
  </si>
  <si>
    <t>江西节点技术服务有限公司</t>
  </si>
  <si>
    <t>网心科技-PCDN</t>
  </si>
  <si>
    <t>182315IDC00207</t>
  </si>
  <si>
    <t>网心融合CDN</t>
  </si>
  <si>
    <t>网心_PCDN_OPPO</t>
  </si>
  <si>
    <t>融合CDN-OPPO业务
3300元/G/月，夜间（00:00 - 09:00）计费带宽减半.日95月均计费、包头1、进制1000。</t>
  </si>
  <si>
    <t>wangxin_pcdn_oppo</t>
  </si>
  <si>
    <t>网心_PCDN_非OPPO</t>
  </si>
  <si>
    <t>2023.3调整单价。融合CDN（支持HTTP协议）。颗粒度1M，1000进制，系数1，日95月均计费，夜间（00:00 - 09:00）计费带宽减半</t>
  </si>
  <si>
    <t>wangxin_pcdn_not_oppo</t>
  </si>
  <si>
    <t>深圳市网心科技有限公司</t>
  </si>
  <si>
    <t>182315IDC00170</t>
  </si>
  <si>
    <t>视频盒子非移动（盒子 非盒子价格一样）</t>
  </si>
  <si>
    <t>PCDN网心普通节点_非移动</t>
  </si>
  <si>
    <t>2023.2调整单价。1M，1000进制，系数1</t>
  </si>
  <si>
    <t>bdpcdn_normalperf_wangxin_not_cmnet</t>
  </si>
  <si>
    <t>视频盒子移动（盒子 非盒子价格一样）</t>
  </si>
  <si>
    <t>PCDN网心普通节点_移动</t>
  </si>
  <si>
    <t>bdpcdn_normalperf_wangxin_cmnet</t>
  </si>
  <si>
    <t>网盘移动（盒子 非盒子价格一样）</t>
  </si>
  <si>
    <t>网盘PCDN网心_移动</t>
  </si>
  <si>
    <t>2023.1调整单价。1M，1000进制，系数1</t>
  </si>
  <si>
    <t>bdpcdn_wangpan_wangxin_cm</t>
  </si>
  <si>
    <t>网盘PCDN网心_其他</t>
  </si>
  <si>
    <t>技术反馈与网心移动合并了。2022.3与商务沟通，其他按照移动核算，调整单价。2022.1调整单价。1M，1000进制，系数1</t>
  </si>
  <si>
    <t>bdpcdn_wangpan_wangxin_other</t>
  </si>
  <si>
    <t>网盘非移动（盒子 非盒子价格一样）</t>
  </si>
  <si>
    <t>网盘PCDN网心_电联</t>
  </si>
  <si>
    <t>bdpcdn_wangpan_wangxin_cu_ct</t>
  </si>
  <si>
    <t>上海小度人工智能有限公司</t>
  </si>
  <si>
    <t>上海小度-PCDN</t>
  </si>
  <si>
    <t>182315IDC00363</t>
  </si>
  <si>
    <t>小度盒子资源-移动</t>
  </si>
  <si>
    <t>PCDN小度_移动</t>
  </si>
  <si>
    <t>小度，盒子资源，月95计费，包头系数1，1000进制，计费起始日期为2022年6月1日。</t>
  </si>
  <si>
    <t>bdpcdn_xiaodu_cmnet</t>
  </si>
  <si>
    <t>小度盒子资源-非移动</t>
  </si>
  <si>
    <t>PCDN小度_非移动</t>
  </si>
  <si>
    <t>bdpcdn_xiaodu_not_cmnet</t>
  </si>
  <si>
    <t>182315IDC00304</t>
  </si>
  <si>
    <t>安全SDK_小度</t>
  </si>
  <si>
    <t>安全sdk业务-小度，按流量计费（每月出账），50元/T，包头系数1.0，进制1000，计费起始日期为2022年7月1日。</t>
  </si>
  <si>
    <t>security_sdk_xiaodu</t>
  </si>
  <si>
    <t>PCDN小度_广告_非移动</t>
  </si>
  <si>
    <t>2022.10新增。1M</t>
  </si>
  <si>
    <t>bdpcdn_ad_xiaodu_not_cmnet</t>
  </si>
  <si>
    <t>PCDN小度_广告_移动</t>
  </si>
  <si>
    <t>bdpcdn_ad_xiaodu_cmnet</t>
  </si>
  <si>
    <t>PCDN小度_网易</t>
  </si>
  <si>
    <t>bdpcdn_xiaodu_wangyi</t>
  </si>
  <si>
    <t>182315IDC00419</t>
  </si>
  <si>
    <t>PCDN小度_喜马拉雅</t>
  </si>
  <si>
    <t>20230601开始计费，月95，进制1000，包头1.1</t>
  </si>
  <si>
    <t>bdpcdn_xiaodu_ximalaya</t>
  </si>
  <si>
    <t>182315IDC00452</t>
  </si>
  <si>
    <t>PCDN小度_全民K歌</t>
  </si>
  <si>
    <t>0-300G</t>
  </si>
  <si>
    <t>20230601开始计费，价格：0-300g，2520元/g/月
超过300g，2340元/g/月 。1.价格：0-300g，2520元/g/月
超过300g，2340元/g/月 
2.计费方式：月95；
3.包头系数：1.1；
4.进制：1000；</t>
  </si>
  <si>
    <t>bdpcdn_xiaodu_qmkg</t>
  </si>
  <si>
    <t>300以上</t>
  </si>
  <si>
    <t>L20230915001</t>
  </si>
  <si>
    <t>虎牙直播</t>
  </si>
  <si>
    <t>PCDN小度_虎牙</t>
  </si>
  <si>
    <t>月95峰值,包头1.08，进制1000</t>
  </si>
  <si>
    <t>bdpcdn_xiaodu_huya</t>
  </si>
  <si>
    <t>四川边缘算力科技有限公司</t>
  </si>
  <si>
    <t>四川边缘算力-PCDN</t>
  </si>
  <si>
    <t>L20230204010</t>
  </si>
  <si>
    <t>PCDN网盘非盒子</t>
  </si>
  <si>
    <t>网盘PCDN 边缘算力</t>
  </si>
  <si>
    <t>0-500G（不含500G）3000
500G及以上 2900</t>
  </si>
  <si>
    <t>技术反馈2023年Q1已下线。2022年3月按照日95月均计费，2022年4月起按照月95计费。颗粒度1M，包头系数1，1000进制</t>
  </si>
  <si>
    <t>bdpcdn_wangpan_bianyuan</t>
  </si>
  <si>
    <t>西安明赋云计算有限公司</t>
  </si>
  <si>
    <t>明赋云</t>
  </si>
  <si>
    <t>182315IDC00407</t>
  </si>
  <si>
    <t>302PCDN_明赋云_汇聚_移动</t>
  </si>
  <si>
    <t>20230801价格变动，包头1。2023.2调整单价和计费方式，调整后为月95计费。明赋云，汇聚资源，日95月均计费，包头系数1，1000进制，计费起始日期为2022年8月1日。</t>
  </si>
  <si>
    <t>bd302pcdn_mingfuyun_not_special_cmnet</t>
  </si>
  <si>
    <t>302PCDN_明赋云_汇聚_非移动</t>
  </si>
  <si>
    <t>20230801价格变动，包头1。2023.3调整单价和计费方式，调整后为月95计费。明赋云，汇聚资源，日95月均计费，包头系数1，1000进制，计费起始日期为2022年8月1日。</t>
  </si>
  <si>
    <t>bd302pcdn_mingfuyun_not_special_not_cmnet</t>
  </si>
  <si>
    <t>L20230101007</t>
  </si>
  <si>
    <t>302PCDN_明赋云_专线_移动</t>
  </si>
  <si>
    <t>商务反馈无此节点。包头系数1，进制1000，日95月均计费</t>
  </si>
  <si>
    <t>bd302pcdn_mingfuyun_special_cmnet</t>
  </si>
  <si>
    <t>182315IDC00204</t>
  </si>
  <si>
    <t>网盘汇聚电联</t>
  </si>
  <si>
    <t>网盘PCDN明赋_电联</t>
  </si>
  <si>
    <t>2023.3调整单价。包头系数1，进制1000</t>
  </si>
  <si>
    <t>bdpcdn_wangpan_mingfu_cu_ct</t>
  </si>
  <si>
    <t>网盘汇聚移动</t>
  </si>
  <si>
    <t>网盘PCDN明赋_移动</t>
  </si>
  <si>
    <t>不计提。2023.3调整单价。包头系数1，进制1000</t>
  </si>
  <si>
    <t>bdpcdn_wangpan_mingfu_cm</t>
  </si>
  <si>
    <t>补202309，已计提231.579，SYS更新数据243.619，对账243.61，补12.031</t>
  </si>
  <si>
    <t>浙江本电-PCDN</t>
  </si>
  <si>
    <t>182315IDC00090</t>
  </si>
  <si>
    <t>PCDN汇聚（非盒子类资源）-移动</t>
  </si>
  <si>
    <t>网盘PCDN本电_移动</t>
  </si>
  <si>
    <t>颗粒度1M。1000进制。月95计费模式，无系数</t>
  </si>
  <si>
    <t>bdpcdn_wangpan_bendian_cm</t>
  </si>
  <si>
    <t>网盘PCDN本电_其他</t>
  </si>
  <si>
    <t>技术反馈与本电移动合并了。2022.3与商务沟通，“其他”按照移动核算，调整价格。颗粒度1M。1000进制。月95计费模式，无系数</t>
  </si>
  <si>
    <t>bdpcdn_wangpan_bendian_other</t>
  </si>
  <si>
    <t>PCDN汇聚（非盒子类资源）-非移动</t>
  </si>
  <si>
    <t>网盘PCDN本电_电联</t>
  </si>
  <si>
    <t>202205开始电信&amp;联通合并给数据。颗粒度1M。1000进制。月95计费模式，无系数</t>
  </si>
  <si>
    <t>bdpcdn_wangpan_bendian_cu_ct</t>
  </si>
  <si>
    <t>L20230107003</t>
  </si>
  <si>
    <t>汇聚资源移动</t>
  </si>
  <si>
    <t>302PCDN_本电_汇聚_移动</t>
  </si>
  <si>
    <t>20220831下线。本电，汇聚资源，日95月均计费，包头系数1，1000进制</t>
  </si>
  <si>
    <t>bd302pcdn_bendian_not_special_cmnet</t>
  </si>
  <si>
    <t>汇聚资源电联</t>
  </si>
  <si>
    <t>302PCDN_本电_汇聚_非移动</t>
  </si>
  <si>
    <t>bd302pcdn_bendian_not_special_not_cmnet</t>
  </si>
  <si>
    <t>182315IDC00450</t>
  </si>
  <si>
    <t>PCDN-网盘-移动</t>
  </si>
  <si>
    <t>网盘PCDN本电_ANT_移动</t>
  </si>
  <si>
    <t>20230801开始计费，2计费方式：月95；包头系数：1；进制：1000；</t>
  </si>
  <si>
    <t>bdpcdn_wangpan_bendian_ant_cm</t>
  </si>
  <si>
    <t>PCDN-网盘-电联</t>
  </si>
  <si>
    <t>网盘PCDN本电_ANT_电联</t>
  </si>
  <si>
    <t>bdpcdn_wangpan_bendian_ant_cu_ct</t>
  </si>
  <si>
    <t>小快（厦门）网络科技有限公司</t>
  </si>
  <si>
    <t>厦门小快-PCDN</t>
  </si>
  <si>
    <t>182315IDC00089</t>
  </si>
  <si>
    <t>feed-移动 非盒子</t>
  </si>
  <si>
    <t>PCDN厦门小块_移动</t>
  </si>
  <si>
    <t>2023.2调整单价。1M，日95月均，包头系数1，进制1000</t>
  </si>
  <si>
    <t>bdpcdn_xiaokuai_cmnet</t>
  </si>
  <si>
    <t>feed-非移动 非盒子</t>
  </si>
  <si>
    <t>PCDN厦门小块_非移动</t>
  </si>
  <si>
    <t>bdpcdn_xiaokuai_not_cmnet</t>
  </si>
  <si>
    <t>L20230801016</t>
  </si>
  <si>
    <t>白山-xcdn汇聚</t>
  </si>
  <si>
    <t>302PCDN_白山_汇聚_非移动</t>
  </si>
  <si>
    <t>20230801开始计费，计费模式：日95月均，包头：0
，进制：1000</t>
  </si>
  <si>
    <t>bd302pcdn_baishan_not_special_not_cmnet</t>
  </si>
  <si>
    <t>302PCDN_白山_汇聚_移动</t>
  </si>
  <si>
    <t>bd302pcdn_baishan_not_special_cmnet</t>
  </si>
  <si>
    <t>L20230821003</t>
  </si>
  <si>
    <t>途说_快手_非电信</t>
  </si>
  <si>
    <t>tushuo_kuaishou</t>
  </si>
  <si>
    <t>202310按照均值计提。需要注意资源变动。20220601开始计费100G，20220801扩容100G，颗粒度100，保底40G</t>
  </si>
  <si>
    <t>202310按照均值计提。202304开始价格变动。202209价格变动（1）颗粒度100M，保底32G；20230501开始保底36G （2）甲乙双方实际流量以100M为结算单位，不足50M按照0M收取，大于等于50M按100M收取。</t>
  </si>
  <si>
    <t>202310按照均值计提。20220201开始计费，颗粒度100M，保底24G</t>
  </si>
  <si>
    <t>202310按照均值计提。20220331退租80G。颗粒度100M，保底24G。与广州联通3合并，新增160G带宽，自2019年1月27日开始计费</t>
    <phoneticPr fontId="3" type="noConversion"/>
  </si>
  <si>
    <t>202310按照均值计提。20211108开始计费，颗粒度100M，保底30G</t>
    <phoneticPr fontId="3" type="noConversion"/>
  </si>
  <si>
    <t>202310按照均值计提。20220501开始计费，颗粒度100M，保底80G</t>
    <phoneticPr fontId="3" type="noConversion"/>
  </si>
  <si>
    <t>按中值计提。2023.9.1襄阳4电信节点新增CDN 160G，保底32G，颗粒度100M
差异：3%以内认百度，超出协商</t>
    <phoneticPr fontId="3" type="noConversion"/>
  </si>
  <si>
    <t>按中值计提。于2021.1.29扩容120G；颗粒度1G,北京电信+M1-电信新40G 合并端口计费，保底100G；</t>
    <phoneticPr fontId="3" type="noConversion"/>
  </si>
  <si>
    <t>按中值计提。2022.5.1开通600G带宽，颗粒度100M，保底120G，补充协议（
182215IDC00260）</t>
    <phoneticPr fontId="3" type="noConversion"/>
  </si>
  <si>
    <t>按中值计提。2020年10月27日开始计费，100M颗粒度，保底20G；0-3取中值，超出协商</t>
    <phoneticPr fontId="3" type="noConversion"/>
  </si>
  <si>
    <t>按中值计提。108G保底（按360G带宽计算保底），100M颗粒度保定定兴电信，2021.1.1开始计费，使用200G带宽，IPv4地址每万兆免费提供32个，超出部分30个/月；IPv6地址免费提供；此节点为保定三级电信使用。2021.7.22扩容200G，于2021.9.1开始计费。；新合同2021.8.1单价降为9500元/G/月（CDN出口，给IDC使用）；实际使用400G，免费40G，运营商侧记录360G，保底按360G计算。0-3取中值，超出协商</t>
    <phoneticPr fontId="3" type="noConversion"/>
  </si>
  <si>
    <t>按中值计提。120G保底，100M颗粒度。BDDX机房电信出口开通400G，于2021-9-30交付，于2021-11-1开始计费。0-3取中值，超出协商</t>
    <phoneticPr fontId="3" type="noConversion"/>
  </si>
  <si>
    <t>中值计提。2021/6/1扩容20G。30%保底，扩容后保底84G。100M</t>
  </si>
  <si>
    <t>中值计提。22021/6/1扩容60G。30%保底，扩容后保底78G。100M颗粒度</t>
  </si>
  <si>
    <t>运营商计提。2023/5/31退租100G。100M。
20221015扩容100G，扩容后保底100G，100M。
边缘计算20220615扩容100G，累计带宽400G，保底20%，80G，100M</t>
    <phoneticPr fontId="3" type="noConversion"/>
  </si>
  <si>
    <t>合同号</t>
  </si>
  <si>
    <t>合同状态</t>
  </si>
  <si>
    <t>合同性质</t>
  </si>
  <si>
    <t>合同申请时间</t>
  </si>
  <si>
    <t>签约部门</t>
  </si>
  <si>
    <t>申请人</t>
  </si>
  <si>
    <t>申请部门</t>
  </si>
  <si>
    <t>执行人</t>
  </si>
  <si>
    <t>执行部门</t>
  </si>
  <si>
    <t>替代提交</t>
  </si>
  <si>
    <t>百度签约公司</t>
  </si>
  <si>
    <t>合同类别</t>
  </si>
  <si>
    <t>客户名称</t>
  </si>
  <si>
    <t>申请理由</t>
  </si>
  <si>
    <t>合同开始时间</t>
  </si>
  <si>
    <t>项目号</t>
  </si>
  <si>
    <t>费用类型</t>
  </si>
  <si>
    <t>收款总金额</t>
  </si>
  <si>
    <t>收款币种</t>
  </si>
  <si>
    <t>付款总金额</t>
  </si>
  <si>
    <t>付款币种</t>
  </si>
  <si>
    <t>变更合同</t>
  </si>
  <si>
    <t>变更类型</t>
  </si>
  <si>
    <t>关联合同号</t>
  </si>
  <si>
    <t>合同属性</t>
  </si>
  <si>
    <t>范本名称</t>
  </si>
  <si>
    <t>关联性质</t>
  </si>
  <si>
    <t>关联交易</t>
  </si>
  <si>
    <t>支付境外客户(含港澳台)</t>
  </si>
  <si>
    <t>财务BG</t>
  </si>
  <si>
    <t>履约方式</t>
  </si>
  <si>
    <t>产品线</t>
  </si>
  <si>
    <t>生效</t>
  </si>
  <si>
    <t>非范本合同</t>
  </si>
  <si>
    <t>2023-10-20</t>
  </si>
  <si>
    <t>供应链与采购管理部</t>
  </si>
  <si>
    <t>李佳</t>
  </si>
  <si>
    <t>中后台组</t>
  </si>
  <si>
    <t>基础资源商务组</t>
  </si>
  <si>
    <t>甲方:北京百度网讯科技有限公司;</t>
  </si>
  <si>
    <t>IDC/ITE合同</t>
  </si>
  <si>
    <t>乙方:中国移动通信集团河南有限公司郑州分公司_IDC(待审核);</t>
  </si>
  <si>
    <t>1、月度需求在2023年8月。
2、合同概要：河南郑州移动合同续签
     带宽660G，保底40%，95计费，6740元/G/月；协议期内免费提供30G带宽。
     机柜19个，5200元/柜/月；23.8.31退租4个机柜，退租后剩余15个机柜；
     IP收费0个，50元/个/月；
3、预估金额=（带宽660G*保底率40%*单价6740+机架19个*单价5200）*2个月+（带宽660G*保底率40%*单价6740+机架15个*单价5200）*10个月= 22,329,920.00元</t>
  </si>
  <si>
    <t>2023-07-01</t>
  </si>
  <si>
    <t>2024-06-30</t>
  </si>
  <si>
    <t>付款</t>
  </si>
  <si>
    <t>22329920</t>
  </si>
  <si>
    <t>人民币</t>
  </si>
  <si>
    <t>182315IDC00362 182315IDC00189</t>
  </si>
  <si>
    <t>IDC战略合作部-国内-CDN</t>
  </si>
  <si>
    <t>框架下订单</t>
  </si>
  <si>
    <t>ACG</t>
  </si>
  <si>
    <t>2023-10-18</t>
  </si>
  <si>
    <t>乙方:中国移动通信集团浙江有限公司台州分公司_IDC(待审核);</t>
  </si>
  <si>
    <t>1、台州移动CDN续约。
2、资源情况及商务条件，CDN 120G带宽，保底40%，单价6740元；3个机柜，单价4300元；160个IP均免费。
3、月度需求在2023.8月
4、预估金额=（带宽120G*0.4*6740元+机柜3个*4300元）*12月</t>
  </si>
  <si>
    <t>4037040</t>
  </si>
  <si>
    <t>182315IDC00362</t>
  </si>
  <si>
    <t>2023-10-17</t>
  </si>
  <si>
    <t>乙方:四川晖云网络科技有限公司_IDC(待审核);</t>
  </si>
  <si>
    <t>1、与晖云网络新签商业CDN合同，承载电信点播业务，采购价格是5500元/G/月，1000进制，月95计费，包头系数1.0。
2、月度需求在2023.8月。
3、预估金额=4个月*5500元*2000G</t>
  </si>
  <si>
    <t>2023-09-01</t>
  </si>
  <si>
    <t>2023-12-31</t>
  </si>
  <si>
    <t>44000000</t>
  </si>
  <si>
    <t>无</t>
  </si>
  <si>
    <t>2023-10-16</t>
  </si>
  <si>
    <t>王孟</t>
  </si>
  <si>
    <t>乙方:中国联合网络通信有限公司荆门市分公司_IDC(待审核);</t>
  </si>
  <si>
    <t>1、月度需求审批信息在2023年6月，云盘链接见附件。
2、荆门联通BEC新增节点：带宽200G，单价9000元/G/月，机柜7个，免费（免费说明邮件见附件），IPv4免费512个，2段/64 ipv6免费。
3、预估金额=9000*200*30%=540,000元。</t>
  </si>
  <si>
    <t>540000</t>
  </si>
  <si>
    <t>2023-10-15</t>
  </si>
  <si>
    <t>林加</t>
  </si>
  <si>
    <t>乙方:北京云端智度科技有限公司_IDC(待审核);</t>
  </si>
  <si>
    <t xml:space="preserve">【具体情况如下】
月度需求：2023年 8 月
1.带宽： 按照需求，PCDN-云端-视频-盒子资源-降价续约，10月1日起，移动1900元/G/月与原价降幅 5 %、电联2300元/G/月与原价降幅 8 %，月95；可有效提升XCDN汇聚资源供应能力，已与SYS对齐。
2.预估金额： （10*1900+100*2300）*12=2988000元
</t>
  </si>
  <si>
    <t>2023-10-01</t>
  </si>
  <si>
    <t>2024-09-30</t>
  </si>
  <si>
    <t>2988000</t>
  </si>
  <si>
    <t>182315IDC00536</t>
  </si>
  <si>
    <t>乙方:北京博睿宏远数据科技股份有限公司_IDC(待审核);</t>
  </si>
  <si>
    <t>【具体情况如下】
月度需求： 2023年9月
1.根据业务需求，开展虚机项目与博睿的续约工作，总计57台设备（17台云主机+40台物理机），采购均价约为14831元/台/年，以实际使用为准计费。
2.预估金额：845336 元</t>
  </si>
  <si>
    <t>845336</t>
  </si>
  <si>
    <t>,PeriodChange,</t>
  </si>
  <si>
    <t>182215IDC00624</t>
  </si>
  <si>
    <t>182315IDC00537</t>
  </si>
  <si>
    <t>乙方:北京基调网络股份有限公司_IDC(待审核);</t>
  </si>
  <si>
    <t xml:space="preserve">【具体情况如下】
月度需求： 2023年9月
1.根据业务需求，开展虚机项目与北京基调的续约工作，总计30台设备（均为物理机），采购均价为14337.3元/台/年，单台设备及整体降本收益均为5％。以实际使用为准计费。
2.预估金额：430118 元
</t>
  </si>
  <si>
    <t>430118</t>
  </si>
  <si>
    <t>,PeriodChange,GoodsUpdate,</t>
  </si>
  <si>
    <t>182215IDC00623</t>
  </si>
  <si>
    <t>182315IDC00534</t>
  </si>
  <si>
    <t>作废</t>
  </si>
  <si>
    <t>乙方:青岛燚汇信达通讯科技有限公司_IDC(待审核);</t>
  </si>
  <si>
    <t xml:space="preserve">【具体情况如下】
1.月度需求在2023年2月
2.带宽： 5416元/G/月，200G，30%保底，95计费；
3.机柜： 使用 0 个，4200元/柜/月 20–A；以实际开通为准
4.IP：IPv4：使用544个，30元/个/月；IPv6：按需赠送；以实际开通为准
5.预估金额：5416*200*0.3*9=2924640元
</t>
  </si>
  <si>
    <t>2024-03-31</t>
  </si>
  <si>
    <t>2924640</t>
  </si>
  <si>
    <t>182215IDC00262</t>
  </si>
  <si>
    <t>乙方:中国联合网络通信有限公司合肥市分公司_IDC(待审核);</t>
  </si>
  <si>
    <t>1、月度需求2023年3月份 
2、BEC项目安徽联通扩容200G，整体毛利率（包含机柜、带宽、IP地址）6%
    现商务条件：带宽20个万兆、9000元/G/月 、1个机柜 3200元/个/月、IP地址528个、赠送438个、超出35元/个/月
3、预估金额=带宽+机柜+IP=带宽单价9000元/G/月 x 带宽保底率0.3*（1G*1个月+50G*1个月+200*6个月）+机柜单价3200*1个*8个月+IP单价35*8个*1个月+IP单价35*90个*7个月=3,425,630.00元</t>
  </si>
  <si>
    <t>2023-04-01</t>
  </si>
  <si>
    <t>2023-11-30</t>
  </si>
  <si>
    <t>3425630</t>
  </si>
  <si>
    <t>,OtherProvisionChange,</t>
  </si>
  <si>
    <t>乙方:北京和顺泰科技有限公司_IDC(待审核);</t>
  </si>
  <si>
    <t xml:space="preserve">【具体情况如下】
月度需求： 2023年9月
1.带宽：按照需求，代理-天津电信-100G-直签转代理-原价续约，6000元/G/月，30%保底，较集约价 9500 元/G/月 降幅 36.84 %，已补充运营商背书邮件
2.机柜： 使用3 个，4000元/柜/月 -13A；以实际开通为准
3.IP：IPv4：赠送288个，超出部分50元/个/月；IPv6：按需赠送；以实际开通为准
4.预估金额：（ 6000*100*0.3+3*4000）*12=2304000元
</t>
  </si>
  <si>
    <t>2304000</t>
  </si>
  <si>
    <t>182215IDC00232</t>
  </si>
  <si>
    <t>乙方:江苏云工场信息技术有限公司_IDC(待审核);</t>
  </si>
  <si>
    <t xml:space="preserve">【具体情况如下】
月度需求： 2023年8月
1.带宽：按照需求，代理-山东潍坊联通-300g-提前降价续约，4650元/G/月，较原价降幅7.00 %，较集约价9000 元/G/月 降幅 48.33 %，其中100g于9月底退租，30%保底；
2.机柜： 使用 4 个，4000元/柜/月 -16A；以实际开通为准
3.IP：IPv4：赠送544个，超出部分50元/个/月；IPv6：按需赠送；以实际开通为准
4.预估金额：（4650*300*0.3+4*4000）*12-4650*100*10*0.3=3819000元
</t>
  </si>
  <si>
    <t>2023-08-01</t>
  </si>
  <si>
    <t>2024-07-31</t>
  </si>
  <si>
    <t>3819000</t>
  </si>
  <si>
    <t>182215IDC00237</t>
  </si>
  <si>
    <t>182315IDC00530</t>
  </si>
  <si>
    <t>范本合同</t>
  </si>
  <si>
    <t>2023-10-12</t>
  </si>
  <si>
    <t>王玉伟</t>
  </si>
  <si>
    <t>乙方:北京祥云智通科技有限公司_IDC(待审核);</t>
  </si>
  <si>
    <t>1） 为支持ACG云通信业务发展，增加号线储备，与供应商北京祥云智通科技有限公司续约，续约价格不变。
2）预估金额=项目预估金额120万元。</t>
  </si>
  <si>
    <t>1200000</t>
  </si>
  <si>
    <t>IDC战略合作部-国内-其他</t>
  </si>
  <si>
    <t>语音线路采购协议-百度供应商平台结算版</t>
  </si>
  <si>
    <t>乙方:中国移动通信集团河南有限公司漯河分公司_IDC(待审核);</t>
  </si>
  <si>
    <t>1、月度需求在2023年6月。
2、合同概要：河南漯河移动合同续签
     带宽200G，保底40%，95计费，6740元/G/月；
     机柜4个，5200元/柜/月；
     IP收费0个，50元/个/月；
3、预估金额=（带宽200G*保底率40%*单价6740+机柜4个*单价5200）*12个月=6,720,000.00元</t>
  </si>
  <si>
    <t>6720000</t>
  </si>
  <si>
    <t>乙方:中国移动通信集团山西有限公司_IDC(待审核);</t>
  </si>
  <si>
    <t>1、月度需求在2023年7月。
2、合同概要：山西移动BEC项目协议
     带宽200G，保底40%，95计费，6740元/G/月；
     机柜1个，5000元/柜/月；
     IP收费0个，50元/个/月；
3、预估金额=（带宽200G*保底率40%*单价6740+机柜1个*单价5000）*12个月=6,530,400.00元</t>
  </si>
  <si>
    <t>6530400</t>
  </si>
  <si>
    <t>乙方:中国移动通信集团河南有限公司安阳分公司_IDC(待审核);</t>
  </si>
  <si>
    <t>1、月度需求在2023年6月。
2、合同概要：河南安阳移动合同续签
     带宽200G，保底40%，95计费，6740元/G/月；
     机柜4个，5200元/柜/月；
     IP收费0个，50元/个/月；
3、预估金额=（带宽200G*保底率40%*单价6740+机柜4个*单价5200）*12个月=6,720,000.00元</t>
  </si>
  <si>
    <t>182315IDC00522</t>
  </si>
  <si>
    <t>2023-10-11</t>
  </si>
  <si>
    <t>乙方:新联协同通信技术（北京）有限公司_IDC(待审核);</t>
  </si>
  <si>
    <t>1） 为支持ACG语音类业务发展，增加号线储备，与供应商新联协同通信技术（北京）有限公司续约，续约价格不变。
2）预估金额=项目预估金额120万元。</t>
  </si>
  <si>
    <t>2023-10-10</t>
  </si>
  <si>
    <t>乙方:中国联合网络通信有限公司临汾市分公司_IDC(待审核);</t>
  </si>
  <si>
    <t>1、月度需求2023年4月份 
2、山西临汾联通BEC项目200G
现商务条件：带宽20个万兆、9000元/G/月 、1个机柜 3000元/个/月、IP地址512个、赠送512个、超出50元/个/月
3、预估金额=（带宽单价9000元/G/月 x 带宽200G x 保底率30%+机柜1个*单价3000）*12个月=6,516,000.00元</t>
  </si>
  <si>
    <t>2023-05-01</t>
  </si>
  <si>
    <t>2024-04-30</t>
  </si>
  <si>
    <t>6516000</t>
  </si>
  <si>
    <t>,GoodsAdd,</t>
  </si>
  <si>
    <t>乙方:中国移动通信集团甘肃有限公司_IDC(待审核);</t>
  </si>
  <si>
    <t>1、月度需求在2023年8月。
2、合同概要：甘肃兰州移动合同续签
     带宽60G，保底40%，95计费，6740元/G/月；7月31日退租30G，剩余30G；
     机柜3个，5500元/柜/月；7月31日退租2个，剩余1个，5500元/柜/月；
     IP收费0个，50元/个/月；
3、预估金额=（带宽60G*保底率40%*单价6740+机柜3个*单价5500）*1个月+（带宽30G*保底率40%*单价6740+机柜1个*单价5500）*11个月=1,128,440.00元</t>
  </si>
  <si>
    <t>1128440</t>
  </si>
  <si>
    <t>182315IDC00362 182315IDC00149</t>
  </si>
  <si>
    <t>2023-10-09</t>
  </si>
  <si>
    <t>乙方:中国移动通信集团西藏有限公司_IDC(待审核);</t>
  </si>
  <si>
    <t>1、月度需求在2023年8月。
2、合同概要：西藏移动续约
     带宽20G，保底40%，95计费，6740元/G/月；
    1个机柜，价格5000元/个/月，160个IPV4免费
3、预估金额=（带宽20G*保底率40%*单价6740+机柜1个*单价5000）*12个月=707,040.00元</t>
  </si>
  <si>
    <t>707040</t>
  </si>
  <si>
    <t>182315IDC00362 182315IDC00142</t>
  </si>
  <si>
    <t>乙方:中国移动通信集团青海有限公司_IDC(待审核);</t>
  </si>
  <si>
    <t>1、月度需求在2023年8月。
2、合同概要：青海移动合同续签
     带宽70G，保底40%，95计费，6740元/G/月；
     机柜3个，5500元/柜/月；
    160个IPV4免费，1段/56 IPV6免费；
3、预估金额=（带宽70G*保底率40%*单价6740+机柜3个*单价5500）*12个月=2,462,640.00元</t>
  </si>
  <si>
    <t>2462640</t>
  </si>
  <si>
    <t>182315IDC00026 182115IDC00178</t>
  </si>
  <si>
    <t>乙方:中国移动通信集团内蒙古有限公司包头分公司_IDC(待审核);</t>
  </si>
  <si>
    <t>1、月度需求在2023年8月。
2、合同概要：内蒙包头移动合同续签
     带宽120G，保底40%，95计费，6740元/G/月；
     机柜4个，5000元/柜/月；
     IP收费0个，50元/个/月；
3、预估金额=（带宽120G*保底率40%*单价6740+机柜4个*单价5000）*12个月=4,122,240.00元</t>
  </si>
  <si>
    <t>4122240</t>
  </si>
  <si>
    <t>182315IDC00362 182315IDC00169</t>
  </si>
  <si>
    <t>乙方:中国移动通信集团新疆有限公司_IDC(待审核);</t>
  </si>
  <si>
    <t>1、月度需求在2023年8月。
2、合同概要：新疆移动续约
     带宽80G，保底40%，95计费，6740元/G/月；
    2个机柜，价格5556元/个/月，160个IPV4免费
3、预估金额=（带宽80G*保底率40%*单价6740+机架2个*单价5556）*12个月=2,721,504.00元</t>
  </si>
  <si>
    <t>2721504</t>
  </si>
  <si>
    <t>182315IDC00362 182315IDC00168</t>
  </si>
  <si>
    <t>此供应商已签署框架协议182215IDC00232，在框架协议下签署四川成都电信资源，具体情况如下：
1.月度需求在2023年8月
2.带宽：5333.33元/G/月，95计费，30%保底，相比运营商直签原价7000元／G／月降幅23.8%，相比集约9500元／G／月降幅43.86%。按照95计费45%利用率，相比集约节约（9500-5333.33）*12*200*45%/10000=450万元/年。
3.机柜：4167元/柜/月 16A，在用5个，以实际开通为准
4.IP：IPV4乙方为甲方总计提供【160】个免费IP地址（其中在用【160】个），超出部分单独计费；IPV6赠送1段。
5.预估金额：5333.33*200*30%*12+5*4167*12+0*50*12= 4,090,017.60 元</t>
  </si>
  <si>
    <t>2024-08-31</t>
  </si>
  <si>
    <t>4090017.6</t>
  </si>
  <si>
    <t xml:space="preserve">此供应商已签署框架协议182215IDC00232，在框架协议下签署四川成都电信资源，具体情况如下：
1.月度需求在2023年8月
2.带宽：5333.33元/G/月，95计费，30%保底，相比运营商直签原价7000元／G／月降幅23.8%，相比集约9500元／G／月降幅43.86%。按照95计费45%利用率，相比集约节约（9500-5333.33）*12*200*45%/10000=450万元/年。
3.机柜：4167元/柜/月 16A，在用5个。以实际开通为准
4.IP： IPV4乙方为甲方总计提供【160】个免费IP地址（其中在用【160】个），超出部分单独计费；IPV6赠送1段。以实际开通为准
5.预估金额：5333.33*200*30%*12+5*4167*12+0*50*12= 4,090,017.60 元
</t>
  </si>
  <si>
    <t>终止</t>
  </si>
  <si>
    <t>乙方:广东华云世纪科技有限公司_IDC(待审核);</t>
  </si>
  <si>
    <t xml:space="preserve">供应商已签署框架协议（合同号182215IDC00450），在框架协议下增加资源订单，具体如下： 
代理-江西南昌移动140G -新签
1.月度需求在2023年4、7月
2.带宽：95计费，40%保底，23年5-6月5500 元/G/月，相比集约降幅18.39%，23年7月起4500 元/G/月，相比存量降幅18.18%，相比集约降幅33.23%，按照95计费45%利用率，相比集约节约（（0.674-0.55）*2+（0.674-0.45）*4）*140*0.45=72.07万元
3.机柜：机柜5000元/柜/月，16A，免费0个，在用4个，以实际开通为准
4.IP：IPV4 50元/个/月，免费160个，在用160个，IPV6 免费，以实际开通为准
5.预估金额：（5500*2+4500*4）*140*0.45+5000*4*6=1,947,000.00元
</t>
  </si>
  <si>
    <t>2023-10-31</t>
  </si>
  <si>
    <t>1947000</t>
  </si>
  <si>
    <t>182215IDC00450</t>
  </si>
  <si>
    <t>2023-10-08</t>
  </si>
  <si>
    <t>供应商已签署框架协议（合同号182215IDC00450），在框架协议下增加资源订单，具体如下： 
代理-江西南昌移动60G-存量降价
1.月度需求在2023年7月
2.带宽：4500 元/G/月，95计费，0保底，相比存量降幅18.18%，相比集约降幅33.23%，按照95计费45%利用率，相比集约节约（0.674-0.45）*4*60*0.45=24.19万元
3.机柜：5000元/柜/月，16A，免费0个，在用3个（签署在182315IDC00147合同里），以实际开通为准
4.IP：IPV4  50元/个/月，免费160个，在用128个，IPV6 免费，以实际开通为准
5.预估金额：4500*4*60*0.45+5000*4*3=546,000.00元</t>
  </si>
  <si>
    <t>546000</t>
  </si>
  <si>
    <t>182315IDC00510</t>
  </si>
  <si>
    <t>乙方:中国电信股份有限公司乌鲁木齐分公司_IDC(待审核);</t>
  </si>
  <si>
    <t>1、月度需求2023年8月份 
2、新疆电信：存量20G、95计费
20G续签，原合同182115IDC00503， 2022年8月31日到期。现电信集团集约化管理故存量业务须重新签署合同。    
原商务条件：60G带宽，22年4月裁撤40G，剩余20G带宽，9833元/G/月、保底40%、10A机柜5个，IP地址使用320个（免费），超出部分50元/个/月。22年4月裁撤40G，剩余20G。        
现商务条件：20G带宽，9600元/G/月、保底40%、10A机柜2个，IP地址免费160个（免费），超出部分50元/个/月。带宽价格降幅2.4% 
 3、预估金额=：带宽单价9600元/G/月 x 带宽保底8G x 12月份+机柜单价3500元/个/月*2个*12月份=1005600.00元</t>
  </si>
  <si>
    <t>2022-09-01</t>
  </si>
  <si>
    <t>2023-08-31</t>
  </si>
  <si>
    <t>1005600</t>
  </si>
  <si>
    <t>182115IDC00503</t>
  </si>
  <si>
    <t>2023-10-07</t>
  </si>
  <si>
    <t>乙方:湖南风云通达信息科技有限公司_IDC(待审核);</t>
  </si>
  <si>
    <t xml:space="preserve">此供应商已签署框架协议182215IDC00245，在框架协议下签署湖南长沙移动的资源订单，具体情况如下：
1.月度需求在2023年1月，2023年3月
2.带宽：4300元/G/月，95计费，40%保底，相比原价5000元/G/月降幅14%，相比集约6740元／G／月降幅36.2%。2023.7.1-2023.8.31计费480G；退租200G后2023.9.1起计费200G，按照95计费45%利用率，相比集约节约（6740-4300）*2*480*45%/10000+（6740-4300）*7*200*45%/10000=259.13万元/年。
3. 机柜：3750元/柜/月 13A，2023年7月1日至8月31日计费13个，2023年9月1日起8个机柜计费 。以实际开通为准
4.IP：IPV42023年7月1日-2023年8月31日乙方为甲方总计提供【608】个免费IP地址（其中在用【608】个），超出部分单独计费；2023年9月1日起，乙方为甲方总计提供480个IP地址，其中320个免费，超出部分单独计费；IPV6按需赠送。以实际开通为准
5.预估金额：4300*480*40%*2+4300*200*40%*7+13*3750*2+8*3750*7+160*50*7=4422700元。
</t>
  </si>
  <si>
    <t>4422700</t>
  </si>
  <si>
    <t>182215IDC00245</t>
  </si>
  <si>
    <t>182315IDC00503</t>
  </si>
  <si>
    <t>乙方:中国移动通信有限公司政企客户分公司_IDC(待审核);</t>
  </si>
  <si>
    <t>1、本合同为框架合同的补充协议，月度需求：单独走决策会项目审批，具体资源价格等以与各地市具体签订为准。
2、基于之前签署的移动集约协议，为满足合规要求，补充江苏静态带宽价格和非北上广的100M的BGP带宽单价。
4、预估金额=（15000*200*0.3+12000）*12=10944000元。（此为框架协议，按资源实际用量预估）</t>
  </si>
  <si>
    <t>免费</t>
  </si>
  <si>
    <t>乙方:中国电信股份有限公司昆明分公司_IDC(待审核);</t>
  </si>
  <si>
    <t>1、月度需求审批信息在2023年6月、7月，云盘链接见附件。
2、2022年商务条件—带宽400G，结算价7500元/月/G；
 2023年商务条件-带宽40G，按照集团集约价9500元/月/G签署，实际按确认流量的74.56%结算（流量打折后，不足保底按照保底结算）；机柜9个，2083.33元/月/个，IP地址每个10GE 接入端口免费提供32个IPv4，超出50元/IP/月，存量降幅5.56%，保底30%，IP地址使用672个，其中免费128个，收费544个，单价50元/个/月。
3、预估金额=（9500*40*0.3+9*2083.33+544*50）*12=1,919,399.64元。</t>
  </si>
  <si>
    <t>1919399.64</t>
  </si>
  <si>
    <t>乙方:新疆众合云尚网络股份有限公司_IDC(待审核);</t>
  </si>
  <si>
    <t xml:space="preserve">此供应商已签署框架协议182215IDC00447，在框架协议下签署新疆阿克苏移动的资源订单，具体情况如下：
1.月度需求在2023年7月
2.带宽：5500元/G/月，95计费，40%保底，相比原价5800元/G/月降幅5.17%，相比集约6740元／G／月降幅18.4%。按照95计费45%利用率，相比集约节约（6740-5500）*12*200*45%/10000=133.92万元/年
3.机柜单价4900元/柜/月，相比原价5000元/柜/月降幅2%，16A，在用6个。以实际开通为准
4.IPv4：每个万兆端口赠送【16】个免费IP地址，总计提供【320】个IP地址（其中在用【288】个），超出部分单独计费；IPV6：赠送一段
5.预估金额：5500*200*40%*12+6*4900*12+0*50*12=5632800元
</t>
  </si>
  <si>
    <t>5632800</t>
  </si>
  <si>
    <t>182215IDC00447</t>
  </si>
  <si>
    <t>乙方:中国移动通信集团宁夏有限公司_IDC(待审核);</t>
  </si>
  <si>
    <t>1、月度需求在2023年8月。
2、合同概要：宁夏移动合同续签
     带宽460G，保底40%，95计费，6740元/G/月；
     机柜10个，5000元/柜/月，机柜5个，5500元/柜/月；
     IP收费0个，50元/个/月；
3、预估金额=（带宽460G*保底率40%*单价6740+5000元/柜/月*10个+5500元/柜/月*5个）*12个月=15811920.00元</t>
  </si>
  <si>
    <t>15811920</t>
  </si>
  <si>
    <t>182315IDC00362 182315IDC00155</t>
  </si>
  <si>
    <t>2023-10-06</t>
  </si>
  <si>
    <t>乙方:中国电信股份有限公司云计算（陕西）基地_IDC(待审核);</t>
  </si>
  <si>
    <t>1、月度需求：2023年7月
2、旨在针对新协议期执行降价策略，故在集团协议基础上签署补充协议，集团协议编号：182315IDC00459。涉及业务陕西电信70个万兆+2个万兆 SSL续签，20个万兆新签
商务条件：存量700G 带宽，SSL 20G 23年8月1日降至7750元/G/月；新增200G，价格6500元/G/月；IP地址免费赠送4448个。
3、预估金额=带宽单价7750元/G/月 x 带宽保底216G x 12月份+带宽单价6500元/G/月 x 带宽保底60G x 12月份+机架单价4166.67元/个/月*8个*12月+机架单价5000元/个/月*12个*12月=25,888,000.32元</t>
  </si>
  <si>
    <t>25888000.32</t>
  </si>
  <si>
    <t>,GoodsUpdate,</t>
  </si>
  <si>
    <t>182215IDC00522 182315IDC00432 182315IDC00459</t>
  </si>
  <si>
    <t>182315IDC00497</t>
  </si>
  <si>
    <t>2023-09-28</t>
  </si>
  <si>
    <t>乙方:上海璟量网络科技有限公司_IDC(待审核);</t>
  </si>
  <si>
    <t>1.框架合同，无月度需求审批信息 
2.合同概要：本合同为框架合同，不涉及资源数量及价格，无需月度需求审批。具体资源数量及价格以各节点订单为准 
3.预估金额=0</t>
  </si>
  <si>
    <t>IDC-SA合同正本-2</t>
  </si>
  <si>
    <t>182315IDC00495</t>
  </si>
  <si>
    <t>乙方:上海赫民科技有限公司_IDC(待审核);</t>
  </si>
  <si>
    <t>182315IDC00496</t>
  </si>
  <si>
    <t>乙方:杭州云算力科技有限公司_IDC(待审核);</t>
  </si>
  <si>
    <t>乙方:浙江途说科技发展有限公司_IDC(待审核);</t>
  </si>
  <si>
    <t xml:space="preserve">此供应商已签署框架协议182315IDC00365，在框架协议下签署广西南宁移动的资源订单，具体情况如下：
1.月度需求在2023年6月
2.带宽：4800元/G/月，95计费，40%保底，相比集约价6740元/G/月降幅28.78%。按照95计费45%利用率，相比集约节约(6740-4800)*12*100*45%/10000=104.76万元/年
3.机柜：单价5000元/柜/月，16A，在用3个，以实际开通为准
4.IP：IPv4：每个万兆端口赠送【16】个免费IP地址，乙方为甲方总计提供【160】个IP地址（其中在用【160】个），超出部分单独计费；IPV6：赠送一段。以时间开通为准
5.预估金额：4800*100*40%*12+3*5000*12+0*50*12= 2,484,000.00 元
</t>
  </si>
  <si>
    <t>2023-06-01</t>
  </si>
  <si>
    <t>2024-05-31</t>
  </si>
  <si>
    <t>2484000</t>
  </si>
  <si>
    <t>182315IDC00365</t>
  </si>
  <si>
    <t>2023-09-26</t>
  </si>
  <si>
    <t>乙方:汇天网络科技有限公司_IDC(待审核);</t>
  </si>
  <si>
    <t>1、月度需求在2023.4。
2、百信私有云2023年项目，北京百信机房商务条件：50柜20A，机柜单价7422元/柜/月；与现有机房价格一致（业务确认负载率不低于80%，且基于未来电费上涨的大趋势，按照包电模式签约更优；该机房为客户指定机房，机房的场地服务、设备监控及辅助作业纳入银监会监管评估体系，接受银监会监管。该机房为北京区域银行客户聚集机房，需大于供，因此扩容机柜价格与存量保持一致并且价格高于该区域IDC行业价格。）
3、租期：1年，首期上架标准为26个，剩余机柜预留，自机房交付之日起，6个月为免费预占期，超过6个月之后，未起用的机柜收取空置费。
4、其他优惠政策：免除4，5号楼管孔占用费20000元/月，赠送4号楼，5号楼至10号楼的办公监控专线。
5、预估金额=（50个*7422元）*12月</t>
  </si>
  <si>
    <t>2023-05-20</t>
  </si>
  <si>
    <t>2024-05-19</t>
  </si>
  <si>
    <t>4453200</t>
  </si>
  <si>
    <t>IDC战略合作部-国内-IDC-机房</t>
  </si>
  <si>
    <t>182315IDC00493</t>
  </si>
  <si>
    <t>2023-09-25</t>
  </si>
  <si>
    <t>乙方:沈阳华拓智联科技有限公司_IDC(待审核);</t>
  </si>
  <si>
    <t>1、合同概要：为支持ACG语音类业务发展，增加语音线路资源储备，引入供应商沈阳华拓智联科技有限公司，在语音线路资源上具有价格优势。
2、预估金额=预估月度消费金额*12=1,200,000.00元</t>
  </si>
  <si>
    <t>2024-09-27</t>
  </si>
  <si>
    <t>2023-09-22</t>
  </si>
  <si>
    <t>乙方:中国移动通信集团广东有限公司广州分公司_IDC(待审核);</t>
  </si>
  <si>
    <t xml:space="preserve">1.月度需求在2023年6月，2023年7月，2023年8月，DMNN2023083001采购需求已批完，由于涉及年底付款先行提交合同，月度需求候补
2.合同概要：
1）带宽：
CDN+SSL资源370G+20G，其中10G8月31日裁撤。单价由原11000元/G/月降低到6740元/月/G/月，降福39%，保底40%。
IDC代静态100G，单价由原11000元/G/月降低到6740元/月/G/月，降福39%。保底40%。
BGP20G，原价续签15万元/G/月，20%保底。
2）机柜：南基机房属于移动自有机房，折算后单价4091元/个/月，旗锐机房属于合作共建机房，按照集团合同约定，5000元/个/月。以实际开通为准
3）IP：IPV4赠送2408个，其中有512个SSL IP于2023年8月31日退租，IPV6赠送7段，BGP广播IPV4地址赠送6.2B，BGP广播IPV6地址赠送2段/32位、1段/36位、1段/22位
3.预估金额：490*40%*6740*12+4091*12*12+5000*6*12+150000*4*12= 24,001,584.00 元
</t>
  </si>
  <si>
    <t>24001584</t>
  </si>
  <si>
    <t>乙方:中国电信股份有限公司马鞍山分公司_IDC(待审核);</t>
  </si>
  <si>
    <t>1、月度需求2022年11月份 
2、原安徽电信合同 182115IDC00468，2022年12月31日到期，现电信集团集约化管理故存量业务须重新签署合同。
原商务条件：20G带宽，带宽12万/G/年、1万/G/月、每万兆赠送1个机柜、超出5000元/个/月、每万兆赠送64个IP、超出50元/个/月。
现商务条件：20G带宽，带宽11.4万/G/年、9500元/G/月、每万兆赠送1个机柜、超出5000元/个/月、每万兆赠送64个IP、超出50元/个/月。价格降幅5.6%。
 3、预估金额=：（带宽单价9500元/G/月 x 带宽保底6G +机柜单价5000元/个/月 x 1个+IP单价50元/个/月 x 160个收费）x 12月份=840,000.00元</t>
  </si>
  <si>
    <t>2023-01-01</t>
  </si>
  <si>
    <t>840000</t>
  </si>
  <si>
    <t>182115IDC00468</t>
  </si>
  <si>
    <t>2023-09-21</t>
  </si>
  <si>
    <t>乙方:中国移动通信集团浙江有限公司温州分公司_IDC(待审核);</t>
  </si>
  <si>
    <t>1、月度需求在2023年8月。
2、温州2移动 CDN续签。带宽80G，保底40%，单价6740元；机柜2个，单价4300元；IPV4 160个，均免费
3、订单有效期：2023.7.1-2024.6.30
4、预估金额=（机柜2个*4300+带宽80G*保底0.4*6740）*12月</t>
  </si>
  <si>
    <t>2691360</t>
  </si>
  <si>
    <t>182315IDC00482</t>
  </si>
  <si>
    <t>乙方:中国移动通信集团福建有限公司泉州分公司_IDC(待审核);</t>
  </si>
  <si>
    <t>1、月度需求在2023年4月。
2、2023.6.1新建福建泉州移BEC：带宽：200G，40%保底，单价6740元/G/月；机柜：1个机柜，单价5000元；IPV4 800个，1段/56 IPv6，均免费
3、预估金额=(机柜1个*单价5000元+带宽200G*保底40%*单价6740)*1个月</t>
  </si>
  <si>
    <t>2023-06-30</t>
  </si>
  <si>
    <t>544200</t>
  </si>
  <si>
    <t>182315IDC00026</t>
  </si>
  <si>
    <t>乙方:中国移动通信集团浙江有限公司衢州分公司_IDC(待审核);</t>
  </si>
  <si>
    <t>1、月度需求在2023.3。
2、2023.4.1新建衢州移动BEC。带宽200G，单价6740元，保底40%；机柜1个，4300元；IPV4 700个，IPV6 2段/56，均免费。
3、因采购需求在上半年订单中使用3个月，故本订单有效期为：2023.7.1-2024.3.31
4、预估金额=（机柜1个*4300+带宽200G*保底40%*6740）*9个月</t>
  </si>
  <si>
    <t>4891500</t>
  </si>
  <si>
    <t>乙方:中国移动通信集团浙江有限公司金华分公司_IDC(待审核);</t>
  </si>
  <si>
    <t>1、月度需求在2023.8。
2、金华2移动CDN续签。带宽80G，保底40%，单价6740元；机柜3个，单价4300元；IPV4 160个，均免费
3、订单有效期：2023.7.1-2024.6.30
4、合同预估金额=（机柜3个*4300+带宽80G*0.4*6740）*12个月</t>
  </si>
  <si>
    <t>2742960</t>
  </si>
  <si>
    <t>1、月度需求在2023年5月。
2、2023.7.1泉州移动BEC节点扩容400G带宽，1280个IPV4，扩容后带宽600G，40%保底，单价6740元/G/月；机柜1个，单价5000元；IPV4 2080个，2段/56 IPv6均免费
3、合同有效期因需要和存量资源的采购需求到期日保持一致，故为2023.7.1-2024.5.31
4、合同预估金额=（机柜1个*5000元*带宽600G*保底40%*单价6740元）*11个月</t>
  </si>
  <si>
    <t>17848600</t>
  </si>
  <si>
    <t>182315IDC00487</t>
  </si>
  <si>
    <t>1、月度需求在2023.3。
2、2023.4.1新建衢州移动BEC。带宽200G，单价6740元，保底40%；机柜1个，4300元；IPV4 700个，IPV6 2段/56，均免费。
3、订单有效期：2023.4.1-2023.6.30
4、预估金额=（机柜1个*4300+带宽200G*保底40%*6740）*3个月</t>
  </si>
  <si>
    <t>1630500</t>
  </si>
  <si>
    <t>182315IDC00480</t>
  </si>
  <si>
    <t>2023-09-20</t>
  </si>
  <si>
    <t>乙方:上海领声电子商务有限公司_IDC(待审核);</t>
  </si>
  <si>
    <t>1、合同概要：为支持ACG语音类业务发展，增加语音线路资源储备，引入供应商上海领声电子商务有限公司，在语音线路资源上具有价格优势。
2、预估金额=预估月度消费金额*12=1,200,000.00元</t>
  </si>
  <si>
    <t>2024-09-24</t>
  </si>
  <si>
    <t>152315IDC00479</t>
  </si>
  <si>
    <t>甲方:百度在线网络技术（北京）有限公司;</t>
  </si>
  <si>
    <t>乙方:中国电信股份有限公司广州分公司_IDC(待审核);</t>
  </si>
  <si>
    <t>因南沙机房整体搬迁，需要将MEG服务体验中心所使用的12条中继线搬迁至东泰机房，根据运营商要求签署移机协议。
合同正本与草拟定稿合同区别：《附件一 业务登记表（盖公章））》中增加账期条款。增加内容：备注：本次的付款方式是：先款后票，请于合同签署后15个工作日内汇款到账。收到付款后将于15个工作日内提供发票，发票是：6%税率，类型：信息技术服务。</t>
  </si>
  <si>
    <t>2023-12-20</t>
  </si>
  <si>
    <t>24000</t>
  </si>
  <si>
    <t>1032315IDC00475</t>
  </si>
  <si>
    <t>2023-09-19</t>
  </si>
  <si>
    <t>甲方:百度（中国）有限公司广州分公司;</t>
  </si>
  <si>
    <t>为配合MEG广州职场业务调整，向广州电信发起部分语音中继线退租及移机，由原先2条中继线缩减至1条，为此需要与广州电信签署补充协议。</t>
  </si>
  <si>
    <t>75400</t>
  </si>
  <si>
    <t>10322103PCKF00435</t>
  </si>
  <si>
    <t>MEG</t>
  </si>
  <si>
    <t>乙方:天翼云科技有限公司_IDC(待审核);</t>
  </si>
  <si>
    <t>1、月度需求在2023年4月。
2、与天翼云续签商业CDN双向合作协议，承载视频、下载电信业务，采购价格如下：
视频电信业务，6500元/G/月，1024*2进制，月95计费，包头系数1.0；下载电信业务，3500元/G/月，1000进制，日峰月均计费，包头系数1.0。
3、预估金额=(6500元*300G+3500元*100G)*12月</t>
  </si>
  <si>
    <t>27600000</t>
  </si>
  <si>
    <t>乙方:联通（江苏）产业互联网有限公司_IDC(待审核);</t>
  </si>
  <si>
    <t>1、月度需求在2023年1月。
2、江苏连云港联通新增60G节点，于2023年2月1日开通30G，后续根据需求另行开通30G，总计60G，本合同按照60G资源情况签署。
3、商务条件：带宽：60G，30%保底，单价9000元/G/月；机柜：无；IP：赠送160个 IPv4地址，以及1段/56的IPv6地址。
4、预估金额=带宽60G*保底0.3*单价9000元*12个月
5、该合同前期已提交，由于运营商更改合同文本，故将前期已经审批完成但未生效的合同作废，重新提交。</t>
  </si>
  <si>
    <t>2023-02-01</t>
  </si>
  <si>
    <t>2024-01-31</t>
  </si>
  <si>
    <t>1944000</t>
  </si>
  <si>
    <t>182215IDC00704</t>
  </si>
  <si>
    <t>152315IDC00476</t>
  </si>
  <si>
    <t>为配合MEG服务体验中心业务发展，前期与运营商【广州电信】签署的《数字中继（捆绑DID业务）服务协议》。经过与运营商的谈判，本次签署补充协议将中继线月租费改为话费低消，长途通话费由0.15元/分钟改为0.1元/分钟。</t>
  </si>
  <si>
    <t>2025-09-30</t>
  </si>
  <si>
    <t>593500</t>
  </si>
  <si>
    <t>151915PC09007</t>
  </si>
  <si>
    <t>182315IDC00465</t>
  </si>
  <si>
    <t>2023-09-15</t>
  </si>
  <si>
    <t>乙方:北京泽铭趣游科技有限公司_IDC(待审核);</t>
  </si>
  <si>
    <t>1、合同概要：为支持ACG语音类业务发展，增加号码号线资源储备，引入供应商北京泽铭趣游科技有限公司，在语音线路资源上具有价格优势。
2、预估金额=预估月度消费金额*12=1,200,000.00元</t>
  </si>
  <si>
    <t>2024-09-19</t>
  </si>
  <si>
    <t>1032315IDC00467</t>
  </si>
  <si>
    <t>为配合MEG电销业务发展，前期与运营商【广州电信】签署的《数字中继（捆绑DID业务）服务协议》于2023年9月30日到期，现进行续约。 续约后的中继线月租费改为话费低消，长途通话费由0.15元/分钟改为0.1元/分钟。</t>
  </si>
  <si>
    <t>1346631</t>
  </si>
  <si>
    <t>10321182PCF00048</t>
  </si>
  <si>
    <t>1032315IDC00466</t>
  </si>
  <si>
    <t>因南沙机房整体搬迁，需要将MEG联络中心所使用的18条中继线搬迁至东泰机房，根据运营商要求签署移机协议。
合同正本与草拟定稿合同区别：《附件一 业务登记表（盖公章））》中增加账期条款。增加内容：备注：本次的付款方式是：先款后票，请于合同签署后15个工作日内汇款到账。收到付款后将于15个工作日内提供发票，发票是：6%税率，类型：信息技术服务。</t>
  </si>
  <si>
    <t>36000</t>
  </si>
  <si>
    <t>192315IDC00464</t>
  </si>
  <si>
    <t>2023-09-14</t>
  </si>
  <si>
    <t>甲方:百度在线网络技术（北京）有限公司上海软件技术分公司;</t>
  </si>
  <si>
    <t>乙方:浙江风临信息科技有限公司_IDC(待审核);</t>
  </si>
  <si>
    <t>各位好，为配合MEG电销业务发展，与供应商【浙江风临】进行续约，可以支撑多地语音线路资源，比运营商直连线路的抗投诉能力更强。</t>
  </si>
  <si>
    <t>2023-07-15</t>
  </si>
  <si>
    <t>2024-07-14</t>
  </si>
  <si>
    <t>258815</t>
  </si>
  <si>
    <t>语音线路采购协议</t>
  </si>
  <si>
    <t>182315IDC00461</t>
  </si>
  <si>
    <t>2023-09-13</t>
  </si>
  <si>
    <t>乙方:中国联合网络通信有限公司广州市分公司_IDC(待审核);</t>
  </si>
  <si>
    <t xml:space="preserve">1.月度需求在2023年4月，2023年8月
2.合同概要：广东联通提供的广州机房间互联光纤计划降价续签，原协议1820202IDC00394，550元/对km/月；此次降价至400元/对km/月，不足1公里按1公里计算，存量380对，此次新增72对，共计452对。降幅27.3%。存量380对，由于原合同未到期，签署续签协议约定，从2023年7月1日起开始降价至400元/对km/月。
3.预估金额：400*452*12= 2,169,600.00 元
</t>
  </si>
  <si>
    <t>2169600</t>
  </si>
  <si>
    <t>,GoodsAdd,GoodsUpdate,</t>
  </si>
  <si>
    <t>1820202IDC00394</t>
  </si>
  <si>
    <t>IDC战略合作部-国内-IDC-非机房</t>
  </si>
  <si>
    <t>13602315IDC00456</t>
  </si>
  <si>
    <t>2023-09-11</t>
  </si>
  <si>
    <t>史昕</t>
  </si>
  <si>
    <t>陈子聪</t>
  </si>
  <si>
    <t>甲方:EKATOX SINGAPORE PRIVATE LIMITED;</t>
  </si>
  <si>
    <t>乙方:COIHUB TECHNOLOGY LIMITED_IDC(待审核);</t>
  </si>
  <si>
    <t>1.国际短信业务新签合同
2.扩丰富国际短信供应商池，降低采购成本均价</t>
  </si>
  <si>
    <t>2022-10-01</t>
  </si>
  <si>
    <t>149662.06</t>
  </si>
  <si>
    <t>美元</t>
  </si>
  <si>
    <t>国际化</t>
  </si>
  <si>
    <t>182315IDC00444</t>
  </si>
  <si>
    <t>2023-08-29</t>
  </si>
  <si>
    <t>乙方:中国联合网络通信有限公司上海市分公司_IDC(待审核);</t>
  </si>
  <si>
    <t>为配合ACG AI应用产品部业务发展，前期与供应商【中国联合网络通信有限公司上海市分公司】签署的《大数据风控产品服务合同》于2022年12月31日到期，现进行续约。 续约后价格平均降低5%。</t>
  </si>
  <si>
    <t>2025-12-31</t>
  </si>
  <si>
    <t>2023-08-28</t>
  </si>
  <si>
    <t>乙方:山东爱特云翔信息技术有限公司_IDC(待审核);</t>
  </si>
  <si>
    <t xml:space="preserve">此供应商已签署框架协议：182315IDC00335（待盖，会一起盖章优先框架生效）
【具体情况如下】
月度需求：2022年12月
1.带宽：代理-淄博三线-520G-新建，其中移动200G通过直签签署，320G电信、联通直接与代理签约，移动直签6740 元/G/月与代理价5416元/G/月的差价通过代理对账补贴返还； 
电信200G：5416元/G/月，较集约价9500 元/G/月 降幅42.99%，
联通120G：5416元/G/月，较集约价9000 元/G/月 降幅39.82%，
移动200G：5416元/G/月，较集约价6740 元/G/月 降幅19.64%，
2.IP：IPv4：使用512个，25元/个/月；IPv6：按需赠送；
3.预估金额：5416*320*0.4*12+25*512=  8,472,576.00 元
</t>
  </si>
  <si>
    <t>8472576</t>
  </si>
  <si>
    <t>182315IDC00335</t>
  </si>
  <si>
    <t>182315IDC00440</t>
  </si>
  <si>
    <t>2023-08-25</t>
  </si>
  <si>
    <t>乙方:联通在线信息科技有限公司_IDC(待审核);丙方:中国联合网络通信有限公司浙江省分公司_IDC(待审核);</t>
  </si>
  <si>
    <t>1、为支持ACG AI产品业务部需求，与运营商续签号码认证能力服务合作协议；
2、预估金额=项目预估金额120万元。</t>
  </si>
  <si>
    <t>2023-04-16</t>
  </si>
  <si>
    <t>2024-04-15</t>
  </si>
  <si>
    <t>,GoodsUpdate,PeriodChange,</t>
  </si>
  <si>
    <t>182015PCK01160</t>
  </si>
  <si>
    <t>2023-08-16</t>
  </si>
  <si>
    <t>乙方:中国电信股份有限公司湖北互联网数据事业部_IDC(待审核);</t>
  </si>
  <si>
    <t>1、月度需求审批信息在2023年4月，云盘链接见附件。
2、襄阳电信带宽800G单价9000元/月/G，机柜36个，单价3333.33元/月/个，免费提供1376个IP。
3、预估金额=（800*0.3*9000+36*3333.33）*12=27,359,998.56元</t>
  </si>
  <si>
    <t>27359998.56</t>
  </si>
  <si>
    <t>乙方:中国电信股份有限公司武汉分公司_IDC(待审核);</t>
  </si>
  <si>
    <t>1、月度需求在2023年3月。
2、武汉带宽40G，9500元/月/G，2个机柜6000元/个/月，每10GE端口免费提供24个业务IP，免费96个业务IP，超出IP按30元/IP/月；每100 M保底带宽免费分配1个/56 IPV6前缀地址，不足100 M按100 M计，超出部分100元//56/月。
3、预估金额=（9500*0.3*40+6000*2+928*30）*12=1,846,080.00元。</t>
  </si>
  <si>
    <t>1846080</t>
  </si>
  <si>
    <t>1、月度需求审批信息在2023年4月，云盘链接见附件。
2、黄石电信390G带宽，按照集团指导价9000元/G/月签署（运营商邮件确认按6000元/G/月执行，详见附件降价邮件），保底30%，24个机柜，机柜3333.33元/个/月，免费1600个ipv4地址。
3、预估金额=（390*0.3*6000+24*3333.33）*12=9383999.04元</t>
  </si>
  <si>
    <t>9383999.04</t>
  </si>
  <si>
    <t>2023-08-04</t>
  </si>
  <si>
    <t xml:space="preserve">1、月度需求在2023年4月。
2、汇天机房百信二期项目，客户（百信银行）要求汇天5号楼房间接入中金动环监控系统，与中金一二期，汇天一期一同进行管理。汇天机房经过与中金进行询价，确认系统建设费用为一次性费用216240元。
3、预估金额=216240元
</t>
  </si>
  <si>
    <t>216240</t>
  </si>
  <si>
    <t>当月返回合同</t>
    <phoneticPr fontId="3" type="noConversion"/>
  </si>
  <si>
    <t>王冬雨</t>
    <phoneticPr fontId="3" type="noConversion"/>
  </si>
  <si>
    <t>按中值计提，23年8-9月免费，2022/7/13 LINF2UN 120G带宽迁移至LINFUN。2020年3`5月免费。按照联通集约价格计提。与临汾2合并计费，颗粒度100M</t>
    <phoneticPr fontId="3" type="noConversion"/>
  </si>
  <si>
    <t>按中值计提，2023.05-2023.07.15免费，2022/7/31退租40G，2022/3/31退租40G，202104开始计费，合同满一年赠送1个月，100M颗粒，48G保底，送800个IP。</t>
    <phoneticPr fontId="3" type="noConversion"/>
  </si>
  <si>
    <t>按中值计提，5月31日退租两个万兆，剩余20G，保底6G（1）颗粒度100M，保底12G；（2）需要注意周睿发邮件20200131退租60G；（3）扩容60G20191001开始计费，存量同时降价</t>
    <phoneticPr fontId="3" type="noConversion"/>
  </si>
  <si>
    <t>按中值计提，2022.12开始保底由30%降为20%。实跑低于20%，按20%，实跑20%-30%，按20%，实跑高于或等于30%，按30%计算，4月开始扩容100G，11月扩容100G，保底60G,颗粒度100M</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</si>
</sst>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76" formatCode="_ * #,##0.00_ ;_ * \-#,##0.00_ ;_ * &quot;-&quot;??_ ;_ @_ "/>
    <numFmt numFmtId="177" formatCode="#,##0.00_ "/>
    <numFmt numFmtId="178" formatCode="0.000_);[Red]\(0.000\)"/>
    <numFmt numFmtId="179" formatCode="#,##0.00_ ;[Red]\-#,##0.00\ "/>
    <numFmt numFmtId="180" formatCode="0.00_);[Red]\(0.00\)"/>
    <numFmt numFmtId="181" formatCode="0_);[Red]\(0\)"/>
    <numFmt numFmtId="182" formatCode="0.0000_ "/>
    <numFmt numFmtId="183" formatCode="#,##0.000_ "/>
    <numFmt numFmtId="184" formatCode="#,##0.0000_ "/>
    <numFmt numFmtId="185" formatCode="#,##0.0000;[Red]\-#,##0.0000"/>
    <numFmt numFmtId="186" formatCode="_ * #,##0.0000_ ;_ * \-#,##0.0000_ ;_ * &quot;-&quot;??_ ;_ @_ "/>
    <numFmt numFmtId="187" formatCode="#,##0.000_);[Red]\(#,##0.000\)"/>
    <numFmt numFmtId="188" formatCode="_ * #,##0.00000_ ;_ * \-#,##0.00000_ ;_ * &quot;-&quot;??_ ;_ @_ "/>
    <numFmt numFmtId="189" formatCode="#,##0.0000_);[Red]\(#,##0.0000\)"/>
    <numFmt numFmtId="190" formatCode="#,##0.000"/>
    <numFmt numFmtId="191" formatCode="0.00000_);[Red]\(0.00000\)"/>
    <numFmt numFmtId="192" formatCode="0.0_);[Red]\(0.0\)"/>
    <numFmt numFmtId="193" formatCode="_ * #,##0.0000000_ ;_ * \-#,##0.0000000_ ;_ * &quot;-&quot;???????_ ;_ @_ "/>
    <numFmt numFmtId="194" formatCode="_ * #,##0.000000000_ ;_ * \-#,##0.000000000_ ;_ * &quot;-&quot;?????????_ ;_ @_ "/>
  </numFmts>
  <fonts count="15">
    <font>
      <sz val="11"/>
      <color theme="1"/>
      <name val="等线"/>
      <family val="2"/>
      <scheme val="minor"/>
    </font>
    <font>
      <sz val="11"/>
      <color theme="1"/>
      <name val="等线"/>
      <family val="2"/>
      <charset val="134"/>
      <scheme val="minor"/>
    </font>
    <font>
      <b/>
      <sz val="10"/>
      <name val="微软雅黑"/>
      <family val="2"/>
      <charset val="134"/>
    </font>
    <font>
      <sz val="9"/>
      <name val="等线"/>
      <family val="3"/>
      <charset val="134"/>
      <scheme val="minor"/>
    </font>
    <font>
      <sz val="12"/>
      <name val="宋体"/>
      <family val="3"/>
      <charset val="134"/>
    </font>
    <font>
      <sz val="12"/>
      <color rgb="FF000000"/>
      <name val="等线"/>
      <family val="3"/>
      <charset val="134"/>
    </font>
    <font>
      <sz val="11"/>
      <color theme="1"/>
      <name val="等线"/>
      <family val="2"/>
      <scheme val="minor"/>
    </font>
    <font>
      <sz val="10"/>
      <name val="微软雅黑"/>
      <family val="2"/>
      <charset val="134"/>
    </font>
    <font>
      <sz val="10"/>
      <color rgb="FFFF0000"/>
      <name val="微软雅黑"/>
      <family val="2"/>
      <charset val="134"/>
    </font>
    <font>
      <sz val="11"/>
      <color rgb="FF000000"/>
      <name val="等线"/>
      <family val="3"/>
      <charset val="134"/>
    </font>
    <font>
      <sz val="11"/>
      <color theme="1"/>
      <name val="等线"/>
      <family val="3"/>
      <charset val="134"/>
      <scheme val="minor"/>
    </font>
    <font>
      <sz val="10"/>
      <color theme="1"/>
      <name val="微软雅黑"/>
      <family val="2"/>
      <charset val="134"/>
    </font>
    <font>
      <sz val="9"/>
      <name val="微软雅黑"/>
      <family val="2"/>
      <charset val="134"/>
    </font>
    <font>
      <sz val="11"/>
      <color indexed="8"/>
      <name val="等线"/>
      <family val="2"/>
      <scheme val="minor"/>
    </font>
    <font>
      <b/>
      <sz val="11"/>
      <name val="宋体"/>
      <family val="3"/>
      <charset val="134"/>
    </font>
  </fonts>
  <fills count="8">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D6FDD0"/>
      </patternFill>
    </fill>
    <fill>
      <patternFill patternType="solid">
        <fgColor theme="5" tint="0.79998168889431442"/>
        <bgColor indexed="64"/>
      </patternFill>
    </fill>
    <fill>
      <patternFill patternType="solid">
        <fgColor theme="9"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26">
    <xf numFmtId="0" fontId="0" fillId="0" borderId="0"/>
    <xf numFmtId="176" fontId="6" fillId="0" borderId="0" applyFont="0" applyFill="0" applyBorder="0" applyAlignment="0" applyProtection="0">
      <alignment vertical="center"/>
    </xf>
    <xf numFmtId="9" fontId="6" fillId="0" borderId="0" applyFont="0" applyFill="0" applyBorder="0" applyAlignment="0" applyProtection="0">
      <alignment vertical="center"/>
    </xf>
    <xf numFmtId="0" fontId="4" fillId="0" borderId="0">
      <protection locked="0"/>
    </xf>
    <xf numFmtId="0" fontId="5" fillId="0" borderId="0">
      <protection locked="0"/>
    </xf>
    <xf numFmtId="0" fontId="6" fillId="0" borderId="0"/>
    <xf numFmtId="0" fontId="4" fillId="0" borderId="0">
      <protection locked="0"/>
    </xf>
    <xf numFmtId="0" fontId="4" fillId="0" borderId="0">
      <protection locked="0"/>
    </xf>
    <xf numFmtId="0" fontId="6" fillId="0" borderId="0"/>
    <xf numFmtId="176" fontId="6" fillId="0" borderId="0" applyFont="0" applyFill="0" applyBorder="0" applyAlignment="0" applyProtection="0">
      <alignment vertical="center"/>
    </xf>
    <xf numFmtId="0" fontId="9" fillId="0" borderId="0">
      <protection locked="0"/>
    </xf>
    <xf numFmtId="0" fontId="6" fillId="0" borderId="0"/>
    <xf numFmtId="176" fontId="6" fillId="0" borderId="0" applyFont="0" applyFill="0" applyBorder="0" applyAlignment="0" applyProtection="0">
      <alignment vertical="center"/>
    </xf>
    <xf numFmtId="176" fontId="6" fillId="0" borderId="0" applyFont="0" applyFill="0" applyBorder="0" applyAlignment="0" applyProtection="0">
      <alignment vertical="center"/>
    </xf>
    <xf numFmtId="0" fontId="4" fillId="0" borderId="0">
      <protection locked="0"/>
    </xf>
    <xf numFmtId="0" fontId="1" fillId="0" borderId="0">
      <alignment vertical="center"/>
    </xf>
    <xf numFmtId="0" fontId="9" fillId="0" borderId="0">
      <protection locked="0"/>
    </xf>
    <xf numFmtId="176" fontId="10" fillId="0" borderId="0" applyFont="0" applyFill="0" applyBorder="0" applyAlignment="0" applyProtection="0">
      <alignment vertical="center"/>
    </xf>
    <xf numFmtId="9" fontId="6" fillId="0" borderId="0" applyFont="0" applyFill="0" applyBorder="0" applyAlignment="0" applyProtection="0">
      <alignment vertical="center"/>
    </xf>
    <xf numFmtId="0" fontId="9" fillId="0" borderId="0">
      <protection locked="0"/>
    </xf>
    <xf numFmtId="9" fontId="10" fillId="0" borderId="0" applyFont="0" applyFill="0" applyBorder="0" applyAlignment="0" applyProtection="0">
      <alignment vertical="center"/>
    </xf>
    <xf numFmtId="0" fontId="6" fillId="0" borderId="0"/>
    <xf numFmtId="176" fontId="6" fillId="0" borderId="0" applyFont="0" applyFill="0" applyBorder="0" applyAlignment="0" applyProtection="0">
      <alignment vertical="center"/>
    </xf>
    <xf numFmtId="9" fontId="6" fillId="0" borderId="0" applyFont="0" applyFill="0" applyBorder="0" applyAlignment="0" applyProtection="0">
      <alignment vertical="center"/>
    </xf>
    <xf numFmtId="0" fontId="10" fillId="0" borderId="0"/>
    <xf numFmtId="0" fontId="13" fillId="0" borderId="0">
      <alignment vertical="center"/>
    </xf>
  </cellStyleXfs>
  <cellXfs count="749">
    <xf numFmtId="0" fontId="0" fillId="0" borderId="0" xfId="0"/>
    <xf numFmtId="0" fontId="2" fillId="0" borderId="1" xfId="0" applyFont="1" applyBorder="1" applyAlignment="1">
      <alignment horizontal="center" vertical="center"/>
    </xf>
    <xf numFmtId="0" fontId="2" fillId="0" borderId="1" xfId="3" applyFont="1" applyBorder="1" applyAlignment="1" applyProtection="1">
      <alignment vertical="top"/>
    </xf>
    <xf numFmtId="0" fontId="2" fillId="0" borderId="1" xfId="4" applyFont="1" applyBorder="1" applyAlignment="1" applyProtection="1">
      <alignment horizontal="center" vertical="center"/>
    </xf>
    <xf numFmtId="14" fontId="2" fillId="0" borderId="1" xfId="4" applyNumberFormat="1" applyFont="1" applyBorder="1" applyAlignment="1" applyProtection="1">
      <alignment horizontal="center" vertical="center"/>
    </xf>
    <xf numFmtId="177" fontId="2" fillId="0" borderId="1" xfId="1" applyNumberFormat="1" applyFont="1" applyFill="1" applyBorder="1" applyAlignment="1" applyProtection="1">
      <alignment horizontal="right" vertical="center"/>
    </xf>
    <xf numFmtId="178" fontId="2" fillId="0" borderId="1" xfId="1" applyNumberFormat="1" applyFont="1" applyFill="1" applyBorder="1" applyAlignment="1" applyProtection="1">
      <alignment horizontal="right" vertical="center"/>
    </xf>
    <xf numFmtId="0" fontId="2" fillId="0" borderId="1" xfId="1" applyNumberFormat="1" applyFont="1" applyFill="1" applyBorder="1" applyAlignment="1" applyProtection="1">
      <alignment horizontal="right" vertical="center"/>
    </xf>
    <xf numFmtId="179" fontId="2" fillId="0" borderId="1" xfId="1" applyNumberFormat="1" applyFont="1" applyFill="1" applyBorder="1" applyAlignment="1" applyProtection="1">
      <alignment vertical="center"/>
    </xf>
    <xf numFmtId="179" fontId="2" fillId="0" borderId="1" xfId="1" applyNumberFormat="1" applyFont="1" applyFill="1" applyBorder="1" applyAlignment="1" applyProtection="1">
      <alignment horizontal="center" vertical="center"/>
    </xf>
    <xf numFmtId="10" fontId="2" fillId="0" borderId="1" xfId="2" applyNumberFormat="1" applyFont="1" applyFill="1" applyBorder="1" applyAlignment="1" applyProtection="1">
      <alignment horizontal="left" vertical="center"/>
    </xf>
    <xf numFmtId="176" fontId="2" fillId="0" borderId="1" xfId="1" applyFont="1" applyFill="1" applyBorder="1" applyAlignment="1" applyProtection="1">
      <alignment horizontal="right" vertical="center"/>
    </xf>
    <xf numFmtId="0" fontId="2" fillId="0" borderId="1" xfId="3" applyFont="1" applyBorder="1" applyAlignment="1" applyProtection="1">
      <alignment horizontal="center" vertical="center"/>
    </xf>
    <xf numFmtId="49" fontId="2" fillId="0" borderId="1" xfId="1" applyNumberFormat="1" applyFont="1" applyFill="1" applyBorder="1" applyAlignment="1">
      <alignment horizontal="left" vertical="center"/>
    </xf>
    <xf numFmtId="180" fontId="2" fillId="0" borderId="1" xfId="1" applyNumberFormat="1" applyFont="1" applyFill="1" applyBorder="1" applyAlignment="1">
      <alignment horizontal="right" vertical="center"/>
    </xf>
    <xf numFmtId="49" fontId="2" fillId="0" borderId="1" xfId="1" applyNumberFormat="1" applyFont="1" applyFill="1" applyBorder="1" applyAlignment="1">
      <alignment horizontal="center" vertical="center"/>
    </xf>
    <xf numFmtId="0" fontId="2" fillId="0" borderId="1" xfId="0" applyFont="1" applyBorder="1" applyAlignment="1">
      <alignment horizontal="left" vertical="center"/>
    </xf>
    <xf numFmtId="0" fontId="2" fillId="0" borderId="1" xfId="0" applyFont="1" applyBorder="1"/>
    <xf numFmtId="177" fontId="2" fillId="0" borderId="1" xfId="1" applyNumberFormat="1" applyFont="1" applyFill="1" applyBorder="1" applyAlignment="1">
      <alignment horizontal="center" vertical="center"/>
    </xf>
    <xf numFmtId="0" fontId="2" fillId="0" borderId="0" xfId="0" applyFont="1"/>
    <xf numFmtId="0" fontId="7" fillId="0" borderId="1" xfId="0" applyFont="1" applyBorder="1" applyAlignment="1">
      <alignment horizontal="center" vertical="center"/>
    </xf>
    <xf numFmtId="0" fontId="7" fillId="0" borderId="1" xfId="5" applyFont="1" applyBorder="1" applyAlignment="1" applyProtection="1">
      <alignment horizontal="center" vertical="center"/>
      <protection locked="0"/>
    </xf>
    <xf numFmtId="0" fontId="7" fillId="0" borderId="1" xfId="0" applyFont="1" applyBorder="1" applyAlignment="1" applyProtection="1">
      <alignment horizontal="center" vertical="center"/>
      <protection locked="0"/>
    </xf>
    <xf numFmtId="0" fontId="7" fillId="0" borderId="1" xfId="0" applyFont="1" applyBorder="1" applyAlignment="1">
      <alignment horizontal="left" vertical="center"/>
    </xf>
    <xf numFmtId="0" fontId="7" fillId="0" borderId="1" xfId="3" applyFont="1" applyBorder="1" applyAlignment="1" applyProtection="1">
      <alignment horizontal="center" vertical="center"/>
    </xf>
    <xf numFmtId="0" fontId="7" fillId="0" borderId="1" xfId="3" applyFont="1" applyBorder="1" applyAlignment="1">
      <alignment horizontal="left" vertical="center"/>
      <protection locked="0"/>
    </xf>
    <xf numFmtId="0" fontId="7" fillId="0" borderId="1" xfId="3" applyFont="1" applyBorder="1" applyAlignment="1">
      <alignment horizontal="center" vertical="center"/>
      <protection locked="0"/>
    </xf>
    <xf numFmtId="14" fontId="7" fillId="0" borderId="1" xfId="6" applyNumberFormat="1" applyFont="1" applyBorder="1" applyAlignment="1">
      <alignment horizontal="center" vertical="center"/>
      <protection locked="0"/>
    </xf>
    <xf numFmtId="177" fontId="7" fillId="0" borderId="1" xfId="0" applyNumberFormat="1" applyFont="1" applyBorder="1" applyAlignment="1">
      <alignment horizontal="right" vertical="center"/>
    </xf>
    <xf numFmtId="177" fontId="7" fillId="0" borderId="1" xfId="1" applyNumberFormat="1" applyFont="1" applyFill="1" applyBorder="1" applyAlignment="1">
      <alignment horizontal="right" vertical="center"/>
    </xf>
    <xf numFmtId="177" fontId="7" fillId="0" borderId="1" xfId="1" applyNumberFormat="1" applyFont="1" applyFill="1" applyBorder="1" applyAlignment="1" applyProtection="1">
      <alignment horizontal="right" vertical="center"/>
      <protection locked="0"/>
    </xf>
    <xf numFmtId="0" fontId="7" fillId="0" borderId="1" xfId="6" applyFont="1" applyBorder="1" applyAlignment="1">
      <alignment horizontal="right" vertical="center"/>
      <protection locked="0"/>
    </xf>
    <xf numFmtId="40" fontId="7" fillId="0" borderId="1" xfId="4" applyNumberFormat="1" applyFont="1" applyBorder="1" applyAlignment="1" applyProtection="1">
      <alignment horizontal="left" vertical="center"/>
    </xf>
    <xf numFmtId="40" fontId="7" fillId="0" borderId="1" xfId="4" applyNumberFormat="1" applyFont="1" applyBorder="1" applyAlignment="1" applyProtection="1">
      <alignment vertical="center"/>
    </xf>
    <xf numFmtId="176" fontId="7" fillId="0" borderId="1" xfId="1" applyFont="1" applyFill="1" applyBorder="1" applyAlignment="1">
      <alignment horizontal="right" vertical="center"/>
    </xf>
    <xf numFmtId="40" fontId="7" fillId="0" borderId="1" xfId="1" applyNumberFormat="1" applyFont="1" applyFill="1" applyBorder="1" applyAlignment="1">
      <alignment horizontal="center" vertical="center"/>
    </xf>
    <xf numFmtId="14" fontId="7" fillId="0" borderId="1" xfId="0" applyNumberFormat="1" applyFont="1" applyBorder="1" applyAlignment="1">
      <alignment vertical="center"/>
    </xf>
    <xf numFmtId="0" fontId="7" fillId="0" borderId="1" xfId="0" applyFont="1" applyBorder="1" applyAlignment="1">
      <alignment horizontal="left"/>
    </xf>
    <xf numFmtId="180" fontId="7" fillId="0" borderId="1" xfId="0" applyNumberFormat="1" applyFont="1" applyBorder="1" applyAlignment="1">
      <alignment horizontal="right"/>
    </xf>
    <xf numFmtId="0" fontId="7" fillId="0" borderId="1" xfId="0" applyFont="1" applyBorder="1" applyAlignment="1">
      <alignment horizontal="center"/>
    </xf>
    <xf numFmtId="180" fontId="7" fillId="0" borderId="1" xfId="0" applyNumberFormat="1" applyFont="1" applyBorder="1"/>
    <xf numFmtId="181" fontId="7" fillId="0" borderId="1" xfId="0" applyNumberFormat="1" applyFont="1" applyBorder="1" applyAlignment="1">
      <alignment horizontal="right"/>
    </xf>
    <xf numFmtId="0" fontId="7" fillId="0" borderId="1" xfId="0" applyFont="1" applyBorder="1"/>
    <xf numFmtId="177" fontId="7" fillId="0" borderId="1" xfId="0" applyNumberFormat="1" applyFont="1" applyBorder="1"/>
    <xf numFmtId="0" fontId="7" fillId="0" borderId="0" xfId="0" applyFont="1"/>
    <xf numFmtId="0" fontId="7" fillId="0" borderId="1" xfId="3" applyFont="1" applyBorder="1" applyAlignment="1" applyProtection="1">
      <alignment horizontal="left" vertical="center"/>
    </xf>
    <xf numFmtId="40" fontId="7" fillId="0" borderId="1" xfId="4" applyNumberFormat="1" applyFont="1" applyBorder="1" applyAlignment="1" applyProtection="1">
      <alignment horizontal="center" vertical="center"/>
    </xf>
    <xf numFmtId="0" fontId="7" fillId="0" borderId="1" xfId="4" applyFont="1" applyBorder="1" applyAlignment="1" applyProtection="1">
      <alignment horizontal="center" vertical="center"/>
    </xf>
    <xf numFmtId="0" fontId="7" fillId="0" borderId="1" xfId="7" applyFont="1" applyBorder="1" applyAlignment="1" applyProtection="1">
      <alignment horizontal="center" vertical="center"/>
    </xf>
    <xf numFmtId="14" fontId="7" fillId="0" borderId="1" xfId="4" applyNumberFormat="1" applyFont="1" applyBorder="1" applyAlignment="1" applyProtection="1">
      <alignment horizontal="center" vertical="center"/>
    </xf>
    <xf numFmtId="177" fontId="7" fillId="0" borderId="1" xfId="4" applyNumberFormat="1" applyFont="1" applyBorder="1" applyAlignment="1" applyProtection="1">
      <alignment horizontal="right" vertical="center"/>
    </xf>
    <xf numFmtId="177" fontId="7" fillId="0" borderId="1" xfId="1" applyNumberFormat="1" applyFont="1" applyFill="1" applyBorder="1" applyAlignment="1" applyProtection="1">
      <alignment horizontal="right" vertical="center"/>
    </xf>
    <xf numFmtId="180" fontId="7" fillId="0" borderId="1" xfId="3" applyNumberFormat="1" applyFont="1" applyBorder="1" applyAlignment="1">
      <alignment horizontal="center" vertical="center"/>
      <protection locked="0"/>
    </xf>
    <xf numFmtId="180" fontId="7" fillId="0" borderId="1" xfId="6" applyNumberFormat="1" applyFont="1" applyBorder="1" applyAlignment="1">
      <alignment horizontal="left" vertical="center"/>
      <protection locked="0"/>
    </xf>
    <xf numFmtId="14" fontId="7" fillId="0" borderId="1" xfId="6" applyNumberFormat="1" applyFont="1" applyBorder="1" applyAlignment="1">
      <alignment horizontal="left" vertical="center"/>
      <protection locked="0"/>
    </xf>
    <xf numFmtId="177" fontId="7" fillId="0" borderId="1" xfId="6" applyNumberFormat="1" applyFont="1" applyBorder="1" applyAlignment="1">
      <alignment horizontal="left" vertical="center"/>
      <protection locked="0"/>
    </xf>
    <xf numFmtId="0" fontId="7" fillId="0" borderId="1" xfId="8" applyFont="1" applyBorder="1" applyAlignment="1" applyProtection="1">
      <alignment horizontal="center" vertical="center"/>
      <protection locked="0"/>
    </xf>
    <xf numFmtId="0" fontId="7" fillId="0" borderId="1" xfId="8" applyFont="1" applyBorder="1" applyAlignment="1">
      <alignment horizontal="center" vertical="center"/>
    </xf>
    <xf numFmtId="0" fontId="7" fillId="0" borderId="1" xfId="8" applyFont="1" applyBorder="1" applyAlignment="1" applyProtection="1">
      <alignment horizontal="left" vertical="center"/>
      <protection locked="0"/>
    </xf>
    <xf numFmtId="49" fontId="7" fillId="0" borderId="1" xfId="8" applyNumberFormat="1" applyFont="1" applyBorder="1" applyAlignment="1" applyProtection="1">
      <alignment horizontal="center" vertical="center"/>
      <protection locked="0"/>
    </xf>
    <xf numFmtId="177" fontId="7" fillId="0" borderId="1" xfId="6" applyNumberFormat="1" applyFont="1" applyBorder="1" applyAlignment="1">
      <alignment horizontal="right" vertical="center"/>
      <protection locked="0"/>
    </xf>
    <xf numFmtId="177" fontId="7" fillId="0" borderId="1" xfId="9" applyNumberFormat="1" applyFont="1" applyFill="1" applyBorder="1" applyAlignment="1" applyProtection="1">
      <alignment horizontal="right" vertical="center"/>
    </xf>
    <xf numFmtId="0" fontId="7" fillId="0" borderId="1" xfId="8" applyFont="1" applyBorder="1" applyAlignment="1" applyProtection="1">
      <alignment vertical="center"/>
      <protection locked="0"/>
    </xf>
    <xf numFmtId="0" fontId="7" fillId="0" borderId="1" xfId="8" applyFont="1" applyBorder="1"/>
    <xf numFmtId="40" fontId="7" fillId="0" borderId="1" xfId="4" applyNumberFormat="1" applyFont="1" applyBorder="1" applyAlignment="1" applyProtection="1">
      <alignment horizontal="left" vertical="center" wrapText="1"/>
    </xf>
    <xf numFmtId="0" fontId="7" fillId="0" borderId="1" xfId="5" applyFont="1" applyBorder="1" applyAlignment="1">
      <alignment horizontal="center" vertical="center"/>
    </xf>
    <xf numFmtId="0" fontId="7" fillId="0" borderId="1" xfId="5" applyFont="1" applyBorder="1" applyAlignment="1">
      <alignment horizontal="left" vertical="center"/>
    </xf>
    <xf numFmtId="0" fontId="7" fillId="0" borderId="1" xfId="5" applyFont="1" applyBorder="1"/>
    <xf numFmtId="177" fontId="7" fillId="0" borderId="1" xfId="9" applyNumberFormat="1" applyFont="1" applyFill="1" applyBorder="1" applyAlignment="1" applyProtection="1">
      <alignment horizontal="right" vertical="center"/>
      <protection locked="0"/>
    </xf>
    <xf numFmtId="0" fontId="7" fillId="0" borderId="1" xfId="3" applyFont="1" applyBorder="1" applyAlignment="1">
      <alignment horizontal="right" vertical="center"/>
      <protection locked="0"/>
    </xf>
    <xf numFmtId="10" fontId="7" fillId="0" borderId="1" xfId="2" applyNumberFormat="1" applyFont="1" applyFill="1" applyBorder="1" applyAlignment="1">
      <alignment horizontal="left"/>
    </xf>
    <xf numFmtId="182" fontId="7" fillId="0" borderId="1" xfId="1" applyNumberFormat="1" applyFont="1" applyFill="1" applyBorder="1" applyAlignment="1">
      <alignment horizontal="right"/>
    </xf>
    <xf numFmtId="14" fontId="7" fillId="0" borderId="1" xfId="0" applyNumberFormat="1" applyFont="1" applyBorder="1"/>
    <xf numFmtId="0" fontId="7" fillId="0" borderId="1" xfId="3" applyFont="1" applyBorder="1" applyAlignment="1" applyProtection="1">
      <alignment horizontal="left" vertical="center" wrapText="1"/>
    </xf>
    <xf numFmtId="0" fontId="7" fillId="0" borderId="1" xfId="3" applyFont="1" applyBorder="1" applyAlignment="1">
      <alignment horizontal="center" vertical="center" wrapText="1"/>
      <protection locked="0"/>
    </xf>
    <xf numFmtId="14" fontId="7" fillId="0" borderId="1" xfId="4" applyNumberFormat="1" applyFont="1" applyBorder="1" applyAlignment="1" applyProtection="1">
      <alignment horizontal="center" vertical="center" wrapText="1"/>
    </xf>
    <xf numFmtId="0" fontId="7" fillId="0" borderId="1" xfId="4" applyFont="1" applyBorder="1" applyAlignment="1" applyProtection="1">
      <alignment horizontal="center" vertical="center" wrapText="1"/>
    </xf>
    <xf numFmtId="177" fontId="7" fillId="0" borderId="1" xfId="4" applyNumberFormat="1" applyFont="1" applyBorder="1" applyAlignment="1" applyProtection="1">
      <alignment horizontal="center" vertical="center"/>
    </xf>
    <xf numFmtId="14" fontId="7" fillId="0" borderId="1" xfId="4" applyNumberFormat="1" applyFont="1" applyBorder="1" applyAlignment="1" applyProtection="1">
      <alignment vertical="center"/>
    </xf>
    <xf numFmtId="0" fontId="7" fillId="0" borderId="1" xfId="4" applyFont="1" applyBorder="1" applyAlignment="1" applyProtection="1">
      <alignment horizontal="left" vertical="center"/>
    </xf>
    <xf numFmtId="0" fontId="7" fillId="0" borderId="1" xfId="5" applyFont="1" applyBorder="1" applyAlignment="1" applyProtection="1">
      <alignment horizontal="left" vertical="center"/>
      <protection locked="0"/>
    </xf>
    <xf numFmtId="49" fontId="7" fillId="0" borderId="1" xfId="5" applyNumberFormat="1" applyFont="1" applyBorder="1" applyAlignment="1" applyProtection="1">
      <alignment horizontal="center" vertical="center"/>
      <protection locked="0"/>
    </xf>
    <xf numFmtId="0" fontId="8" fillId="0" borderId="1" xfId="0" applyFont="1" applyBorder="1" applyAlignment="1">
      <alignment horizontal="center" vertical="center"/>
    </xf>
    <xf numFmtId="0" fontId="8" fillId="0" borderId="1" xfId="0" applyFont="1" applyBorder="1" applyAlignment="1" applyProtection="1">
      <alignment horizontal="center" vertical="center"/>
      <protection locked="0"/>
    </xf>
    <xf numFmtId="0" fontId="8" fillId="0" borderId="1" xfId="0" applyFont="1" applyBorder="1" applyAlignment="1">
      <alignment horizontal="left" vertical="center"/>
    </xf>
    <xf numFmtId="0" fontId="8" fillId="0" borderId="1" xfId="3" applyFont="1" applyBorder="1" applyAlignment="1">
      <alignment horizontal="center" vertical="center"/>
      <protection locked="0"/>
    </xf>
    <xf numFmtId="0" fontId="8" fillId="0" borderId="1" xfId="3" applyFont="1" applyBorder="1" applyAlignment="1" applyProtection="1">
      <alignment horizontal="left" vertical="center"/>
    </xf>
    <xf numFmtId="40" fontId="8" fillId="0" borderId="1" xfId="4" applyNumberFormat="1" applyFont="1" applyBorder="1" applyAlignment="1" applyProtection="1">
      <alignment horizontal="center" vertical="center"/>
    </xf>
    <xf numFmtId="0" fontId="8" fillId="0" borderId="1" xfId="4" applyFont="1" applyBorder="1" applyAlignment="1" applyProtection="1">
      <alignment horizontal="center" vertical="center"/>
    </xf>
    <xf numFmtId="0" fontId="8" fillId="0" borderId="1" xfId="7" applyFont="1" applyBorder="1" applyAlignment="1" applyProtection="1">
      <alignment horizontal="center" vertical="center"/>
    </xf>
    <xf numFmtId="14" fontId="8" fillId="0" borderId="1" xfId="4" applyNumberFormat="1" applyFont="1" applyBorder="1" applyAlignment="1" applyProtection="1">
      <alignment horizontal="center" vertical="center"/>
    </xf>
    <xf numFmtId="177" fontId="8" fillId="0" borderId="1" xfId="4" applyNumberFormat="1" applyFont="1" applyBorder="1" applyAlignment="1" applyProtection="1">
      <alignment horizontal="right" vertical="center"/>
    </xf>
    <xf numFmtId="177" fontId="8" fillId="0" borderId="1" xfId="1" applyNumberFormat="1" applyFont="1" applyFill="1" applyBorder="1" applyAlignment="1" applyProtection="1">
      <alignment horizontal="right" vertical="center"/>
    </xf>
    <xf numFmtId="0" fontId="8" fillId="0" borderId="1" xfId="6" applyFont="1" applyBorder="1" applyAlignment="1">
      <alignment horizontal="right" vertical="center"/>
      <protection locked="0"/>
    </xf>
    <xf numFmtId="40" fontId="8" fillId="0" borderId="1" xfId="4" applyNumberFormat="1" applyFont="1" applyBorder="1" applyAlignment="1" applyProtection="1">
      <alignment horizontal="left" vertical="center"/>
    </xf>
    <xf numFmtId="0" fontId="8" fillId="0" borderId="1" xfId="4" applyFont="1" applyBorder="1" applyAlignment="1" applyProtection="1">
      <alignment horizontal="left" vertical="center"/>
    </xf>
    <xf numFmtId="0" fontId="8" fillId="0" borderId="1" xfId="0" applyFont="1" applyBorder="1"/>
    <xf numFmtId="14" fontId="8" fillId="0" borderId="1" xfId="0" applyNumberFormat="1" applyFont="1" applyBorder="1" applyAlignment="1">
      <alignment vertical="center"/>
    </xf>
    <xf numFmtId="180" fontId="8" fillId="0" borderId="1" xfId="6" applyNumberFormat="1" applyFont="1" applyBorder="1" applyAlignment="1">
      <alignment horizontal="left" vertical="center"/>
      <protection locked="0"/>
    </xf>
    <xf numFmtId="177" fontId="8" fillId="0" borderId="1" xfId="0" applyNumberFormat="1" applyFont="1" applyBorder="1"/>
    <xf numFmtId="0" fontId="8" fillId="0" borderId="0" xfId="0" applyFont="1"/>
    <xf numFmtId="0" fontId="7" fillId="0" borderId="1" xfId="4" applyFont="1" applyBorder="1" applyAlignment="1">
      <alignment horizontal="center" vertical="center"/>
      <protection locked="0"/>
    </xf>
    <xf numFmtId="0" fontId="7" fillId="0" borderId="1" xfId="6" applyFont="1" applyBorder="1" applyAlignment="1">
      <alignment horizontal="center" vertical="center"/>
      <protection locked="0"/>
    </xf>
    <xf numFmtId="0" fontId="7" fillId="0" borderId="1" xfId="5" applyFont="1" applyBorder="1" applyAlignment="1">
      <alignment horizontal="center" vertical="center" wrapText="1"/>
    </xf>
    <xf numFmtId="49" fontId="7" fillId="0" borderId="1" xfId="3" applyNumberFormat="1" applyFont="1" applyBorder="1" applyAlignment="1">
      <alignment horizontal="center" vertical="center"/>
      <protection locked="0"/>
    </xf>
    <xf numFmtId="0" fontId="7" fillId="0" borderId="1" xfId="7" applyFont="1" applyBorder="1" applyAlignment="1">
      <alignment horizontal="center" vertical="center"/>
      <protection locked="0"/>
    </xf>
    <xf numFmtId="177" fontId="7" fillId="0" borderId="1" xfId="9" applyNumberFormat="1" applyFont="1" applyFill="1" applyBorder="1" applyAlignment="1">
      <alignment horizontal="right" vertical="center"/>
    </xf>
    <xf numFmtId="0" fontId="7" fillId="0" borderId="1" xfId="5" applyFont="1" applyBorder="1" applyAlignment="1">
      <alignment horizontal="left"/>
    </xf>
    <xf numFmtId="14" fontId="7" fillId="0" borderId="1" xfId="4" applyNumberFormat="1" applyFont="1" applyBorder="1" applyAlignment="1" applyProtection="1">
      <alignment horizontal="left" vertical="center"/>
    </xf>
    <xf numFmtId="0" fontId="7" fillId="0" borderId="1" xfId="10" applyFont="1" applyBorder="1" applyAlignment="1">
      <alignment horizontal="left" vertical="center"/>
      <protection locked="0"/>
    </xf>
    <xf numFmtId="14" fontId="7" fillId="0" borderId="1" xfId="6" applyNumberFormat="1" applyFont="1" applyBorder="1" applyAlignment="1">
      <alignment horizontal="left" vertical="center" wrapText="1"/>
      <protection locked="0"/>
    </xf>
    <xf numFmtId="14" fontId="8" fillId="0" borderId="1" xfId="6" applyNumberFormat="1" applyFont="1" applyBorder="1" applyAlignment="1">
      <alignment horizontal="center" vertical="center"/>
      <protection locked="0"/>
    </xf>
    <xf numFmtId="177" fontId="8" fillId="0" borderId="1" xfId="9" applyNumberFormat="1" applyFont="1" applyFill="1" applyBorder="1" applyAlignment="1">
      <alignment horizontal="right" vertical="center"/>
    </xf>
    <xf numFmtId="177" fontId="8" fillId="0" borderId="1" xfId="9" applyNumberFormat="1" applyFont="1" applyFill="1" applyBorder="1" applyAlignment="1" applyProtection="1">
      <alignment horizontal="right" vertical="center"/>
    </xf>
    <xf numFmtId="14" fontId="7" fillId="0" borderId="1" xfId="4" applyNumberFormat="1" applyFont="1" applyBorder="1" applyAlignment="1" applyProtection="1">
      <alignment horizontal="left" vertical="center" wrapText="1"/>
    </xf>
    <xf numFmtId="49" fontId="7" fillId="0" borderId="1" xfId="4" applyNumberFormat="1" applyFont="1" applyBorder="1" applyAlignment="1">
      <alignment horizontal="center" vertical="center"/>
      <protection locked="0"/>
    </xf>
    <xf numFmtId="14" fontId="7" fillId="0" borderId="1" xfId="4" applyNumberFormat="1" applyFont="1" applyBorder="1" applyAlignment="1">
      <alignment horizontal="center" vertical="center"/>
      <protection locked="0"/>
    </xf>
    <xf numFmtId="0" fontId="7" fillId="0" borderId="1" xfId="4" applyFont="1" applyBorder="1" applyAlignment="1">
      <alignment horizontal="left" vertical="center"/>
      <protection locked="0"/>
    </xf>
    <xf numFmtId="0" fontId="7" fillId="0" borderId="1" xfId="4" applyFont="1" applyBorder="1" applyAlignment="1">
      <alignment vertical="center"/>
      <protection locked="0"/>
    </xf>
    <xf numFmtId="177" fontId="7" fillId="2" borderId="1" xfId="9" applyNumberFormat="1" applyFont="1" applyFill="1" applyBorder="1" applyAlignment="1" applyProtection="1">
      <alignment horizontal="right" vertical="center"/>
      <protection locked="0"/>
    </xf>
    <xf numFmtId="0" fontId="7" fillId="0" borderId="1" xfId="10" applyFont="1" applyBorder="1" applyAlignment="1">
      <alignment vertical="center"/>
      <protection locked="0"/>
    </xf>
    <xf numFmtId="0" fontId="7" fillId="0" borderId="1" xfId="10" applyFont="1" applyBorder="1" applyAlignment="1">
      <alignment horizontal="left" vertical="center" wrapText="1"/>
      <protection locked="0"/>
    </xf>
    <xf numFmtId="14" fontId="7" fillId="0" borderId="1" xfId="6" applyNumberFormat="1" applyFont="1" applyBorder="1" applyAlignment="1">
      <alignment vertical="center"/>
      <protection locked="0"/>
    </xf>
    <xf numFmtId="0" fontId="8" fillId="0" borderId="1" xfId="5" applyFont="1" applyBorder="1" applyAlignment="1" applyProtection="1">
      <alignment horizontal="center" vertical="center"/>
      <protection locked="0"/>
    </xf>
    <xf numFmtId="0" fontId="8" fillId="0" borderId="1" xfId="5" applyFont="1" applyBorder="1" applyAlignment="1" applyProtection="1">
      <alignment horizontal="left" vertical="center"/>
      <protection locked="0"/>
    </xf>
    <xf numFmtId="0" fontId="8" fillId="0" borderId="1" xfId="5" applyFont="1" applyBorder="1" applyAlignment="1">
      <alignment horizontal="center" vertical="center"/>
    </xf>
    <xf numFmtId="0" fontId="8" fillId="0" borderId="1" xfId="4" applyFont="1" applyBorder="1" applyAlignment="1">
      <alignment horizontal="center" vertical="center"/>
      <protection locked="0"/>
    </xf>
    <xf numFmtId="0" fontId="8" fillId="0" borderId="1" xfId="3" applyFont="1" applyBorder="1" applyAlignment="1">
      <alignment horizontal="left" vertical="center"/>
      <protection locked="0"/>
    </xf>
    <xf numFmtId="0" fontId="8" fillId="0" borderId="1" xfId="3" applyFont="1" applyBorder="1" applyAlignment="1" applyProtection="1">
      <alignment horizontal="center" vertical="center"/>
    </xf>
    <xf numFmtId="49" fontId="8" fillId="0" borderId="1" xfId="3" applyNumberFormat="1" applyFont="1" applyBorder="1" applyAlignment="1">
      <alignment horizontal="center" vertical="center"/>
      <protection locked="0"/>
    </xf>
    <xf numFmtId="177" fontId="8" fillId="0" borderId="1" xfId="1" applyNumberFormat="1" applyFont="1" applyFill="1" applyBorder="1" applyAlignment="1">
      <alignment horizontal="right" vertical="center"/>
    </xf>
    <xf numFmtId="14" fontId="8" fillId="0" borderId="1" xfId="6" applyNumberFormat="1" applyFont="1" applyBorder="1" applyAlignment="1">
      <alignment horizontal="left" vertical="center"/>
      <protection locked="0"/>
    </xf>
    <xf numFmtId="0" fontId="8" fillId="0" borderId="1" xfId="5" applyFont="1" applyBorder="1"/>
    <xf numFmtId="0" fontId="7" fillId="0" borderId="1" xfId="3" applyFont="1" applyBorder="1" applyAlignment="1">
      <alignment horizontal="left" vertical="center" wrapText="1"/>
      <protection locked="0"/>
    </xf>
    <xf numFmtId="0" fontId="7" fillId="0" borderId="1" xfId="0" applyFont="1" applyBorder="1" applyAlignment="1">
      <alignment horizontal="left" wrapText="1"/>
    </xf>
    <xf numFmtId="0" fontId="7" fillId="0" borderId="1" xfId="11" applyFont="1" applyBorder="1" applyAlignment="1" applyProtection="1">
      <alignment horizontal="center" vertical="center"/>
      <protection locked="0"/>
    </xf>
    <xf numFmtId="0" fontId="7" fillId="0" borderId="1" xfId="11" applyFont="1" applyBorder="1" applyAlignment="1">
      <alignment horizontal="center" vertical="center"/>
    </xf>
    <xf numFmtId="0" fontId="7" fillId="0" borderId="1" xfId="11" applyFont="1" applyBorder="1" applyAlignment="1" applyProtection="1">
      <alignment horizontal="left" vertical="center"/>
      <protection locked="0"/>
    </xf>
    <xf numFmtId="49" fontId="7" fillId="0" borderId="1" xfId="11" applyNumberFormat="1" applyFont="1" applyBorder="1" applyAlignment="1" applyProtection="1">
      <alignment horizontal="center" vertical="center"/>
      <protection locked="0"/>
    </xf>
    <xf numFmtId="176" fontId="7" fillId="0" borderId="1" xfId="12" applyFont="1" applyFill="1" applyBorder="1" applyAlignment="1" applyProtection="1">
      <alignment horizontal="center" vertical="center"/>
      <protection locked="0"/>
    </xf>
    <xf numFmtId="177" fontId="7" fillId="0" borderId="1" xfId="12" applyNumberFormat="1" applyFont="1" applyFill="1" applyBorder="1" applyAlignment="1" applyProtection="1">
      <alignment horizontal="right" vertical="center"/>
    </xf>
    <xf numFmtId="176" fontId="7" fillId="0" borderId="1" xfId="12" applyFont="1" applyFill="1" applyBorder="1" applyAlignment="1" applyProtection="1">
      <alignment horizontal="right" vertical="center"/>
      <protection locked="0"/>
    </xf>
    <xf numFmtId="0" fontId="7" fillId="0" borderId="1" xfId="11" applyFont="1" applyBorder="1" applyAlignment="1">
      <alignment vertical="center"/>
    </xf>
    <xf numFmtId="176" fontId="7" fillId="0" borderId="1" xfId="13" applyFont="1" applyFill="1" applyBorder="1" applyAlignment="1" applyProtection="1">
      <alignment horizontal="center" vertical="center"/>
      <protection locked="0"/>
    </xf>
    <xf numFmtId="181" fontId="7" fillId="0" borderId="1" xfId="12" applyNumberFormat="1" applyFont="1" applyFill="1" applyBorder="1" applyAlignment="1" applyProtection="1">
      <alignment vertical="center"/>
      <protection locked="0"/>
    </xf>
    <xf numFmtId="0" fontId="7" fillId="0" borderId="1" xfId="11" applyFont="1" applyBorder="1"/>
    <xf numFmtId="0" fontId="7" fillId="0" borderId="1" xfId="7" applyFont="1" applyBorder="1" applyAlignment="1" applyProtection="1">
      <alignment horizontal="center" vertical="center" wrapText="1"/>
    </xf>
    <xf numFmtId="177" fontId="7" fillId="0" borderId="1" xfId="9" applyNumberFormat="1" applyFont="1" applyFill="1" applyBorder="1" applyAlignment="1">
      <alignment horizontal="right" vertical="center" wrapText="1"/>
    </xf>
    <xf numFmtId="180" fontId="7" fillId="0" borderId="1" xfId="6" applyNumberFormat="1" applyFont="1" applyBorder="1" applyAlignment="1">
      <alignment vertical="center"/>
      <protection locked="0"/>
    </xf>
    <xf numFmtId="177" fontId="7" fillId="0" borderId="1" xfId="1" applyNumberFormat="1" applyFont="1" applyFill="1" applyBorder="1" applyAlignment="1">
      <alignment horizontal="right" vertical="center" wrapText="1"/>
    </xf>
    <xf numFmtId="180" fontId="7" fillId="0" borderId="1" xfId="3" applyNumberFormat="1" applyFont="1" applyBorder="1" applyAlignment="1">
      <alignment horizontal="right" vertical="center"/>
      <protection locked="0"/>
    </xf>
    <xf numFmtId="176" fontId="7" fillId="0" borderId="1" xfId="1" applyFont="1" applyFill="1" applyBorder="1" applyAlignment="1" applyProtection="1">
      <alignment horizontal="center" vertical="center"/>
      <protection locked="0"/>
    </xf>
    <xf numFmtId="176" fontId="7" fillId="0" borderId="1" xfId="1" applyFont="1" applyFill="1" applyBorder="1" applyAlignment="1" applyProtection="1">
      <alignment horizontal="left" vertical="center"/>
      <protection locked="0"/>
    </xf>
    <xf numFmtId="0" fontId="7" fillId="0" borderId="1" xfId="6" applyFont="1" applyBorder="1" applyAlignment="1">
      <alignment horizontal="left" vertical="center"/>
      <protection locked="0"/>
    </xf>
    <xf numFmtId="0" fontId="7" fillId="0" borderId="1" xfId="6" applyFont="1" applyBorder="1" applyAlignment="1">
      <alignment vertical="center"/>
      <protection locked="0"/>
    </xf>
    <xf numFmtId="14" fontId="7" fillId="0" borderId="1" xfId="14" applyNumberFormat="1" applyFont="1" applyBorder="1" applyAlignment="1" applyProtection="1">
      <alignment horizontal="center" vertical="center"/>
    </xf>
    <xf numFmtId="14" fontId="7" fillId="0" borderId="1" xfId="3" applyNumberFormat="1" applyFont="1" applyBorder="1" applyAlignment="1">
      <alignment horizontal="center" vertical="center"/>
      <protection locked="0"/>
    </xf>
    <xf numFmtId="177" fontId="7" fillId="0" borderId="1" xfId="4" applyNumberFormat="1" applyFont="1" applyBorder="1" applyAlignment="1">
      <alignment horizontal="right" vertical="center"/>
      <protection locked="0"/>
    </xf>
    <xf numFmtId="177" fontId="7" fillId="0" borderId="1" xfId="3" applyNumberFormat="1" applyFont="1" applyBorder="1" applyAlignment="1">
      <alignment horizontal="right" vertical="center"/>
      <protection locked="0"/>
    </xf>
    <xf numFmtId="0" fontId="7" fillId="0" borderId="1" xfId="4" applyFont="1" applyBorder="1" applyAlignment="1">
      <alignment horizontal="left" vertical="center" wrapText="1"/>
      <protection locked="0"/>
    </xf>
    <xf numFmtId="0" fontId="7" fillId="0" borderId="1" xfId="3" applyFont="1" applyBorder="1" applyAlignment="1">
      <alignment horizontal="left" vertical="top"/>
      <protection locked="0"/>
    </xf>
    <xf numFmtId="14" fontId="7" fillId="0" borderId="1" xfId="14" applyNumberFormat="1" applyFont="1" applyBorder="1" applyAlignment="1">
      <alignment horizontal="center" vertical="center"/>
      <protection locked="0"/>
    </xf>
    <xf numFmtId="40" fontId="7" fillId="3" borderId="1" xfId="4" applyNumberFormat="1" applyFont="1" applyFill="1" applyBorder="1" applyAlignment="1" applyProtection="1">
      <alignment vertical="center"/>
    </xf>
    <xf numFmtId="10" fontId="7" fillId="0" borderId="1" xfId="4" applyNumberFormat="1" applyFont="1" applyBorder="1" applyAlignment="1">
      <alignment horizontal="left" vertical="center"/>
      <protection locked="0"/>
    </xf>
    <xf numFmtId="0" fontId="7" fillId="0" borderId="1" xfId="8" applyFont="1" applyBorder="1" applyAlignment="1" applyProtection="1">
      <alignment vertical="center" wrapText="1"/>
      <protection locked="0"/>
    </xf>
    <xf numFmtId="0" fontId="8" fillId="0" borderId="1" xfId="8" applyFont="1" applyBorder="1" applyAlignment="1" applyProtection="1">
      <alignment horizontal="center" vertical="center"/>
      <protection locked="0"/>
    </xf>
    <xf numFmtId="0" fontId="8" fillId="0" borderId="1" xfId="8" applyFont="1" applyBorder="1" applyAlignment="1">
      <alignment horizontal="center" vertical="center"/>
    </xf>
    <xf numFmtId="0" fontId="8" fillId="0" borderId="1" xfId="8" applyFont="1" applyBorder="1" applyAlignment="1" applyProtection="1">
      <alignment horizontal="left" vertical="center"/>
      <protection locked="0"/>
    </xf>
    <xf numFmtId="0" fontId="8" fillId="0" borderId="1" xfId="3" applyFont="1" applyBorder="1" applyAlignment="1">
      <alignment vertical="center"/>
      <protection locked="0"/>
    </xf>
    <xf numFmtId="49" fontId="8" fillId="0" borderId="1" xfId="8" applyNumberFormat="1" applyFont="1" applyBorder="1" applyAlignment="1" applyProtection="1">
      <alignment horizontal="center" vertical="center"/>
      <protection locked="0"/>
    </xf>
    <xf numFmtId="177" fontId="8" fillId="0" borderId="1" xfId="6" applyNumberFormat="1" applyFont="1" applyBorder="1" applyAlignment="1">
      <alignment horizontal="right" vertical="center"/>
      <protection locked="0"/>
    </xf>
    <xf numFmtId="0" fontId="8" fillId="0" borderId="1" xfId="8" applyFont="1" applyBorder="1" applyAlignment="1" applyProtection="1">
      <alignment vertical="center"/>
      <protection locked="0"/>
    </xf>
    <xf numFmtId="40" fontId="8" fillId="0" borderId="1" xfId="4" applyNumberFormat="1" applyFont="1" applyBorder="1" applyAlignment="1" applyProtection="1">
      <alignment vertical="center"/>
    </xf>
    <xf numFmtId="0" fontId="8" fillId="0" borderId="1" xfId="8" applyFont="1" applyBorder="1"/>
    <xf numFmtId="180" fontId="8" fillId="0" borderId="1" xfId="0" applyNumberFormat="1" applyFont="1" applyBorder="1"/>
    <xf numFmtId="0" fontId="7" fillId="0" borderId="1" xfId="0" applyFont="1" applyBorder="1" applyAlignment="1" applyProtection="1">
      <alignment horizontal="left" vertical="center"/>
      <protection locked="0"/>
    </xf>
    <xf numFmtId="0" fontId="7" fillId="0" borderId="1" xfId="14" applyFont="1" applyBorder="1" applyAlignment="1">
      <alignment horizontal="center" vertical="center"/>
      <protection locked="0"/>
    </xf>
    <xf numFmtId="177" fontId="7" fillId="0" borderId="1" xfId="0" applyNumberFormat="1" applyFont="1" applyBorder="1" applyAlignment="1" applyProtection="1">
      <alignment horizontal="right" vertical="center"/>
      <protection locked="0"/>
    </xf>
    <xf numFmtId="180" fontId="7" fillId="0" borderId="1" xfId="3" applyNumberFormat="1" applyFont="1" applyBorder="1" applyAlignment="1">
      <alignment horizontal="left" vertical="center"/>
      <protection locked="0"/>
    </xf>
    <xf numFmtId="14" fontId="7" fillId="0" borderId="1" xfId="7" applyNumberFormat="1" applyFont="1" applyBorder="1" applyAlignment="1">
      <alignment horizontal="center" vertical="center"/>
      <protection locked="0"/>
    </xf>
    <xf numFmtId="177" fontId="7" fillId="0" borderId="1" xfId="14" applyNumberFormat="1" applyFont="1" applyBorder="1" applyAlignment="1">
      <alignment horizontal="right" vertical="center"/>
      <protection locked="0"/>
    </xf>
    <xf numFmtId="14" fontId="7" fillId="0" borderId="1" xfId="4" applyNumberFormat="1" applyFont="1" applyBorder="1" applyAlignment="1">
      <alignment horizontal="left" vertical="center"/>
      <protection locked="0"/>
    </xf>
    <xf numFmtId="183" fontId="7" fillId="0" borderId="1" xfId="1" applyNumberFormat="1" applyFont="1" applyFill="1" applyBorder="1" applyAlignment="1">
      <alignment horizontal="right"/>
    </xf>
    <xf numFmtId="40" fontId="7" fillId="0" borderId="1" xfId="4" applyNumberFormat="1" applyFont="1" applyBorder="1" applyAlignment="1">
      <alignment horizontal="left" vertical="center"/>
      <protection locked="0"/>
    </xf>
    <xf numFmtId="40" fontId="7" fillId="0" borderId="1" xfId="4" applyNumberFormat="1" applyFont="1" applyBorder="1" applyAlignment="1">
      <alignment vertical="center"/>
      <protection locked="0"/>
    </xf>
    <xf numFmtId="14" fontId="7" fillId="0" borderId="1" xfId="15" applyNumberFormat="1" applyFont="1" applyBorder="1" applyAlignment="1" applyProtection="1">
      <alignment horizontal="center" vertical="center"/>
      <protection locked="0"/>
    </xf>
    <xf numFmtId="0" fontId="7" fillId="0" borderId="1" xfId="5" applyFont="1" applyBorder="1" applyAlignment="1" applyProtection="1">
      <alignment vertical="center"/>
      <protection locked="0"/>
    </xf>
    <xf numFmtId="0" fontId="7" fillId="0" borderId="1" xfId="16" applyFont="1" applyBorder="1" applyAlignment="1">
      <alignment horizontal="left" vertical="center"/>
      <protection locked="0"/>
    </xf>
    <xf numFmtId="0" fontId="7" fillId="0" borderId="1" xfId="16" applyFont="1" applyBorder="1" applyAlignment="1">
      <alignment vertical="center"/>
      <protection locked="0"/>
    </xf>
    <xf numFmtId="14" fontId="7" fillId="0" borderId="1" xfId="3" applyNumberFormat="1" applyFont="1" applyBorder="1" applyAlignment="1">
      <alignment horizontal="left" vertical="center"/>
      <protection locked="0"/>
    </xf>
    <xf numFmtId="181" fontId="7" fillId="0" borderId="1" xfId="11" applyNumberFormat="1" applyFont="1" applyBorder="1" applyAlignment="1">
      <alignment vertical="center"/>
    </xf>
    <xf numFmtId="184" fontId="7" fillId="0" borderId="1" xfId="7" applyNumberFormat="1" applyFont="1" applyBorder="1" applyAlignment="1">
      <alignment horizontal="center" vertical="center"/>
      <protection locked="0"/>
    </xf>
    <xf numFmtId="14" fontId="7" fillId="0" borderId="1" xfId="6" applyNumberFormat="1" applyFont="1" applyBorder="1" applyAlignment="1">
      <alignment horizontal="center" vertical="center" wrapText="1"/>
      <protection locked="0"/>
    </xf>
    <xf numFmtId="184" fontId="7" fillId="0" borderId="1" xfId="1" applyNumberFormat="1" applyFont="1" applyFill="1" applyBorder="1" applyAlignment="1">
      <alignment horizontal="right" vertical="center"/>
    </xf>
    <xf numFmtId="0" fontId="7" fillId="0" borderId="1" xfId="7" applyFont="1" applyBorder="1" applyAlignment="1">
      <alignment horizontal="center" vertical="center" wrapText="1"/>
      <protection locked="0"/>
    </xf>
    <xf numFmtId="176" fontId="7" fillId="0" borderId="1" xfId="1" applyFont="1" applyFill="1" applyBorder="1" applyAlignment="1" applyProtection="1">
      <alignment horizontal="right" vertical="center"/>
      <protection locked="0"/>
    </xf>
    <xf numFmtId="14" fontId="7" fillId="0" borderId="1" xfId="10" applyNumberFormat="1" applyFont="1" applyBorder="1" applyAlignment="1">
      <alignment horizontal="left" vertical="center"/>
      <protection locked="0"/>
    </xf>
    <xf numFmtId="14" fontId="7" fillId="0" borderId="1" xfId="4" applyNumberFormat="1" applyFont="1" applyBorder="1" applyAlignment="1">
      <alignment vertical="center"/>
      <protection locked="0"/>
    </xf>
    <xf numFmtId="0" fontId="7" fillId="0" borderId="1" xfId="11" applyFont="1" applyBorder="1" applyAlignment="1">
      <alignment horizontal="left" vertical="center"/>
    </xf>
    <xf numFmtId="14" fontId="7" fillId="0" borderId="1" xfId="11" applyNumberFormat="1" applyFont="1" applyBorder="1" applyAlignment="1">
      <alignment horizontal="center" vertical="center" wrapText="1"/>
    </xf>
    <xf numFmtId="40" fontId="7" fillId="0" borderId="1" xfId="4" applyNumberFormat="1" applyFont="1" applyBorder="1" applyAlignment="1" applyProtection="1">
      <alignment horizontal="center" vertical="center" wrapText="1"/>
    </xf>
    <xf numFmtId="176" fontId="7" fillId="0" borderId="1" xfId="13" applyFont="1" applyFill="1" applyBorder="1" applyAlignment="1">
      <alignment horizontal="right" vertical="center"/>
    </xf>
    <xf numFmtId="40" fontId="7" fillId="0" borderId="1" xfId="4" applyNumberFormat="1" applyFont="1" applyBorder="1" applyAlignment="1" applyProtection="1">
      <alignment horizontal="left" vertical="top"/>
    </xf>
    <xf numFmtId="40" fontId="7" fillId="0" borderId="1" xfId="4" applyNumberFormat="1" applyFont="1" applyBorder="1" applyAlignment="1" applyProtection="1">
      <alignment horizontal="left" vertical="top" wrapText="1"/>
    </xf>
    <xf numFmtId="180" fontId="7" fillId="0" borderId="1" xfId="3" applyNumberFormat="1" applyFont="1" applyBorder="1" applyAlignment="1">
      <alignment horizontal="center" vertical="center" wrapText="1"/>
      <protection locked="0"/>
    </xf>
    <xf numFmtId="176" fontId="7" fillId="0" borderId="1" xfId="17" applyFont="1" applyFill="1" applyBorder="1" applyAlignment="1">
      <alignment vertical="center"/>
    </xf>
    <xf numFmtId="180" fontId="7" fillId="0" borderId="1" xfId="4" applyNumberFormat="1" applyFont="1" applyBorder="1" applyAlignment="1">
      <alignment horizontal="center" vertical="center"/>
      <protection locked="0"/>
    </xf>
    <xf numFmtId="40" fontId="7" fillId="0" borderId="1" xfId="17" applyNumberFormat="1" applyFont="1" applyFill="1" applyBorder="1" applyAlignment="1" applyProtection="1">
      <alignment horizontal="center" vertical="center"/>
    </xf>
    <xf numFmtId="176" fontId="7" fillId="0" borderId="1" xfId="17" applyFont="1" applyFill="1" applyBorder="1" applyAlignment="1" applyProtection="1">
      <alignment horizontal="right" vertical="center"/>
      <protection locked="0"/>
    </xf>
    <xf numFmtId="177" fontId="7" fillId="0" borderId="1" xfId="11" applyNumberFormat="1" applyFont="1" applyBorder="1" applyAlignment="1">
      <alignment horizontal="right" vertical="center"/>
    </xf>
    <xf numFmtId="9" fontId="7" fillId="0" borderId="1" xfId="11" applyNumberFormat="1" applyFont="1" applyBorder="1" applyAlignment="1">
      <alignment horizontal="left" vertical="center"/>
    </xf>
    <xf numFmtId="176" fontId="7" fillId="0" borderId="1" xfId="9" applyFont="1" applyFill="1" applyBorder="1" applyAlignment="1">
      <alignment horizontal="center" vertical="center"/>
    </xf>
    <xf numFmtId="178" fontId="7" fillId="0" borderId="1" xfId="3" applyNumberFormat="1" applyFont="1" applyBorder="1" applyAlignment="1">
      <alignment horizontal="center" vertical="center"/>
      <protection locked="0"/>
    </xf>
    <xf numFmtId="14" fontId="7" fillId="0" borderId="1" xfId="5" applyNumberFormat="1" applyFont="1" applyBorder="1" applyAlignment="1">
      <alignment horizontal="center" vertical="center"/>
    </xf>
    <xf numFmtId="14" fontId="7" fillId="0" borderId="1" xfId="5" applyNumberFormat="1" applyFont="1" applyBorder="1" applyAlignment="1">
      <alignment horizontal="left" vertical="center"/>
    </xf>
    <xf numFmtId="14" fontId="7" fillId="0" borderId="1" xfId="5" applyNumberFormat="1" applyFont="1" applyBorder="1" applyAlignment="1">
      <alignment vertical="center"/>
    </xf>
    <xf numFmtId="176" fontId="7" fillId="0" borderId="1" xfId="1" applyFont="1" applyFill="1" applyBorder="1" applyAlignment="1" applyProtection="1">
      <alignment vertical="center"/>
      <protection locked="0"/>
    </xf>
    <xf numFmtId="185" fontId="7" fillId="0" borderId="1" xfId="4" applyNumberFormat="1" applyFont="1" applyBorder="1" applyAlignment="1" applyProtection="1">
      <alignment horizontal="left" vertical="center"/>
    </xf>
    <xf numFmtId="49" fontId="7" fillId="0" borderId="1" xfId="0" applyNumberFormat="1" applyFont="1" applyBorder="1" applyAlignment="1" applyProtection="1">
      <alignment horizontal="center" vertical="center"/>
      <protection locked="0"/>
    </xf>
    <xf numFmtId="0" fontId="7" fillId="0" borderId="1" xfId="3" applyFont="1" applyBorder="1" applyAlignment="1">
      <alignment vertical="center"/>
      <protection locked="0"/>
    </xf>
    <xf numFmtId="176" fontId="7" fillId="0" borderId="1" xfId="1" applyFont="1" applyFill="1" applyBorder="1" applyAlignment="1" applyProtection="1">
      <alignment horizontal="left" vertical="center"/>
    </xf>
    <xf numFmtId="40" fontId="7" fillId="0" borderId="1" xfId="4" applyNumberFormat="1" applyFont="1" applyBorder="1" applyAlignment="1" applyProtection="1">
      <alignment vertical="center" wrapText="1"/>
    </xf>
    <xf numFmtId="0" fontId="7" fillId="0" borderId="1" xfId="8" applyFont="1" applyBorder="1" applyAlignment="1" applyProtection="1">
      <alignment horizontal="left" vertical="center" wrapText="1"/>
      <protection locked="0"/>
    </xf>
    <xf numFmtId="0" fontId="7" fillId="0" borderId="1" xfId="0" applyFont="1" applyBorder="1" applyAlignment="1">
      <alignment vertical="center"/>
    </xf>
    <xf numFmtId="176" fontId="7" fillId="0" borderId="1" xfId="1" applyFont="1" applyFill="1" applyBorder="1" applyAlignment="1" applyProtection="1">
      <alignment horizontal="center" vertical="center"/>
    </xf>
    <xf numFmtId="0" fontId="7" fillId="0" borderId="1" xfId="8" applyFont="1" applyBorder="1" applyAlignment="1" applyProtection="1">
      <alignment horizontal="center" vertical="center" wrapText="1"/>
      <protection locked="0"/>
    </xf>
    <xf numFmtId="186" fontId="7" fillId="0" borderId="1" xfId="1" applyNumberFormat="1" applyFont="1" applyFill="1" applyBorder="1" applyAlignment="1">
      <alignment horizontal="right"/>
    </xf>
    <xf numFmtId="0" fontId="7" fillId="0" borderId="1" xfId="0" applyFont="1" applyBorder="1" applyAlignment="1">
      <alignment horizontal="center" vertical="center" wrapText="1"/>
    </xf>
    <xf numFmtId="186" fontId="7" fillId="0" borderId="1" xfId="1" applyNumberFormat="1" applyFont="1" applyFill="1" applyBorder="1" applyAlignment="1">
      <alignment horizontal="right" vertical="center"/>
    </xf>
    <xf numFmtId="178" fontId="7" fillId="0" borderId="1" xfId="0" applyNumberFormat="1" applyFont="1" applyBorder="1" applyAlignment="1">
      <alignment horizontal="center" vertical="center"/>
    </xf>
    <xf numFmtId="177" fontId="7" fillId="0" borderId="1" xfId="0" applyNumberFormat="1" applyFont="1" applyBorder="1" applyAlignment="1">
      <alignment horizontal="right" vertical="center" wrapText="1"/>
    </xf>
    <xf numFmtId="178" fontId="7" fillId="0" borderId="1" xfId="1" applyNumberFormat="1" applyFont="1" applyFill="1" applyBorder="1" applyAlignment="1">
      <alignment horizontal="right" vertical="center"/>
    </xf>
    <xf numFmtId="176" fontId="7" fillId="0" borderId="1" xfId="1" applyFont="1" applyFill="1" applyBorder="1" applyAlignment="1">
      <alignment horizontal="right"/>
    </xf>
    <xf numFmtId="14" fontId="7" fillId="0" borderId="1" xfId="3" applyNumberFormat="1" applyFont="1" applyBorder="1" applyAlignment="1">
      <alignment horizontal="center" vertical="center" wrapText="1"/>
      <protection locked="0"/>
    </xf>
    <xf numFmtId="0" fontId="7" fillId="0" borderId="1" xfId="3" applyFont="1" applyBorder="1" applyAlignment="1" applyProtection="1">
      <alignment vertical="center"/>
    </xf>
    <xf numFmtId="180" fontId="7" fillId="0" borderId="1" xfId="1" applyNumberFormat="1" applyFont="1" applyFill="1" applyBorder="1" applyAlignment="1">
      <alignment horizontal="right"/>
    </xf>
    <xf numFmtId="176" fontId="7" fillId="0" borderId="1" xfId="1" applyFont="1" applyFill="1" applyBorder="1" applyAlignment="1">
      <alignment horizontal="center" vertical="center"/>
    </xf>
    <xf numFmtId="183" fontId="7" fillId="0" borderId="1" xfId="1" applyNumberFormat="1" applyFont="1" applyFill="1" applyBorder="1" applyAlignment="1">
      <alignment horizontal="right" vertical="center"/>
    </xf>
    <xf numFmtId="177" fontId="7" fillId="0" borderId="1" xfId="1" applyNumberFormat="1" applyFont="1" applyFill="1" applyBorder="1" applyAlignment="1">
      <alignment horizontal="right"/>
    </xf>
    <xf numFmtId="0" fontId="7" fillId="0" borderId="1" xfId="1" applyNumberFormat="1" applyFont="1" applyFill="1" applyBorder="1" applyAlignment="1">
      <alignment horizontal="center" vertical="center"/>
    </xf>
    <xf numFmtId="10" fontId="7" fillId="0" borderId="1" xfId="2" applyNumberFormat="1" applyFont="1" applyFill="1" applyBorder="1" applyAlignment="1" applyProtection="1">
      <alignment horizontal="left" vertical="center"/>
    </xf>
    <xf numFmtId="184" fontId="7" fillId="0" borderId="1" xfId="1" applyNumberFormat="1" applyFont="1" applyFill="1" applyBorder="1" applyAlignment="1">
      <alignment horizontal="right"/>
    </xf>
    <xf numFmtId="187" fontId="7" fillId="0" borderId="1" xfId="1" applyNumberFormat="1" applyFont="1" applyFill="1" applyBorder="1" applyAlignment="1">
      <alignment horizontal="center" vertical="center"/>
    </xf>
    <xf numFmtId="177" fontId="7" fillId="0" borderId="1" xfId="0" applyNumberFormat="1" applyFont="1" applyBorder="1" applyAlignment="1">
      <alignment horizontal="center"/>
    </xf>
    <xf numFmtId="180" fontId="7" fillId="0" borderId="1" xfId="6" applyNumberFormat="1" applyFont="1" applyBorder="1" applyAlignment="1">
      <alignment horizontal="right" vertical="center"/>
      <protection locked="0"/>
    </xf>
    <xf numFmtId="183" fontId="7" fillId="0" borderId="1" xfId="9" applyNumberFormat="1" applyFont="1" applyFill="1" applyBorder="1" applyAlignment="1" applyProtection="1">
      <alignment horizontal="right" vertical="center"/>
    </xf>
    <xf numFmtId="0" fontId="7" fillId="0" borderId="1" xfId="9" applyNumberFormat="1" applyFont="1" applyFill="1" applyBorder="1" applyAlignment="1" applyProtection="1">
      <alignment horizontal="right" vertical="center"/>
    </xf>
    <xf numFmtId="176" fontId="7" fillId="0" borderId="1" xfId="1" applyFont="1" applyFill="1" applyBorder="1" applyAlignment="1"/>
    <xf numFmtId="177" fontId="7" fillId="0" borderId="1" xfId="17" applyNumberFormat="1" applyFont="1" applyFill="1" applyBorder="1" applyAlignment="1" applyProtection="1">
      <alignment horizontal="right" vertical="center"/>
      <protection locked="0"/>
    </xf>
    <xf numFmtId="180" fontId="7" fillId="0" borderId="1" xfId="11" applyNumberFormat="1" applyFont="1" applyBorder="1" applyAlignment="1">
      <alignment horizontal="left" vertical="center"/>
    </xf>
    <xf numFmtId="180" fontId="7" fillId="0" borderId="1" xfId="4" applyNumberFormat="1" applyFont="1" applyBorder="1" applyAlignment="1" applyProtection="1">
      <alignment horizontal="left" vertical="center" wrapText="1"/>
    </xf>
    <xf numFmtId="181" fontId="7" fillId="0" borderId="1" xfId="4" applyNumberFormat="1" applyFont="1" applyBorder="1" applyAlignment="1" applyProtection="1">
      <alignment horizontal="left" vertical="center" wrapText="1"/>
    </xf>
    <xf numFmtId="180" fontId="7" fillId="0" borderId="1" xfId="4" applyNumberFormat="1" applyFont="1" applyBorder="1" applyAlignment="1">
      <alignment horizontal="right" vertical="center"/>
      <protection locked="0"/>
    </xf>
    <xf numFmtId="9" fontId="7" fillId="0" borderId="1" xfId="18" applyFont="1" applyFill="1" applyBorder="1" applyAlignment="1">
      <alignment horizontal="right" vertical="center"/>
    </xf>
    <xf numFmtId="181" fontId="7" fillId="0" borderId="1" xfId="4" applyNumberFormat="1" applyFont="1" applyBorder="1" applyAlignment="1" applyProtection="1">
      <alignment horizontal="center" vertical="center" wrapText="1"/>
    </xf>
    <xf numFmtId="180" fontId="7" fillId="0" borderId="1" xfId="11" applyNumberFormat="1" applyFont="1" applyBorder="1" applyAlignment="1">
      <alignment horizontal="right" vertical="center"/>
    </xf>
    <xf numFmtId="180" fontId="7" fillId="0" borderId="1" xfId="4" applyNumberFormat="1" applyFont="1" applyBorder="1" applyAlignment="1" applyProtection="1">
      <alignment horizontal="right" vertical="center" wrapText="1"/>
    </xf>
    <xf numFmtId="180" fontId="7" fillId="0" borderId="1" xfId="0" applyNumberFormat="1" applyFont="1" applyBorder="1" applyAlignment="1">
      <alignment horizontal="center"/>
    </xf>
    <xf numFmtId="176" fontId="7" fillId="0" borderId="1" xfId="1" applyFont="1" applyFill="1" applyBorder="1" applyAlignment="1">
      <alignment vertical="center"/>
    </xf>
    <xf numFmtId="0" fontId="7" fillId="0" borderId="1" xfId="0" applyFont="1" applyBorder="1" applyAlignment="1">
      <alignment horizontal="right" vertical="center"/>
    </xf>
    <xf numFmtId="14" fontId="7" fillId="0" borderId="1" xfId="11" applyNumberFormat="1" applyFont="1" applyBorder="1" applyAlignment="1">
      <alignment horizontal="center" vertical="center"/>
    </xf>
    <xf numFmtId="0" fontId="8" fillId="0" borderId="1" xfId="4" applyFont="1" applyBorder="1" applyAlignment="1">
      <alignment vertical="center"/>
      <protection locked="0"/>
    </xf>
    <xf numFmtId="0" fontId="8" fillId="0" borderId="1" xfId="5" applyFont="1" applyBorder="1" applyAlignment="1">
      <alignment horizontal="left" vertical="center"/>
    </xf>
    <xf numFmtId="0" fontId="8" fillId="0" borderId="1" xfId="6" applyFont="1" applyBorder="1" applyAlignment="1">
      <alignment horizontal="center" vertical="center"/>
      <protection locked="0"/>
    </xf>
    <xf numFmtId="49" fontId="8" fillId="0" borderId="1" xfId="4" applyNumberFormat="1" applyFont="1" applyBorder="1" applyAlignment="1">
      <alignment horizontal="center" vertical="center"/>
      <protection locked="0"/>
    </xf>
    <xf numFmtId="14" fontId="8" fillId="0" borderId="1" xfId="4" applyNumberFormat="1" applyFont="1" applyBorder="1" applyAlignment="1">
      <alignment horizontal="center" vertical="center"/>
      <protection locked="0"/>
    </xf>
    <xf numFmtId="177" fontId="8" fillId="0" borderId="1" xfId="9" applyNumberFormat="1" applyFont="1" applyFill="1" applyBorder="1" applyAlignment="1" applyProtection="1">
      <alignment horizontal="right" vertical="center"/>
      <protection locked="0"/>
    </xf>
    <xf numFmtId="0" fontId="8" fillId="0" borderId="1" xfId="4" applyFont="1" applyBorder="1" applyAlignment="1">
      <alignment horizontal="left" vertical="center"/>
      <protection locked="0"/>
    </xf>
    <xf numFmtId="0" fontId="8" fillId="0" borderId="1" xfId="7" applyFont="1" applyBorder="1" applyAlignment="1">
      <alignment horizontal="center" vertical="center"/>
      <protection locked="0"/>
    </xf>
    <xf numFmtId="0" fontId="8" fillId="0" borderId="1" xfId="5" applyFont="1" applyBorder="1" applyAlignment="1">
      <alignment horizontal="left"/>
    </xf>
    <xf numFmtId="177" fontId="7" fillId="2" borderId="1" xfId="1" applyNumberFormat="1" applyFont="1" applyFill="1" applyBorder="1" applyAlignment="1" applyProtection="1">
      <alignment horizontal="right" vertical="center"/>
    </xf>
    <xf numFmtId="0" fontId="0" fillId="0" borderId="1" xfId="0" applyBorder="1"/>
    <xf numFmtId="177" fontId="7" fillId="2" borderId="1" xfId="1" applyNumberFormat="1" applyFont="1" applyFill="1" applyBorder="1" applyAlignment="1" applyProtection="1">
      <alignment horizontal="right" vertical="center"/>
      <protection locked="0"/>
    </xf>
    <xf numFmtId="184" fontId="7" fillId="0" borderId="1" xfId="17" applyNumberFormat="1" applyFont="1" applyFill="1" applyBorder="1" applyAlignment="1">
      <alignment horizontal="right" vertical="center"/>
    </xf>
    <xf numFmtId="177" fontId="7" fillId="2" borderId="1" xfId="17" applyNumberFormat="1" applyFont="1" applyFill="1" applyBorder="1" applyAlignment="1" applyProtection="1">
      <alignment horizontal="right" vertical="center"/>
      <protection locked="0"/>
    </xf>
    <xf numFmtId="176" fontId="7" fillId="0" borderId="1" xfId="17" applyFont="1" applyFill="1" applyBorder="1" applyAlignment="1">
      <alignment horizontal="right" vertical="center"/>
    </xf>
    <xf numFmtId="40" fontId="7" fillId="0" borderId="1" xfId="17" applyNumberFormat="1" applyFont="1" applyFill="1" applyBorder="1" applyAlignment="1">
      <alignment horizontal="center" vertical="center"/>
    </xf>
    <xf numFmtId="188" fontId="7" fillId="0" borderId="1" xfId="1" applyNumberFormat="1" applyFont="1" applyFill="1" applyBorder="1" applyAlignment="1">
      <alignment horizontal="right" vertical="center"/>
    </xf>
    <xf numFmtId="188" fontId="7" fillId="0" borderId="1" xfId="1" applyNumberFormat="1" applyFont="1" applyFill="1" applyBorder="1" applyAlignment="1">
      <alignment horizontal="center" vertical="center"/>
    </xf>
    <xf numFmtId="189" fontId="7" fillId="0" borderId="1" xfId="1" applyNumberFormat="1" applyFont="1" applyFill="1" applyBorder="1" applyAlignment="1">
      <alignment horizontal="right" vertical="center"/>
    </xf>
    <xf numFmtId="189" fontId="7" fillId="0" borderId="1" xfId="1" applyNumberFormat="1" applyFont="1" applyFill="1" applyBorder="1" applyAlignment="1">
      <alignment horizontal="center" vertical="center"/>
    </xf>
    <xf numFmtId="190" fontId="7" fillId="0" borderId="1" xfId="1" applyNumberFormat="1" applyFont="1" applyFill="1" applyBorder="1" applyAlignment="1">
      <alignment horizontal="center" vertical="center"/>
    </xf>
    <xf numFmtId="187" fontId="7" fillId="0" borderId="1" xfId="1" applyNumberFormat="1" applyFont="1" applyFill="1" applyBorder="1" applyAlignment="1">
      <alignment horizontal="right"/>
    </xf>
    <xf numFmtId="186" fontId="7" fillId="0" borderId="1" xfId="13" applyNumberFormat="1" applyFont="1" applyFill="1" applyBorder="1" applyAlignment="1">
      <alignment horizontal="right" vertical="center"/>
    </xf>
    <xf numFmtId="0" fontId="7" fillId="0" borderId="0" xfId="0" applyFont="1" applyAlignment="1">
      <alignment vertical="top"/>
    </xf>
    <xf numFmtId="0" fontId="7" fillId="0" borderId="0" xfId="0" applyFont="1" applyAlignment="1">
      <alignment horizontal="center"/>
    </xf>
    <xf numFmtId="177" fontId="7" fillId="0" borderId="0" xfId="1" applyNumberFormat="1" applyFont="1" applyFill="1" applyBorder="1" applyAlignment="1">
      <alignment horizontal="right"/>
    </xf>
    <xf numFmtId="178" fontId="7" fillId="0" borderId="0" xfId="1" applyNumberFormat="1" applyFont="1" applyFill="1" applyBorder="1" applyAlignment="1">
      <alignment horizontal="right"/>
    </xf>
    <xf numFmtId="0" fontId="7" fillId="0" borderId="0" xfId="0" applyFont="1" applyAlignment="1">
      <alignment horizontal="right"/>
    </xf>
    <xf numFmtId="10" fontId="7" fillId="0" borderId="0" xfId="2" applyNumberFormat="1" applyFont="1" applyFill="1" applyBorder="1" applyAlignment="1">
      <alignment horizontal="left"/>
    </xf>
    <xf numFmtId="176" fontId="7" fillId="0" borderId="0" xfId="1" applyFont="1" applyFill="1" applyBorder="1" applyAlignment="1">
      <alignment horizontal="right"/>
    </xf>
    <xf numFmtId="14" fontId="7" fillId="0" borderId="0" xfId="0" applyNumberFormat="1" applyFont="1"/>
    <xf numFmtId="49" fontId="2" fillId="0" borderId="0" xfId="1" applyNumberFormat="1" applyFont="1" applyFill="1" applyBorder="1" applyAlignment="1">
      <alignment horizontal="left" vertical="center"/>
    </xf>
    <xf numFmtId="180" fontId="7" fillId="0" borderId="0" xfId="0" applyNumberFormat="1" applyFont="1" applyAlignment="1">
      <alignment horizontal="right"/>
    </xf>
    <xf numFmtId="180" fontId="7" fillId="0" borderId="0" xfId="0" applyNumberFormat="1" applyFont="1"/>
    <xf numFmtId="177" fontId="7" fillId="0" borderId="0" xfId="0" applyNumberFormat="1" applyFont="1"/>
    <xf numFmtId="14" fontId="7" fillId="0" borderId="0" xfId="6" applyNumberFormat="1" applyFont="1" applyAlignment="1">
      <alignment horizontal="left" vertical="center"/>
      <protection locked="0"/>
    </xf>
    <xf numFmtId="40" fontId="7" fillId="0" borderId="0" xfId="4" applyNumberFormat="1" applyFont="1" applyAlignment="1" applyProtection="1">
      <alignment horizontal="left" vertical="center"/>
    </xf>
    <xf numFmtId="0" fontId="7" fillId="0" borderId="0" xfId="0" applyFont="1" applyAlignment="1">
      <alignment horizontal="left"/>
    </xf>
    <xf numFmtId="0" fontId="7" fillId="4" borderId="1" xfId="3" applyFont="1" applyFill="1" applyBorder="1" applyAlignment="1">
      <alignment horizontal="left" vertical="center"/>
      <protection locked="0"/>
    </xf>
    <xf numFmtId="0" fontId="7" fillId="4" borderId="1" xfId="3" applyFont="1" applyFill="1" applyBorder="1" applyAlignment="1">
      <alignment horizontal="center" vertical="center"/>
      <protection locked="0"/>
    </xf>
    <xf numFmtId="177" fontId="7" fillId="4" borderId="1" xfId="1" applyNumberFormat="1" applyFont="1" applyFill="1" applyBorder="1" applyAlignment="1" applyProtection="1">
      <alignment horizontal="right" vertical="center"/>
    </xf>
    <xf numFmtId="0" fontId="7" fillId="4" borderId="1" xfId="0" applyFont="1" applyFill="1" applyBorder="1" applyAlignment="1">
      <alignment horizontal="center" vertical="center"/>
    </xf>
    <xf numFmtId="0" fontId="7" fillId="4" borderId="1" xfId="5" applyFont="1" applyFill="1" applyBorder="1" applyAlignment="1" applyProtection="1">
      <alignment horizontal="center" vertical="center"/>
      <protection locked="0"/>
    </xf>
    <xf numFmtId="0" fontId="7" fillId="4" borderId="1" xfId="0" applyFont="1" applyFill="1" applyBorder="1" applyAlignment="1" applyProtection="1">
      <alignment horizontal="center" vertical="center"/>
      <protection locked="0"/>
    </xf>
    <xf numFmtId="0" fontId="7" fillId="4" borderId="1" xfId="0" applyFont="1" applyFill="1" applyBorder="1" applyAlignment="1">
      <alignment horizontal="left" vertical="center"/>
    </xf>
    <xf numFmtId="0" fontId="7" fillId="4" borderId="1" xfId="4" applyFont="1" applyFill="1" applyBorder="1" applyAlignment="1" applyProtection="1">
      <alignment horizontal="center" vertical="center"/>
    </xf>
    <xf numFmtId="0" fontId="7" fillId="4" borderId="1" xfId="3" applyFont="1" applyFill="1" applyBorder="1" applyAlignment="1" applyProtection="1">
      <alignment horizontal="center" vertical="center"/>
    </xf>
    <xf numFmtId="0" fontId="7" fillId="4" borderId="1" xfId="7" applyFont="1" applyFill="1" applyBorder="1" applyAlignment="1" applyProtection="1">
      <alignment horizontal="center" vertical="center"/>
    </xf>
    <xf numFmtId="14" fontId="7" fillId="4" borderId="1" xfId="4" applyNumberFormat="1" applyFont="1" applyFill="1" applyBorder="1" applyAlignment="1" applyProtection="1">
      <alignment horizontal="center" vertical="center"/>
    </xf>
    <xf numFmtId="177" fontId="7" fillId="4" borderId="1" xfId="4" applyNumberFormat="1" applyFont="1" applyFill="1" applyBorder="1" applyAlignment="1" applyProtection="1">
      <alignment horizontal="right" vertical="center"/>
    </xf>
    <xf numFmtId="0" fontId="7" fillId="4" borderId="1" xfId="6" applyFont="1" applyFill="1" applyBorder="1" applyAlignment="1">
      <alignment horizontal="right" vertical="center"/>
      <protection locked="0"/>
    </xf>
    <xf numFmtId="0" fontId="7" fillId="4" borderId="1" xfId="10" applyFont="1" applyFill="1" applyBorder="1" applyAlignment="1">
      <alignment horizontal="left" vertical="center"/>
      <protection locked="0"/>
    </xf>
    <xf numFmtId="180" fontId="7" fillId="4" borderId="1" xfId="3" applyNumberFormat="1" applyFont="1" applyFill="1" applyBorder="1" applyAlignment="1">
      <alignment horizontal="center" vertical="center"/>
      <protection locked="0"/>
    </xf>
    <xf numFmtId="14" fontId="7" fillId="4" borderId="1" xfId="0" applyNumberFormat="1" applyFont="1" applyFill="1" applyBorder="1" applyAlignment="1">
      <alignment vertical="center"/>
    </xf>
    <xf numFmtId="180" fontId="7" fillId="4" borderId="1" xfId="0" applyNumberFormat="1" applyFont="1" applyFill="1" applyBorder="1"/>
    <xf numFmtId="0" fontId="7" fillId="4" borderId="1" xfId="0" applyFont="1" applyFill="1" applyBorder="1"/>
    <xf numFmtId="0" fontId="7" fillId="4" borderId="1" xfId="5" applyFont="1" applyFill="1" applyBorder="1" applyAlignment="1">
      <alignment horizontal="center" vertical="center"/>
    </xf>
    <xf numFmtId="0" fontId="7" fillId="4" borderId="1" xfId="5" applyFont="1" applyFill="1" applyBorder="1" applyAlignment="1">
      <alignment horizontal="left" vertical="center"/>
    </xf>
    <xf numFmtId="0" fontId="7" fillId="4" borderId="1" xfId="3" applyFont="1" applyFill="1" applyBorder="1" applyAlignment="1" applyProtection="1">
      <alignment horizontal="left" vertical="center"/>
    </xf>
    <xf numFmtId="40" fontId="7" fillId="4" borderId="1" xfId="4" applyNumberFormat="1" applyFont="1" applyFill="1" applyBorder="1" applyAlignment="1" applyProtection="1">
      <alignment horizontal="center" vertical="center"/>
    </xf>
    <xf numFmtId="177" fontId="7" fillId="4" borderId="1" xfId="9" applyNumberFormat="1" applyFont="1" applyFill="1" applyBorder="1" applyAlignment="1" applyProtection="1">
      <alignment horizontal="right" vertical="center"/>
    </xf>
    <xf numFmtId="40" fontId="7" fillId="4" borderId="1" xfId="4" applyNumberFormat="1" applyFont="1" applyFill="1" applyBorder="1" applyAlignment="1" applyProtection="1">
      <alignment horizontal="left" vertical="center"/>
    </xf>
    <xf numFmtId="186" fontId="7" fillId="4" borderId="1" xfId="1" applyNumberFormat="1" applyFont="1" applyFill="1" applyBorder="1" applyAlignment="1">
      <alignment horizontal="right"/>
    </xf>
    <xf numFmtId="0" fontId="7" fillId="4" borderId="1" xfId="0" applyFont="1" applyFill="1" applyBorder="1" applyAlignment="1">
      <alignment horizontal="left"/>
    </xf>
    <xf numFmtId="180" fontId="7" fillId="4" borderId="1" xfId="0" applyNumberFormat="1" applyFont="1" applyFill="1" applyBorder="1" applyAlignment="1">
      <alignment horizontal="right"/>
    </xf>
    <xf numFmtId="180" fontId="7" fillId="4" borderId="1" xfId="6" applyNumberFormat="1" applyFont="1" applyFill="1" applyBorder="1" applyAlignment="1">
      <alignment horizontal="left" vertical="center"/>
      <protection locked="0"/>
    </xf>
    <xf numFmtId="0" fontId="7" fillId="4" borderId="1" xfId="5" applyFont="1" applyFill="1" applyBorder="1" applyAlignment="1" applyProtection="1">
      <alignment horizontal="left" vertical="center"/>
      <protection locked="0"/>
    </xf>
    <xf numFmtId="0" fontId="7" fillId="4" borderId="1" xfId="4" applyFont="1" applyFill="1" applyBorder="1" applyAlignment="1">
      <alignment horizontal="center" vertical="center"/>
      <protection locked="0"/>
    </xf>
    <xf numFmtId="0" fontId="7" fillId="4" borderId="1" xfId="6" applyFont="1" applyFill="1" applyBorder="1" applyAlignment="1">
      <alignment horizontal="center" vertical="center"/>
      <protection locked="0"/>
    </xf>
    <xf numFmtId="49" fontId="7" fillId="4" borderId="1" xfId="3" applyNumberFormat="1" applyFont="1" applyFill="1" applyBorder="1" applyAlignment="1">
      <alignment horizontal="center" vertical="center"/>
      <protection locked="0"/>
    </xf>
    <xf numFmtId="14" fontId="7" fillId="4" borderId="1" xfId="6" applyNumberFormat="1" applyFont="1" applyFill="1" applyBorder="1" applyAlignment="1">
      <alignment horizontal="center" vertical="center"/>
      <protection locked="0"/>
    </xf>
    <xf numFmtId="0" fontId="7" fillId="4" borderId="1" xfId="7" applyFont="1" applyFill="1" applyBorder="1" applyAlignment="1">
      <alignment horizontal="center" vertical="center"/>
      <protection locked="0"/>
    </xf>
    <xf numFmtId="177" fontId="7" fillId="4" borderId="1" xfId="9" applyNumberFormat="1" applyFont="1" applyFill="1" applyBorder="1" applyAlignment="1">
      <alignment horizontal="right" vertical="center"/>
    </xf>
    <xf numFmtId="0" fontId="7" fillId="4" borderId="1" xfId="5" applyFont="1" applyFill="1" applyBorder="1" applyAlignment="1">
      <alignment horizontal="left"/>
    </xf>
    <xf numFmtId="40" fontId="7" fillId="4" borderId="1" xfId="4" applyNumberFormat="1" applyFont="1" applyFill="1" applyBorder="1" applyAlignment="1" applyProtection="1">
      <alignment vertical="center"/>
    </xf>
    <xf numFmtId="0" fontId="7" fillId="4" borderId="1" xfId="5" applyFont="1" applyFill="1" applyBorder="1"/>
    <xf numFmtId="14" fontId="7" fillId="4" borderId="1" xfId="3" applyNumberFormat="1" applyFont="1" applyFill="1" applyBorder="1" applyAlignment="1">
      <alignment horizontal="center" vertical="center"/>
      <protection locked="0"/>
    </xf>
    <xf numFmtId="14" fontId="7" fillId="4" borderId="1" xfId="4" applyNumberFormat="1" applyFont="1" applyFill="1" applyBorder="1" applyAlignment="1">
      <alignment horizontal="center" vertical="center"/>
      <protection locked="0"/>
    </xf>
    <xf numFmtId="177" fontId="7" fillId="4" borderId="1" xfId="9" applyNumberFormat="1" applyFont="1" applyFill="1" applyBorder="1" applyAlignment="1" applyProtection="1">
      <alignment horizontal="right" vertical="center"/>
      <protection locked="0"/>
    </xf>
    <xf numFmtId="14" fontId="7" fillId="4" borderId="1" xfId="6" applyNumberFormat="1" applyFont="1" applyFill="1" applyBorder="1" applyAlignment="1">
      <alignment horizontal="left" vertical="center"/>
      <protection locked="0"/>
    </xf>
    <xf numFmtId="40" fontId="7" fillId="4" borderId="1" xfId="4" applyNumberFormat="1" applyFont="1" applyFill="1" applyBorder="1" applyAlignment="1">
      <alignment vertical="center"/>
      <protection locked="0"/>
    </xf>
    <xf numFmtId="177" fontId="7" fillId="4" borderId="1" xfId="1" applyNumberFormat="1" applyFont="1" applyFill="1" applyBorder="1" applyAlignment="1" applyProtection="1">
      <alignment horizontal="right" vertical="center"/>
      <protection locked="0"/>
    </xf>
    <xf numFmtId="0" fontId="7" fillId="0" borderId="1" xfId="5" applyFont="1" applyBorder="1" applyAlignment="1">
      <alignment horizontal="center"/>
    </xf>
    <xf numFmtId="14" fontId="7" fillId="0" borderId="1" xfId="0" applyNumberFormat="1" applyFont="1" applyBorder="1" applyAlignment="1">
      <alignment horizontal="center" vertical="center"/>
    </xf>
    <xf numFmtId="180" fontId="7" fillId="0" borderId="1" xfId="6" applyNumberFormat="1" applyFont="1" applyBorder="1" applyAlignment="1">
      <alignment horizontal="center" vertical="center"/>
      <protection locked="0"/>
    </xf>
    <xf numFmtId="0" fontId="11" fillId="0" borderId="0" xfId="0" applyFont="1"/>
    <xf numFmtId="0" fontId="11" fillId="0" borderId="1" xfId="0" applyFont="1" applyBorder="1"/>
    <xf numFmtId="177" fontId="2" fillId="0" borderId="1" xfId="1" applyNumberFormat="1" applyFont="1" applyFill="1" applyBorder="1" applyAlignment="1" applyProtection="1">
      <alignment vertical="center"/>
    </xf>
    <xf numFmtId="177" fontId="7" fillId="0" borderId="0" xfId="1" applyNumberFormat="1" applyFont="1" applyFill="1" applyBorder="1" applyAlignment="1"/>
    <xf numFmtId="180" fontId="7" fillId="0" borderId="0" xfId="0" applyNumberFormat="1" applyFont="1" applyAlignment="1">
      <alignment horizontal="center"/>
    </xf>
    <xf numFmtId="0" fontId="2" fillId="0" borderId="1" xfId="3" applyFont="1" applyBorder="1" applyAlignment="1" applyProtection="1">
      <alignment horizontal="center" vertical="top"/>
    </xf>
    <xf numFmtId="0" fontId="7" fillId="0" borderId="0" xfId="0" applyFont="1" applyAlignment="1">
      <alignment horizontal="center" vertical="top"/>
    </xf>
    <xf numFmtId="0" fontId="2" fillId="0" borderId="1" xfId="1" applyNumberFormat="1" applyFont="1" applyFill="1" applyBorder="1" applyAlignment="1" applyProtection="1">
      <alignment vertical="center"/>
    </xf>
    <xf numFmtId="179" fontId="2" fillId="0" borderId="1" xfId="1" applyNumberFormat="1" applyFont="1" applyFill="1" applyBorder="1" applyAlignment="1" applyProtection="1">
      <alignment horizontal="left" vertical="center"/>
    </xf>
    <xf numFmtId="176" fontId="2" fillId="0" borderId="1" xfId="1" applyFont="1" applyFill="1" applyBorder="1" applyAlignment="1" applyProtection="1">
      <alignment horizontal="center" vertical="center"/>
    </xf>
    <xf numFmtId="180" fontId="2" fillId="0" borderId="1" xfId="1" applyNumberFormat="1" applyFont="1" applyFill="1" applyBorder="1" applyAlignment="1">
      <alignment horizontal="center" vertical="center"/>
    </xf>
    <xf numFmtId="176" fontId="7" fillId="0" borderId="0" xfId="1" applyFont="1" applyFill="1" applyBorder="1" applyAlignment="1">
      <alignment horizontal="center"/>
    </xf>
    <xf numFmtId="14" fontId="7" fillId="0" borderId="0" xfId="0" applyNumberFormat="1" applyFont="1" applyAlignment="1">
      <alignment horizontal="center"/>
    </xf>
    <xf numFmtId="49" fontId="7" fillId="0" borderId="0" xfId="1" applyNumberFormat="1" applyFont="1" applyFill="1" applyBorder="1" applyAlignment="1">
      <alignment horizontal="center" vertical="center"/>
    </xf>
    <xf numFmtId="14" fontId="7" fillId="0" borderId="0" xfId="6" applyNumberFormat="1" applyFont="1" applyAlignment="1">
      <alignment horizontal="center" vertical="center"/>
      <protection locked="0"/>
    </xf>
    <xf numFmtId="40" fontId="7" fillId="0" borderId="0" xfId="4" applyNumberFormat="1" applyFont="1" applyAlignment="1" applyProtection="1">
      <alignment horizontal="center" vertical="center"/>
    </xf>
    <xf numFmtId="0" fontId="14" fillId="5" borderId="4" xfId="25" applyFont="1" applyFill="1" applyBorder="1" applyAlignment="1">
      <alignment horizontal="center"/>
    </xf>
    <xf numFmtId="0" fontId="13" fillId="0" borderId="0" xfId="25">
      <alignment vertical="center"/>
    </xf>
    <xf numFmtId="0" fontId="2" fillId="3" borderId="1" xfId="3" applyFont="1" applyFill="1" applyBorder="1" applyAlignment="1" applyProtection="1">
      <alignment horizontal="center" vertical="top"/>
    </xf>
    <xf numFmtId="2" fontId="0" fillId="0" borderId="0" xfId="0" applyNumberFormat="1"/>
    <xf numFmtId="176" fontId="0" fillId="3" borderId="0" xfId="1" applyFont="1" applyFill="1" applyAlignment="1"/>
    <xf numFmtId="176" fontId="0" fillId="0" borderId="0" xfId="1" applyFont="1" applyFill="1" applyAlignment="1"/>
    <xf numFmtId="0" fontId="7" fillId="6" borderId="1" xfId="11" applyFont="1" applyFill="1" applyBorder="1" applyAlignment="1" applyProtection="1">
      <alignment horizontal="center" vertical="center"/>
      <protection locked="0"/>
    </xf>
    <xf numFmtId="0" fontId="7" fillId="6" borderId="1" xfId="11" applyFont="1" applyFill="1" applyBorder="1" applyAlignment="1">
      <alignment horizontal="center" vertical="center"/>
    </xf>
    <xf numFmtId="0" fontId="7" fillId="6" borderId="1" xfId="4" applyFont="1" applyFill="1" applyBorder="1" applyAlignment="1" applyProtection="1">
      <alignment horizontal="center" vertical="center" wrapText="1"/>
    </xf>
    <xf numFmtId="0" fontId="7" fillId="6" borderId="1" xfId="3" applyFont="1" applyFill="1" applyBorder="1" applyAlignment="1">
      <alignment horizontal="center" vertical="center" wrapText="1"/>
      <protection locked="0"/>
    </xf>
    <xf numFmtId="14" fontId="7" fillId="6" borderId="1" xfId="11" applyNumberFormat="1" applyFont="1" applyFill="1" applyBorder="1" applyAlignment="1">
      <alignment horizontal="center" vertical="center" wrapText="1"/>
    </xf>
    <xf numFmtId="14" fontId="7" fillId="6" borderId="1" xfId="4" applyNumberFormat="1" applyFont="1" applyFill="1" applyBorder="1" applyAlignment="1" applyProtection="1">
      <alignment horizontal="center" vertical="center" wrapText="1"/>
    </xf>
    <xf numFmtId="40" fontId="7" fillId="6" borderId="1" xfId="4" applyNumberFormat="1" applyFont="1" applyFill="1" applyBorder="1" applyAlignment="1" applyProtection="1">
      <alignment horizontal="center" vertical="center" wrapText="1"/>
    </xf>
    <xf numFmtId="177" fontId="7" fillId="6" borderId="1" xfId="17" applyNumberFormat="1" applyFont="1" applyFill="1" applyBorder="1" applyAlignment="1" applyProtection="1">
      <alignment vertical="center"/>
    </xf>
    <xf numFmtId="177" fontId="7" fillId="6" borderId="1" xfId="13" applyNumberFormat="1" applyFont="1" applyFill="1" applyBorder="1" applyAlignment="1">
      <alignment vertical="center"/>
    </xf>
    <xf numFmtId="177" fontId="7" fillId="6" borderId="1" xfId="17" applyNumberFormat="1" applyFont="1" applyFill="1" applyBorder="1" applyAlignment="1" applyProtection="1">
      <alignment vertical="center"/>
      <protection locked="0"/>
    </xf>
    <xf numFmtId="0" fontId="7" fillId="6" borderId="1" xfId="6" applyFont="1" applyFill="1" applyBorder="1" applyAlignment="1">
      <alignment vertical="center"/>
      <protection locked="0"/>
    </xf>
    <xf numFmtId="40" fontId="7" fillId="6" borderId="1" xfId="4" applyNumberFormat="1" applyFont="1" applyFill="1" applyBorder="1" applyAlignment="1" applyProtection="1">
      <alignment horizontal="left" vertical="top" wrapText="1"/>
    </xf>
    <xf numFmtId="0" fontId="7" fillId="6" borderId="1" xfId="0" applyFont="1" applyFill="1" applyBorder="1"/>
    <xf numFmtId="186" fontId="7" fillId="6" borderId="1" xfId="1" applyNumberFormat="1" applyFont="1" applyFill="1" applyBorder="1" applyAlignment="1">
      <alignment horizontal="center"/>
    </xf>
    <xf numFmtId="0" fontId="7" fillId="6" borderId="1" xfId="0" applyFont="1" applyFill="1" applyBorder="1" applyAlignment="1">
      <alignment horizontal="center"/>
    </xf>
    <xf numFmtId="14" fontId="7" fillId="6" borderId="1" xfId="0" applyNumberFormat="1" applyFont="1" applyFill="1" applyBorder="1" applyAlignment="1">
      <alignment horizontal="center" vertical="center"/>
    </xf>
    <xf numFmtId="180" fontId="7" fillId="6" borderId="1" xfId="0" applyNumberFormat="1" applyFont="1" applyFill="1" applyBorder="1" applyAlignment="1">
      <alignment horizontal="center"/>
    </xf>
    <xf numFmtId="0" fontId="7" fillId="6" borderId="0" xfId="0" applyFont="1" applyFill="1"/>
    <xf numFmtId="0" fontId="7" fillId="6" borderId="1" xfId="0" applyFont="1" applyFill="1" applyBorder="1" applyAlignment="1">
      <alignment horizontal="center" vertical="center"/>
    </xf>
    <xf numFmtId="0" fontId="7" fillId="6" borderId="1" xfId="5" applyFont="1" applyFill="1" applyBorder="1" applyAlignment="1" applyProtection="1">
      <alignment horizontal="center" vertical="center"/>
      <protection locked="0"/>
    </xf>
    <xf numFmtId="0" fontId="7" fillId="6" borderId="1" xfId="0" applyFont="1" applyFill="1" applyBorder="1" applyAlignment="1" applyProtection="1">
      <alignment horizontal="center" vertical="center"/>
      <protection locked="0"/>
    </xf>
    <xf numFmtId="0" fontId="7" fillId="6" borderId="1" xfId="3" applyFont="1" applyFill="1" applyBorder="1" applyAlignment="1">
      <alignment horizontal="center" vertical="center"/>
      <protection locked="0"/>
    </xf>
    <xf numFmtId="0" fontId="7" fillId="6" borderId="1" xfId="3" applyFont="1" applyFill="1" applyBorder="1" applyAlignment="1" applyProtection="1">
      <alignment horizontal="center" vertical="center"/>
    </xf>
    <xf numFmtId="14" fontId="7" fillId="6" borderId="1" xfId="3" applyNumberFormat="1" applyFont="1" applyFill="1" applyBorder="1" applyAlignment="1">
      <alignment horizontal="center" vertical="center"/>
      <protection locked="0"/>
    </xf>
    <xf numFmtId="177" fontId="7" fillId="6" borderId="1" xfId="0" applyNumberFormat="1" applyFont="1" applyFill="1" applyBorder="1" applyAlignment="1">
      <alignment vertical="center"/>
    </xf>
    <xf numFmtId="177" fontId="7" fillId="6" borderId="1" xfId="1" applyNumberFormat="1" applyFont="1" applyFill="1" applyBorder="1" applyAlignment="1" applyProtection="1">
      <alignment vertical="center"/>
      <protection locked="0"/>
    </xf>
    <xf numFmtId="40" fontId="7" fillId="6" borderId="1" xfId="4" applyNumberFormat="1" applyFont="1" applyFill="1" applyBorder="1" applyAlignment="1" applyProtection="1">
      <alignment horizontal="left" vertical="center"/>
    </xf>
    <xf numFmtId="40" fontId="7" fillId="6" borderId="1" xfId="1" applyNumberFormat="1" applyFont="1" applyFill="1" applyBorder="1" applyAlignment="1">
      <alignment horizontal="center" vertical="center"/>
    </xf>
    <xf numFmtId="177" fontId="7" fillId="6" borderId="1" xfId="1" applyNumberFormat="1" applyFont="1" applyFill="1" applyBorder="1" applyAlignment="1">
      <alignment vertical="center"/>
    </xf>
    <xf numFmtId="177" fontId="7" fillId="6" borderId="1" xfId="0" applyNumberFormat="1" applyFont="1" applyFill="1" applyBorder="1" applyAlignment="1">
      <alignment vertical="center" wrapText="1"/>
    </xf>
    <xf numFmtId="176" fontId="7" fillId="6" borderId="1" xfId="1" applyFont="1" applyFill="1" applyBorder="1" applyAlignment="1">
      <alignment horizontal="center"/>
    </xf>
    <xf numFmtId="14" fontId="7" fillId="6" borderId="1" xfId="3" applyNumberFormat="1" applyFont="1" applyFill="1" applyBorder="1" applyAlignment="1">
      <alignment horizontal="center" vertical="center" wrapText="1"/>
      <protection locked="0"/>
    </xf>
    <xf numFmtId="0" fontId="7" fillId="6" borderId="1" xfId="0" applyFont="1" applyFill="1" applyBorder="1" applyAlignment="1">
      <alignment horizontal="center" vertical="center" wrapText="1"/>
    </xf>
    <xf numFmtId="40" fontId="7" fillId="6" borderId="1" xfId="4" applyNumberFormat="1" applyFont="1" applyFill="1" applyBorder="1" applyAlignment="1" applyProtection="1">
      <alignment horizontal="left" vertical="center" wrapText="1"/>
    </xf>
    <xf numFmtId="0" fontId="7" fillId="6" borderId="1" xfId="4" applyFont="1" applyFill="1" applyBorder="1" applyAlignment="1" applyProtection="1">
      <alignment horizontal="center" vertical="center"/>
    </xf>
    <xf numFmtId="0" fontId="7" fillId="6" borderId="1" xfId="7" applyFont="1" applyFill="1" applyBorder="1" applyAlignment="1" applyProtection="1">
      <alignment horizontal="center" vertical="center"/>
    </xf>
    <xf numFmtId="177" fontId="7" fillId="6" borderId="1" xfId="4" applyNumberFormat="1" applyFont="1" applyFill="1" applyBorder="1" applyAlignment="1" applyProtection="1">
      <alignment vertical="center"/>
    </xf>
    <xf numFmtId="177" fontId="7" fillId="6" borderId="1" xfId="1" applyNumberFormat="1" applyFont="1" applyFill="1" applyBorder="1" applyAlignment="1" applyProtection="1">
      <alignment vertical="center"/>
    </xf>
    <xf numFmtId="14" fontId="7" fillId="6" borderId="1" xfId="4" applyNumberFormat="1" applyFont="1" applyFill="1" applyBorder="1" applyAlignment="1" applyProtection="1">
      <alignment horizontal="left" vertical="center" wrapText="1"/>
    </xf>
    <xf numFmtId="0" fontId="7" fillId="6" borderId="1" xfId="10" applyFont="1" applyFill="1" applyBorder="1" applyAlignment="1">
      <alignment horizontal="left" vertical="center"/>
      <protection locked="0"/>
    </xf>
    <xf numFmtId="180" fontId="7" fillId="6" borderId="1" xfId="3" applyNumberFormat="1" applyFont="1" applyFill="1" applyBorder="1" applyAlignment="1">
      <alignment horizontal="center" vertical="center"/>
      <protection locked="0"/>
    </xf>
    <xf numFmtId="180" fontId="7" fillId="6" borderId="1" xfId="1" applyNumberFormat="1" applyFont="1" applyFill="1" applyBorder="1" applyAlignment="1">
      <alignment horizontal="center"/>
    </xf>
    <xf numFmtId="176" fontId="7" fillId="6" borderId="1" xfId="1" applyFont="1" applyFill="1" applyBorder="1" applyAlignment="1">
      <alignment horizontal="center" vertical="center"/>
    </xf>
    <xf numFmtId="0" fontId="7" fillId="6" borderId="1" xfId="1" applyNumberFormat="1" applyFont="1" applyFill="1" applyBorder="1" applyAlignment="1">
      <alignment horizontal="center" vertical="center"/>
    </xf>
    <xf numFmtId="14" fontId="7" fillId="6" borderId="1" xfId="6" applyNumberFormat="1" applyFont="1" applyFill="1" applyBorder="1" applyAlignment="1">
      <alignment horizontal="center" vertical="center" wrapText="1"/>
      <protection locked="0"/>
    </xf>
    <xf numFmtId="177" fontId="7" fillId="6" borderId="1" xfId="1" applyNumberFormat="1" applyFont="1" applyFill="1" applyBorder="1" applyAlignment="1">
      <alignment horizontal="center" vertical="center"/>
    </xf>
    <xf numFmtId="177" fontId="7" fillId="6" borderId="1" xfId="0" applyNumberFormat="1" applyFont="1" applyFill="1" applyBorder="1" applyAlignment="1">
      <alignment horizontal="center"/>
    </xf>
    <xf numFmtId="0" fontId="7" fillId="6" borderId="1" xfId="4" applyFont="1" applyFill="1" applyBorder="1" applyAlignment="1">
      <alignment horizontal="center" vertical="center"/>
      <protection locked="0"/>
    </xf>
    <xf numFmtId="0" fontId="7" fillId="6" borderId="1" xfId="5" applyFont="1" applyFill="1" applyBorder="1" applyAlignment="1">
      <alignment horizontal="center" vertical="center"/>
    </xf>
    <xf numFmtId="14" fontId="7" fillId="6" borderId="1" xfId="6" applyNumberFormat="1" applyFont="1" applyFill="1" applyBorder="1" applyAlignment="1">
      <alignment horizontal="center" vertical="center"/>
      <protection locked="0"/>
    </xf>
    <xf numFmtId="0" fontId="7" fillId="6" borderId="1" xfId="7" applyFont="1" applyFill="1" applyBorder="1" applyAlignment="1">
      <alignment horizontal="center" vertical="center"/>
      <protection locked="0"/>
    </xf>
    <xf numFmtId="177" fontId="7" fillId="6" borderId="1" xfId="9" applyNumberFormat="1" applyFont="1" applyFill="1" applyBorder="1" applyAlignment="1">
      <alignment vertical="center" wrapText="1"/>
    </xf>
    <xf numFmtId="14" fontId="7" fillId="6" borderId="1" xfId="6" applyNumberFormat="1" applyFont="1" applyFill="1" applyBorder="1" applyAlignment="1">
      <alignment horizontal="left" vertical="center"/>
      <protection locked="0"/>
    </xf>
    <xf numFmtId="180" fontId="7" fillId="6" borderId="1" xfId="6" applyNumberFormat="1" applyFont="1" applyFill="1" applyBorder="1" applyAlignment="1">
      <alignment horizontal="center" vertical="center"/>
      <protection locked="0"/>
    </xf>
    <xf numFmtId="0" fontId="7" fillId="6" borderId="1" xfId="8" applyFont="1" applyFill="1" applyBorder="1" applyAlignment="1" applyProtection="1">
      <alignment horizontal="center" vertical="center"/>
      <protection locked="0"/>
    </xf>
    <xf numFmtId="0" fontId="7" fillId="6" borderId="1" xfId="8" applyFont="1" applyFill="1" applyBorder="1" applyAlignment="1">
      <alignment horizontal="center" vertical="center"/>
    </xf>
    <xf numFmtId="49" fontId="7" fillId="6" borderId="1" xfId="8" applyNumberFormat="1" applyFont="1" applyFill="1" applyBorder="1" applyAlignment="1" applyProtection="1">
      <alignment horizontal="center" vertical="center"/>
      <protection locked="0"/>
    </xf>
    <xf numFmtId="14" fontId="7" fillId="6" borderId="1" xfId="4" applyNumberFormat="1" applyFont="1" applyFill="1" applyBorder="1" applyAlignment="1" applyProtection="1">
      <alignment horizontal="center" vertical="center"/>
    </xf>
    <xf numFmtId="177" fontId="7" fillId="6" borderId="1" xfId="6" applyNumberFormat="1" applyFont="1" applyFill="1" applyBorder="1" applyAlignment="1">
      <alignment vertical="center"/>
      <protection locked="0"/>
    </xf>
    <xf numFmtId="177" fontId="7" fillId="6" borderId="1" xfId="9" applyNumberFormat="1" applyFont="1" applyFill="1" applyBorder="1" applyAlignment="1" applyProtection="1">
      <alignment vertical="center"/>
    </xf>
    <xf numFmtId="0" fontId="7" fillId="6" borderId="1" xfId="8" applyFont="1" applyFill="1" applyBorder="1" applyAlignment="1" applyProtection="1">
      <alignment horizontal="left" vertical="center"/>
      <protection locked="0"/>
    </xf>
    <xf numFmtId="0" fontId="7" fillId="6" borderId="1" xfId="8" applyFont="1" applyFill="1" applyBorder="1" applyAlignment="1">
      <alignment horizontal="center"/>
    </xf>
    <xf numFmtId="0" fontId="7" fillId="6" borderId="1" xfId="7" applyFont="1" applyFill="1" applyBorder="1" applyAlignment="1" applyProtection="1">
      <alignment horizontal="center" vertical="center" wrapText="1"/>
    </xf>
    <xf numFmtId="40" fontId="7" fillId="6" borderId="1" xfId="4" applyNumberFormat="1" applyFont="1" applyFill="1" applyBorder="1" applyAlignment="1" applyProtection="1">
      <alignment horizontal="left" vertical="top"/>
    </xf>
    <xf numFmtId="180" fontId="7" fillId="6" borderId="1" xfId="3" applyNumberFormat="1" applyFont="1" applyFill="1" applyBorder="1" applyAlignment="1">
      <alignment horizontal="center" vertical="center" wrapText="1"/>
      <protection locked="0"/>
    </xf>
    <xf numFmtId="180" fontId="7" fillId="6" borderId="1" xfId="4" applyNumberFormat="1" applyFont="1" applyFill="1" applyBorder="1" applyAlignment="1">
      <alignment horizontal="center" vertical="center"/>
      <protection locked="0"/>
    </xf>
    <xf numFmtId="9" fontId="7" fillId="6" borderId="1" xfId="11" applyNumberFormat="1" applyFont="1" applyFill="1" applyBorder="1" applyAlignment="1">
      <alignment horizontal="center" vertical="center"/>
    </xf>
    <xf numFmtId="180" fontId="7" fillId="6" borderId="1" xfId="11" applyNumberFormat="1" applyFont="1" applyFill="1" applyBorder="1" applyAlignment="1">
      <alignment horizontal="center" vertical="center"/>
    </xf>
    <xf numFmtId="180" fontId="7" fillId="6" borderId="1" xfId="4" applyNumberFormat="1" applyFont="1" applyFill="1" applyBorder="1" applyAlignment="1" applyProtection="1">
      <alignment horizontal="center" vertical="center" wrapText="1"/>
    </xf>
    <xf numFmtId="181" fontId="7" fillId="6" borderId="1" xfId="12" applyNumberFormat="1" applyFont="1" applyFill="1" applyBorder="1" applyAlignment="1" applyProtection="1">
      <alignment horizontal="center" vertical="center"/>
      <protection locked="0"/>
    </xf>
    <xf numFmtId="181" fontId="7" fillId="6" borderId="1" xfId="12" applyNumberFormat="1" applyFont="1" applyFill="1" applyBorder="1" applyAlignment="1" applyProtection="1">
      <alignment vertical="center"/>
      <protection locked="0"/>
    </xf>
    <xf numFmtId="9" fontId="7" fillId="6" borderId="1" xfId="18" applyFont="1" applyFill="1" applyBorder="1" applyAlignment="1">
      <alignment horizontal="center" vertical="center"/>
    </xf>
    <xf numFmtId="177" fontId="7" fillId="6" borderId="1" xfId="12" applyNumberFormat="1" applyFont="1" applyFill="1" applyBorder="1" applyAlignment="1" applyProtection="1">
      <alignment vertical="center"/>
      <protection locked="0"/>
    </xf>
    <xf numFmtId="180" fontId="7" fillId="6" borderId="1" xfId="3" applyNumberFormat="1" applyFont="1" applyFill="1" applyBorder="1" applyAlignment="1">
      <alignment horizontal="left" vertical="center"/>
      <protection locked="0"/>
    </xf>
    <xf numFmtId="0" fontId="7" fillId="6" borderId="1" xfId="3" applyFont="1" applyFill="1" applyBorder="1" applyAlignment="1">
      <alignment vertical="center"/>
      <protection locked="0"/>
    </xf>
    <xf numFmtId="40" fontId="7" fillId="6" borderId="1" xfId="4" applyNumberFormat="1" applyFont="1" applyFill="1" applyBorder="1" applyAlignment="1" applyProtection="1">
      <alignment horizontal="center" vertical="center"/>
    </xf>
    <xf numFmtId="188" fontId="7" fillId="6" borderId="1" xfId="1" applyNumberFormat="1" applyFont="1" applyFill="1" applyBorder="1" applyAlignment="1">
      <alignment horizontal="center"/>
    </xf>
    <xf numFmtId="177" fontId="7" fillId="6" borderId="1" xfId="0" applyNumberFormat="1" applyFont="1" applyFill="1" applyBorder="1" applyAlignment="1">
      <alignment horizontal="right" vertical="center"/>
    </xf>
    <xf numFmtId="177" fontId="7" fillId="6" borderId="1" xfId="1" applyNumberFormat="1" applyFont="1" applyFill="1" applyBorder="1" applyAlignment="1">
      <alignment horizontal="right" vertical="center"/>
    </xf>
    <xf numFmtId="177" fontId="7" fillId="6" borderId="1" xfId="1" applyNumberFormat="1" applyFont="1" applyFill="1" applyBorder="1" applyAlignment="1" applyProtection="1">
      <alignment horizontal="right" vertical="center"/>
      <protection locked="0"/>
    </xf>
    <xf numFmtId="176" fontId="7" fillId="6" borderId="1" xfId="1" applyFont="1" applyFill="1" applyBorder="1" applyAlignment="1" applyProtection="1">
      <alignment horizontal="center" vertical="center"/>
      <protection locked="0"/>
    </xf>
    <xf numFmtId="14" fontId="7" fillId="6" borderId="1" xfId="0" applyNumberFormat="1" applyFont="1" applyFill="1" applyBorder="1" applyAlignment="1">
      <alignment horizontal="center"/>
    </xf>
    <xf numFmtId="177" fontId="7" fillId="6" borderId="1" xfId="4" applyNumberFormat="1" applyFont="1" applyFill="1" applyBorder="1" applyAlignment="1" applyProtection="1">
      <alignment horizontal="right" vertical="center"/>
    </xf>
    <xf numFmtId="177" fontId="7" fillId="6" borderId="1" xfId="1" applyNumberFormat="1" applyFont="1" applyFill="1" applyBorder="1" applyAlignment="1" applyProtection="1">
      <alignment horizontal="right" vertical="center"/>
    </xf>
    <xf numFmtId="14" fontId="7" fillId="6" borderId="1" xfId="4" applyNumberFormat="1" applyFont="1" applyFill="1" applyBorder="1" applyAlignment="1" applyProtection="1">
      <alignment horizontal="left" vertical="center"/>
    </xf>
    <xf numFmtId="14" fontId="7" fillId="6" borderId="1" xfId="11" applyNumberFormat="1" applyFont="1" applyFill="1" applyBorder="1" applyAlignment="1">
      <alignment horizontal="center" vertical="center"/>
    </xf>
    <xf numFmtId="177" fontId="7" fillId="6" borderId="1" xfId="17" applyNumberFormat="1" applyFont="1" applyFill="1" applyBorder="1" applyAlignment="1" applyProtection="1">
      <alignment horizontal="center" vertical="center"/>
    </xf>
    <xf numFmtId="177" fontId="7" fillId="6" borderId="1" xfId="13" applyNumberFormat="1" applyFont="1" applyFill="1" applyBorder="1" applyAlignment="1">
      <alignment horizontal="right" vertical="center"/>
    </xf>
    <xf numFmtId="177" fontId="7" fillId="6" borderId="1" xfId="17" applyNumberFormat="1" applyFont="1" applyFill="1" applyBorder="1" applyAlignment="1" applyProtection="1">
      <alignment horizontal="right" vertical="center"/>
      <protection locked="0"/>
    </xf>
    <xf numFmtId="177" fontId="7" fillId="6" borderId="1" xfId="1" applyNumberFormat="1" applyFont="1" applyFill="1" applyBorder="1" applyAlignment="1">
      <alignment horizontal="center"/>
    </xf>
    <xf numFmtId="177" fontId="7" fillId="6" borderId="1" xfId="9" applyNumberFormat="1" applyFont="1" applyFill="1" applyBorder="1" applyAlignment="1">
      <alignment horizontal="right" vertical="center"/>
    </xf>
    <xf numFmtId="177" fontId="7" fillId="6" borderId="1" xfId="6" applyNumberFormat="1" applyFont="1" applyFill="1" applyBorder="1" applyAlignment="1">
      <alignment horizontal="right" vertical="center"/>
      <protection locked="0"/>
    </xf>
    <xf numFmtId="177" fontId="7" fillId="6" borderId="1" xfId="9" applyNumberFormat="1" applyFont="1" applyFill="1" applyBorder="1" applyAlignment="1" applyProtection="1">
      <alignment horizontal="right" vertical="center"/>
    </xf>
    <xf numFmtId="0" fontId="7" fillId="6" borderId="1" xfId="0" applyFont="1" applyFill="1" applyBorder="1" applyAlignment="1" applyProtection="1">
      <alignment horizontal="center" vertical="center" wrapText="1"/>
      <protection locked="0"/>
    </xf>
    <xf numFmtId="0" fontId="7" fillId="6" borderId="1" xfId="5" applyFont="1" applyFill="1" applyBorder="1" applyAlignment="1" applyProtection="1">
      <alignment horizontal="center" vertical="center" wrapText="1"/>
      <protection locked="0"/>
    </xf>
    <xf numFmtId="177" fontId="7" fillId="6" borderId="1" xfId="4" applyNumberFormat="1" applyFont="1" applyFill="1" applyBorder="1" applyAlignment="1" applyProtection="1">
      <alignment horizontal="center" vertical="center" wrapText="1"/>
    </xf>
    <xf numFmtId="40" fontId="12" fillId="6" borderId="1" xfId="17" applyNumberFormat="1" applyFont="1" applyFill="1" applyBorder="1" applyAlignment="1" applyProtection="1">
      <alignment horizontal="center" vertical="center"/>
    </xf>
    <xf numFmtId="181" fontId="7" fillId="6" borderId="1" xfId="3" applyNumberFormat="1" applyFont="1" applyFill="1" applyBorder="1" applyAlignment="1">
      <alignment vertical="center" wrapText="1"/>
      <protection locked="0"/>
    </xf>
    <xf numFmtId="14" fontId="12" fillId="6" borderId="1" xfId="4" applyNumberFormat="1" applyFont="1" applyFill="1" applyBorder="1" applyAlignment="1" applyProtection="1">
      <alignment vertical="top" wrapText="1"/>
    </xf>
    <xf numFmtId="0" fontId="7" fillId="6" borderId="1" xfId="10" applyFont="1" applyFill="1" applyBorder="1" applyAlignment="1">
      <alignment vertical="center" wrapText="1"/>
      <protection locked="0"/>
    </xf>
    <xf numFmtId="178" fontId="7" fillId="6" borderId="1" xfId="3" applyNumberFormat="1" applyFont="1" applyFill="1" applyBorder="1" applyAlignment="1">
      <alignment horizontal="center" vertical="center" wrapText="1"/>
      <protection locked="0"/>
    </xf>
    <xf numFmtId="180" fontId="12" fillId="6" borderId="1" xfId="3" applyNumberFormat="1" applyFont="1" applyFill="1" applyBorder="1" applyAlignment="1">
      <alignment horizontal="center" vertical="center" wrapText="1"/>
      <protection locked="0"/>
    </xf>
    <xf numFmtId="14" fontId="7" fillId="6" borderId="1" xfId="0" applyNumberFormat="1" applyFont="1" applyFill="1" applyBorder="1" applyAlignment="1">
      <alignment horizontal="center" vertical="center" wrapText="1"/>
    </xf>
    <xf numFmtId="14" fontId="7" fillId="6" borderId="2" xfId="4" applyNumberFormat="1" applyFont="1" applyFill="1" applyBorder="1" applyAlignment="1">
      <alignment horizontal="center" vertical="center"/>
      <protection locked="0"/>
    </xf>
    <xf numFmtId="9" fontId="7" fillId="6" borderId="1" xfId="0" applyNumberFormat="1" applyFont="1" applyFill="1" applyBorder="1" applyAlignment="1">
      <alignment horizontal="center" vertical="center"/>
    </xf>
    <xf numFmtId="14" fontId="7" fillId="6" borderId="1" xfId="4" applyNumberFormat="1" applyFont="1" applyFill="1" applyBorder="1" applyAlignment="1" applyProtection="1">
      <alignment horizontal="left" vertical="top" wrapText="1"/>
    </xf>
    <xf numFmtId="49" fontId="7" fillId="6" borderId="1" xfId="5" applyNumberFormat="1" applyFont="1" applyFill="1" applyBorder="1" applyAlignment="1" applyProtection="1">
      <alignment horizontal="center" vertical="center" wrapText="1"/>
      <protection locked="0"/>
    </xf>
    <xf numFmtId="14" fontId="7" fillId="6" borderId="1" xfId="4" applyNumberFormat="1" applyFont="1" applyFill="1" applyBorder="1" applyAlignment="1">
      <alignment horizontal="center" vertical="center"/>
      <protection locked="0"/>
    </xf>
    <xf numFmtId="187" fontId="7" fillId="6" borderId="1" xfId="17" applyNumberFormat="1" applyFont="1" applyFill="1" applyBorder="1" applyAlignment="1" applyProtection="1">
      <alignment horizontal="center" vertical="center"/>
    </xf>
    <xf numFmtId="0" fontId="7" fillId="6" borderId="1" xfId="4" applyFont="1" applyFill="1" applyBorder="1" applyAlignment="1">
      <alignment horizontal="center" vertical="center" wrapText="1"/>
      <protection locked="0"/>
    </xf>
    <xf numFmtId="49" fontId="7" fillId="6" borderId="1" xfId="4" applyNumberFormat="1" applyFont="1" applyFill="1" applyBorder="1" applyAlignment="1">
      <alignment horizontal="center" vertical="center" wrapText="1"/>
      <protection locked="0"/>
    </xf>
    <xf numFmtId="14" fontId="7" fillId="6" borderId="1" xfId="4" applyNumberFormat="1" applyFont="1" applyFill="1" applyBorder="1" applyAlignment="1">
      <alignment horizontal="center" vertical="center" wrapText="1"/>
      <protection locked="0"/>
    </xf>
    <xf numFmtId="177" fontId="7" fillId="6" borderId="1" xfId="4" applyNumberFormat="1" applyFont="1" applyFill="1" applyBorder="1" applyAlignment="1">
      <alignment horizontal="center" vertical="center" wrapText="1"/>
      <protection locked="0"/>
    </xf>
    <xf numFmtId="177" fontId="7" fillId="6" borderId="1" xfId="1" applyNumberFormat="1" applyFont="1" applyFill="1" applyBorder="1" applyAlignment="1" applyProtection="1">
      <alignment horizontal="right" vertical="center" wrapText="1"/>
      <protection locked="0"/>
    </xf>
    <xf numFmtId="0" fontId="12" fillId="6" borderId="1" xfId="4" applyFont="1" applyFill="1" applyBorder="1" applyAlignment="1">
      <alignment horizontal="left" vertical="top" wrapText="1"/>
      <protection locked="0"/>
    </xf>
    <xf numFmtId="0" fontId="7" fillId="6" borderId="1" xfId="4" applyFont="1" applyFill="1" applyBorder="1" applyAlignment="1">
      <alignment horizontal="left" vertical="top" wrapText="1"/>
      <protection locked="0"/>
    </xf>
    <xf numFmtId="49" fontId="7" fillId="6" borderId="1" xfId="4" applyNumberFormat="1" applyFont="1" applyFill="1" applyBorder="1" applyAlignment="1">
      <alignment horizontal="center" vertical="center"/>
      <protection locked="0"/>
    </xf>
    <xf numFmtId="0" fontId="7" fillId="6" borderId="1" xfId="4" applyFont="1" applyFill="1" applyBorder="1" applyAlignment="1">
      <alignment horizontal="left" vertical="center" wrapText="1"/>
      <protection locked="0"/>
    </xf>
    <xf numFmtId="49" fontId="7" fillId="6" borderId="1" xfId="0" applyNumberFormat="1" applyFont="1" applyFill="1" applyBorder="1" applyAlignment="1" applyProtection="1">
      <alignment horizontal="center" vertical="center"/>
      <protection locked="0"/>
    </xf>
    <xf numFmtId="177" fontId="7" fillId="6" borderId="1" xfId="0" applyNumberFormat="1" applyFont="1" applyFill="1" applyBorder="1" applyAlignment="1" applyProtection="1">
      <alignment horizontal="center" vertical="center"/>
      <protection locked="0"/>
    </xf>
    <xf numFmtId="40" fontId="7" fillId="6" borderId="1" xfId="17" applyNumberFormat="1" applyFont="1" applyFill="1" applyBorder="1" applyAlignment="1" applyProtection="1">
      <alignment horizontal="center" vertical="center"/>
    </xf>
    <xf numFmtId="14" fontId="7" fillId="6" borderId="1" xfId="4" applyNumberFormat="1" applyFont="1" applyFill="1" applyBorder="1" applyAlignment="1">
      <alignment horizontal="left" vertical="top" wrapText="1"/>
      <protection locked="0"/>
    </xf>
    <xf numFmtId="0" fontId="7" fillId="6" borderId="1" xfId="7" applyFont="1" applyFill="1" applyBorder="1" applyAlignment="1">
      <alignment horizontal="center" vertical="center" wrapText="1"/>
      <protection locked="0"/>
    </xf>
    <xf numFmtId="0" fontId="7" fillId="6" borderId="1" xfId="10" applyFont="1" applyFill="1" applyBorder="1" applyAlignment="1">
      <alignment horizontal="left" vertical="top" wrapText="1"/>
      <protection locked="0"/>
    </xf>
    <xf numFmtId="0" fontId="7" fillId="6" borderId="1" xfId="19" applyFont="1" applyFill="1" applyBorder="1" applyAlignment="1">
      <alignment horizontal="center" vertical="center"/>
      <protection locked="0"/>
    </xf>
    <xf numFmtId="0" fontId="7" fillId="6" borderId="1" xfId="3" applyFont="1" applyFill="1" applyBorder="1" applyAlignment="1" applyProtection="1">
      <alignment horizontal="center" vertical="center" wrapText="1"/>
    </xf>
    <xf numFmtId="177" fontId="7" fillId="6" borderId="1" xfId="1" applyNumberFormat="1" applyFont="1" applyFill="1" applyBorder="1" applyAlignment="1" applyProtection="1">
      <alignment horizontal="right" vertical="center" wrapText="1"/>
    </xf>
    <xf numFmtId="177" fontId="7" fillId="6" borderId="1" xfId="3" applyNumberFormat="1" applyFont="1" applyFill="1" applyBorder="1" applyAlignment="1">
      <alignment horizontal="center" vertical="center" wrapText="1"/>
      <protection locked="0"/>
    </xf>
    <xf numFmtId="0" fontId="7" fillId="6" borderId="1" xfId="0" applyFont="1" applyFill="1" applyBorder="1" applyAlignment="1">
      <alignment horizontal="left" vertical="top" wrapText="1"/>
    </xf>
    <xf numFmtId="49" fontId="7" fillId="6" borderId="1" xfId="0" applyNumberFormat="1" applyFont="1" applyFill="1" applyBorder="1" applyAlignment="1">
      <alignment horizontal="center" vertical="center" wrapText="1"/>
    </xf>
    <xf numFmtId="0" fontId="12" fillId="6" borderId="1" xfId="10" applyFont="1" applyFill="1" applyBorder="1" applyAlignment="1">
      <alignment vertical="top" wrapText="1"/>
      <protection locked="0"/>
    </xf>
    <xf numFmtId="0" fontId="7" fillId="6" borderId="1" xfId="6" applyFont="1" applyFill="1" applyBorder="1" applyAlignment="1">
      <alignment horizontal="center" vertical="center"/>
      <protection locked="0"/>
    </xf>
    <xf numFmtId="177" fontId="7" fillId="6" borderId="1" xfId="17" applyNumberFormat="1" applyFont="1" applyFill="1" applyBorder="1" applyAlignment="1" applyProtection="1">
      <alignment horizontal="center" vertical="center"/>
      <protection locked="0"/>
    </xf>
    <xf numFmtId="177" fontId="7" fillId="6" borderId="1" xfId="9" applyNumberFormat="1" applyFont="1" applyFill="1" applyBorder="1" applyAlignment="1" applyProtection="1">
      <alignment horizontal="center" vertical="center"/>
    </xf>
    <xf numFmtId="0" fontId="7" fillId="6" borderId="1" xfId="8" applyFont="1" applyFill="1" applyBorder="1" applyAlignment="1">
      <alignment vertical="center"/>
    </xf>
    <xf numFmtId="176" fontId="7" fillId="6" borderId="1" xfId="17" applyFont="1" applyFill="1" applyBorder="1" applyAlignment="1">
      <alignment horizontal="center" vertical="center"/>
    </xf>
    <xf numFmtId="14" fontId="7" fillId="6" borderId="1" xfId="9" applyNumberFormat="1" applyFont="1" applyFill="1" applyBorder="1" applyAlignment="1" applyProtection="1">
      <alignment horizontal="center" vertical="center"/>
      <protection locked="0"/>
    </xf>
    <xf numFmtId="14" fontId="7" fillId="6" borderId="1" xfId="8" applyNumberFormat="1" applyFont="1" applyFill="1" applyBorder="1" applyAlignment="1">
      <alignment horizontal="center" vertical="center"/>
    </xf>
    <xf numFmtId="9" fontId="7" fillId="6" borderId="1" xfId="2" applyFont="1" applyFill="1" applyBorder="1" applyAlignment="1">
      <alignment horizontal="center" vertical="center"/>
    </xf>
    <xf numFmtId="181" fontId="7" fillId="6" borderId="1" xfId="8" applyNumberFormat="1" applyFont="1" applyFill="1" applyBorder="1" applyAlignment="1">
      <alignment horizontal="center" vertical="center"/>
    </xf>
    <xf numFmtId="177" fontId="7" fillId="6" borderId="1" xfId="9" applyNumberFormat="1" applyFont="1" applyFill="1" applyBorder="1" applyAlignment="1" applyProtection="1">
      <alignment horizontal="center" vertical="center"/>
      <protection locked="0"/>
    </xf>
    <xf numFmtId="177" fontId="7" fillId="6" borderId="1" xfId="9" applyNumberFormat="1" applyFont="1" applyFill="1" applyBorder="1" applyAlignment="1" applyProtection="1">
      <alignment horizontal="right" vertical="center"/>
      <protection locked="0"/>
    </xf>
    <xf numFmtId="176" fontId="7" fillId="6" borderId="1" xfId="9" applyFont="1" applyFill="1" applyBorder="1" applyAlignment="1" applyProtection="1">
      <alignment horizontal="center" vertical="center"/>
      <protection locked="0"/>
    </xf>
    <xf numFmtId="9" fontId="7" fillId="6" borderId="1" xfId="2" applyFont="1" applyFill="1" applyBorder="1" applyAlignment="1" applyProtection="1">
      <alignment horizontal="center" vertical="center"/>
      <protection locked="0"/>
    </xf>
    <xf numFmtId="181" fontId="7" fillId="6" borderId="1" xfId="9" applyNumberFormat="1" applyFont="1" applyFill="1" applyBorder="1" applyAlignment="1" applyProtection="1">
      <alignment horizontal="center" vertical="center"/>
      <protection locked="0"/>
    </xf>
    <xf numFmtId="180" fontId="7" fillId="6" borderId="1" xfId="9" applyNumberFormat="1" applyFont="1" applyFill="1" applyBorder="1" applyAlignment="1">
      <alignment horizontal="center" vertical="center"/>
    </xf>
    <xf numFmtId="0" fontId="7" fillId="6" borderId="1" xfId="0" applyFont="1" applyFill="1" applyBorder="1" applyAlignment="1">
      <alignment horizontal="left" vertical="center"/>
    </xf>
    <xf numFmtId="176" fontId="7" fillId="6" borderId="1" xfId="9" applyFont="1" applyFill="1" applyBorder="1" applyAlignment="1">
      <alignment horizontal="center" vertical="center"/>
    </xf>
    <xf numFmtId="176" fontId="7" fillId="6" borderId="3" xfId="9" applyFont="1" applyFill="1" applyBorder="1" applyAlignment="1" applyProtection="1">
      <alignment horizontal="center" vertical="center"/>
      <protection locked="0"/>
    </xf>
    <xf numFmtId="176" fontId="7" fillId="6" borderId="0" xfId="9" applyFont="1" applyFill="1" applyBorder="1" applyAlignment="1" applyProtection="1">
      <alignment horizontal="center" vertical="center"/>
      <protection locked="0"/>
    </xf>
    <xf numFmtId="0" fontId="7" fillId="6" borderId="1" xfId="21" applyFont="1" applyFill="1" applyBorder="1" applyAlignment="1">
      <alignment horizontal="center" vertical="center"/>
    </xf>
    <xf numFmtId="0" fontId="7" fillId="6" borderId="1" xfId="21" applyFont="1" applyFill="1" applyBorder="1" applyAlignment="1" applyProtection="1">
      <alignment horizontal="center" vertical="center"/>
      <protection locked="0"/>
    </xf>
    <xf numFmtId="177" fontId="7" fillId="6" borderId="1" xfId="22" applyNumberFormat="1" applyFont="1" applyFill="1" applyBorder="1" applyAlignment="1" applyProtection="1">
      <alignment horizontal="center" vertical="center"/>
      <protection locked="0"/>
    </xf>
    <xf numFmtId="177" fontId="7" fillId="6" borderId="1" xfId="22" applyNumberFormat="1" applyFont="1" applyFill="1" applyBorder="1" applyAlignment="1" applyProtection="1">
      <alignment horizontal="right" vertical="center"/>
    </xf>
    <xf numFmtId="0" fontId="7" fillId="6" borderId="1" xfId="21" applyFont="1" applyFill="1" applyBorder="1" applyAlignment="1">
      <alignment horizontal="center"/>
    </xf>
    <xf numFmtId="9" fontId="7" fillId="6" borderId="1" xfId="23" applyFont="1" applyFill="1" applyBorder="1" applyAlignment="1" applyProtection="1">
      <alignment horizontal="center" vertical="center"/>
      <protection locked="0"/>
    </xf>
    <xf numFmtId="181" fontId="7" fillId="6" borderId="1" xfId="22" applyNumberFormat="1" applyFont="1" applyFill="1" applyBorder="1" applyAlignment="1" applyProtection="1">
      <alignment horizontal="center" vertical="center"/>
      <protection locked="0"/>
    </xf>
    <xf numFmtId="0" fontId="7" fillId="6" borderId="1" xfId="8" applyFont="1" applyFill="1" applyBorder="1" applyAlignment="1" applyProtection="1">
      <alignment horizontal="center" vertical="center" wrapText="1"/>
      <protection locked="0"/>
    </xf>
    <xf numFmtId="177" fontId="7" fillId="6" borderId="1" xfId="9" applyNumberFormat="1" applyFont="1" applyFill="1" applyBorder="1" applyAlignment="1" applyProtection="1">
      <alignment horizontal="center" vertical="center" wrapText="1"/>
      <protection locked="0"/>
    </xf>
    <xf numFmtId="176" fontId="7" fillId="6" borderId="1" xfId="9" applyFont="1" applyFill="1" applyBorder="1" applyAlignment="1" applyProtection="1">
      <alignment horizontal="right" vertical="center"/>
      <protection locked="0"/>
    </xf>
    <xf numFmtId="9" fontId="7" fillId="6" borderId="1" xfId="2" applyFont="1" applyFill="1" applyBorder="1" applyAlignment="1">
      <alignment horizontal="center"/>
    </xf>
    <xf numFmtId="181" fontId="7" fillId="6" borderId="1" xfId="0" applyNumberFormat="1" applyFont="1" applyFill="1" applyBorder="1" applyAlignment="1">
      <alignment horizontal="center" vertical="center"/>
    </xf>
    <xf numFmtId="0" fontId="7" fillId="6" borderId="1" xfId="8" applyFont="1" applyFill="1" applyBorder="1" applyAlignment="1">
      <alignment horizontal="left" vertical="center"/>
    </xf>
    <xf numFmtId="49" fontId="7" fillId="6" borderId="1" xfId="9" applyNumberFormat="1" applyFont="1" applyFill="1" applyBorder="1" applyAlignment="1" applyProtection="1">
      <alignment horizontal="center" vertical="center"/>
      <protection locked="0"/>
    </xf>
    <xf numFmtId="9" fontId="7" fillId="6" borderId="1" xfId="9" applyNumberFormat="1" applyFont="1" applyFill="1" applyBorder="1" applyAlignment="1" applyProtection="1">
      <alignment horizontal="center" vertical="center"/>
      <protection locked="0"/>
    </xf>
    <xf numFmtId="177" fontId="7" fillId="6" borderId="1" xfId="9" applyNumberFormat="1" applyFont="1" applyFill="1" applyBorder="1" applyAlignment="1" applyProtection="1">
      <alignment horizontal="center" vertical="center" wrapText="1"/>
    </xf>
    <xf numFmtId="0" fontId="7" fillId="6" borderId="1" xfId="8" applyFont="1" applyFill="1" applyBorder="1" applyAlignment="1">
      <alignment horizontal="left" vertical="top" wrapText="1"/>
    </xf>
    <xf numFmtId="0" fontId="7" fillId="6" borderId="1" xfId="8" applyFont="1" applyFill="1" applyBorder="1" applyAlignment="1">
      <alignment horizontal="left" vertical="top"/>
    </xf>
    <xf numFmtId="9" fontId="7" fillId="6" borderId="1" xfId="20" applyFont="1" applyFill="1" applyBorder="1" applyAlignment="1">
      <alignment horizontal="center" vertical="center"/>
    </xf>
    <xf numFmtId="176" fontId="7" fillId="6" borderId="1" xfId="17" applyFont="1" applyFill="1" applyBorder="1" applyAlignment="1" applyProtection="1">
      <alignment horizontal="center" vertical="center"/>
      <protection locked="0"/>
    </xf>
    <xf numFmtId="14" fontId="7" fillId="6" borderId="1" xfId="7" applyNumberFormat="1" applyFont="1" applyFill="1" applyBorder="1" applyAlignment="1">
      <alignment horizontal="center" vertical="center"/>
      <protection locked="0"/>
    </xf>
    <xf numFmtId="177" fontId="7" fillId="6" borderId="1" xfId="1" applyNumberFormat="1" applyFont="1" applyFill="1" applyBorder="1" applyAlignment="1" applyProtection="1">
      <alignment horizontal="center" vertical="center"/>
      <protection locked="0"/>
    </xf>
    <xf numFmtId="177" fontId="7" fillId="6" borderId="1" xfId="1" applyNumberFormat="1" applyFont="1" applyFill="1" applyBorder="1" applyAlignment="1" applyProtection="1">
      <alignment horizontal="center" vertical="center"/>
    </xf>
    <xf numFmtId="176" fontId="7" fillId="6" borderId="1" xfId="1" applyFont="1" applyFill="1" applyBorder="1" applyAlignment="1" applyProtection="1">
      <alignment horizontal="center" vertical="center"/>
    </xf>
    <xf numFmtId="0" fontId="7" fillId="6" borderId="1" xfId="1" applyNumberFormat="1" applyFont="1" applyFill="1" applyBorder="1" applyAlignment="1" applyProtection="1">
      <alignment horizontal="left" vertical="center"/>
      <protection locked="0"/>
    </xf>
    <xf numFmtId="176" fontId="7" fillId="6" borderId="1" xfId="1" applyFont="1" applyFill="1" applyBorder="1" applyAlignment="1" applyProtection="1">
      <alignment horizontal="left" vertical="center"/>
      <protection locked="0"/>
    </xf>
    <xf numFmtId="0" fontId="7" fillId="6" borderId="1" xfId="1" applyNumberFormat="1" applyFont="1" applyFill="1" applyBorder="1" applyAlignment="1" applyProtection="1">
      <alignment horizontal="center" vertical="center"/>
      <protection locked="0"/>
    </xf>
    <xf numFmtId="14" fontId="7" fillId="6" borderId="1" xfId="1" applyNumberFormat="1" applyFont="1" applyFill="1" applyBorder="1" applyAlignment="1">
      <alignment horizontal="center" vertical="center"/>
    </xf>
    <xf numFmtId="14" fontId="7" fillId="6" borderId="1" xfId="0" applyNumberFormat="1" applyFont="1" applyFill="1" applyBorder="1" applyAlignment="1" applyProtection="1">
      <alignment horizontal="center" vertical="center"/>
      <protection locked="0"/>
    </xf>
    <xf numFmtId="0" fontId="7" fillId="6" borderId="1" xfId="0" applyFont="1" applyFill="1" applyBorder="1" applyAlignment="1">
      <alignment vertical="center"/>
    </xf>
    <xf numFmtId="0" fontId="7" fillId="6" borderId="1" xfId="24" applyFont="1" applyFill="1" applyBorder="1" applyAlignment="1" applyProtection="1">
      <alignment horizontal="center" vertical="center"/>
      <protection locked="0"/>
    </xf>
    <xf numFmtId="14" fontId="7" fillId="6" borderId="1" xfId="7" applyNumberFormat="1" applyFont="1" applyFill="1" applyBorder="1" applyAlignment="1" applyProtection="1">
      <alignment horizontal="center" vertical="center"/>
    </xf>
    <xf numFmtId="179" fontId="7" fillId="6" borderId="1" xfId="1" applyNumberFormat="1" applyFont="1" applyFill="1" applyBorder="1" applyAlignment="1" applyProtection="1">
      <alignment horizontal="center" vertical="center"/>
      <protection locked="0"/>
    </xf>
    <xf numFmtId="49" fontId="7" fillId="6" borderId="1" xfId="0" applyNumberFormat="1" applyFont="1" applyFill="1" applyBorder="1" applyAlignment="1">
      <alignment horizontal="center" vertical="center"/>
    </xf>
    <xf numFmtId="0" fontId="7" fillId="6" borderId="1" xfId="24" applyFont="1" applyFill="1" applyBorder="1" applyAlignment="1">
      <alignment horizontal="center" vertical="center"/>
    </xf>
    <xf numFmtId="14" fontId="7" fillId="6" borderId="1" xfId="5" applyNumberFormat="1" applyFont="1" applyFill="1" applyBorder="1" applyAlignment="1">
      <alignment horizontal="center" vertical="center"/>
    </xf>
    <xf numFmtId="49" fontId="7" fillId="6" borderId="1" xfId="5" applyNumberFormat="1" applyFont="1" applyFill="1" applyBorder="1" applyAlignment="1" applyProtection="1">
      <alignment horizontal="center" vertical="center"/>
      <protection locked="0"/>
    </xf>
    <xf numFmtId="0" fontId="7" fillId="6" borderId="1" xfId="5" applyFont="1" applyFill="1" applyBorder="1" applyAlignment="1">
      <alignment horizontal="left" vertical="center"/>
    </xf>
    <xf numFmtId="14" fontId="7" fillId="6" borderId="1" xfId="0" applyNumberFormat="1" applyFont="1" applyFill="1" applyBorder="1" applyAlignment="1">
      <alignment horizontal="left" vertical="center"/>
    </xf>
    <xf numFmtId="180" fontId="7" fillId="6" borderId="1" xfId="0" applyNumberFormat="1" applyFont="1" applyFill="1" applyBorder="1" applyAlignment="1">
      <alignment horizontal="center" vertical="center"/>
    </xf>
    <xf numFmtId="176" fontId="7" fillId="6" borderId="1" xfId="0" applyNumberFormat="1" applyFont="1" applyFill="1" applyBorder="1" applyAlignment="1">
      <alignment horizontal="center" vertical="center"/>
    </xf>
    <xf numFmtId="193" fontId="7" fillId="6" borderId="1" xfId="1" applyNumberFormat="1" applyFont="1" applyFill="1" applyBorder="1" applyAlignment="1" applyProtection="1">
      <alignment horizontal="center" vertical="center"/>
    </xf>
    <xf numFmtId="194" fontId="7" fillId="6" borderId="1" xfId="1" applyNumberFormat="1" applyFont="1" applyFill="1" applyBorder="1" applyAlignment="1" applyProtection="1">
      <alignment horizontal="center" vertical="center"/>
    </xf>
    <xf numFmtId="0" fontId="7" fillId="7" borderId="1" xfId="0" applyFont="1" applyFill="1" applyBorder="1" applyAlignment="1">
      <alignment horizontal="center" vertical="center"/>
    </xf>
    <xf numFmtId="0" fontId="7" fillId="7" borderId="1" xfId="5" applyFont="1" applyFill="1" applyBorder="1" applyAlignment="1" applyProtection="1">
      <alignment horizontal="center" vertical="center"/>
      <protection locked="0"/>
    </xf>
    <xf numFmtId="0" fontId="7" fillId="7" borderId="1" xfId="0" applyFont="1" applyFill="1" applyBorder="1" applyAlignment="1" applyProtection="1">
      <alignment horizontal="center" vertical="center"/>
      <protection locked="0"/>
    </xf>
    <xf numFmtId="0" fontId="7" fillId="7" borderId="1" xfId="3" applyFont="1" applyFill="1" applyBorder="1" applyAlignment="1">
      <alignment horizontal="center" vertical="center"/>
      <protection locked="0"/>
    </xf>
    <xf numFmtId="0" fontId="7" fillId="7" borderId="1" xfId="11" applyFont="1" applyFill="1" applyBorder="1" applyAlignment="1">
      <alignment horizontal="center" vertical="center"/>
    </xf>
    <xf numFmtId="0" fontId="7" fillId="7" borderId="1" xfId="3" applyFont="1" applyFill="1" applyBorder="1" applyAlignment="1" applyProtection="1">
      <alignment horizontal="center" vertical="center"/>
    </xf>
    <xf numFmtId="14" fontId="7" fillId="7" borderId="1" xfId="3" applyNumberFormat="1" applyFont="1" applyFill="1" applyBorder="1" applyAlignment="1">
      <alignment horizontal="center" vertical="center"/>
      <protection locked="0"/>
    </xf>
    <xf numFmtId="177" fontId="7" fillId="7" borderId="1" xfId="0" applyNumberFormat="1" applyFont="1" applyFill="1" applyBorder="1" applyAlignment="1">
      <alignment vertical="center"/>
    </xf>
    <xf numFmtId="177" fontId="7" fillId="7" borderId="1" xfId="1" applyNumberFormat="1" applyFont="1" applyFill="1" applyBorder="1" applyAlignment="1" applyProtection="1">
      <alignment vertical="center"/>
      <protection locked="0"/>
    </xf>
    <xf numFmtId="0" fontId="7" fillId="7" borderId="1" xfId="6" applyFont="1" applyFill="1" applyBorder="1" applyAlignment="1">
      <alignment vertical="center"/>
      <protection locked="0"/>
    </xf>
    <xf numFmtId="40" fontId="7" fillId="7" borderId="1" xfId="4" applyNumberFormat="1" applyFont="1" applyFill="1" applyBorder="1" applyAlignment="1" applyProtection="1">
      <alignment horizontal="left" vertical="center"/>
    </xf>
    <xf numFmtId="186" fontId="7" fillId="7" borderId="1" xfId="1" applyNumberFormat="1" applyFont="1" applyFill="1" applyBorder="1" applyAlignment="1">
      <alignment horizontal="center"/>
    </xf>
    <xf numFmtId="40" fontId="7" fillId="7" borderId="1" xfId="1" applyNumberFormat="1" applyFont="1" applyFill="1" applyBorder="1" applyAlignment="1">
      <alignment horizontal="center" vertical="center"/>
    </xf>
    <xf numFmtId="14" fontId="7" fillId="7" borderId="1" xfId="0" applyNumberFormat="1" applyFont="1" applyFill="1" applyBorder="1" applyAlignment="1">
      <alignment horizontal="center" vertical="center"/>
    </xf>
    <xf numFmtId="0" fontId="7" fillId="7" borderId="1" xfId="0" applyFont="1" applyFill="1" applyBorder="1" applyAlignment="1">
      <alignment horizontal="center"/>
    </xf>
    <xf numFmtId="180" fontId="7" fillId="7" borderId="1" xfId="0" applyNumberFormat="1" applyFont="1" applyFill="1" applyBorder="1" applyAlignment="1">
      <alignment horizontal="center"/>
    </xf>
    <xf numFmtId="0" fontId="7" fillId="7" borderId="0" xfId="0" applyFont="1" applyFill="1"/>
    <xf numFmtId="186" fontId="7" fillId="7" borderId="1" xfId="1" applyNumberFormat="1" applyFont="1" applyFill="1" applyBorder="1" applyAlignment="1">
      <alignment horizontal="center" vertical="center"/>
    </xf>
    <xf numFmtId="177" fontId="7" fillId="7" borderId="1" xfId="1" applyNumberFormat="1" applyFont="1" applyFill="1" applyBorder="1" applyAlignment="1">
      <alignment vertical="center"/>
    </xf>
    <xf numFmtId="177" fontId="7" fillId="7" borderId="1" xfId="0" applyNumberFormat="1" applyFont="1" applyFill="1" applyBorder="1" applyAlignment="1">
      <alignment vertical="center" wrapText="1"/>
    </xf>
    <xf numFmtId="177" fontId="7" fillId="7" borderId="1" xfId="1" applyNumberFormat="1" applyFont="1" applyFill="1" applyBorder="1" applyAlignment="1">
      <alignment horizontal="center" vertical="center"/>
    </xf>
    <xf numFmtId="176" fontId="7" fillId="7" borderId="1" xfId="1" applyFont="1" applyFill="1" applyBorder="1" applyAlignment="1">
      <alignment horizontal="center" vertical="center"/>
    </xf>
    <xf numFmtId="0" fontId="7" fillId="7" borderId="1" xfId="0" applyFont="1" applyFill="1" applyBorder="1" applyAlignment="1">
      <alignment horizontal="center" vertical="center" wrapText="1"/>
    </xf>
    <xf numFmtId="188" fontId="7" fillId="7" borderId="1" xfId="1" applyNumberFormat="1" applyFont="1" applyFill="1" applyBorder="1" applyAlignment="1">
      <alignment horizontal="center"/>
    </xf>
    <xf numFmtId="0" fontId="7" fillId="7" borderId="1" xfId="3" applyFont="1" applyFill="1" applyBorder="1" applyAlignment="1">
      <alignment horizontal="center" vertical="center" wrapText="1"/>
      <protection locked="0"/>
    </xf>
    <xf numFmtId="14" fontId="7" fillId="7" borderId="1" xfId="3" applyNumberFormat="1" applyFont="1" applyFill="1" applyBorder="1" applyAlignment="1">
      <alignment horizontal="center" vertical="center" wrapText="1"/>
      <protection locked="0"/>
    </xf>
    <xf numFmtId="183" fontId="7" fillId="7" borderId="1" xfId="1" applyNumberFormat="1" applyFont="1" applyFill="1" applyBorder="1" applyAlignment="1">
      <alignment vertical="center"/>
    </xf>
    <xf numFmtId="40" fontId="7" fillId="7" borderId="1" xfId="4" applyNumberFormat="1" applyFont="1" applyFill="1" applyBorder="1" applyAlignment="1" applyProtection="1">
      <alignment horizontal="left" vertical="center" wrapText="1"/>
    </xf>
    <xf numFmtId="180" fontId="7" fillId="7" borderId="1" xfId="1" applyNumberFormat="1" applyFont="1" applyFill="1" applyBorder="1" applyAlignment="1">
      <alignment horizontal="center"/>
    </xf>
    <xf numFmtId="176" fontId="7" fillId="7" borderId="1" xfId="1" applyFont="1" applyFill="1" applyBorder="1" applyAlignment="1">
      <alignment horizontal="center"/>
    </xf>
    <xf numFmtId="0" fontId="7" fillId="7" borderId="1" xfId="1" applyNumberFormat="1" applyFont="1" applyFill="1" applyBorder="1" applyAlignment="1">
      <alignment horizontal="center" vertical="center"/>
    </xf>
    <xf numFmtId="187" fontId="7" fillId="7" borderId="1" xfId="1" applyNumberFormat="1" applyFont="1" applyFill="1" applyBorder="1" applyAlignment="1">
      <alignment horizontal="center" vertical="center"/>
    </xf>
    <xf numFmtId="0" fontId="7" fillId="7" borderId="1" xfId="8" applyFont="1" applyFill="1" applyBorder="1" applyAlignment="1" applyProtection="1">
      <alignment horizontal="center" vertical="center"/>
      <protection locked="0"/>
    </xf>
    <xf numFmtId="0" fontId="7" fillId="7" borderId="1" xfId="8" applyFont="1" applyFill="1" applyBorder="1" applyAlignment="1">
      <alignment horizontal="center" vertical="center"/>
    </xf>
    <xf numFmtId="49" fontId="7" fillId="7" borderId="1" xfId="8" applyNumberFormat="1" applyFont="1" applyFill="1" applyBorder="1" applyAlignment="1" applyProtection="1">
      <alignment horizontal="center" vertical="center"/>
      <protection locked="0"/>
    </xf>
    <xf numFmtId="0" fontId="7" fillId="7" borderId="1" xfId="7" applyFont="1" applyFill="1" applyBorder="1" applyAlignment="1" applyProtection="1">
      <alignment horizontal="center" vertical="center"/>
    </xf>
    <xf numFmtId="14" fontId="7" fillId="7" borderId="1" xfId="4" applyNumberFormat="1" applyFont="1" applyFill="1" applyBorder="1" applyAlignment="1" applyProtection="1">
      <alignment horizontal="center" vertical="center"/>
    </xf>
    <xf numFmtId="177" fontId="7" fillId="7" borderId="1" xfId="6" applyNumberFormat="1" applyFont="1" applyFill="1" applyBorder="1" applyAlignment="1">
      <alignment vertical="center"/>
      <protection locked="0"/>
    </xf>
    <xf numFmtId="177" fontId="7" fillId="7" borderId="1" xfId="9" applyNumberFormat="1" applyFont="1" applyFill="1" applyBorder="1" applyAlignment="1" applyProtection="1">
      <alignment vertical="center"/>
    </xf>
    <xf numFmtId="177" fontId="7" fillId="7" borderId="1" xfId="1" applyNumberFormat="1" applyFont="1" applyFill="1" applyBorder="1" applyAlignment="1" applyProtection="1">
      <alignment vertical="center"/>
    </xf>
    <xf numFmtId="0" fontId="7" fillId="7" borderId="1" xfId="8" applyFont="1" applyFill="1" applyBorder="1" applyAlignment="1" applyProtection="1">
      <alignment horizontal="left" vertical="center"/>
      <protection locked="0"/>
    </xf>
    <xf numFmtId="0" fontId="7" fillId="7" borderId="1" xfId="8" applyFont="1" applyFill="1" applyBorder="1" applyAlignment="1">
      <alignment horizontal="center"/>
    </xf>
    <xf numFmtId="14" fontId="7" fillId="7" borderId="1" xfId="4" applyNumberFormat="1" applyFont="1" applyFill="1" applyBorder="1" applyAlignment="1" applyProtection="1">
      <alignment horizontal="center" vertical="center" wrapText="1"/>
    </xf>
    <xf numFmtId="0" fontId="7" fillId="7" borderId="1" xfId="8" applyFont="1" applyFill="1" applyBorder="1" applyAlignment="1" applyProtection="1">
      <alignment horizontal="center" vertical="center" wrapText="1"/>
      <protection locked="0"/>
    </xf>
    <xf numFmtId="0" fontId="7" fillId="7" borderId="1" xfId="8" applyFont="1" applyFill="1" applyBorder="1" applyAlignment="1" applyProtection="1">
      <alignment horizontal="left" vertical="center" wrapText="1"/>
      <protection locked="0"/>
    </xf>
    <xf numFmtId="0" fontId="7" fillId="7" borderId="1" xfId="11" applyFont="1" applyFill="1" applyBorder="1" applyAlignment="1" applyProtection="1">
      <alignment horizontal="center" vertical="center"/>
      <protection locked="0"/>
    </xf>
    <xf numFmtId="0" fontId="7" fillId="7" borderId="1" xfId="4" applyFont="1" applyFill="1" applyBorder="1" applyAlignment="1" applyProtection="1">
      <alignment horizontal="center" vertical="center" wrapText="1"/>
    </xf>
    <xf numFmtId="0" fontId="7" fillId="7" borderId="1" xfId="7" applyFont="1" applyFill="1" applyBorder="1" applyAlignment="1" applyProtection="1">
      <alignment horizontal="center" vertical="center" wrapText="1"/>
    </xf>
    <xf numFmtId="14" fontId="7" fillId="7" borderId="1" xfId="11" applyNumberFormat="1" applyFont="1" applyFill="1" applyBorder="1" applyAlignment="1">
      <alignment horizontal="center" vertical="center" wrapText="1"/>
    </xf>
    <xf numFmtId="40" fontId="7" fillId="7" borderId="1" xfId="4" applyNumberFormat="1" applyFont="1" applyFill="1" applyBorder="1" applyAlignment="1" applyProtection="1">
      <alignment horizontal="center" vertical="center" wrapText="1"/>
    </xf>
    <xf numFmtId="177" fontId="7" fillId="7" borderId="1" xfId="12" applyNumberFormat="1" applyFont="1" applyFill="1" applyBorder="1" applyAlignment="1" applyProtection="1">
      <alignment vertical="center"/>
      <protection locked="0"/>
    </xf>
    <xf numFmtId="177" fontId="7" fillId="7" borderId="1" xfId="13" applyNumberFormat="1" applyFont="1" applyFill="1" applyBorder="1" applyAlignment="1">
      <alignment vertical="center"/>
    </xf>
    <xf numFmtId="177" fontId="7" fillId="7" borderId="1" xfId="17" applyNumberFormat="1" applyFont="1" applyFill="1" applyBorder="1" applyAlignment="1" applyProtection="1">
      <alignment vertical="center"/>
      <protection locked="0"/>
    </xf>
    <xf numFmtId="40" fontId="7" fillId="7" borderId="1" xfId="4" applyNumberFormat="1" applyFont="1" applyFill="1" applyBorder="1" applyAlignment="1" applyProtection="1">
      <alignment horizontal="left" vertical="top"/>
    </xf>
    <xf numFmtId="180" fontId="7" fillId="7" borderId="1" xfId="3" applyNumberFormat="1" applyFont="1" applyFill="1" applyBorder="1" applyAlignment="1">
      <alignment horizontal="center" vertical="center" wrapText="1"/>
      <protection locked="0"/>
    </xf>
    <xf numFmtId="180" fontId="7" fillId="7" borderId="1" xfId="4" applyNumberFormat="1" applyFont="1" applyFill="1" applyBorder="1" applyAlignment="1">
      <alignment horizontal="center" vertical="center"/>
      <protection locked="0"/>
    </xf>
    <xf numFmtId="9" fontId="7" fillId="7" borderId="1" xfId="11" applyNumberFormat="1" applyFont="1" applyFill="1" applyBorder="1" applyAlignment="1">
      <alignment horizontal="center" vertical="center"/>
    </xf>
    <xf numFmtId="9" fontId="7" fillId="7" borderId="1" xfId="18" applyFont="1" applyFill="1" applyBorder="1" applyAlignment="1">
      <alignment horizontal="center" vertical="center"/>
    </xf>
    <xf numFmtId="180" fontId="7" fillId="7" borderId="1" xfId="11" applyNumberFormat="1" applyFont="1" applyFill="1" applyBorder="1" applyAlignment="1">
      <alignment horizontal="center" vertical="center"/>
    </xf>
    <xf numFmtId="40" fontId="7" fillId="7" borderId="1" xfId="4" applyNumberFormat="1" applyFont="1" applyFill="1" applyBorder="1" applyAlignment="1" applyProtection="1">
      <alignment horizontal="left" vertical="top" wrapText="1"/>
    </xf>
    <xf numFmtId="0" fontId="7" fillId="7" borderId="1" xfId="0" applyFont="1" applyFill="1" applyBorder="1"/>
    <xf numFmtId="49" fontId="7" fillId="7" borderId="1" xfId="3" applyNumberFormat="1" applyFont="1" applyFill="1" applyBorder="1" applyAlignment="1">
      <alignment horizontal="center" vertical="center"/>
      <protection locked="0"/>
    </xf>
    <xf numFmtId="14" fontId="7" fillId="7" borderId="1" xfId="6" applyNumberFormat="1" applyFont="1" applyFill="1" applyBorder="1" applyAlignment="1">
      <alignment horizontal="center" vertical="center" wrapText="1"/>
      <protection locked="0"/>
    </xf>
    <xf numFmtId="0" fontId="7" fillId="7" borderId="1" xfId="4" applyFont="1" applyFill="1" applyBorder="1" applyAlignment="1" applyProtection="1">
      <alignment horizontal="center" vertical="center"/>
    </xf>
    <xf numFmtId="14" fontId="7" fillId="7" borderId="1" xfId="11" applyNumberFormat="1" applyFont="1" applyFill="1" applyBorder="1" applyAlignment="1">
      <alignment horizontal="center" vertical="center"/>
    </xf>
    <xf numFmtId="40" fontId="7" fillId="7" borderId="1" xfId="4" applyNumberFormat="1" applyFont="1" applyFill="1" applyBorder="1" applyAlignment="1" applyProtection="1">
      <alignment horizontal="center" vertical="center"/>
    </xf>
    <xf numFmtId="177" fontId="7" fillId="7" borderId="1" xfId="17" applyNumberFormat="1" applyFont="1" applyFill="1" applyBorder="1" applyAlignment="1" applyProtection="1">
      <alignment vertical="center"/>
    </xf>
    <xf numFmtId="180" fontId="7" fillId="7" borderId="1" xfId="3" applyNumberFormat="1" applyFont="1" applyFill="1" applyBorder="1" applyAlignment="1">
      <alignment horizontal="center" vertical="center"/>
      <protection locked="0"/>
    </xf>
    <xf numFmtId="177" fontId="7" fillId="7" borderId="1" xfId="6" applyNumberFormat="1" applyFont="1" applyFill="1" applyBorder="1" applyAlignment="1">
      <alignment horizontal="right" vertical="center"/>
      <protection locked="0"/>
    </xf>
    <xf numFmtId="177" fontId="7" fillId="7" borderId="1" xfId="9" applyNumberFormat="1" applyFont="1" applyFill="1" applyBorder="1" applyAlignment="1" applyProtection="1">
      <alignment horizontal="right" vertical="center"/>
    </xf>
    <xf numFmtId="177" fontId="7" fillId="7" borderId="1" xfId="1" applyNumberFormat="1" applyFont="1" applyFill="1" applyBorder="1" applyAlignment="1" applyProtection="1">
      <alignment horizontal="right" vertical="center"/>
    </xf>
    <xf numFmtId="14" fontId="7" fillId="7" borderId="1" xfId="0" applyNumberFormat="1" applyFont="1" applyFill="1" applyBorder="1" applyAlignment="1">
      <alignment horizontal="center"/>
    </xf>
    <xf numFmtId="177" fontId="7" fillId="7" borderId="1" xfId="0" applyNumberFormat="1" applyFont="1" applyFill="1" applyBorder="1" applyAlignment="1">
      <alignment horizontal="right" vertical="center"/>
    </xf>
    <xf numFmtId="177" fontId="7" fillId="7" borderId="1" xfId="17" applyNumberFormat="1" applyFont="1" applyFill="1" applyBorder="1" applyAlignment="1">
      <alignment horizontal="right" vertical="center"/>
    </xf>
    <xf numFmtId="177" fontId="7" fillId="7" borderId="1" xfId="17" applyNumberFormat="1" applyFont="1" applyFill="1" applyBorder="1" applyAlignment="1" applyProtection="1">
      <alignment horizontal="right" vertical="center"/>
      <protection locked="0"/>
    </xf>
    <xf numFmtId="176" fontId="7" fillId="7" borderId="1" xfId="17" applyFont="1" applyFill="1" applyBorder="1" applyAlignment="1">
      <alignment horizontal="center" vertical="center"/>
    </xf>
    <xf numFmtId="40" fontId="7" fillId="7" borderId="1" xfId="17" applyNumberFormat="1" applyFont="1" applyFill="1" applyBorder="1" applyAlignment="1">
      <alignment horizontal="center" vertical="center"/>
    </xf>
    <xf numFmtId="177" fontId="7" fillId="7" borderId="1" xfId="1" applyNumberFormat="1" applyFont="1" applyFill="1" applyBorder="1" applyAlignment="1">
      <alignment horizontal="right" vertical="center"/>
    </xf>
    <xf numFmtId="177" fontId="7" fillId="7" borderId="1" xfId="1" applyNumberFormat="1" applyFont="1" applyFill="1" applyBorder="1" applyAlignment="1" applyProtection="1">
      <alignment horizontal="right" vertical="center"/>
      <protection locked="0"/>
    </xf>
    <xf numFmtId="188" fontId="7" fillId="7" borderId="1" xfId="1" applyNumberFormat="1" applyFont="1" applyFill="1" applyBorder="1" applyAlignment="1">
      <alignment horizontal="center" vertical="center"/>
    </xf>
    <xf numFmtId="189" fontId="7" fillId="7" borderId="1" xfId="1" applyNumberFormat="1" applyFont="1" applyFill="1" applyBorder="1" applyAlignment="1">
      <alignment horizontal="center" vertical="center"/>
    </xf>
    <xf numFmtId="183" fontId="7" fillId="7" borderId="1" xfId="1" applyNumberFormat="1" applyFont="1" applyFill="1" applyBorder="1" applyAlignment="1">
      <alignment horizontal="center" vertical="center"/>
    </xf>
    <xf numFmtId="190" fontId="7" fillId="7" borderId="1" xfId="1" applyNumberFormat="1" applyFont="1" applyFill="1" applyBorder="1" applyAlignment="1">
      <alignment horizontal="center" vertical="center"/>
    </xf>
    <xf numFmtId="187" fontId="7" fillId="7" borderId="1" xfId="1" applyNumberFormat="1" applyFont="1" applyFill="1" applyBorder="1" applyAlignment="1">
      <alignment horizontal="center"/>
    </xf>
    <xf numFmtId="177" fontId="7" fillId="7" borderId="1" xfId="12" applyNumberFormat="1" applyFont="1" applyFill="1" applyBorder="1" applyAlignment="1" applyProtection="1">
      <alignment horizontal="center" vertical="center"/>
      <protection locked="0"/>
    </xf>
    <xf numFmtId="177" fontId="7" fillId="7" borderId="1" xfId="13" applyNumberFormat="1" applyFont="1" applyFill="1" applyBorder="1" applyAlignment="1">
      <alignment horizontal="right" vertical="center"/>
    </xf>
    <xf numFmtId="184" fontId="7" fillId="7" borderId="1" xfId="1" applyNumberFormat="1" applyFont="1" applyFill="1" applyBorder="1" applyAlignment="1">
      <alignment horizontal="center"/>
    </xf>
    <xf numFmtId="0" fontId="7" fillId="7" borderId="1" xfId="0" applyFont="1" applyFill="1" applyBorder="1" applyAlignment="1" applyProtection="1">
      <alignment horizontal="center" vertical="center" wrapText="1"/>
      <protection locked="0"/>
    </xf>
    <xf numFmtId="0" fontId="7" fillId="7" borderId="1" xfId="5" applyFont="1" applyFill="1" applyBorder="1" applyAlignment="1">
      <alignment horizontal="center" vertical="center"/>
    </xf>
    <xf numFmtId="0" fontId="7" fillId="7" borderId="1" xfId="5" applyFont="1" applyFill="1" applyBorder="1" applyAlignment="1" applyProtection="1">
      <alignment horizontal="center" vertical="center" wrapText="1"/>
      <protection locked="0"/>
    </xf>
    <xf numFmtId="49" fontId="7" fillId="7" borderId="1" xfId="5" applyNumberFormat="1" applyFont="1" applyFill="1" applyBorder="1" applyAlignment="1" applyProtection="1">
      <alignment horizontal="center" vertical="center" wrapText="1"/>
      <protection locked="0"/>
    </xf>
    <xf numFmtId="177" fontId="7" fillId="7" borderId="1" xfId="6" applyNumberFormat="1" applyFont="1" applyFill="1" applyBorder="1" applyAlignment="1">
      <alignment horizontal="center" vertical="center"/>
      <protection locked="0"/>
    </xf>
    <xf numFmtId="177" fontId="7" fillId="7" borderId="1" xfId="17" applyNumberFormat="1" applyFont="1" applyFill="1" applyBorder="1" applyAlignment="1" applyProtection="1">
      <alignment horizontal="center" vertical="center"/>
    </xf>
    <xf numFmtId="181" fontId="7" fillId="7" borderId="1" xfId="3" applyNumberFormat="1" applyFont="1" applyFill="1" applyBorder="1" applyAlignment="1">
      <alignment vertical="center" wrapText="1"/>
      <protection locked="0"/>
    </xf>
    <xf numFmtId="14" fontId="7" fillId="7" borderId="1" xfId="4" applyNumberFormat="1" applyFont="1" applyFill="1" applyBorder="1" applyAlignment="1" applyProtection="1">
      <alignment horizontal="left" vertical="top" wrapText="1"/>
    </xf>
    <xf numFmtId="0" fontId="7" fillId="7" borderId="1" xfId="10" applyFont="1" applyFill="1" applyBorder="1" applyAlignment="1">
      <alignment vertical="center" wrapText="1"/>
      <protection locked="0"/>
    </xf>
    <xf numFmtId="14" fontId="7" fillId="7" borderId="1" xfId="4" applyNumberFormat="1" applyFont="1" applyFill="1" applyBorder="1" applyAlignment="1">
      <alignment horizontal="center" vertical="center"/>
      <protection locked="0"/>
    </xf>
    <xf numFmtId="14" fontId="7" fillId="7" borderId="2" xfId="4" applyNumberFormat="1" applyFont="1" applyFill="1" applyBorder="1" applyAlignment="1">
      <alignment horizontal="center" vertical="center"/>
      <protection locked="0"/>
    </xf>
    <xf numFmtId="9" fontId="7" fillId="7" borderId="1" xfId="0" applyNumberFormat="1" applyFont="1" applyFill="1" applyBorder="1" applyAlignment="1">
      <alignment horizontal="center" vertical="center"/>
    </xf>
    <xf numFmtId="177" fontId="7" fillId="7" borderId="1" xfId="4" applyNumberFormat="1" applyFont="1" applyFill="1" applyBorder="1" applyAlignment="1" applyProtection="1">
      <alignment horizontal="center" vertical="center" wrapText="1"/>
    </xf>
    <xf numFmtId="178" fontId="7" fillId="7" borderId="1" xfId="3" applyNumberFormat="1" applyFont="1" applyFill="1" applyBorder="1" applyAlignment="1">
      <alignment horizontal="center" vertical="center" wrapText="1"/>
      <protection locked="0"/>
    </xf>
    <xf numFmtId="14" fontId="7" fillId="7" borderId="1" xfId="0" applyNumberFormat="1" applyFont="1" applyFill="1" applyBorder="1" applyAlignment="1">
      <alignment horizontal="center" vertical="center" wrapText="1"/>
    </xf>
    <xf numFmtId="14" fontId="7" fillId="7" borderId="1" xfId="4" applyNumberFormat="1" applyFont="1" applyFill="1" applyBorder="1" applyAlignment="1" applyProtection="1">
      <alignment horizontal="left" vertical="center" wrapText="1"/>
    </xf>
    <xf numFmtId="0" fontId="7" fillId="7" borderId="1" xfId="3" applyFont="1" applyFill="1" applyBorder="1" applyAlignment="1" applyProtection="1">
      <alignment horizontal="center" vertical="center" wrapText="1"/>
    </xf>
    <xf numFmtId="177" fontId="7" fillId="7" borderId="1" xfId="1" applyNumberFormat="1" applyFont="1" applyFill="1" applyBorder="1" applyAlignment="1" applyProtection="1">
      <alignment horizontal="right" vertical="center" wrapText="1"/>
    </xf>
    <xf numFmtId="0" fontId="7" fillId="7" borderId="1" xfId="10" applyFont="1" applyFill="1" applyBorder="1" applyAlignment="1">
      <alignment horizontal="left" vertical="top" wrapText="1"/>
      <protection locked="0"/>
    </xf>
    <xf numFmtId="0" fontId="7" fillId="7" borderId="1" xfId="0" applyFont="1" applyFill="1" applyBorder="1" applyAlignment="1">
      <alignment horizontal="left" vertical="top" wrapText="1"/>
    </xf>
    <xf numFmtId="177" fontId="7" fillId="7" borderId="1" xfId="3" applyNumberFormat="1" applyFont="1" applyFill="1" applyBorder="1" applyAlignment="1">
      <alignment horizontal="center" vertical="center" wrapText="1"/>
      <protection locked="0"/>
    </xf>
    <xf numFmtId="180" fontId="7" fillId="7" borderId="1" xfId="17" applyNumberFormat="1" applyFont="1" applyFill="1" applyBorder="1" applyAlignment="1" applyProtection="1">
      <alignment horizontal="center" vertical="center"/>
    </xf>
    <xf numFmtId="0" fontId="7" fillId="7" borderId="1" xfId="4" applyFont="1" applyFill="1" applyBorder="1" applyAlignment="1">
      <alignment horizontal="center" vertical="center" wrapText="1"/>
      <protection locked="0"/>
    </xf>
    <xf numFmtId="40" fontId="12" fillId="7" borderId="1" xfId="17" applyNumberFormat="1" applyFont="1" applyFill="1" applyBorder="1" applyAlignment="1" applyProtection="1">
      <alignment horizontal="center" vertical="center"/>
    </xf>
    <xf numFmtId="0" fontId="12" fillId="7" borderId="1" xfId="0" applyFont="1" applyFill="1" applyBorder="1" applyAlignment="1">
      <alignment horizontal="left" vertical="top" wrapText="1"/>
    </xf>
    <xf numFmtId="180" fontId="12" fillId="7" borderId="1" xfId="3" applyNumberFormat="1" applyFont="1" applyFill="1" applyBorder="1" applyAlignment="1">
      <alignment horizontal="center" vertical="center" wrapText="1"/>
      <protection locked="0"/>
    </xf>
    <xf numFmtId="0" fontId="7" fillId="7" borderId="1" xfId="6" applyFont="1" applyFill="1" applyBorder="1" applyAlignment="1">
      <alignment horizontal="center" vertical="center"/>
      <protection locked="0"/>
    </xf>
    <xf numFmtId="49" fontId="7" fillId="7" borderId="1" xfId="0" applyNumberFormat="1" applyFont="1" applyFill="1" applyBorder="1" applyAlignment="1" applyProtection="1">
      <alignment horizontal="center" vertical="center"/>
      <protection locked="0"/>
    </xf>
    <xf numFmtId="177" fontId="7" fillId="7" borderId="1" xfId="9" applyNumberFormat="1" applyFont="1" applyFill="1" applyBorder="1" applyAlignment="1" applyProtection="1">
      <alignment horizontal="center" vertical="center"/>
      <protection locked="0"/>
    </xf>
    <xf numFmtId="177" fontId="7" fillId="7" borderId="1" xfId="9" applyNumberFormat="1" applyFont="1" applyFill="1" applyBorder="1" applyAlignment="1" applyProtection="1">
      <alignment horizontal="center" vertical="center"/>
    </xf>
    <xf numFmtId="177" fontId="7" fillId="7" borderId="1" xfId="9" applyNumberFormat="1" applyFont="1" applyFill="1" applyBorder="1" applyAlignment="1" applyProtection="1">
      <alignment horizontal="right" vertical="center"/>
      <protection locked="0"/>
    </xf>
    <xf numFmtId="0" fontId="7" fillId="7" borderId="1" xfId="8" applyFont="1" applyFill="1" applyBorder="1" applyAlignment="1">
      <alignment vertical="center"/>
    </xf>
    <xf numFmtId="176" fontId="7" fillId="7" borderId="1" xfId="9" applyFont="1" applyFill="1" applyBorder="1" applyAlignment="1">
      <alignment horizontal="center" vertical="center"/>
    </xf>
    <xf numFmtId="14" fontId="7" fillId="7" borderId="1" xfId="9" applyNumberFormat="1" applyFont="1" applyFill="1" applyBorder="1" applyAlignment="1" applyProtection="1">
      <alignment horizontal="center" vertical="center"/>
      <protection locked="0"/>
    </xf>
    <xf numFmtId="14" fontId="7" fillId="7" borderId="1" xfId="8" applyNumberFormat="1" applyFont="1" applyFill="1" applyBorder="1" applyAlignment="1">
      <alignment horizontal="center" vertical="center"/>
    </xf>
    <xf numFmtId="9" fontId="7" fillId="7" borderId="1" xfId="2" applyFont="1" applyFill="1" applyBorder="1" applyAlignment="1">
      <alignment horizontal="center" vertical="center"/>
    </xf>
    <xf numFmtId="181" fontId="7" fillId="7" borderId="1" xfId="8" applyNumberFormat="1" applyFont="1" applyFill="1" applyBorder="1" applyAlignment="1">
      <alignment horizontal="center" vertical="center"/>
    </xf>
    <xf numFmtId="177" fontId="7" fillId="7" borderId="1" xfId="17" applyNumberFormat="1" applyFont="1" applyFill="1" applyBorder="1" applyAlignment="1" applyProtection="1">
      <alignment horizontal="center" vertical="center"/>
      <protection locked="0"/>
    </xf>
    <xf numFmtId="0" fontId="7" fillId="7" borderId="1" xfId="9" applyNumberFormat="1" applyFont="1" applyFill="1" applyBorder="1" applyAlignment="1" applyProtection="1">
      <alignment horizontal="center" vertical="center"/>
    </xf>
    <xf numFmtId="14" fontId="7" fillId="7" borderId="1" xfId="4" applyNumberFormat="1" applyFont="1" applyFill="1" applyBorder="1" applyAlignment="1" applyProtection="1">
      <alignment horizontal="left" vertical="center"/>
    </xf>
    <xf numFmtId="176" fontId="7" fillId="7" borderId="1" xfId="9" applyFont="1" applyFill="1" applyBorder="1" applyAlignment="1" applyProtection="1">
      <alignment horizontal="center" vertical="center"/>
      <protection locked="0"/>
    </xf>
    <xf numFmtId="9" fontId="7" fillId="7" borderId="1" xfId="20" applyFont="1" applyFill="1" applyBorder="1" applyAlignment="1">
      <alignment horizontal="center" vertical="center"/>
    </xf>
    <xf numFmtId="181" fontId="7" fillId="7" borderId="2" xfId="8" applyNumberFormat="1" applyFont="1" applyFill="1" applyBorder="1" applyAlignment="1">
      <alignment horizontal="center" vertical="center"/>
    </xf>
    <xf numFmtId="9" fontId="7" fillId="7" borderId="1" xfId="2" applyFont="1" applyFill="1" applyBorder="1" applyAlignment="1" applyProtection="1">
      <alignment horizontal="center" vertical="center"/>
      <protection locked="0"/>
    </xf>
    <xf numFmtId="181" fontId="7" fillId="7" borderId="1" xfId="9" applyNumberFormat="1" applyFont="1" applyFill="1" applyBorder="1" applyAlignment="1" applyProtection="1">
      <alignment horizontal="center" vertical="center"/>
      <protection locked="0"/>
    </xf>
    <xf numFmtId="0" fontId="7" fillId="7" borderId="1" xfId="0" applyFont="1" applyFill="1" applyBorder="1" applyAlignment="1">
      <alignment horizontal="left" vertical="center"/>
    </xf>
    <xf numFmtId="180" fontId="7" fillId="7" borderId="1" xfId="9" applyNumberFormat="1" applyFont="1" applyFill="1" applyBorder="1" applyAlignment="1">
      <alignment horizontal="center" vertical="center"/>
    </xf>
    <xf numFmtId="176" fontId="7" fillId="7" borderId="3" xfId="9" applyFont="1" applyFill="1" applyBorder="1" applyAlignment="1" applyProtection="1">
      <alignment horizontal="center" vertical="center"/>
      <protection locked="0"/>
    </xf>
    <xf numFmtId="0" fontId="7" fillId="7" borderId="1" xfId="21" applyFont="1" applyFill="1" applyBorder="1" applyAlignment="1">
      <alignment horizontal="center" vertical="center"/>
    </xf>
    <xf numFmtId="0" fontId="7" fillId="7" borderId="1" xfId="21" applyFont="1" applyFill="1" applyBorder="1" applyAlignment="1" applyProtection="1">
      <alignment horizontal="center" vertical="center"/>
      <protection locked="0"/>
    </xf>
    <xf numFmtId="177" fontId="7" fillId="7" borderId="1" xfId="22" applyNumberFormat="1" applyFont="1" applyFill="1" applyBorder="1" applyAlignment="1" applyProtection="1">
      <alignment horizontal="center" vertical="center"/>
      <protection locked="0"/>
    </xf>
    <xf numFmtId="177" fontId="7" fillId="7" borderId="1" xfId="22" applyNumberFormat="1" applyFont="1" applyFill="1" applyBorder="1" applyAlignment="1" applyProtection="1">
      <alignment horizontal="right" vertical="center"/>
    </xf>
    <xf numFmtId="177" fontId="7" fillId="7" borderId="1" xfId="22" applyNumberFormat="1" applyFont="1" applyFill="1" applyBorder="1" applyAlignment="1" applyProtection="1">
      <alignment horizontal="right" vertical="center"/>
      <protection locked="0"/>
    </xf>
    <xf numFmtId="0" fontId="7" fillId="7" borderId="1" xfId="21" applyFont="1" applyFill="1" applyBorder="1" applyAlignment="1">
      <alignment horizontal="center"/>
    </xf>
    <xf numFmtId="176" fontId="7" fillId="7" borderId="1" xfId="22" applyFont="1" applyFill="1" applyBorder="1" applyAlignment="1" applyProtection="1">
      <alignment horizontal="center" vertical="center"/>
      <protection locked="0"/>
    </xf>
    <xf numFmtId="9" fontId="7" fillId="7" borderId="1" xfId="23" applyFont="1" applyFill="1" applyBorder="1" applyAlignment="1" applyProtection="1">
      <alignment horizontal="center" vertical="center"/>
      <protection locked="0"/>
    </xf>
    <xf numFmtId="181" fontId="7" fillId="7" borderId="1" xfId="22" applyNumberFormat="1" applyFont="1" applyFill="1" applyBorder="1" applyAlignment="1" applyProtection="1">
      <alignment horizontal="center" vertical="center"/>
      <protection locked="0"/>
    </xf>
    <xf numFmtId="176" fontId="7" fillId="7" borderId="1" xfId="9" applyFont="1" applyFill="1" applyBorder="1" applyAlignment="1" applyProtection="1">
      <alignment horizontal="right" vertical="center"/>
      <protection locked="0"/>
    </xf>
    <xf numFmtId="0" fontId="7" fillId="7" borderId="1" xfId="8" applyFont="1" applyFill="1" applyBorder="1" applyAlignment="1">
      <alignment horizontal="left" vertical="center"/>
    </xf>
    <xf numFmtId="177" fontId="7" fillId="7" borderId="1" xfId="8" applyNumberFormat="1" applyFont="1" applyFill="1" applyBorder="1" applyAlignment="1">
      <alignment horizontal="center" vertical="center"/>
    </xf>
    <xf numFmtId="191" fontId="7" fillId="7" borderId="1" xfId="3" applyNumberFormat="1" applyFont="1" applyFill="1" applyBorder="1" applyAlignment="1">
      <alignment horizontal="center" vertical="center"/>
      <protection locked="0"/>
    </xf>
    <xf numFmtId="181" fontId="7" fillId="7" borderId="1" xfId="0" applyNumberFormat="1" applyFont="1" applyFill="1" applyBorder="1" applyAlignment="1">
      <alignment horizontal="center" vertical="center"/>
    </xf>
    <xf numFmtId="9" fontId="7" fillId="7" borderId="1" xfId="2" applyFont="1" applyFill="1" applyBorder="1" applyAlignment="1">
      <alignment horizontal="center"/>
    </xf>
    <xf numFmtId="177" fontId="7" fillId="7" borderId="1" xfId="6" applyNumberFormat="1" applyFont="1" applyFill="1" applyBorder="1" applyAlignment="1">
      <alignment horizontal="center" vertical="center" wrapText="1"/>
      <protection locked="0"/>
    </xf>
    <xf numFmtId="192" fontId="7" fillId="7" borderId="1" xfId="9" applyNumberFormat="1" applyFont="1" applyFill="1" applyBorder="1" applyAlignment="1" applyProtection="1">
      <alignment horizontal="center" vertical="center"/>
      <protection locked="0"/>
    </xf>
    <xf numFmtId="176" fontId="7" fillId="7" borderId="1" xfId="1" applyFont="1" applyFill="1" applyBorder="1" applyAlignment="1" applyProtection="1">
      <alignment horizontal="center" vertical="center"/>
      <protection locked="0"/>
    </xf>
    <xf numFmtId="177" fontId="7" fillId="7" borderId="1" xfId="9" applyNumberFormat="1" applyFont="1" applyFill="1" applyBorder="1" applyAlignment="1" applyProtection="1">
      <alignment horizontal="center" vertical="center" wrapText="1"/>
    </xf>
    <xf numFmtId="9" fontId="7" fillId="7" borderId="1" xfId="9" applyNumberFormat="1" applyFont="1" applyFill="1" applyBorder="1" applyAlignment="1" applyProtection="1">
      <alignment horizontal="center" vertical="center"/>
      <protection locked="0"/>
    </xf>
    <xf numFmtId="0" fontId="7" fillId="7" borderId="1" xfId="8" applyFont="1" applyFill="1" applyBorder="1" applyAlignment="1">
      <alignment horizontal="left" vertical="top" wrapText="1"/>
    </xf>
    <xf numFmtId="0" fontId="7" fillId="7" borderId="1" xfId="8" applyFont="1" applyFill="1" applyBorder="1" applyAlignment="1">
      <alignment horizontal="left" vertical="top"/>
    </xf>
    <xf numFmtId="176" fontId="7" fillId="7" borderId="1" xfId="17" applyFont="1" applyFill="1" applyBorder="1" applyAlignment="1" applyProtection="1">
      <alignment horizontal="center" vertical="center"/>
      <protection locked="0"/>
    </xf>
    <xf numFmtId="177" fontId="7" fillId="7" borderId="1" xfId="1" applyNumberFormat="1" applyFont="1" applyFill="1" applyBorder="1" applyAlignment="1" applyProtection="1">
      <alignment horizontal="center" vertical="center"/>
      <protection locked="0"/>
    </xf>
    <xf numFmtId="177" fontId="7" fillId="7" borderId="1" xfId="1" applyNumberFormat="1" applyFont="1" applyFill="1" applyBorder="1" applyAlignment="1" applyProtection="1">
      <alignment horizontal="center" vertical="center"/>
    </xf>
    <xf numFmtId="176" fontId="7" fillId="7" borderId="1" xfId="1" applyFont="1" applyFill="1" applyBorder="1" applyAlignment="1" applyProtection="1">
      <alignment horizontal="center" vertical="center"/>
    </xf>
    <xf numFmtId="14" fontId="7" fillId="7" borderId="1" xfId="0" applyNumberFormat="1" applyFont="1" applyFill="1" applyBorder="1" applyAlignment="1" applyProtection="1">
      <alignment horizontal="center" vertical="center"/>
      <protection locked="0"/>
    </xf>
    <xf numFmtId="0" fontId="7" fillId="7" borderId="1" xfId="1" applyNumberFormat="1" applyFont="1" applyFill="1" applyBorder="1" applyAlignment="1" applyProtection="1">
      <alignment horizontal="center" vertical="center"/>
      <protection locked="0"/>
    </xf>
    <xf numFmtId="176" fontId="7" fillId="7" borderId="1" xfId="1" applyFont="1" applyFill="1" applyBorder="1" applyAlignment="1">
      <alignment vertical="center"/>
    </xf>
    <xf numFmtId="0" fontId="7" fillId="7" borderId="1" xfId="7" applyFont="1" applyFill="1" applyBorder="1" applyAlignment="1">
      <alignment horizontal="center" vertical="center"/>
      <protection locked="0"/>
    </xf>
    <xf numFmtId="14" fontId="7" fillId="7" borderId="1" xfId="7" applyNumberFormat="1" applyFont="1" applyFill="1" applyBorder="1" applyAlignment="1">
      <alignment horizontal="center" vertical="center"/>
      <protection locked="0"/>
    </xf>
    <xf numFmtId="14" fontId="7" fillId="7" borderId="1" xfId="3" applyNumberFormat="1" applyFont="1" applyFill="1" applyBorder="1" applyAlignment="1" applyProtection="1">
      <alignment horizontal="center" vertical="center"/>
    </xf>
    <xf numFmtId="0" fontId="7" fillId="7" borderId="1" xfId="0" applyFont="1" applyFill="1" applyBorder="1" applyAlignment="1">
      <alignment vertical="center"/>
    </xf>
    <xf numFmtId="0" fontId="7" fillId="7" borderId="1" xfId="15" applyFont="1" applyFill="1" applyBorder="1" applyAlignment="1" applyProtection="1">
      <alignment horizontal="center" vertical="center"/>
      <protection locked="0"/>
    </xf>
    <xf numFmtId="49" fontId="7" fillId="7" borderId="1" xfId="15" applyNumberFormat="1" applyFont="1" applyFill="1" applyBorder="1" applyAlignment="1" applyProtection="1">
      <alignment horizontal="center" vertical="center"/>
      <protection locked="0"/>
    </xf>
    <xf numFmtId="14" fontId="7" fillId="7" borderId="1" xfId="7" applyNumberFormat="1" applyFont="1" applyFill="1" applyBorder="1" applyAlignment="1" applyProtection="1">
      <alignment horizontal="center" vertical="center"/>
    </xf>
    <xf numFmtId="49" fontId="7" fillId="7" borderId="1" xfId="0" applyNumberFormat="1" applyFont="1" applyFill="1" applyBorder="1" applyAlignment="1">
      <alignment horizontal="center" vertical="center"/>
    </xf>
    <xf numFmtId="14" fontId="7" fillId="7" borderId="1" xfId="0" applyNumberFormat="1" applyFont="1" applyFill="1" applyBorder="1" applyAlignment="1">
      <alignment horizontal="left" vertical="center"/>
    </xf>
    <xf numFmtId="180" fontId="7" fillId="7" borderId="1" xfId="0" applyNumberFormat="1" applyFont="1" applyFill="1" applyBorder="1" applyAlignment="1">
      <alignment horizontal="center" vertical="center"/>
    </xf>
    <xf numFmtId="14" fontId="7" fillId="7" borderId="1" xfId="1" applyNumberFormat="1" applyFont="1" applyFill="1" applyBorder="1" applyAlignment="1">
      <alignment horizontal="center" vertical="center"/>
    </xf>
    <xf numFmtId="0" fontId="7" fillId="7" borderId="1" xfId="24" applyFont="1" applyFill="1" applyBorder="1" applyAlignment="1" applyProtection="1">
      <alignment horizontal="center" vertical="center"/>
      <protection locked="0"/>
    </xf>
    <xf numFmtId="179" fontId="7" fillId="7" borderId="1" xfId="1" applyNumberFormat="1" applyFont="1" applyFill="1" applyBorder="1" applyAlignment="1" applyProtection="1">
      <alignment horizontal="center" vertical="center"/>
      <protection locked="0"/>
    </xf>
    <xf numFmtId="0" fontId="7" fillId="7" borderId="1" xfId="24" applyFont="1" applyFill="1" applyBorder="1" applyAlignment="1">
      <alignment horizontal="center" vertical="center"/>
    </xf>
    <xf numFmtId="49" fontId="7" fillId="7" borderId="1" xfId="5" applyNumberFormat="1" applyFont="1" applyFill="1" applyBorder="1" applyAlignment="1" applyProtection="1">
      <alignment horizontal="center" vertical="center"/>
      <protection locked="0"/>
    </xf>
    <xf numFmtId="14" fontId="7" fillId="7" borderId="1" xfId="5" applyNumberFormat="1" applyFont="1" applyFill="1" applyBorder="1" applyAlignment="1">
      <alignment horizontal="center" vertical="center"/>
    </xf>
    <xf numFmtId="0" fontId="7" fillId="7" borderId="1" xfId="5" applyFont="1" applyFill="1" applyBorder="1" applyAlignment="1">
      <alignment horizontal="left" vertical="center"/>
    </xf>
    <xf numFmtId="0" fontId="7" fillId="7" borderId="1" xfId="1" applyNumberFormat="1" applyFont="1" applyFill="1" applyBorder="1" applyAlignment="1" applyProtection="1">
      <alignment horizontal="left" vertical="center"/>
      <protection locked="0"/>
    </xf>
    <xf numFmtId="176" fontId="7" fillId="7" borderId="1" xfId="0" applyNumberFormat="1" applyFont="1" applyFill="1" applyBorder="1" applyAlignment="1">
      <alignment horizontal="center" vertical="center"/>
    </xf>
    <xf numFmtId="0" fontId="7" fillId="7" borderId="1" xfId="1" applyNumberFormat="1" applyFont="1" applyFill="1" applyBorder="1" applyAlignment="1" applyProtection="1">
      <alignment horizontal="left" vertical="center"/>
    </xf>
    <xf numFmtId="0" fontId="7" fillId="7" borderId="1" xfId="4" applyFont="1" applyFill="1" applyBorder="1" applyAlignment="1" applyProtection="1">
      <alignment horizontal="left" vertical="center"/>
    </xf>
    <xf numFmtId="176" fontId="7" fillId="7" borderId="1" xfId="1" applyFont="1" applyFill="1" applyBorder="1" applyAlignment="1" applyProtection="1">
      <alignment horizontal="left" vertical="center"/>
    </xf>
    <xf numFmtId="193" fontId="7" fillId="7" borderId="1" xfId="1" applyNumberFormat="1" applyFont="1" applyFill="1" applyBorder="1" applyAlignment="1" applyProtection="1">
      <alignment horizontal="center" vertical="center"/>
    </xf>
    <xf numFmtId="194" fontId="7" fillId="7" borderId="1" xfId="1" applyNumberFormat="1" applyFont="1" applyFill="1" applyBorder="1" applyAlignment="1" applyProtection="1">
      <alignment horizontal="center" vertical="center"/>
    </xf>
  </cellXfs>
  <cellStyles count="26">
    <cellStyle name="百分比" xfId="2" builtinId="5"/>
    <cellStyle name="百分比 14" xfId="23" xr:uid="{3F90280F-13AF-49F7-9DF2-1D28AA4D23D0}"/>
    <cellStyle name="百分比 15" xfId="18" xr:uid="{DD239EF3-6D09-40BA-9EA6-8EF7929787D6}"/>
    <cellStyle name="百分比 2" xfId="20" xr:uid="{0956FF95-B4F4-4312-ABAC-179449549002}"/>
    <cellStyle name="常规" xfId="0" builtinId="0"/>
    <cellStyle name="常规 10" xfId="10" xr:uid="{85A1D6E1-E12C-4284-B454-0C559C123344}"/>
    <cellStyle name="常规 2" xfId="5" xr:uid="{CE17AB1D-6706-4BB1-84EB-6B8A0DA08A3D}"/>
    <cellStyle name="常规 2 2" xfId="3" xr:uid="{98D40556-2600-46CC-BA5E-1AC26F7876D1}"/>
    <cellStyle name="常规 2 2 2 2" xfId="7" xr:uid="{F17D925A-D3F7-4723-88FE-2BB952139040}"/>
    <cellStyle name="常规 2 3" xfId="8" xr:uid="{85A12B2A-7A4F-47B3-8D2F-C3FDA5790FDC}"/>
    <cellStyle name="常规 2 3 16" xfId="21" xr:uid="{5F38E1FA-55D5-450A-B645-9B3D733FD2A8}"/>
    <cellStyle name="常规 2 3 17" xfId="11" xr:uid="{2D7703D7-C131-4546-9F97-194EFD4EFE61}"/>
    <cellStyle name="常规 3" xfId="24" xr:uid="{2BE7F6A9-EA2F-465E-80C0-66E3E1533D35}"/>
    <cellStyle name="常规 3 2" xfId="14" xr:uid="{CFA45B11-E6F1-4871-BB94-B8C95ACABE6D}"/>
    <cellStyle name="常规 3 3" xfId="19" xr:uid="{087ACDC0-43A9-4944-98BB-D90081ACCCDC}"/>
    <cellStyle name="常规 4" xfId="15" xr:uid="{618B5D4D-8371-4B44-A804-40DD424677A9}"/>
    <cellStyle name="常规 5" xfId="4" xr:uid="{D5F8BAAE-3213-428A-8246-A5D8160E111C}"/>
    <cellStyle name="常规 6" xfId="25" xr:uid="{F31CEFDD-89BF-474D-90F4-F129D587835E}"/>
    <cellStyle name="常规 9 2" xfId="16" xr:uid="{440756C8-4125-454A-B41D-371CFCE00940}"/>
    <cellStyle name="普通 3" xfId="6" xr:uid="{889A1D3B-9B01-4EBC-96C8-1E115D2A7EDC}"/>
    <cellStyle name="千位分隔" xfId="1" builtinId="3"/>
    <cellStyle name="千位分隔 13" xfId="13" xr:uid="{0FFC08CD-BE25-409D-89B5-22C55E09D61D}"/>
    <cellStyle name="千位分隔 2 2" xfId="9" xr:uid="{FEEC961B-D9E4-4CF6-BD10-437F6B0AB534}"/>
    <cellStyle name="千位分隔 2 2 16" xfId="22" xr:uid="{B4BD365A-8592-4FC7-B3B3-4539C329F72F}"/>
    <cellStyle name="千位分隔 2 2 17" xfId="12" xr:uid="{C0E23E6C-9584-4540-B5D0-DD5CCA1BEA62}"/>
    <cellStyle name="千位分隔 2 4" xfId="17" xr:uid="{CB41BD41-09B9-4662-8DA3-950C7E99C1D2}"/>
  </cellStyles>
  <dxfs count="1111">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641349</xdr:colOff>
      <xdr:row>11</xdr:row>
      <xdr:rowOff>158750</xdr:rowOff>
    </xdr:from>
    <xdr:to>
      <xdr:col>10</xdr:col>
      <xdr:colOff>281600</xdr:colOff>
      <xdr:row>15</xdr:row>
      <xdr:rowOff>152400</xdr:rowOff>
    </xdr:to>
    <xdr:pic>
      <xdr:nvPicPr>
        <xdr:cNvPr id="2" name="图片 1">
          <a:extLst>
            <a:ext uri="{FF2B5EF4-FFF2-40B4-BE49-F238E27FC236}">
              <a16:creationId xmlns:a16="http://schemas.microsoft.com/office/drawing/2014/main" id="{B96C61EA-6AA9-4C93-9011-362080015E11}"/>
            </a:ext>
          </a:extLst>
        </xdr:cNvPr>
        <xdr:cNvPicPr>
          <a:picLocks noChangeAspect="1"/>
        </xdr:cNvPicPr>
      </xdr:nvPicPr>
      <xdr:blipFill>
        <a:blip xmlns:r="http://schemas.openxmlformats.org/officeDocument/2006/relationships" r:embed="rId1"/>
        <a:stretch>
          <a:fillRect/>
        </a:stretch>
      </xdr:blipFill>
      <xdr:spPr>
        <a:xfrm>
          <a:off x="4603749" y="2114550"/>
          <a:ext cx="2593001" cy="704850"/>
        </a:xfrm>
        <a:prstGeom prst="rect">
          <a:avLst/>
        </a:prstGeom>
      </xdr:spPr>
    </xdr:pic>
    <xdr:clientData/>
  </xdr:twoCellAnchor>
  <xdr:twoCellAnchor editAs="oneCell">
    <xdr:from>
      <xdr:col>0</xdr:col>
      <xdr:colOff>0</xdr:colOff>
      <xdr:row>0</xdr:row>
      <xdr:rowOff>0</xdr:rowOff>
    </xdr:from>
    <xdr:to>
      <xdr:col>10</xdr:col>
      <xdr:colOff>236364</xdr:colOff>
      <xdr:row>12</xdr:row>
      <xdr:rowOff>22976</xdr:rowOff>
    </xdr:to>
    <xdr:pic>
      <xdr:nvPicPr>
        <xdr:cNvPr id="4" name="图片 3">
          <a:extLst>
            <a:ext uri="{FF2B5EF4-FFF2-40B4-BE49-F238E27FC236}">
              <a16:creationId xmlns:a16="http://schemas.microsoft.com/office/drawing/2014/main" id="{8F2B1CAE-0477-4EE6-AA36-08F4BA047805}"/>
            </a:ext>
          </a:extLst>
        </xdr:cNvPr>
        <xdr:cNvPicPr>
          <a:picLocks noChangeAspect="1"/>
        </xdr:cNvPicPr>
      </xdr:nvPicPr>
      <xdr:blipFill>
        <a:blip xmlns:r="http://schemas.openxmlformats.org/officeDocument/2006/relationships" r:embed="rId2"/>
        <a:stretch>
          <a:fillRect/>
        </a:stretch>
      </xdr:blipFill>
      <xdr:spPr>
        <a:xfrm>
          <a:off x="0" y="0"/>
          <a:ext cx="7151514" cy="21565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A&#24037;&#20316;/IDC/A&#35745;&#25552;&#34920;/2023&#24180;/10&#26376;/&#27719;&#24635;&#35745;&#25552;&#34920;/&#20132;&#25509;&#36164;&#26009;/&#24037;&#20316;&#34920;/&#35745;&#25552;&#34920;/&#21326;&#21271;/&#24037;&#20316;&#34920;/&#35745;&#25552;&#34920;/&#21326;&#21271;/&#24037;&#20316;&#34920;/&#35745;&#25552;&#34920;/&#21326;&#21271;/&#24037;&#20316;&#34920;/&#35745;&#25552;&#34920;/&#21326;&#21271;/&#24037;&#20316;&#34920;/&#35745;&#25552;&#34920;/&#21326;&#21271;/&#24037;&#20316;&#34920;/&#35745;&#25552;&#34920;/&#21326;&#21271;/CDN&#26426;&#26588;&amp;&#35745;&#36153;ip-2021Q2&#30424;&#28857;-&#26032;-&#26446;&#2033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zhuangyuhao/Desktop/IDC\A&#35745;&#25552;&#34920;\2020&#24180;\202008\2020&#24180;8&#26376;IDC&#36153;&#29992;&#25903;&#20184;&#26126;&#32454;&#34920;-&#21326;&#19996;-W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总表"/>
      <sheetName val="机柜截图"/>
      <sheetName val="ip"/>
      <sheetName val="Sheet1"/>
      <sheetName val="IP汇总"/>
      <sheetName val="IP截图"/>
      <sheetName val="Sheet2"/>
    </sheetNames>
    <sheetDataSet>
      <sheetData sheetId="0" refreshError="1">
        <row r="1">
          <cell r="G1" t="str">
            <v>节点</v>
          </cell>
          <cell r="H1" t="str">
            <v>上联带宽</v>
          </cell>
        </row>
        <row r="2">
          <cell r="G2" t="str">
            <v>ALS3UN</v>
          </cell>
          <cell r="H2">
            <v>120</v>
          </cell>
        </row>
        <row r="3">
          <cell r="G3" t="str">
            <v>ALS3UN</v>
          </cell>
          <cell r="H3">
            <v>120</v>
          </cell>
        </row>
        <row r="4">
          <cell r="G4" t="str">
            <v>ALS3UN</v>
          </cell>
          <cell r="H4">
            <v>120</v>
          </cell>
        </row>
        <row r="5">
          <cell r="G5" t="str">
            <v>ALS4UN</v>
          </cell>
          <cell r="H5">
            <v>40</v>
          </cell>
        </row>
        <row r="6">
          <cell r="G6" t="str">
            <v>ALS4UN</v>
          </cell>
          <cell r="H6">
            <v>40</v>
          </cell>
        </row>
        <row r="7">
          <cell r="G7" t="str">
            <v>AS5CT</v>
          </cell>
          <cell r="H7">
            <v>160</v>
          </cell>
        </row>
        <row r="8">
          <cell r="G8" t="str">
            <v>AS5CT</v>
          </cell>
          <cell r="H8">
            <v>160</v>
          </cell>
        </row>
        <row r="9">
          <cell r="G9" t="str">
            <v>AS5CT</v>
          </cell>
          <cell r="H9">
            <v>160</v>
          </cell>
        </row>
        <row r="10">
          <cell r="G10" t="str">
            <v>AS5CT</v>
          </cell>
          <cell r="H10">
            <v>160</v>
          </cell>
        </row>
        <row r="11">
          <cell r="G11" t="str">
            <v>AS5CT</v>
          </cell>
          <cell r="H11">
            <v>160</v>
          </cell>
        </row>
        <row r="12">
          <cell r="G12" t="str">
            <v>AS5CT</v>
          </cell>
          <cell r="H12">
            <v>160</v>
          </cell>
        </row>
        <row r="13">
          <cell r="G13" t="str">
            <v>AS5CT</v>
          </cell>
          <cell r="H13">
            <v>160</v>
          </cell>
        </row>
        <row r="14">
          <cell r="G14" t="str">
            <v>AY2CM</v>
          </cell>
          <cell r="H14">
            <v>240</v>
          </cell>
        </row>
        <row r="15">
          <cell r="G15" t="str">
            <v>AY2CM</v>
          </cell>
          <cell r="H15">
            <v>240</v>
          </cell>
        </row>
        <row r="16">
          <cell r="G16" t="str">
            <v>AY2CM</v>
          </cell>
          <cell r="H16">
            <v>240</v>
          </cell>
        </row>
        <row r="17">
          <cell r="G17" t="str">
            <v>AY2CM</v>
          </cell>
          <cell r="H17">
            <v>240</v>
          </cell>
        </row>
        <row r="18">
          <cell r="G18" t="str">
            <v>AY2CM</v>
          </cell>
          <cell r="H18">
            <v>240</v>
          </cell>
        </row>
        <row r="19">
          <cell r="G19" t="str">
            <v>AYCM</v>
          </cell>
          <cell r="H19">
            <v>140</v>
          </cell>
        </row>
        <row r="20">
          <cell r="G20" t="str">
            <v>AYCM</v>
          </cell>
          <cell r="H20">
            <v>140</v>
          </cell>
        </row>
        <row r="21">
          <cell r="G21" t="str">
            <v>AYCM</v>
          </cell>
          <cell r="H21">
            <v>140</v>
          </cell>
        </row>
        <row r="22">
          <cell r="G22" t="str">
            <v>AYCM</v>
          </cell>
          <cell r="H22">
            <v>140</v>
          </cell>
        </row>
        <row r="23">
          <cell r="G23" t="str">
            <v>AYCM</v>
          </cell>
          <cell r="H23">
            <v>140</v>
          </cell>
        </row>
        <row r="24">
          <cell r="G24" t="str">
            <v>AYCM</v>
          </cell>
          <cell r="H24">
            <v>140</v>
          </cell>
        </row>
        <row r="25">
          <cell r="G25" t="str">
            <v>BD2CM</v>
          </cell>
          <cell r="H25">
            <v>120</v>
          </cell>
        </row>
        <row r="26">
          <cell r="G26" t="str">
            <v>BD2CM</v>
          </cell>
          <cell r="H26">
            <v>120</v>
          </cell>
        </row>
        <row r="27">
          <cell r="G27" t="str">
            <v>BD2CM</v>
          </cell>
          <cell r="H27">
            <v>120</v>
          </cell>
        </row>
        <row r="28">
          <cell r="G28" t="str">
            <v>BD2CM</v>
          </cell>
          <cell r="H28">
            <v>120</v>
          </cell>
        </row>
        <row r="29">
          <cell r="G29" t="str">
            <v>BD2CM</v>
          </cell>
          <cell r="H29">
            <v>120</v>
          </cell>
        </row>
        <row r="30">
          <cell r="G30" t="str">
            <v>BD2CM</v>
          </cell>
          <cell r="H30">
            <v>120</v>
          </cell>
        </row>
        <row r="31">
          <cell r="G31" t="str">
            <v>BD2CM</v>
          </cell>
          <cell r="H31">
            <v>120</v>
          </cell>
        </row>
        <row r="32">
          <cell r="G32" t="str">
            <v>BDCMCACHE</v>
          </cell>
          <cell r="H32">
            <v>340</v>
          </cell>
        </row>
        <row r="33">
          <cell r="G33" t="str">
            <v>BDCMCACHE</v>
          </cell>
          <cell r="H33">
            <v>340</v>
          </cell>
        </row>
        <row r="34">
          <cell r="G34" t="str">
            <v>BDCMCACHE</v>
          </cell>
          <cell r="H34">
            <v>340</v>
          </cell>
        </row>
        <row r="35">
          <cell r="G35" t="str">
            <v>BDCMCACHE</v>
          </cell>
          <cell r="H35">
            <v>340</v>
          </cell>
        </row>
        <row r="36">
          <cell r="G36" t="str">
            <v>BDCMCACHE</v>
          </cell>
          <cell r="H36">
            <v>340</v>
          </cell>
        </row>
        <row r="37">
          <cell r="G37" t="str">
            <v>BDCMCACHE</v>
          </cell>
          <cell r="H37">
            <v>340</v>
          </cell>
        </row>
        <row r="38">
          <cell r="G38" t="str">
            <v>BDCMCACHE</v>
          </cell>
          <cell r="H38">
            <v>340</v>
          </cell>
        </row>
        <row r="39">
          <cell r="G39" t="str">
            <v>BDIX</v>
          </cell>
          <cell r="H39">
            <v>780</v>
          </cell>
        </row>
        <row r="40">
          <cell r="G40" t="str">
            <v>BDIX</v>
          </cell>
          <cell r="H40">
            <v>780</v>
          </cell>
        </row>
        <row r="41">
          <cell r="G41" t="str">
            <v>BDIX</v>
          </cell>
          <cell r="H41">
            <v>780</v>
          </cell>
        </row>
        <row r="42">
          <cell r="G42" t="str">
            <v>BDIX</v>
          </cell>
          <cell r="H42">
            <v>780</v>
          </cell>
        </row>
        <row r="43">
          <cell r="G43" t="str">
            <v>BDIX</v>
          </cell>
          <cell r="H43">
            <v>780</v>
          </cell>
        </row>
        <row r="44">
          <cell r="G44" t="str">
            <v>BDIX</v>
          </cell>
          <cell r="H44">
            <v>780</v>
          </cell>
        </row>
        <row r="45">
          <cell r="G45" t="str">
            <v>BDIX</v>
          </cell>
          <cell r="H45">
            <v>780</v>
          </cell>
        </row>
        <row r="46">
          <cell r="G46" t="str">
            <v>BDIX</v>
          </cell>
          <cell r="H46">
            <v>780</v>
          </cell>
        </row>
        <row r="47">
          <cell r="G47" t="str">
            <v>BDIX</v>
          </cell>
          <cell r="H47">
            <v>780</v>
          </cell>
        </row>
        <row r="48">
          <cell r="G48" t="str">
            <v>BDIX</v>
          </cell>
          <cell r="H48">
            <v>780</v>
          </cell>
        </row>
        <row r="49">
          <cell r="G49" t="str">
            <v>BDIX</v>
          </cell>
          <cell r="H49">
            <v>780</v>
          </cell>
        </row>
        <row r="50">
          <cell r="G50" t="str">
            <v>BDIX</v>
          </cell>
          <cell r="H50">
            <v>780</v>
          </cell>
        </row>
        <row r="51">
          <cell r="G51" t="str">
            <v>BDIX</v>
          </cell>
          <cell r="H51">
            <v>780</v>
          </cell>
        </row>
        <row r="52">
          <cell r="G52" t="str">
            <v>BDIX</v>
          </cell>
          <cell r="H52">
            <v>780</v>
          </cell>
        </row>
        <row r="53">
          <cell r="G53" t="str">
            <v>BDUN</v>
          </cell>
          <cell r="H53">
            <v>160</v>
          </cell>
        </row>
        <row r="54">
          <cell r="G54" t="str">
            <v>BDUN</v>
          </cell>
          <cell r="H54">
            <v>160</v>
          </cell>
        </row>
        <row r="55">
          <cell r="G55" t="str">
            <v>BDUN</v>
          </cell>
          <cell r="H55">
            <v>160</v>
          </cell>
        </row>
        <row r="56">
          <cell r="G56" t="str">
            <v>BDUN</v>
          </cell>
          <cell r="H56">
            <v>160</v>
          </cell>
        </row>
        <row r="57">
          <cell r="G57" t="str">
            <v>BDUN</v>
          </cell>
          <cell r="H57">
            <v>160</v>
          </cell>
        </row>
        <row r="58">
          <cell r="G58" t="str">
            <v>BDUN</v>
          </cell>
          <cell r="H58">
            <v>160</v>
          </cell>
        </row>
        <row r="59">
          <cell r="G59" t="str">
            <v>BDUN</v>
          </cell>
          <cell r="H59">
            <v>160</v>
          </cell>
        </row>
        <row r="60">
          <cell r="G60" t="str">
            <v>BDUN</v>
          </cell>
          <cell r="H60">
            <v>160</v>
          </cell>
        </row>
        <row r="61">
          <cell r="G61" t="str">
            <v>BDUN</v>
          </cell>
          <cell r="H61">
            <v>160</v>
          </cell>
        </row>
        <row r="62">
          <cell r="G62" t="str">
            <v>BDUN</v>
          </cell>
          <cell r="H62">
            <v>160</v>
          </cell>
        </row>
        <row r="63">
          <cell r="G63" t="str">
            <v>BDUN</v>
          </cell>
          <cell r="H63">
            <v>160</v>
          </cell>
        </row>
        <row r="64">
          <cell r="G64" t="str">
            <v>BDUN</v>
          </cell>
          <cell r="H64">
            <v>160</v>
          </cell>
        </row>
        <row r="65">
          <cell r="G65" t="str">
            <v>BDUN</v>
          </cell>
          <cell r="H65">
            <v>160</v>
          </cell>
        </row>
        <row r="66">
          <cell r="G66" t="str">
            <v>BDUN</v>
          </cell>
          <cell r="H66">
            <v>160</v>
          </cell>
        </row>
        <row r="67">
          <cell r="G67" t="str">
            <v>BDUN</v>
          </cell>
          <cell r="H67">
            <v>160</v>
          </cell>
        </row>
        <row r="68">
          <cell r="G68" t="str">
            <v>BJ2CM</v>
          </cell>
          <cell r="H68">
            <v>100</v>
          </cell>
        </row>
        <row r="69">
          <cell r="G69" t="str">
            <v>BJ2CM</v>
          </cell>
          <cell r="H69">
            <v>100</v>
          </cell>
        </row>
        <row r="70">
          <cell r="G70" t="str">
            <v>BJ2CM</v>
          </cell>
          <cell r="H70">
            <v>100</v>
          </cell>
        </row>
        <row r="71">
          <cell r="G71" t="str">
            <v>BJ2CM</v>
          </cell>
          <cell r="H71">
            <v>100</v>
          </cell>
        </row>
        <row r="72">
          <cell r="G72" t="str">
            <v>BJ2CM</v>
          </cell>
          <cell r="H72">
            <v>100</v>
          </cell>
        </row>
        <row r="73">
          <cell r="G73" t="str">
            <v>BJ2CM</v>
          </cell>
          <cell r="H73">
            <v>100</v>
          </cell>
        </row>
        <row r="74">
          <cell r="G74" t="str">
            <v>BJ2UN</v>
          </cell>
          <cell r="H74">
            <v>200</v>
          </cell>
        </row>
        <row r="75">
          <cell r="G75" t="str">
            <v>BJ2UN</v>
          </cell>
          <cell r="H75">
            <v>200</v>
          </cell>
        </row>
        <row r="76">
          <cell r="G76" t="str">
            <v>BJ2UN</v>
          </cell>
          <cell r="H76">
            <v>200</v>
          </cell>
        </row>
        <row r="77">
          <cell r="G77" t="str">
            <v>BJ2UN</v>
          </cell>
          <cell r="H77">
            <v>200</v>
          </cell>
        </row>
        <row r="78">
          <cell r="G78" t="str">
            <v>BJ2UN</v>
          </cell>
          <cell r="H78">
            <v>200</v>
          </cell>
        </row>
        <row r="79">
          <cell r="G79" t="str">
            <v>BJ2UN</v>
          </cell>
          <cell r="H79">
            <v>200</v>
          </cell>
        </row>
        <row r="80">
          <cell r="G80" t="str">
            <v>BJ3CM</v>
          </cell>
          <cell r="H80">
            <v>160</v>
          </cell>
        </row>
        <row r="81">
          <cell r="G81" t="str">
            <v>BJ3CM</v>
          </cell>
          <cell r="H81">
            <v>160</v>
          </cell>
        </row>
        <row r="82">
          <cell r="G82" t="str">
            <v>BJ3CM</v>
          </cell>
          <cell r="H82">
            <v>160</v>
          </cell>
        </row>
        <row r="83">
          <cell r="G83" t="str">
            <v>BJ3CM</v>
          </cell>
          <cell r="H83">
            <v>160</v>
          </cell>
        </row>
        <row r="84">
          <cell r="G84" t="str">
            <v>BJ3CM</v>
          </cell>
          <cell r="H84">
            <v>160</v>
          </cell>
        </row>
        <row r="85">
          <cell r="G85" t="str">
            <v>BJ3CM</v>
          </cell>
          <cell r="H85">
            <v>160</v>
          </cell>
        </row>
        <row r="86">
          <cell r="G86" t="str">
            <v>BJ3CM</v>
          </cell>
          <cell r="H86">
            <v>160</v>
          </cell>
        </row>
        <row r="87">
          <cell r="G87" t="str">
            <v>BJ3CM</v>
          </cell>
          <cell r="H87">
            <v>160</v>
          </cell>
        </row>
        <row r="88">
          <cell r="G88" t="str">
            <v>BJ3CM</v>
          </cell>
          <cell r="H88">
            <v>160</v>
          </cell>
        </row>
        <row r="89">
          <cell r="G89" t="str">
            <v>BJ3CM</v>
          </cell>
          <cell r="H89">
            <v>160</v>
          </cell>
        </row>
        <row r="90">
          <cell r="G90" t="str">
            <v>BJCT</v>
          </cell>
          <cell r="H90">
            <v>40</v>
          </cell>
        </row>
        <row r="91">
          <cell r="G91" t="str">
            <v>BJCT</v>
          </cell>
          <cell r="H91">
            <v>40</v>
          </cell>
        </row>
        <row r="92">
          <cell r="G92" t="str">
            <v>BJCT</v>
          </cell>
          <cell r="H92">
            <v>40</v>
          </cell>
        </row>
        <row r="93">
          <cell r="G93" t="str">
            <v>BJUN</v>
          </cell>
          <cell r="H93">
            <v>100</v>
          </cell>
        </row>
        <row r="94">
          <cell r="G94" t="str">
            <v>BJUN</v>
          </cell>
          <cell r="H94">
            <v>100</v>
          </cell>
        </row>
        <row r="95">
          <cell r="G95" t="str">
            <v>BJUN</v>
          </cell>
          <cell r="H95">
            <v>100</v>
          </cell>
        </row>
        <row r="96">
          <cell r="G96" t="str">
            <v>BJUN</v>
          </cell>
          <cell r="H96">
            <v>100</v>
          </cell>
        </row>
        <row r="97">
          <cell r="G97" t="str">
            <v>BJUN</v>
          </cell>
          <cell r="H97">
            <v>100</v>
          </cell>
        </row>
        <row r="98">
          <cell r="G98" t="str">
            <v>BJUN</v>
          </cell>
          <cell r="H98">
            <v>100</v>
          </cell>
        </row>
        <row r="99">
          <cell r="G99" t="str">
            <v>BJUN</v>
          </cell>
          <cell r="H99">
            <v>100</v>
          </cell>
        </row>
        <row r="100">
          <cell r="G100" t="str">
            <v>BJUN</v>
          </cell>
          <cell r="H100">
            <v>100</v>
          </cell>
        </row>
        <row r="101">
          <cell r="G101" t="str">
            <v>CANGZUNCACHE</v>
          </cell>
          <cell r="H101">
            <v>160</v>
          </cell>
        </row>
        <row r="102">
          <cell r="G102" t="str">
            <v>CANGZUNCACHE</v>
          </cell>
          <cell r="H102">
            <v>160</v>
          </cell>
        </row>
        <row r="103">
          <cell r="G103" t="str">
            <v>CANGZUNCACHE</v>
          </cell>
          <cell r="H103">
            <v>160</v>
          </cell>
        </row>
        <row r="104">
          <cell r="G104" t="str">
            <v>CANGZUNCACHE</v>
          </cell>
          <cell r="H104">
            <v>160</v>
          </cell>
        </row>
        <row r="105">
          <cell r="G105" t="str">
            <v>CANGZUNCACHE</v>
          </cell>
          <cell r="H105">
            <v>160</v>
          </cell>
        </row>
        <row r="106">
          <cell r="G106" t="str">
            <v>CANGZUNCACHE</v>
          </cell>
          <cell r="H106">
            <v>160</v>
          </cell>
        </row>
        <row r="107">
          <cell r="G107" t="str">
            <v>CANGZUNCACHE</v>
          </cell>
          <cell r="H107">
            <v>160</v>
          </cell>
        </row>
        <row r="108">
          <cell r="G108" t="str">
            <v>CANGZUNCACHE</v>
          </cell>
          <cell r="H108">
            <v>160</v>
          </cell>
        </row>
        <row r="109">
          <cell r="G109" t="str">
            <v>CANGZUNCACHE</v>
          </cell>
          <cell r="H109">
            <v>160</v>
          </cell>
        </row>
        <row r="110">
          <cell r="G110" t="str">
            <v>CANGZUNCACHE</v>
          </cell>
          <cell r="H110">
            <v>160</v>
          </cell>
        </row>
        <row r="111">
          <cell r="G111" t="str">
            <v>CC2CM</v>
          </cell>
          <cell r="H111">
            <v>160</v>
          </cell>
        </row>
        <row r="112">
          <cell r="G112" t="str">
            <v>CC2CM</v>
          </cell>
          <cell r="H112">
            <v>160</v>
          </cell>
        </row>
        <row r="113">
          <cell r="G113" t="str">
            <v>CC2CM</v>
          </cell>
          <cell r="H113">
            <v>160</v>
          </cell>
        </row>
        <row r="114">
          <cell r="G114" t="str">
            <v>CC2CM</v>
          </cell>
          <cell r="H114">
            <v>160</v>
          </cell>
        </row>
        <row r="115">
          <cell r="G115" t="str">
            <v>CC2UN</v>
          </cell>
          <cell r="H115">
            <v>80</v>
          </cell>
        </row>
        <row r="116">
          <cell r="G116" t="str">
            <v>CC2UN</v>
          </cell>
          <cell r="H116">
            <v>80</v>
          </cell>
        </row>
        <row r="117">
          <cell r="G117" t="str">
            <v>CC2UN</v>
          </cell>
          <cell r="H117">
            <v>80</v>
          </cell>
        </row>
        <row r="118">
          <cell r="G118" t="str">
            <v>CC2UN</v>
          </cell>
          <cell r="H118">
            <v>80</v>
          </cell>
        </row>
        <row r="119">
          <cell r="G119" t="str">
            <v>CC2UN</v>
          </cell>
          <cell r="H119">
            <v>80</v>
          </cell>
        </row>
        <row r="120">
          <cell r="G120" t="str">
            <v>CC3CM</v>
          </cell>
          <cell r="H120">
            <v>40</v>
          </cell>
        </row>
        <row r="121">
          <cell r="G121" t="str">
            <v>CC3CM</v>
          </cell>
          <cell r="H121">
            <v>40</v>
          </cell>
        </row>
        <row r="122">
          <cell r="G122" t="str">
            <v>CC4CT</v>
          </cell>
          <cell r="H122">
            <v>80</v>
          </cell>
        </row>
        <row r="123">
          <cell r="G123" t="str">
            <v>CC4CT</v>
          </cell>
          <cell r="H123">
            <v>80</v>
          </cell>
        </row>
        <row r="124">
          <cell r="G124" t="str">
            <v>CC4CT</v>
          </cell>
          <cell r="H124">
            <v>80</v>
          </cell>
        </row>
        <row r="125">
          <cell r="G125" t="str">
            <v>CD2CM</v>
          </cell>
          <cell r="H125">
            <v>120</v>
          </cell>
        </row>
        <row r="126">
          <cell r="G126" t="str">
            <v>CD2CM</v>
          </cell>
          <cell r="H126">
            <v>120</v>
          </cell>
        </row>
        <row r="127">
          <cell r="G127" t="str">
            <v>CD2CM</v>
          </cell>
          <cell r="H127">
            <v>120</v>
          </cell>
        </row>
        <row r="128">
          <cell r="G128" t="str">
            <v>CD2CM</v>
          </cell>
          <cell r="H128">
            <v>120</v>
          </cell>
        </row>
        <row r="129">
          <cell r="G129" t="str">
            <v>CD2CT</v>
          </cell>
          <cell r="H129">
            <v>260</v>
          </cell>
        </row>
        <row r="130">
          <cell r="G130" t="str">
            <v>CD2CT</v>
          </cell>
          <cell r="H130">
            <v>260</v>
          </cell>
        </row>
        <row r="131">
          <cell r="G131" t="str">
            <v>CD2CT</v>
          </cell>
          <cell r="H131">
            <v>260</v>
          </cell>
        </row>
        <row r="132">
          <cell r="G132" t="str">
            <v>CD2CT</v>
          </cell>
          <cell r="H132">
            <v>260</v>
          </cell>
        </row>
        <row r="133">
          <cell r="G133" t="str">
            <v>CD2CT</v>
          </cell>
          <cell r="H133">
            <v>260</v>
          </cell>
        </row>
        <row r="134">
          <cell r="G134" t="str">
            <v>CD2CT</v>
          </cell>
          <cell r="H134">
            <v>260</v>
          </cell>
        </row>
        <row r="135">
          <cell r="G135" t="str">
            <v>CD2CT</v>
          </cell>
          <cell r="H135">
            <v>260</v>
          </cell>
        </row>
        <row r="136">
          <cell r="G136" t="str">
            <v>CD2CT</v>
          </cell>
          <cell r="H136">
            <v>260</v>
          </cell>
        </row>
        <row r="137">
          <cell r="G137" t="str">
            <v>CD2CT</v>
          </cell>
          <cell r="H137">
            <v>260</v>
          </cell>
        </row>
        <row r="138">
          <cell r="G138" t="str">
            <v>CD3CM</v>
          </cell>
          <cell r="H138">
            <v>220</v>
          </cell>
        </row>
        <row r="139">
          <cell r="G139" t="str">
            <v>CD3CM</v>
          </cell>
          <cell r="H139">
            <v>220</v>
          </cell>
        </row>
        <row r="140">
          <cell r="G140" t="str">
            <v>CD3CM</v>
          </cell>
          <cell r="H140">
            <v>220</v>
          </cell>
        </row>
        <row r="141">
          <cell r="G141" t="str">
            <v>CD3CM</v>
          </cell>
          <cell r="H141">
            <v>220</v>
          </cell>
        </row>
        <row r="142">
          <cell r="G142" t="str">
            <v>CD3CM</v>
          </cell>
          <cell r="H142">
            <v>220</v>
          </cell>
        </row>
        <row r="143">
          <cell r="G143" t="str">
            <v>CD3CM</v>
          </cell>
          <cell r="H143">
            <v>220</v>
          </cell>
        </row>
        <row r="144">
          <cell r="G144" t="str">
            <v>CD4CM</v>
          </cell>
          <cell r="H144">
            <v>240</v>
          </cell>
        </row>
        <row r="145">
          <cell r="G145" t="str">
            <v>CD4CM</v>
          </cell>
          <cell r="H145">
            <v>240</v>
          </cell>
        </row>
        <row r="146">
          <cell r="G146" t="str">
            <v>CD4CM</v>
          </cell>
          <cell r="H146">
            <v>240</v>
          </cell>
        </row>
        <row r="147">
          <cell r="G147" t="str">
            <v>CD4CM</v>
          </cell>
          <cell r="H147">
            <v>240</v>
          </cell>
        </row>
        <row r="148">
          <cell r="G148" t="str">
            <v>CD4CM</v>
          </cell>
          <cell r="H148">
            <v>240</v>
          </cell>
        </row>
        <row r="149">
          <cell r="G149" t="str">
            <v>CD4CM</v>
          </cell>
          <cell r="H149">
            <v>240</v>
          </cell>
        </row>
        <row r="150">
          <cell r="G150" t="str">
            <v>CD4CM</v>
          </cell>
          <cell r="H150">
            <v>240</v>
          </cell>
        </row>
        <row r="151">
          <cell r="G151" t="str">
            <v>CD4CM</v>
          </cell>
          <cell r="H151">
            <v>240</v>
          </cell>
        </row>
        <row r="152">
          <cell r="G152" t="str">
            <v>CD4CM</v>
          </cell>
          <cell r="H152">
            <v>240</v>
          </cell>
        </row>
        <row r="153">
          <cell r="G153" t="str">
            <v>CD4CM</v>
          </cell>
          <cell r="H153">
            <v>240</v>
          </cell>
        </row>
        <row r="154">
          <cell r="G154" t="str">
            <v>CD5CM</v>
          </cell>
          <cell r="H154">
            <v>200</v>
          </cell>
        </row>
        <row r="155">
          <cell r="G155" t="str">
            <v>CD5CM</v>
          </cell>
          <cell r="H155">
            <v>200</v>
          </cell>
        </row>
        <row r="156">
          <cell r="G156" t="str">
            <v>CD5CM</v>
          </cell>
          <cell r="H156">
            <v>200</v>
          </cell>
        </row>
        <row r="157">
          <cell r="G157" t="str">
            <v>CD5CM</v>
          </cell>
          <cell r="H157">
            <v>200</v>
          </cell>
        </row>
        <row r="158">
          <cell r="G158" t="str">
            <v>CD5CM</v>
          </cell>
          <cell r="H158">
            <v>200</v>
          </cell>
        </row>
        <row r="159">
          <cell r="G159" t="str">
            <v>CD5CT</v>
          </cell>
          <cell r="H159">
            <v>400</v>
          </cell>
        </row>
        <row r="160">
          <cell r="G160" t="str">
            <v>CD5CT</v>
          </cell>
          <cell r="H160">
            <v>400</v>
          </cell>
        </row>
        <row r="161">
          <cell r="G161" t="str">
            <v>CD5CT</v>
          </cell>
          <cell r="H161">
            <v>400</v>
          </cell>
        </row>
        <row r="162">
          <cell r="G162" t="str">
            <v>CD5CT</v>
          </cell>
          <cell r="H162">
            <v>400</v>
          </cell>
        </row>
        <row r="163">
          <cell r="G163" t="str">
            <v>CD5CT</v>
          </cell>
          <cell r="H163">
            <v>400</v>
          </cell>
        </row>
        <row r="164">
          <cell r="G164" t="str">
            <v>CD5CT</v>
          </cell>
          <cell r="H164">
            <v>400</v>
          </cell>
        </row>
        <row r="165">
          <cell r="G165" t="str">
            <v>CD5CT</v>
          </cell>
          <cell r="H165">
            <v>400</v>
          </cell>
        </row>
        <row r="166">
          <cell r="G166" t="str">
            <v>CD5CT</v>
          </cell>
          <cell r="H166">
            <v>400</v>
          </cell>
        </row>
        <row r="167">
          <cell r="G167" t="str">
            <v>CD5CT</v>
          </cell>
          <cell r="H167">
            <v>400</v>
          </cell>
        </row>
        <row r="168">
          <cell r="G168" t="str">
            <v>CD5CT</v>
          </cell>
          <cell r="H168">
            <v>400</v>
          </cell>
        </row>
        <row r="169">
          <cell r="G169" t="str">
            <v>CD5CT</v>
          </cell>
          <cell r="H169">
            <v>400</v>
          </cell>
        </row>
        <row r="170">
          <cell r="G170" t="str">
            <v>CD5CT</v>
          </cell>
          <cell r="H170">
            <v>400</v>
          </cell>
        </row>
        <row r="171">
          <cell r="G171" t="str">
            <v>CD5CT</v>
          </cell>
          <cell r="H171">
            <v>400</v>
          </cell>
        </row>
        <row r="172">
          <cell r="G172" t="str">
            <v>CD5CT</v>
          </cell>
          <cell r="H172">
            <v>400</v>
          </cell>
        </row>
        <row r="173">
          <cell r="G173" t="str">
            <v>CD6CT</v>
          </cell>
          <cell r="H173">
            <v>400</v>
          </cell>
        </row>
        <row r="174">
          <cell r="G174" t="str">
            <v>CD6CT</v>
          </cell>
          <cell r="H174">
            <v>400</v>
          </cell>
        </row>
        <row r="175">
          <cell r="G175" t="str">
            <v>CD6CT</v>
          </cell>
          <cell r="H175">
            <v>400</v>
          </cell>
        </row>
        <row r="176">
          <cell r="G176" t="str">
            <v>CD6CT</v>
          </cell>
          <cell r="H176">
            <v>400</v>
          </cell>
        </row>
        <row r="177">
          <cell r="G177" t="str">
            <v>CD6CT</v>
          </cell>
          <cell r="H177">
            <v>400</v>
          </cell>
        </row>
        <row r="178">
          <cell r="G178" t="str">
            <v>CD6CT</v>
          </cell>
          <cell r="H178">
            <v>400</v>
          </cell>
        </row>
        <row r="179">
          <cell r="G179" t="str">
            <v>CD6CT</v>
          </cell>
          <cell r="H179">
            <v>400</v>
          </cell>
        </row>
        <row r="180">
          <cell r="G180" t="str">
            <v>CD6CT</v>
          </cell>
          <cell r="H180">
            <v>400</v>
          </cell>
        </row>
        <row r="181">
          <cell r="G181" t="str">
            <v>CD6CT</v>
          </cell>
          <cell r="H181">
            <v>400</v>
          </cell>
        </row>
        <row r="182">
          <cell r="G182" t="str">
            <v>CDUN</v>
          </cell>
          <cell r="H182">
            <v>10</v>
          </cell>
        </row>
        <row r="183">
          <cell r="G183" t="str">
            <v>CDUN</v>
          </cell>
          <cell r="H183">
            <v>10</v>
          </cell>
        </row>
        <row r="184">
          <cell r="G184" t="str">
            <v>CDUN</v>
          </cell>
          <cell r="H184">
            <v>10</v>
          </cell>
        </row>
        <row r="185">
          <cell r="G185" t="str">
            <v>CHAOZCT</v>
          </cell>
          <cell r="H185">
            <v>200</v>
          </cell>
        </row>
        <row r="186">
          <cell r="G186" t="str">
            <v>CHAOZCT</v>
          </cell>
          <cell r="H186">
            <v>200</v>
          </cell>
        </row>
        <row r="187">
          <cell r="G187" t="str">
            <v>CHAOZCT</v>
          </cell>
          <cell r="H187">
            <v>200</v>
          </cell>
        </row>
        <row r="188">
          <cell r="G188" t="str">
            <v>CHAOZCT</v>
          </cell>
          <cell r="H188">
            <v>200</v>
          </cell>
        </row>
        <row r="189">
          <cell r="G189" t="str">
            <v>CHAOZCT</v>
          </cell>
          <cell r="H189">
            <v>200</v>
          </cell>
        </row>
        <row r="190">
          <cell r="G190" t="str">
            <v>CHAOZCT</v>
          </cell>
          <cell r="H190">
            <v>200</v>
          </cell>
        </row>
        <row r="191">
          <cell r="G191" t="str">
            <v>CHAOZCT</v>
          </cell>
          <cell r="H191">
            <v>200</v>
          </cell>
        </row>
        <row r="192">
          <cell r="G192" t="str">
            <v>CHAOZCT</v>
          </cell>
          <cell r="H192">
            <v>200</v>
          </cell>
        </row>
        <row r="193">
          <cell r="G193" t="str">
            <v>CHENGDCM</v>
          </cell>
          <cell r="H193">
            <v>360</v>
          </cell>
        </row>
        <row r="194">
          <cell r="G194" t="str">
            <v>CHENGDCM</v>
          </cell>
          <cell r="H194">
            <v>360</v>
          </cell>
        </row>
        <row r="195">
          <cell r="G195" t="str">
            <v>CHENGDCM</v>
          </cell>
          <cell r="H195">
            <v>360</v>
          </cell>
        </row>
        <row r="196">
          <cell r="G196" t="str">
            <v>CHENGDCM</v>
          </cell>
          <cell r="H196">
            <v>360</v>
          </cell>
        </row>
        <row r="197">
          <cell r="G197" t="str">
            <v>CHENGDCM</v>
          </cell>
          <cell r="H197">
            <v>360</v>
          </cell>
        </row>
        <row r="198">
          <cell r="G198" t="str">
            <v>CHENGDCM</v>
          </cell>
          <cell r="H198">
            <v>360</v>
          </cell>
        </row>
        <row r="199">
          <cell r="G199" t="str">
            <v>CHENGDCM</v>
          </cell>
          <cell r="H199">
            <v>360</v>
          </cell>
        </row>
        <row r="200">
          <cell r="G200" t="str">
            <v>CHENGDCM</v>
          </cell>
          <cell r="H200">
            <v>360</v>
          </cell>
        </row>
        <row r="201">
          <cell r="G201" t="str">
            <v>CHENGDCM</v>
          </cell>
          <cell r="H201">
            <v>360</v>
          </cell>
        </row>
        <row r="202">
          <cell r="G202" t="str">
            <v>CQ2CM</v>
          </cell>
          <cell r="H202">
            <v>160</v>
          </cell>
        </row>
        <row r="203">
          <cell r="G203" t="str">
            <v>CQ2CM</v>
          </cell>
          <cell r="H203">
            <v>160</v>
          </cell>
        </row>
        <row r="204">
          <cell r="G204" t="str">
            <v>CQ2CM</v>
          </cell>
          <cell r="H204">
            <v>160</v>
          </cell>
        </row>
        <row r="205">
          <cell r="G205" t="str">
            <v>CQ2CM</v>
          </cell>
          <cell r="H205">
            <v>160</v>
          </cell>
        </row>
        <row r="206">
          <cell r="G206" t="str">
            <v>CQ2CM</v>
          </cell>
          <cell r="H206">
            <v>160</v>
          </cell>
        </row>
        <row r="207">
          <cell r="G207" t="str">
            <v>CQ2CM</v>
          </cell>
          <cell r="H207">
            <v>160</v>
          </cell>
        </row>
        <row r="208">
          <cell r="G208" t="str">
            <v>CQ3CT</v>
          </cell>
          <cell r="H208">
            <v>320</v>
          </cell>
        </row>
        <row r="209">
          <cell r="G209" t="str">
            <v>CQ3CT</v>
          </cell>
          <cell r="H209">
            <v>320</v>
          </cell>
        </row>
        <row r="210">
          <cell r="G210" t="str">
            <v>CQ3CT</v>
          </cell>
          <cell r="H210">
            <v>320</v>
          </cell>
        </row>
        <row r="211">
          <cell r="G211" t="str">
            <v>CQ3CT</v>
          </cell>
          <cell r="H211">
            <v>320</v>
          </cell>
        </row>
        <row r="212">
          <cell r="G212" t="str">
            <v>CQ3CT</v>
          </cell>
          <cell r="H212">
            <v>320</v>
          </cell>
        </row>
        <row r="213">
          <cell r="G213" t="str">
            <v>CQ3CT</v>
          </cell>
          <cell r="H213">
            <v>320</v>
          </cell>
        </row>
        <row r="214">
          <cell r="G214" t="str">
            <v>CQ3CT</v>
          </cell>
          <cell r="H214">
            <v>320</v>
          </cell>
        </row>
        <row r="215">
          <cell r="G215" t="str">
            <v>CQ3CT</v>
          </cell>
          <cell r="H215">
            <v>320</v>
          </cell>
        </row>
        <row r="216">
          <cell r="G216" t="str">
            <v>CQ3CT</v>
          </cell>
          <cell r="H216">
            <v>320</v>
          </cell>
        </row>
        <row r="217">
          <cell r="G217" t="str">
            <v>CQ3UN</v>
          </cell>
          <cell r="H217">
            <v>100</v>
          </cell>
        </row>
        <row r="218">
          <cell r="G218" t="str">
            <v>CQ3UN</v>
          </cell>
          <cell r="H218">
            <v>100</v>
          </cell>
        </row>
        <row r="219">
          <cell r="G219" t="str">
            <v>CQ3UN</v>
          </cell>
          <cell r="H219">
            <v>100</v>
          </cell>
        </row>
        <row r="220">
          <cell r="G220" t="str">
            <v>CQ3UN</v>
          </cell>
          <cell r="H220">
            <v>100</v>
          </cell>
        </row>
        <row r="221">
          <cell r="G221" t="str">
            <v>CQ3UN</v>
          </cell>
          <cell r="H221">
            <v>100</v>
          </cell>
        </row>
        <row r="222">
          <cell r="G222" t="str">
            <v>CQ3UN</v>
          </cell>
          <cell r="H222">
            <v>100</v>
          </cell>
        </row>
        <row r="223">
          <cell r="G223" t="str">
            <v>CQ4CM</v>
          </cell>
          <cell r="H223">
            <v>200</v>
          </cell>
        </row>
        <row r="224">
          <cell r="G224" t="str">
            <v>CQ4CM</v>
          </cell>
          <cell r="H224">
            <v>200</v>
          </cell>
        </row>
        <row r="225">
          <cell r="G225" t="str">
            <v>CQ4CM</v>
          </cell>
          <cell r="H225">
            <v>200</v>
          </cell>
        </row>
        <row r="226">
          <cell r="G226" t="str">
            <v>CQ4CM</v>
          </cell>
          <cell r="H226">
            <v>200</v>
          </cell>
        </row>
        <row r="227">
          <cell r="G227" t="str">
            <v>CQ4CM</v>
          </cell>
          <cell r="H227">
            <v>200</v>
          </cell>
        </row>
        <row r="228">
          <cell r="G228" t="str">
            <v>CQ4CM</v>
          </cell>
          <cell r="H228">
            <v>200</v>
          </cell>
        </row>
        <row r="229">
          <cell r="G229" t="str">
            <v>CQ4CM</v>
          </cell>
          <cell r="H229">
            <v>200</v>
          </cell>
        </row>
        <row r="230">
          <cell r="G230" t="str">
            <v>CQ4CM</v>
          </cell>
          <cell r="H230">
            <v>200</v>
          </cell>
        </row>
        <row r="231">
          <cell r="G231" t="str">
            <v>CQ4CM</v>
          </cell>
          <cell r="H231">
            <v>200</v>
          </cell>
        </row>
        <row r="232">
          <cell r="G232" t="str">
            <v>CQ4CM</v>
          </cell>
          <cell r="H232">
            <v>200</v>
          </cell>
        </row>
        <row r="233">
          <cell r="G233" t="str">
            <v>CQ4CM</v>
          </cell>
          <cell r="H233">
            <v>200</v>
          </cell>
        </row>
        <row r="234">
          <cell r="G234" t="str">
            <v>CQCM</v>
          </cell>
          <cell r="H234">
            <v>260</v>
          </cell>
        </row>
        <row r="235">
          <cell r="G235" t="str">
            <v>CQCM</v>
          </cell>
          <cell r="H235">
            <v>260</v>
          </cell>
        </row>
        <row r="236">
          <cell r="G236" t="str">
            <v>CQCM</v>
          </cell>
          <cell r="H236">
            <v>260</v>
          </cell>
        </row>
        <row r="237">
          <cell r="G237" t="str">
            <v>CQCM</v>
          </cell>
          <cell r="H237">
            <v>260</v>
          </cell>
        </row>
        <row r="238">
          <cell r="G238" t="str">
            <v>CQCM</v>
          </cell>
          <cell r="H238">
            <v>260</v>
          </cell>
        </row>
        <row r="239">
          <cell r="G239" t="str">
            <v>CQCM</v>
          </cell>
          <cell r="H239">
            <v>260</v>
          </cell>
        </row>
        <row r="240">
          <cell r="G240" t="str">
            <v>CQCM</v>
          </cell>
          <cell r="H240">
            <v>260</v>
          </cell>
        </row>
        <row r="241">
          <cell r="G241" t="str">
            <v>CQCM</v>
          </cell>
          <cell r="H241">
            <v>260</v>
          </cell>
        </row>
        <row r="242">
          <cell r="G242" t="str">
            <v>CQCM</v>
          </cell>
          <cell r="H242">
            <v>260</v>
          </cell>
        </row>
        <row r="243">
          <cell r="G243" t="str">
            <v>CQCM</v>
          </cell>
          <cell r="H243">
            <v>260</v>
          </cell>
        </row>
        <row r="244">
          <cell r="G244" t="str">
            <v>CQCM</v>
          </cell>
          <cell r="H244">
            <v>260</v>
          </cell>
        </row>
        <row r="245">
          <cell r="G245" t="str">
            <v>CQCMCACHE</v>
          </cell>
          <cell r="H245">
            <v>160</v>
          </cell>
        </row>
        <row r="246">
          <cell r="G246" t="str">
            <v>CQCMCACHE</v>
          </cell>
          <cell r="H246">
            <v>160</v>
          </cell>
        </row>
        <row r="247">
          <cell r="G247" t="str">
            <v>CQCMCACHE</v>
          </cell>
          <cell r="H247">
            <v>160</v>
          </cell>
        </row>
        <row r="248">
          <cell r="G248" t="str">
            <v>CQCMCACHE</v>
          </cell>
          <cell r="H248">
            <v>160</v>
          </cell>
        </row>
        <row r="249">
          <cell r="G249" t="str">
            <v>CQCMCACHE</v>
          </cell>
          <cell r="H249">
            <v>160</v>
          </cell>
        </row>
        <row r="250">
          <cell r="G250" t="str">
            <v>CQCMCACHE</v>
          </cell>
          <cell r="H250">
            <v>160</v>
          </cell>
        </row>
        <row r="251">
          <cell r="G251" t="str">
            <v>CS2CMCACHE</v>
          </cell>
          <cell r="H251">
            <v>320</v>
          </cell>
        </row>
        <row r="252">
          <cell r="G252" t="str">
            <v>CS2CMCACHE</v>
          </cell>
          <cell r="H252">
            <v>320</v>
          </cell>
        </row>
        <row r="253">
          <cell r="G253" t="str">
            <v>CS2CMCACHE</v>
          </cell>
          <cell r="H253">
            <v>320</v>
          </cell>
        </row>
        <row r="254">
          <cell r="G254" t="str">
            <v>CS2CMCACHE</v>
          </cell>
          <cell r="H254">
            <v>320</v>
          </cell>
        </row>
        <row r="255">
          <cell r="G255" t="str">
            <v>CS2CMCACHE</v>
          </cell>
          <cell r="H255">
            <v>320</v>
          </cell>
        </row>
        <row r="256">
          <cell r="G256" t="str">
            <v>CS2CMCACHE</v>
          </cell>
          <cell r="H256">
            <v>320</v>
          </cell>
        </row>
        <row r="257">
          <cell r="G257" t="str">
            <v>CS2CMCACHE</v>
          </cell>
          <cell r="H257">
            <v>320</v>
          </cell>
        </row>
        <row r="258">
          <cell r="G258" t="str">
            <v>CS2CMCACHE</v>
          </cell>
          <cell r="H258">
            <v>320</v>
          </cell>
        </row>
        <row r="259">
          <cell r="G259" t="str">
            <v>CS2CMCACHE</v>
          </cell>
          <cell r="H259">
            <v>320</v>
          </cell>
        </row>
        <row r="260">
          <cell r="G260" t="str">
            <v>CS2CMCACHE</v>
          </cell>
          <cell r="H260">
            <v>320</v>
          </cell>
        </row>
        <row r="261">
          <cell r="G261" t="str">
            <v>CS2CMCACHE</v>
          </cell>
          <cell r="H261">
            <v>320</v>
          </cell>
        </row>
        <row r="262">
          <cell r="G262" t="str">
            <v>CS3CM</v>
          </cell>
          <cell r="H262">
            <v>80</v>
          </cell>
        </row>
        <row r="263">
          <cell r="G263" t="str">
            <v>CS3CM</v>
          </cell>
          <cell r="H263">
            <v>80</v>
          </cell>
        </row>
        <row r="264">
          <cell r="G264" t="str">
            <v>CS3CM</v>
          </cell>
          <cell r="H264">
            <v>80</v>
          </cell>
        </row>
        <row r="265">
          <cell r="G265" t="str">
            <v>CS3CM</v>
          </cell>
          <cell r="H265">
            <v>80</v>
          </cell>
        </row>
        <row r="266">
          <cell r="G266" t="str">
            <v>CS3CM</v>
          </cell>
          <cell r="H266">
            <v>80</v>
          </cell>
        </row>
        <row r="267">
          <cell r="G267" t="str">
            <v>CSHU2CT</v>
          </cell>
          <cell r="H267">
            <v>320</v>
          </cell>
        </row>
        <row r="268">
          <cell r="G268" t="str">
            <v>CSHU2CT</v>
          </cell>
          <cell r="H268">
            <v>320</v>
          </cell>
        </row>
        <row r="269">
          <cell r="G269" t="str">
            <v>CSHU2CT</v>
          </cell>
          <cell r="H269">
            <v>320</v>
          </cell>
        </row>
        <row r="270">
          <cell r="G270" t="str">
            <v>CSHU2CT</v>
          </cell>
          <cell r="H270">
            <v>320</v>
          </cell>
        </row>
        <row r="271">
          <cell r="G271" t="str">
            <v>CSHU2CT</v>
          </cell>
          <cell r="H271">
            <v>320</v>
          </cell>
        </row>
        <row r="272">
          <cell r="G272" t="str">
            <v>CSHU2CT</v>
          </cell>
          <cell r="H272">
            <v>320</v>
          </cell>
        </row>
        <row r="273">
          <cell r="G273" t="str">
            <v>CSHU2CT</v>
          </cell>
          <cell r="H273">
            <v>320</v>
          </cell>
        </row>
        <row r="274">
          <cell r="G274" t="str">
            <v>CSHU2CT</v>
          </cell>
          <cell r="H274">
            <v>320</v>
          </cell>
        </row>
        <row r="275">
          <cell r="G275" t="str">
            <v>CZIX</v>
          </cell>
          <cell r="H275">
            <v>720</v>
          </cell>
        </row>
        <row r="276">
          <cell r="G276" t="str">
            <v>CZIX</v>
          </cell>
          <cell r="H276">
            <v>720</v>
          </cell>
        </row>
        <row r="277">
          <cell r="G277" t="str">
            <v>CZIX</v>
          </cell>
          <cell r="H277">
            <v>720</v>
          </cell>
        </row>
        <row r="278">
          <cell r="G278" t="str">
            <v>CZIX</v>
          </cell>
          <cell r="H278">
            <v>720</v>
          </cell>
        </row>
        <row r="279">
          <cell r="G279" t="str">
            <v>CZIX</v>
          </cell>
          <cell r="H279">
            <v>720</v>
          </cell>
        </row>
        <row r="280">
          <cell r="G280" t="str">
            <v>CZIX</v>
          </cell>
          <cell r="H280">
            <v>720</v>
          </cell>
        </row>
        <row r="281">
          <cell r="G281" t="str">
            <v>CZIX</v>
          </cell>
          <cell r="H281">
            <v>720</v>
          </cell>
        </row>
        <row r="282">
          <cell r="G282" t="str">
            <v>CZIX</v>
          </cell>
          <cell r="H282">
            <v>720</v>
          </cell>
        </row>
        <row r="283">
          <cell r="G283" t="str">
            <v>CZIX</v>
          </cell>
          <cell r="H283">
            <v>720</v>
          </cell>
        </row>
        <row r="284">
          <cell r="G284" t="str">
            <v>CZIX</v>
          </cell>
          <cell r="H284">
            <v>720</v>
          </cell>
        </row>
        <row r="285">
          <cell r="G285" t="str">
            <v>CZIX</v>
          </cell>
          <cell r="H285">
            <v>720</v>
          </cell>
        </row>
        <row r="286">
          <cell r="G286" t="str">
            <v>CZIX</v>
          </cell>
          <cell r="H286">
            <v>720</v>
          </cell>
        </row>
        <row r="287">
          <cell r="G287" t="str">
            <v>CZIX</v>
          </cell>
          <cell r="H287">
            <v>720</v>
          </cell>
        </row>
        <row r="288">
          <cell r="G288" t="str">
            <v>CZIX</v>
          </cell>
          <cell r="H288">
            <v>720</v>
          </cell>
        </row>
        <row r="289">
          <cell r="G289" t="str">
            <v>CZIX</v>
          </cell>
          <cell r="H289">
            <v>720</v>
          </cell>
        </row>
        <row r="290">
          <cell r="G290" t="str">
            <v>CZIX</v>
          </cell>
          <cell r="H290">
            <v>720</v>
          </cell>
        </row>
        <row r="291">
          <cell r="G291" t="str">
            <v>CZIX</v>
          </cell>
          <cell r="H291">
            <v>720</v>
          </cell>
        </row>
        <row r="292">
          <cell r="G292" t="str">
            <v>CZIX</v>
          </cell>
          <cell r="H292">
            <v>720</v>
          </cell>
        </row>
        <row r="293">
          <cell r="G293" t="str">
            <v>CZIX</v>
          </cell>
          <cell r="H293">
            <v>720</v>
          </cell>
        </row>
        <row r="294">
          <cell r="G294" t="str">
            <v>CZIX</v>
          </cell>
          <cell r="H294">
            <v>720</v>
          </cell>
        </row>
        <row r="295">
          <cell r="G295" t="str">
            <v>CZIX</v>
          </cell>
          <cell r="H295">
            <v>720</v>
          </cell>
        </row>
        <row r="296">
          <cell r="G296" t="str">
            <v>CZIX</v>
          </cell>
          <cell r="H296">
            <v>720</v>
          </cell>
        </row>
        <row r="297">
          <cell r="G297" t="str">
            <v>CZIX</v>
          </cell>
          <cell r="H297">
            <v>720</v>
          </cell>
        </row>
        <row r="298">
          <cell r="G298" t="str">
            <v>CZIX</v>
          </cell>
          <cell r="H298">
            <v>720</v>
          </cell>
        </row>
        <row r="299">
          <cell r="G299" t="str">
            <v>CZIX</v>
          </cell>
          <cell r="H299">
            <v>720</v>
          </cell>
        </row>
        <row r="300">
          <cell r="G300" t="str">
            <v>DG2CT</v>
          </cell>
          <cell r="H300">
            <v>200</v>
          </cell>
        </row>
        <row r="301">
          <cell r="G301" t="str">
            <v>DG2CT</v>
          </cell>
          <cell r="H301">
            <v>200</v>
          </cell>
        </row>
        <row r="302">
          <cell r="G302" t="str">
            <v>DG2CT</v>
          </cell>
          <cell r="H302">
            <v>200</v>
          </cell>
        </row>
        <row r="303">
          <cell r="G303" t="str">
            <v>DG2CT</v>
          </cell>
          <cell r="H303">
            <v>200</v>
          </cell>
        </row>
        <row r="304">
          <cell r="G304" t="str">
            <v>DG2CT</v>
          </cell>
          <cell r="H304">
            <v>200</v>
          </cell>
        </row>
        <row r="305">
          <cell r="G305" t="str">
            <v>DG2CT</v>
          </cell>
          <cell r="H305">
            <v>200</v>
          </cell>
        </row>
        <row r="306">
          <cell r="G306" t="str">
            <v>DG2CT</v>
          </cell>
          <cell r="H306">
            <v>200</v>
          </cell>
        </row>
        <row r="307">
          <cell r="G307" t="str">
            <v>DG2CT</v>
          </cell>
          <cell r="H307">
            <v>200</v>
          </cell>
        </row>
        <row r="308">
          <cell r="G308" t="str">
            <v>DG2CT</v>
          </cell>
          <cell r="H308">
            <v>200</v>
          </cell>
        </row>
        <row r="309">
          <cell r="G309" t="str">
            <v>DG2CT</v>
          </cell>
          <cell r="H309">
            <v>200</v>
          </cell>
        </row>
        <row r="310">
          <cell r="G310" t="str">
            <v>DG2CT</v>
          </cell>
          <cell r="H310">
            <v>200</v>
          </cell>
        </row>
        <row r="311">
          <cell r="G311" t="str">
            <v>DG3CT</v>
          </cell>
          <cell r="H311">
            <v>200</v>
          </cell>
        </row>
        <row r="312">
          <cell r="G312" t="str">
            <v>DG3CT</v>
          </cell>
          <cell r="H312">
            <v>200</v>
          </cell>
        </row>
        <row r="313">
          <cell r="G313" t="str">
            <v>DG3CT</v>
          </cell>
          <cell r="H313">
            <v>200</v>
          </cell>
        </row>
        <row r="314">
          <cell r="G314" t="str">
            <v>DG3CT</v>
          </cell>
          <cell r="H314">
            <v>200</v>
          </cell>
        </row>
        <row r="315">
          <cell r="G315" t="str">
            <v>DG5CM</v>
          </cell>
          <cell r="H315">
            <v>360</v>
          </cell>
        </row>
        <row r="316">
          <cell r="G316" t="str">
            <v>DG5CM</v>
          </cell>
          <cell r="H316">
            <v>360</v>
          </cell>
        </row>
        <row r="317">
          <cell r="G317" t="str">
            <v>DG5CM</v>
          </cell>
          <cell r="H317">
            <v>360</v>
          </cell>
        </row>
        <row r="318">
          <cell r="G318" t="str">
            <v>DG5CM</v>
          </cell>
          <cell r="H318">
            <v>360</v>
          </cell>
        </row>
        <row r="319">
          <cell r="G319" t="str">
            <v>DG5CM</v>
          </cell>
          <cell r="H319">
            <v>360</v>
          </cell>
        </row>
        <row r="320">
          <cell r="G320" t="str">
            <v>DG5CM</v>
          </cell>
          <cell r="H320">
            <v>360</v>
          </cell>
        </row>
        <row r="321">
          <cell r="G321" t="str">
            <v>DG5CM</v>
          </cell>
          <cell r="H321">
            <v>360</v>
          </cell>
        </row>
        <row r="322">
          <cell r="G322" t="str">
            <v>DG5CM</v>
          </cell>
          <cell r="H322">
            <v>360</v>
          </cell>
        </row>
        <row r="323">
          <cell r="G323" t="str">
            <v>DG5CM</v>
          </cell>
          <cell r="H323">
            <v>360</v>
          </cell>
        </row>
        <row r="324">
          <cell r="G324" t="str">
            <v>DG5CM</v>
          </cell>
          <cell r="H324">
            <v>360</v>
          </cell>
        </row>
        <row r="325">
          <cell r="G325" t="str">
            <v>DG5CM</v>
          </cell>
          <cell r="H325">
            <v>360</v>
          </cell>
        </row>
        <row r="326">
          <cell r="G326" t="str">
            <v>DL2CT</v>
          </cell>
          <cell r="H326">
            <v>40</v>
          </cell>
        </row>
        <row r="327">
          <cell r="G327" t="str">
            <v>DL2CT</v>
          </cell>
          <cell r="H327">
            <v>40</v>
          </cell>
        </row>
        <row r="328">
          <cell r="G328" t="str">
            <v>DTUN</v>
          </cell>
          <cell r="H328">
            <v>160</v>
          </cell>
        </row>
        <row r="329">
          <cell r="G329" t="str">
            <v>DTUN</v>
          </cell>
          <cell r="H329">
            <v>160</v>
          </cell>
        </row>
        <row r="330">
          <cell r="G330" t="str">
            <v>DTUN</v>
          </cell>
          <cell r="H330">
            <v>160</v>
          </cell>
        </row>
        <row r="331">
          <cell r="G331" t="str">
            <v>DTUN</v>
          </cell>
          <cell r="H331">
            <v>160</v>
          </cell>
        </row>
        <row r="332">
          <cell r="G332" t="str">
            <v>DTUN</v>
          </cell>
          <cell r="H332">
            <v>160</v>
          </cell>
        </row>
        <row r="333">
          <cell r="G333" t="str">
            <v>DTUN</v>
          </cell>
          <cell r="H333">
            <v>160</v>
          </cell>
        </row>
        <row r="334">
          <cell r="G334" t="str">
            <v>DY2CT</v>
          </cell>
          <cell r="H334">
            <v>400</v>
          </cell>
        </row>
        <row r="335">
          <cell r="G335" t="str">
            <v>DY2CT</v>
          </cell>
          <cell r="H335">
            <v>400</v>
          </cell>
        </row>
        <row r="336">
          <cell r="G336" t="str">
            <v>DY2CT</v>
          </cell>
          <cell r="H336">
            <v>400</v>
          </cell>
        </row>
        <row r="337">
          <cell r="G337" t="str">
            <v>DY2CT</v>
          </cell>
          <cell r="H337">
            <v>400</v>
          </cell>
        </row>
        <row r="338">
          <cell r="G338" t="str">
            <v>DY2CT</v>
          </cell>
          <cell r="H338">
            <v>400</v>
          </cell>
        </row>
        <row r="339">
          <cell r="G339" t="str">
            <v>DY2CT</v>
          </cell>
          <cell r="H339">
            <v>400</v>
          </cell>
        </row>
        <row r="340">
          <cell r="G340" t="str">
            <v>DY2CT</v>
          </cell>
          <cell r="H340">
            <v>400</v>
          </cell>
        </row>
        <row r="341">
          <cell r="G341" t="str">
            <v>DY2CT</v>
          </cell>
          <cell r="H341">
            <v>400</v>
          </cell>
        </row>
        <row r="342">
          <cell r="G342" t="str">
            <v>FZ2CM</v>
          </cell>
          <cell r="H342">
            <v>130</v>
          </cell>
        </row>
        <row r="343">
          <cell r="G343" t="str">
            <v>FZ2CM</v>
          </cell>
          <cell r="H343">
            <v>130</v>
          </cell>
        </row>
        <row r="344">
          <cell r="G344" t="str">
            <v>FZ2CM</v>
          </cell>
          <cell r="H344">
            <v>130</v>
          </cell>
        </row>
        <row r="345">
          <cell r="G345" t="str">
            <v>FZ2CM</v>
          </cell>
          <cell r="H345">
            <v>130</v>
          </cell>
        </row>
        <row r="346">
          <cell r="G346" t="str">
            <v>FZ2CM</v>
          </cell>
          <cell r="H346">
            <v>130</v>
          </cell>
        </row>
        <row r="347">
          <cell r="G347" t="str">
            <v>FZ3CM</v>
          </cell>
          <cell r="H347">
            <v>170</v>
          </cell>
        </row>
        <row r="348">
          <cell r="G348" t="str">
            <v>FZ3CM</v>
          </cell>
          <cell r="H348">
            <v>170</v>
          </cell>
        </row>
        <row r="349">
          <cell r="G349" t="str">
            <v>FZ3CM</v>
          </cell>
          <cell r="H349">
            <v>170</v>
          </cell>
        </row>
        <row r="350">
          <cell r="G350" t="str">
            <v>FZ3CM</v>
          </cell>
          <cell r="H350">
            <v>170</v>
          </cell>
        </row>
        <row r="351">
          <cell r="G351" t="str">
            <v>FZ3UN</v>
          </cell>
          <cell r="H351">
            <v>20</v>
          </cell>
        </row>
        <row r="352">
          <cell r="G352" t="str">
            <v>FZ3UN</v>
          </cell>
          <cell r="H352">
            <v>20</v>
          </cell>
        </row>
        <row r="353">
          <cell r="G353" t="str">
            <v>FZ3UN</v>
          </cell>
          <cell r="H353">
            <v>20</v>
          </cell>
        </row>
        <row r="354">
          <cell r="G354" t="str">
            <v>FZ3UN</v>
          </cell>
          <cell r="H354">
            <v>20</v>
          </cell>
        </row>
        <row r="355">
          <cell r="G355" t="str">
            <v>FZCM</v>
          </cell>
          <cell r="H355">
            <v>60</v>
          </cell>
        </row>
        <row r="356">
          <cell r="G356" t="str">
            <v>FZCM</v>
          </cell>
          <cell r="H356">
            <v>60</v>
          </cell>
        </row>
        <row r="357">
          <cell r="G357" t="str">
            <v>FZCTCACHE</v>
          </cell>
          <cell r="H357">
            <v>200</v>
          </cell>
        </row>
        <row r="358">
          <cell r="G358" t="str">
            <v>FZCTCACHE</v>
          </cell>
          <cell r="H358">
            <v>200</v>
          </cell>
        </row>
        <row r="359">
          <cell r="G359" t="str">
            <v>FZCTCACHE</v>
          </cell>
          <cell r="H359">
            <v>200</v>
          </cell>
        </row>
        <row r="360">
          <cell r="G360" t="str">
            <v>FZCTCACHE</v>
          </cell>
          <cell r="H360">
            <v>200</v>
          </cell>
        </row>
        <row r="361">
          <cell r="G361" t="str">
            <v>FZCTCACHE</v>
          </cell>
          <cell r="H361">
            <v>200</v>
          </cell>
        </row>
        <row r="362">
          <cell r="G362" t="str">
            <v>FZCTCACHE</v>
          </cell>
          <cell r="H362">
            <v>200</v>
          </cell>
        </row>
        <row r="363">
          <cell r="G363" t="str">
            <v>FZCTCACHE</v>
          </cell>
          <cell r="H363">
            <v>200</v>
          </cell>
        </row>
        <row r="364">
          <cell r="G364" t="str">
            <v>FZCTCACHE</v>
          </cell>
          <cell r="H364">
            <v>200</v>
          </cell>
        </row>
        <row r="365">
          <cell r="G365" t="str">
            <v>FZCTCACHE</v>
          </cell>
          <cell r="H365">
            <v>200</v>
          </cell>
        </row>
        <row r="366">
          <cell r="G366" t="str">
            <v>GA2UN</v>
          </cell>
          <cell r="H366">
            <v>40</v>
          </cell>
        </row>
        <row r="367">
          <cell r="G367" t="str">
            <v>GA2UN</v>
          </cell>
          <cell r="H367">
            <v>40</v>
          </cell>
        </row>
        <row r="368">
          <cell r="G368" t="str">
            <v>GYCM</v>
          </cell>
          <cell r="H368">
            <v>280</v>
          </cell>
        </row>
        <row r="369">
          <cell r="G369" t="str">
            <v>GYCM</v>
          </cell>
          <cell r="H369">
            <v>280</v>
          </cell>
        </row>
        <row r="370">
          <cell r="G370" t="str">
            <v>GYCM</v>
          </cell>
          <cell r="H370">
            <v>280</v>
          </cell>
        </row>
        <row r="371">
          <cell r="G371" t="str">
            <v>GYCM</v>
          </cell>
          <cell r="H371">
            <v>280</v>
          </cell>
        </row>
        <row r="372">
          <cell r="G372" t="str">
            <v>GYCM</v>
          </cell>
          <cell r="H372">
            <v>280</v>
          </cell>
        </row>
        <row r="373">
          <cell r="G373" t="str">
            <v>GYCM</v>
          </cell>
          <cell r="H373">
            <v>280</v>
          </cell>
        </row>
        <row r="374">
          <cell r="G374" t="str">
            <v>GYCM</v>
          </cell>
          <cell r="H374">
            <v>280</v>
          </cell>
        </row>
        <row r="375">
          <cell r="G375" t="str">
            <v>GYCM</v>
          </cell>
          <cell r="H375">
            <v>280</v>
          </cell>
        </row>
        <row r="376">
          <cell r="G376" t="str">
            <v>GYCM</v>
          </cell>
          <cell r="H376">
            <v>280</v>
          </cell>
        </row>
        <row r="377">
          <cell r="G377" t="str">
            <v>GYUN</v>
          </cell>
          <cell r="H377">
            <v>20</v>
          </cell>
        </row>
        <row r="378">
          <cell r="G378" t="str">
            <v>GYUN</v>
          </cell>
          <cell r="H378">
            <v>20</v>
          </cell>
        </row>
        <row r="379">
          <cell r="G379" t="str">
            <v>GYUN</v>
          </cell>
          <cell r="H379">
            <v>20</v>
          </cell>
        </row>
        <row r="380">
          <cell r="G380" t="str">
            <v>GYUN</v>
          </cell>
          <cell r="H380">
            <v>20</v>
          </cell>
        </row>
        <row r="381">
          <cell r="G381" t="str">
            <v>GZ3UN</v>
          </cell>
          <cell r="H381">
            <v>160</v>
          </cell>
        </row>
        <row r="382">
          <cell r="G382" t="str">
            <v>GZ3UN</v>
          </cell>
          <cell r="H382">
            <v>160</v>
          </cell>
        </row>
        <row r="383">
          <cell r="G383" t="str">
            <v>GZ3UN</v>
          </cell>
          <cell r="H383">
            <v>160</v>
          </cell>
        </row>
        <row r="384">
          <cell r="G384" t="str">
            <v>GZ3UN</v>
          </cell>
          <cell r="H384">
            <v>160</v>
          </cell>
        </row>
        <row r="385">
          <cell r="G385" t="str">
            <v>GZ3UN</v>
          </cell>
          <cell r="H385">
            <v>160</v>
          </cell>
        </row>
        <row r="386">
          <cell r="G386" t="str">
            <v>GZ3UN</v>
          </cell>
          <cell r="H386">
            <v>160</v>
          </cell>
        </row>
        <row r="387">
          <cell r="G387" t="str">
            <v>GZ3UN</v>
          </cell>
          <cell r="H387">
            <v>160</v>
          </cell>
        </row>
        <row r="388">
          <cell r="G388" t="str">
            <v>GZ5CM</v>
          </cell>
          <cell r="H388">
            <v>320</v>
          </cell>
        </row>
        <row r="389">
          <cell r="G389" t="str">
            <v>GZ5CM</v>
          </cell>
          <cell r="H389">
            <v>320</v>
          </cell>
        </row>
        <row r="390">
          <cell r="G390" t="str">
            <v>GZ5CM</v>
          </cell>
          <cell r="H390">
            <v>320</v>
          </cell>
        </row>
        <row r="391">
          <cell r="G391" t="str">
            <v>GZ5CM</v>
          </cell>
          <cell r="H391">
            <v>320</v>
          </cell>
        </row>
        <row r="392">
          <cell r="G392" t="str">
            <v>GZ5CM</v>
          </cell>
          <cell r="H392">
            <v>320</v>
          </cell>
        </row>
        <row r="393">
          <cell r="G393" t="str">
            <v>GZ5CM</v>
          </cell>
          <cell r="H393">
            <v>320</v>
          </cell>
        </row>
        <row r="394">
          <cell r="G394" t="str">
            <v>GZ5CM</v>
          </cell>
          <cell r="H394">
            <v>320</v>
          </cell>
        </row>
        <row r="395">
          <cell r="G395" t="str">
            <v>GZ5CM</v>
          </cell>
          <cell r="H395">
            <v>320</v>
          </cell>
        </row>
        <row r="396">
          <cell r="G396" t="str">
            <v>GZ5CM</v>
          </cell>
          <cell r="H396">
            <v>320</v>
          </cell>
        </row>
        <row r="397">
          <cell r="G397" t="str">
            <v>GZ5CM</v>
          </cell>
          <cell r="H397">
            <v>320</v>
          </cell>
        </row>
        <row r="398">
          <cell r="G398" t="str">
            <v>GZ5CM</v>
          </cell>
          <cell r="H398">
            <v>320</v>
          </cell>
        </row>
        <row r="399">
          <cell r="G399" t="str">
            <v>GZ5CM</v>
          </cell>
          <cell r="H399">
            <v>320</v>
          </cell>
        </row>
        <row r="400">
          <cell r="G400" t="str">
            <v>GZ5CM</v>
          </cell>
          <cell r="H400">
            <v>320</v>
          </cell>
        </row>
        <row r="401">
          <cell r="G401" t="str">
            <v>GZ5CM</v>
          </cell>
          <cell r="H401">
            <v>320</v>
          </cell>
        </row>
        <row r="402">
          <cell r="G402" t="str">
            <v>GZ5CM</v>
          </cell>
          <cell r="H402">
            <v>320</v>
          </cell>
        </row>
        <row r="403">
          <cell r="G403" t="str">
            <v>GZ5CM</v>
          </cell>
          <cell r="H403">
            <v>320</v>
          </cell>
        </row>
        <row r="404">
          <cell r="G404" t="str">
            <v>HDUN</v>
          </cell>
          <cell r="H404">
            <v>80</v>
          </cell>
        </row>
        <row r="405">
          <cell r="G405" t="str">
            <v>HDUN</v>
          </cell>
          <cell r="H405">
            <v>80</v>
          </cell>
        </row>
        <row r="406">
          <cell r="G406" t="str">
            <v>HDUN</v>
          </cell>
          <cell r="H406">
            <v>80</v>
          </cell>
        </row>
        <row r="407">
          <cell r="G407" t="str">
            <v>HDUN</v>
          </cell>
          <cell r="H407">
            <v>80</v>
          </cell>
        </row>
        <row r="408">
          <cell r="G408" t="str">
            <v>HF2CM</v>
          </cell>
          <cell r="H408">
            <v>120</v>
          </cell>
        </row>
        <row r="409">
          <cell r="G409" t="str">
            <v>HF2CM</v>
          </cell>
          <cell r="H409">
            <v>120</v>
          </cell>
        </row>
        <row r="410">
          <cell r="G410" t="str">
            <v>HF2CM</v>
          </cell>
          <cell r="H410">
            <v>120</v>
          </cell>
        </row>
        <row r="411">
          <cell r="G411" t="str">
            <v>HF2CM</v>
          </cell>
          <cell r="H411">
            <v>120</v>
          </cell>
        </row>
        <row r="412">
          <cell r="G412" t="str">
            <v>HF2CM</v>
          </cell>
          <cell r="H412">
            <v>120</v>
          </cell>
        </row>
        <row r="413">
          <cell r="G413" t="str">
            <v>HF2CM</v>
          </cell>
          <cell r="H413">
            <v>120</v>
          </cell>
        </row>
        <row r="414">
          <cell r="G414" t="str">
            <v>HF2UN</v>
          </cell>
          <cell r="H414">
            <v>80</v>
          </cell>
        </row>
        <row r="415">
          <cell r="G415" t="str">
            <v>HF2UN</v>
          </cell>
          <cell r="H415">
            <v>80</v>
          </cell>
        </row>
        <row r="416">
          <cell r="G416" t="str">
            <v>HF2UN</v>
          </cell>
          <cell r="H416">
            <v>80</v>
          </cell>
        </row>
        <row r="417">
          <cell r="G417" t="str">
            <v>HF2UN</v>
          </cell>
          <cell r="H417">
            <v>80</v>
          </cell>
        </row>
        <row r="418">
          <cell r="G418" t="str">
            <v>HF2UN</v>
          </cell>
          <cell r="H418">
            <v>80</v>
          </cell>
        </row>
        <row r="419">
          <cell r="G419" t="str">
            <v>HFCM</v>
          </cell>
          <cell r="H419">
            <v>180</v>
          </cell>
        </row>
        <row r="420">
          <cell r="G420" t="str">
            <v>HFCM</v>
          </cell>
          <cell r="H420">
            <v>180</v>
          </cell>
        </row>
        <row r="421">
          <cell r="G421" t="str">
            <v>HFCM</v>
          </cell>
          <cell r="H421">
            <v>180</v>
          </cell>
        </row>
        <row r="422">
          <cell r="G422" t="str">
            <v>HFCM</v>
          </cell>
          <cell r="H422">
            <v>180</v>
          </cell>
        </row>
        <row r="423">
          <cell r="G423" t="str">
            <v>HFCM</v>
          </cell>
          <cell r="H423">
            <v>180</v>
          </cell>
        </row>
        <row r="424">
          <cell r="G424" t="str">
            <v>HFCM</v>
          </cell>
          <cell r="H424">
            <v>180</v>
          </cell>
        </row>
        <row r="425">
          <cell r="G425" t="str">
            <v>HFCM</v>
          </cell>
          <cell r="H425">
            <v>180</v>
          </cell>
        </row>
        <row r="426">
          <cell r="G426" t="str">
            <v>HFCM</v>
          </cell>
          <cell r="H426">
            <v>180</v>
          </cell>
        </row>
        <row r="427">
          <cell r="G427" t="str">
            <v>HFCM</v>
          </cell>
          <cell r="H427">
            <v>180</v>
          </cell>
        </row>
        <row r="428">
          <cell r="G428" t="str">
            <v>HFCM</v>
          </cell>
          <cell r="H428">
            <v>180</v>
          </cell>
        </row>
        <row r="429">
          <cell r="G429" t="str">
            <v>HG2UN</v>
          </cell>
          <cell r="H429">
            <v>120</v>
          </cell>
        </row>
        <row r="430">
          <cell r="G430" t="str">
            <v>HG2UN</v>
          </cell>
          <cell r="H430">
            <v>120</v>
          </cell>
        </row>
        <row r="431">
          <cell r="G431" t="str">
            <v>HG2UN</v>
          </cell>
          <cell r="H431">
            <v>120</v>
          </cell>
        </row>
        <row r="432">
          <cell r="G432" t="str">
            <v>HG2UN</v>
          </cell>
          <cell r="H432">
            <v>120</v>
          </cell>
        </row>
        <row r="433">
          <cell r="G433" t="str">
            <v>HG3UN</v>
          </cell>
          <cell r="H433">
            <v>100</v>
          </cell>
        </row>
        <row r="434">
          <cell r="G434" t="str">
            <v>HG3UN</v>
          </cell>
          <cell r="H434">
            <v>100</v>
          </cell>
        </row>
        <row r="435">
          <cell r="G435" t="str">
            <v>HG3UN</v>
          </cell>
          <cell r="H435">
            <v>100</v>
          </cell>
        </row>
        <row r="436">
          <cell r="G436" t="str">
            <v>HHHT2CM</v>
          </cell>
          <cell r="H436">
            <v>40</v>
          </cell>
        </row>
        <row r="437">
          <cell r="G437" t="str">
            <v>HHHT2CM</v>
          </cell>
          <cell r="H437">
            <v>40</v>
          </cell>
        </row>
        <row r="438">
          <cell r="G438" t="str">
            <v>HHHT2CM</v>
          </cell>
          <cell r="H438">
            <v>40</v>
          </cell>
        </row>
        <row r="439">
          <cell r="G439" t="str">
            <v>HHHT2CM</v>
          </cell>
          <cell r="H439">
            <v>40</v>
          </cell>
        </row>
        <row r="440">
          <cell r="G440" t="str">
            <v>HHHT2UN</v>
          </cell>
          <cell r="H440">
            <v>40</v>
          </cell>
        </row>
        <row r="441">
          <cell r="G441" t="str">
            <v>HHHT2UN</v>
          </cell>
          <cell r="H441">
            <v>40</v>
          </cell>
        </row>
        <row r="442">
          <cell r="G442" t="str">
            <v>HHHT3CM</v>
          </cell>
          <cell r="H442">
            <v>120</v>
          </cell>
        </row>
        <row r="443">
          <cell r="G443" t="str">
            <v>HHHT3CM</v>
          </cell>
          <cell r="H443">
            <v>120</v>
          </cell>
        </row>
        <row r="444">
          <cell r="G444" t="str">
            <v>HHHT3CM</v>
          </cell>
          <cell r="H444">
            <v>120</v>
          </cell>
        </row>
        <row r="445">
          <cell r="G445" t="str">
            <v>HHHT3CM</v>
          </cell>
          <cell r="H445">
            <v>120</v>
          </cell>
        </row>
        <row r="446">
          <cell r="G446" t="str">
            <v>HHHT3UN</v>
          </cell>
          <cell r="H446">
            <v>120</v>
          </cell>
        </row>
        <row r="447">
          <cell r="G447" t="str">
            <v>HHHT3UN</v>
          </cell>
          <cell r="H447">
            <v>120</v>
          </cell>
        </row>
        <row r="448">
          <cell r="G448" t="str">
            <v>HHHT3UN</v>
          </cell>
          <cell r="H448">
            <v>120</v>
          </cell>
        </row>
        <row r="449">
          <cell r="G449" t="str">
            <v>HHHT3UN</v>
          </cell>
          <cell r="H449">
            <v>120</v>
          </cell>
        </row>
        <row r="450">
          <cell r="G450" t="str">
            <v>HHHT3UN</v>
          </cell>
          <cell r="H450">
            <v>120</v>
          </cell>
        </row>
        <row r="451">
          <cell r="G451" t="str">
            <v>HHHT3UN</v>
          </cell>
          <cell r="H451">
            <v>120</v>
          </cell>
        </row>
        <row r="452">
          <cell r="G452" t="str">
            <v>HK2CM</v>
          </cell>
          <cell r="H452">
            <v>40</v>
          </cell>
        </row>
        <row r="453">
          <cell r="G453" t="str">
            <v>HK2CM</v>
          </cell>
          <cell r="H453">
            <v>40</v>
          </cell>
        </row>
        <row r="454">
          <cell r="G454" t="str">
            <v>HK2UN</v>
          </cell>
          <cell r="H454">
            <v>60</v>
          </cell>
        </row>
        <row r="455">
          <cell r="G455" t="str">
            <v>HK2UN</v>
          </cell>
          <cell r="H455">
            <v>60</v>
          </cell>
        </row>
        <row r="456">
          <cell r="G456" t="str">
            <v>HK2UN</v>
          </cell>
          <cell r="H456">
            <v>60</v>
          </cell>
        </row>
        <row r="457">
          <cell r="G457" t="str">
            <v>HK3CM</v>
          </cell>
          <cell r="H457">
            <v>80</v>
          </cell>
        </row>
        <row r="458">
          <cell r="G458" t="str">
            <v>HK3CM</v>
          </cell>
          <cell r="H458">
            <v>80</v>
          </cell>
        </row>
        <row r="459">
          <cell r="G459" t="str">
            <v>HK3CM</v>
          </cell>
          <cell r="H459">
            <v>80</v>
          </cell>
        </row>
        <row r="460">
          <cell r="G460" t="str">
            <v>HK3CT</v>
          </cell>
          <cell r="H460">
            <v>160</v>
          </cell>
        </row>
        <row r="461">
          <cell r="G461" t="str">
            <v>HK3CT</v>
          </cell>
          <cell r="H461">
            <v>160</v>
          </cell>
        </row>
        <row r="462">
          <cell r="G462" t="str">
            <v>HK3CT</v>
          </cell>
          <cell r="H462">
            <v>160</v>
          </cell>
        </row>
        <row r="463">
          <cell r="G463" t="str">
            <v>HK3CT</v>
          </cell>
          <cell r="H463">
            <v>160</v>
          </cell>
        </row>
        <row r="464">
          <cell r="G464" t="str">
            <v>HK3CT</v>
          </cell>
          <cell r="H464">
            <v>160</v>
          </cell>
        </row>
        <row r="465">
          <cell r="G465" t="str">
            <v>HK3CT</v>
          </cell>
          <cell r="H465">
            <v>160</v>
          </cell>
        </row>
        <row r="466">
          <cell r="G466" t="str">
            <v>HK3CT</v>
          </cell>
          <cell r="H466">
            <v>160</v>
          </cell>
        </row>
        <row r="467">
          <cell r="G467" t="str">
            <v>HK3CT</v>
          </cell>
          <cell r="H467">
            <v>160</v>
          </cell>
        </row>
        <row r="468">
          <cell r="G468" t="str">
            <v>HN4CM</v>
          </cell>
          <cell r="H468">
            <v>100</v>
          </cell>
        </row>
        <row r="469">
          <cell r="G469" t="str">
            <v>HN4CM</v>
          </cell>
          <cell r="H469">
            <v>100</v>
          </cell>
        </row>
        <row r="470">
          <cell r="G470" t="str">
            <v>HN4CM</v>
          </cell>
          <cell r="H470">
            <v>100</v>
          </cell>
        </row>
        <row r="471">
          <cell r="G471" t="str">
            <v>HN6CM</v>
          </cell>
          <cell r="H471">
            <v>240</v>
          </cell>
        </row>
        <row r="472">
          <cell r="G472" t="str">
            <v>HN6CM</v>
          </cell>
          <cell r="H472">
            <v>240</v>
          </cell>
        </row>
        <row r="473">
          <cell r="G473" t="str">
            <v>HN6CM</v>
          </cell>
          <cell r="H473">
            <v>240</v>
          </cell>
        </row>
        <row r="474">
          <cell r="G474" t="str">
            <v>HN6CM</v>
          </cell>
          <cell r="H474">
            <v>240</v>
          </cell>
        </row>
        <row r="475">
          <cell r="G475" t="str">
            <v>HN6CM</v>
          </cell>
          <cell r="H475">
            <v>240</v>
          </cell>
        </row>
        <row r="476">
          <cell r="G476" t="str">
            <v>HN6CM</v>
          </cell>
          <cell r="H476">
            <v>240</v>
          </cell>
        </row>
        <row r="477">
          <cell r="G477" t="str">
            <v>HN6CM</v>
          </cell>
          <cell r="H477">
            <v>240</v>
          </cell>
        </row>
        <row r="478">
          <cell r="G478" t="str">
            <v>HRB2CM</v>
          </cell>
          <cell r="H478">
            <v>220</v>
          </cell>
        </row>
        <row r="479">
          <cell r="G479" t="str">
            <v>HRB2CM</v>
          </cell>
          <cell r="H479">
            <v>220</v>
          </cell>
        </row>
        <row r="480">
          <cell r="G480" t="str">
            <v>HRB2CM</v>
          </cell>
          <cell r="H480">
            <v>220</v>
          </cell>
        </row>
        <row r="481">
          <cell r="G481" t="str">
            <v>HRB2CM</v>
          </cell>
          <cell r="H481">
            <v>220</v>
          </cell>
        </row>
        <row r="482">
          <cell r="G482" t="str">
            <v>HRB2CM</v>
          </cell>
          <cell r="H482">
            <v>220</v>
          </cell>
        </row>
        <row r="483">
          <cell r="G483" t="str">
            <v>HRB2CM</v>
          </cell>
          <cell r="H483">
            <v>220</v>
          </cell>
        </row>
        <row r="484">
          <cell r="G484" t="str">
            <v>HRB2CM</v>
          </cell>
          <cell r="H484">
            <v>220</v>
          </cell>
        </row>
        <row r="485">
          <cell r="G485" t="str">
            <v>HRB2CM</v>
          </cell>
          <cell r="H485">
            <v>220</v>
          </cell>
        </row>
        <row r="486">
          <cell r="G486" t="str">
            <v>HRB2CM</v>
          </cell>
          <cell r="H486">
            <v>220</v>
          </cell>
        </row>
        <row r="487">
          <cell r="G487" t="str">
            <v>HS2CT</v>
          </cell>
          <cell r="H487">
            <v>80</v>
          </cell>
        </row>
        <row r="488">
          <cell r="G488" t="str">
            <v>HS2CT</v>
          </cell>
          <cell r="H488">
            <v>80</v>
          </cell>
        </row>
        <row r="489">
          <cell r="G489" t="str">
            <v>HS2CT</v>
          </cell>
          <cell r="H489">
            <v>80</v>
          </cell>
        </row>
        <row r="490">
          <cell r="G490" t="str">
            <v>HS2CT</v>
          </cell>
          <cell r="H490">
            <v>80</v>
          </cell>
        </row>
        <row r="491">
          <cell r="G491" t="str">
            <v>HS3CT</v>
          </cell>
          <cell r="H491">
            <v>100</v>
          </cell>
        </row>
        <row r="492">
          <cell r="G492" t="str">
            <v>HS3CT</v>
          </cell>
          <cell r="H492">
            <v>100</v>
          </cell>
        </row>
        <row r="493">
          <cell r="G493" t="str">
            <v>HS3CT</v>
          </cell>
          <cell r="H493">
            <v>100</v>
          </cell>
        </row>
        <row r="494">
          <cell r="G494" t="str">
            <v>HS3CT</v>
          </cell>
          <cell r="H494">
            <v>100</v>
          </cell>
        </row>
        <row r="495">
          <cell r="G495" t="str">
            <v>HS3CT</v>
          </cell>
          <cell r="H495">
            <v>100</v>
          </cell>
        </row>
        <row r="496">
          <cell r="G496" t="str">
            <v>HS3CT</v>
          </cell>
          <cell r="H496">
            <v>100</v>
          </cell>
        </row>
        <row r="497">
          <cell r="G497" t="str">
            <v>HS3CT</v>
          </cell>
          <cell r="H497">
            <v>100</v>
          </cell>
        </row>
        <row r="498">
          <cell r="G498" t="str">
            <v>HSCTCACHE</v>
          </cell>
          <cell r="H498">
            <v>130</v>
          </cell>
        </row>
        <row r="499">
          <cell r="G499" t="str">
            <v>HSCTCACHE</v>
          </cell>
          <cell r="H499">
            <v>130</v>
          </cell>
        </row>
        <row r="500">
          <cell r="G500" t="str">
            <v>HSCTCACHE</v>
          </cell>
          <cell r="H500">
            <v>130</v>
          </cell>
        </row>
        <row r="501">
          <cell r="G501" t="str">
            <v>HSCTCACHE</v>
          </cell>
          <cell r="H501">
            <v>130</v>
          </cell>
        </row>
        <row r="502">
          <cell r="G502" t="str">
            <v>HSCTCACHE</v>
          </cell>
          <cell r="H502">
            <v>130</v>
          </cell>
        </row>
        <row r="503">
          <cell r="G503" t="str">
            <v>HSCTCACHE</v>
          </cell>
          <cell r="H503">
            <v>130</v>
          </cell>
        </row>
        <row r="504">
          <cell r="G504" t="str">
            <v>HSCTCACHE</v>
          </cell>
          <cell r="H504">
            <v>130</v>
          </cell>
        </row>
        <row r="505">
          <cell r="G505" t="str">
            <v>HSCTCACHE</v>
          </cell>
          <cell r="H505">
            <v>130</v>
          </cell>
        </row>
        <row r="506">
          <cell r="G506" t="str">
            <v>HSCTCACHE</v>
          </cell>
          <cell r="H506">
            <v>130</v>
          </cell>
        </row>
        <row r="507">
          <cell r="G507" t="str">
            <v>HSCTCACHE</v>
          </cell>
          <cell r="H507">
            <v>130</v>
          </cell>
        </row>
        <row r="508">
          <cell r="G508" t="str">
            <v>HSCTCACHE</v>
          </cell>
          <cell r="H508">
            <v>130</v>
          </cell>
        </row>
        <row r="509">
          <cell r="G509" t="str">
            <v>HSCTCACHE</v>
          </cell>
          <cell r="H509">
            <v>130</v>
          </cell>
        </row>
        <row r="510">
          <cell r="G510" t="str">
            <v>HSCTCACHE</v>
          </cell>
          <cell r="H510">
            <v>130</v>
          </cell>
        </row>
        <row r="511">
          <cell r="G511" t="str">
            <v>HSCTCACHE</v>
          </cell>
          <cell r="H511">
            <v>130</v>
          </cell>
        </row>
        <row r="512">
          <cell r="G512" t="str">
            <v>HUZ2UN</v>
          </cell>
          <cell r="H512">
            <v>40</v>
          </cell>
        </row>
        <row r="513">
          <cell r="G513" t="str">
            <v>HUZ2UN</v>
          </cell>
          <cell r="H513">
            <v>40</v>
          </cell>
        </row>
        <row r="514">
          <cell r="G514" t="str">
            <v>HUZ2UN</v>
          </cell>
          <cell r="H514">
            <v>40</v>
          </cell>
        </row>
        <row r="515">
          <cell r="G515" t="str">
            <v>HYCT</v>
          </cell>
          <cell r="H515">
            <v>300</v>
          </cell>
        </row>
        <row r="516">
          <cell r="G516" t="str">
            <v>HYCT</v>
          </cell>
          <cell r="H516">
            <v>300</v>
          </cell>
        </row>
        <row r="517">
          <cell r="G517" t="str">
            <v>HYCT</v>
          </cell>
          <cell r="H517">
            <v>300</v>
          </cell>
        </row>
        <row r="518">
          <cell r="G518" t="str">
            <v>HYCT</v>
          </cell>
          <cell r="H518">
            <v>300</v>
          </cell>
        </row>
        <row r="519">
          <cell r="G519" t="str">
            <v>HYCT</v>
          </cell>
          <cell r="H519">
            <v>300</v>
          </cell>
        </row>
        <row r="520">
          <cell r="G520" t="str">
            <v>HYCT</v>
          </cell>
          <cell r="H520">
            <v>300</v>
          </cell>
        </row>
        <row r="521">
          <cell r="G521" t="str">
            <v>HYCT</v>
          </cell>
          <cell r="H521">
            <v>300</v>
          </cell>
        </row>
        <row r="522">
          <cell r="G522" t="str">
            <v>HYCT</v>
          </cell>
          <cell r="H522">
            <v>300</v>
          </cell>
        </row>
        <row r="523">
          <cell r="G523" t="str">
            <v>HYCT</v>
          </cell>
          <cell r="H523">
            <v>300</v>
          </cell>
        </row>
        <row r="524">
          <cell r="G524" t="str">
            <v>HYCT</v>
          </cell>
          <cell r="H524">
            <v>300</v>
          </cell>
        </row>
        <row r="525">
          <cell r="G525" t="str">
            <v>HYCT</v>
          </cell>
          <cell r="H525">
            <v>300</v>
          </cell>
        </row>
        <row r="526">
          <cell r="G526" t="str">
            <v>HZCM</v>
          </cell>
          <cell r="H526">
            <v>110</v>
          </cell>
        </row>
        <row r="527">
          <cell r="G527" t="str">
            <v>HZCM</v>
          </cell>
          <cell r="H527">
            <v>110</v>
          </cell>
        </row>
        <row r="528">
          <cell r="G528" t="str">
            <v>HZCM</v>
          </cell>
          <cell r="H528">
            <v>110</v>
          </cell>
        </row>
        <row r="529">
          <cell r="G529" t="str">
            <v>HZCM</v>
          </cell>
          <cell r="H529">
            <v>110</v>
          </cell>
        </row>
        <row r="530">
          <cell r="G530" t="str">
            <v>HZCM</v>
          </cell>
          <cell r="H530">
            <v>110</v>
          </cell>
        </row>
        <row r="531">
          <cell r="G531" t="str">
            <v>HZCM</v>
          </cell>
          <cell r="H531">
            <v>110</v>
          </cell>
        </row>
        <row r="532">
          <cell r="G532" t="str">
            <v>HZCM</v>
          </cell>
          <cell r="H532">
            <v>110</v>
          </cell>
        </row>
        <row r="533">
          <cell r="G533" t="str">
            <v>JH2CM</v>
          </cell>
          <cell r="H533">
            <v>180</v>
          </cell>
        </row>
        <row r="534">
          <cell r="G534" t="str">
            <v>JH2CM</v>
          </cell>
          <cell r="H534">
            <v>180</v>
          </cell>
        </row>
        <row r="535">
          <cell r="G535" t="str">
            <v>JH2CM</v>
          </cell>
          <cell r="H535">
            <v>180</v>
          </cell>
        </row>
        <row r="536">
          <cell r="G536" t="str">
            <v>JH2CM</v>
          </cell>
          <cell r="H536">
            <v>180</v>
          </cell>
        </row>
        <row r="537">
          <cell r="G537" t="str">
            <v>JH2CM</v>
          </cell>
          <cell r="H537">
            <v>180</v>
          </cell>
        </row>
        <row r="538">
          <cell r="G538" t="str">
            <v>JH2CM</v>
          </cell>
          <cell r="H538">
            <v>180</v>
          </cell>
        </row>
        <row r="539">
          <cell r="G539" t="str">
            <v>JHCM</v>
          </cell>
          <cell r="H539">
            <v>190</v>
          </cell>
        </row>
        <row r="540">
          <cell r="G540" t="str">
            <v>JHCM</v>
          </cell>
          <cell r="H540">
            <v>190</v>
          </cell>
        </row>
        <row r="541">
          <cell r="G541" t="str">
            <v>JHCM</v>
          </cell>
          <cell r="H541">
            <v>190</v>
          </cell>
        </row>
        <row r="542">
          <cell r="G542" t="str">
            <v>JHCM</v>
          </cell>
          <cell r="H542">
            <v>190</v>
          </cell>
        </row>
        <row r="543">
          <cell r="G543" t="str">
            <v>JHCM</v>
          </cell>
          <cell r="H543">
            <v>190</v>
          </cell>
        </row>
        <row r="544">
          <cell r="G544" t="str">
            <v>JHCM</v>
          </cell>
          <cell r="H544">
            <v>190</v>
          </cell>
        </row>
        <row r="545">
          <cell r="G545" t="str">
            <v>JHCM</v>
          </cell>
          <cell r="H545">
            <v>190</v>
          </cell>
        </row>
        <row r="546">
          <cell r="G546" t="str">
            <v>JIAXCM</v>
          </cell>
          <cell r="H546">
            <v>120</v>
          </cell>
        </row>
        <row r="547">
          <cell r="G547" t="str">
            <v>JIAXCM</v>
          </cell>
          <cell r="H547">
            <v>120</v>
          </cell>
        </row>
        <row r="548">
          <cell r="G548" t="str">
            <v>JIAXCM</v>
          </cell>
          <cell r="H548">
            <v>120</v>
          </cell>
        </row>
        <row r="549">
          <cell r="G549" t="str">
            <v>JIAXCM</v>
          </cell>
          <cell r="H549">
            <v>120</v>
          </cell>
        </row>
        <row r="550">
          <cell r="G550" t="str">
            <v>JM3CT</v>
          </cell>
          <cell r="H550">
            <v>40</v>
          </cell>
        </row>
        <row r="551">
          <cell r="G551" t="str">
            <v>JM3CT</v>
          </cell>
          <cell r="H551">
            <v>40</v>
          </cell>
        </row>
        <row r="552">
          <cell r="G552" t="str">
            <v>JM3CT</v>
          </cell>
          <cell r="H552">
            <v>40</v>
          </cell>
        </row>
        <row r="553">
          <cell r="G553" t="str">
            <v>JM3CT</v>
          </cell>
          <cell r="H553">
            <v>40</v>
          </cell>
        </row>
        <row r="554">
          <cell r="G554" t="str">
            <v>JM3CT</v>
          </cell>
          <cell r="H554">
            <v>40</v>
          </cell>
        </row>
        <row r="555">
          <cell r="G555" t="str">
            <v>JM3CT</v>
          </cell>
          <cell r="H555">
            <v>40</v>
          </cell>
        </row>
        <row r="556">
          <cell r="G556" t="str">
            <v>JM3CT</v>
          </cell>
          <cell r="H556">
            <v>40</v>
          </cell>
        </row>
        <row r="557">
          <cell r="G557" t="str">
            <v>JM3CT</v>
          </cell>
          <cell r="H557">
            <v>40</v>
          </cell>
        </row>
        <row r="558">
          <cell r="G558" t="str">
            <v>JM3CT</v>
          </cell>
          <cell r="H558">
            <v>40</v>
          </cell>
        </row>
        <row r="559">
          <cell r="G559" t="str">
            <v>JN2UN</v>
          </cell>
          <cell r="H559">
            <v>380</v>
          </cell>
        </row>
        <row r="560">
          <cell r="G560" t="str">
            <v>JN2UN</v>
          </cell>
          <cell r="H560">
            <v>380</v>
          </cell>
        </row>
        <row r="561">
          <cell r="G561" t="str">
            <v>JN2UN</v>
          </cell>
          <cell r="H561">
            <v>380</v>
          </cell>
        </row>
        <row r="562">
          <cell r="G562" t="str">
            <v>JN2UN</v>
          </cell>
          <cell r="H562">
            <v>380</v>
          </cell>
        </row>
        <row r="563">
          <cell r="G563" t="str">
            <v>JN2UN</v>
          </cell>
          <cell r="H563">
            <v>380</v>
          </cell>
        </row>
        <row r="564">
          <cell r="G564" t="str">
            <v>JN2UN</v>
          </cell>
          <cell r="H564">
            <v>380</v>
          </cell>
        </row>
        <row r="565">
          <cell r="G565" t="str">
            <v>JN2UN</v>
          </cell>
          <cell r="H565">
            <v>380</v>
          </cell>
        </row>
        <row r="566">
          <cell r="G566" t="str">
            <v>JN2UN</v>
          </cell>
          <cell r="H566">
            <v>380</v>
          </cell>
        </row>
        <row r="567">
          <cell r="G567" t="str">
            <v>JN2UN</v>
          </cell>
          <cell r="H567">
            <v>380</v>
          </cell>
        </row>
        <row r="568">
          <cell r="G568" t="str">
            <v>JN2UN</v>
          </cell>
          <cell r="H568">
            <v>380</v>
          </cell>
        </row>
        <row r="569">
          <cell r="G569" t="str">
            <v>JN2UN</v>
          </cell>
          <cell r="H569">
            <v>380</v>
          </cell>
        </row>
        <row r="570">
          <cell r="G570" t="str">
            <v>JN2UN</v>
          </cell>
          <cell r="H570">
            <v>380</v>
          </cell>
        </row>
        <row r="571">
          <cell r="G571" t="str">
            <v>JN2UN</v>
          </cell>
          <cell r="H571">
            <v>380</v>
          </cell>
        </row>
        <row r="572">
          <cell r="G572" t="str">
            <v>JN2UN</v>
          </cell>
          <cell r="H572">
            <v>380</v>
          </cell>
        </row>
        <row r="573">
          <cell r="G573" t="str">
            <v>JN2UN</v>
          </cell>
          <cell r="H573">
            <v>380</v>
          </cell>
        </row>
        <row r="574">
          <cell r="G574" t="str">
            <v>JN2UN</v>
          </cell>
          <cell r="H574">
            <v>380</v>
          </cell>
        </row>
        <row r="575">
          <cell r="G575" t="str">
            <v>JN2UN</v>
          </cell>
          <cell r="H575">
            <v>380</v>
          </cell>
        </row>
        <row r="576">
          <cell r="G576" t="str">
            <v>JN2UN</v>
          </cell>
          <cell r="H576">
            <v>380</v>
          </cell>
        </row>
        <row r="577">
          <cell r="G577" t="str">
            <v>JN4CM</v>
          </cell>
          <cell r="H577">
            <v>180</v>
          </cell>
        </row>
        <row r="578">
          <cell r="G578" t="str">
            <v>JN4CM</v>
          </cell>
          <cell r="H578">
            <v>180</v>
          </cell>
        </row>
        <row r="579">
          <cell r="G579" t="str">
            <v>JN4CM</v>
          </cell>
          <cell r="H579">
            <v>180</v>
          </cell>
        </row>
        <row r="580">
          <cell r="G580" t="str">
            <v>JN4CM</v>
          </cell>
          <cell r="H580">
            <v>180</v>
          </cell>
        </row>
        <row r="581">
          <cell r="G581" t="str">
            <v>JN4CM</v>
          </cell>
          <cell r="H581">
            <v>180</v>
          </cell>
        </row>
        <row r="582">
          <cell r="G582" t="str">
            <v>JN4CM</v>
          </cell>
          <cell r="H582">
            <v>180</v>
          </cell>
        </row>
        <row r="583">
          <cell r="G583" t="str">
            <v>JN4CM</v>
          </cell>
          <cell r="H583">
            <v>180</v>
          </cell>
        </row>
        <row r="584">
          <cell r="G584" t="str">
            <v>JN4CM</v>
          </cell>
          <cell r="H584">
            <v>180</v>
          </cell>
        </row>
        <row r="585">
          <cell r="G585" t="str">
            <v>JN4UN</v>
          </cell>
          <cell r="H585">
            <v>80</v>
          </cell>
        </row>
        <row r="586">
          <cell r="G586" t="str">
            <v>JN4UN</v>
          </cell>
          <cell r="H586">
            <v>80</v>
          </cell>
        </row>
        <row r="587">
          <cell r="G587" t="str">
            <v>JN4UN</v>
          </cell>
          <cell r="H587">
            <v>80</v>
          </cell>
        </row>
        <row r="588">
          <cell r="G588" t="str">
            <v>JN4UN</v>
          </cell>
          <cell r="H588">
            <v>80</v>
          </cell>
        </row>
        <row r="589">
          <cell r="G589" t="str">
            <v>JNCM</v>
          </cell>
          <cell r="H589">
            <v>120</v>
          </cell>
        </row>
        <row r="590">
          <cell r="G590" t="str">
            <v>JNCM</v>
          </cell>
          <cell r="H590">
            <v>120</v>
          </cell>
        </row>
        <row r="591">
          <cell r="G591" t="str">
            <v>JNCM</v>
          </cell>
          <cell r="H591">
            <v>120</v>
          </cell>
        </row>
        <row r="592">
          <cell r="G592" t="str">
            <v>JNCM</v>
          </cell>
          <cell r="H592">
            <v>120</v>
          </cell>
        </row>
        <row r="593">
          <cell r="G593" t="str">
            <v>JNCM</v>
          </cell>
          <cell r="H593">
            <v>120</v>
          </cell>
        </row>
        <row r="594">
          <cell r="G594" t="str">
            <v>JNCM</v>
          </cell>
          <cell r="H594">
            <v>120</v>
          </cell>
        </row>
        <row r="595">
          <cell r="G595" t="str">
            <v>JNCM</v>
          </cell>
          <cell r="H595">
            <v>120</v>
          </cell>
        </row>
        <row r="596">
          <cell r="G596" t="str">
            <v>JNCM</v>
          </cell>
          <cell r="H596">
            <v>120</v>
          </cell>
        </row>
        <row r="597">
          <cell r="G597" t="str">
            <v>JNCM</v>
          </cell>
          <cell r="H597">
            <v>120</v>
          </cell>
        </row>
        <row r="598">
          <cell r="G598" t="str">
            <v>JNCMCACHE</v>
          </cell>
          <cell r="H598">
            <v>320</v>
          </cell>
        </row>
        <row r="599">
          <cell r="G599" t="str">
            <v>JNCMCACHE</v>
          </cell>
          <cell r="H599">
            <v>320</v>
          </cell>
        </row>
        <row r="600">
          <cell r="G600" t="str">
            <v>JNCMCACHE</v>
          </cell>
          <cell r="H600">
            <v>320</v>
          </cell>
        </row>
        <row r="601">
          <cell r="G601" t="str">
            <v>JNCMCACHE</v>
          </cell>
          <cell r="H601">
            <v>320</v>
          </cell>
        </row>
        <row r="602">
          <cell r="G602" t="str">
            <v>JNCMCACHE</v>
          </cell>
          <cell r="H602">
            <v>320</v>
          </cell>
        </row>
        <row r="603">
          <cell r="G603" t="str">
            <v>JNCMCACHE</v>
          </cell>
          <cell r="H603">
            <v>320</v>
          </cell>
        </row>
        <row r="604">
          <cell r="G604" t="str">
            <v>JNCMCACHE</v>
          </cell>
          <cell r="H604">
            <v>320</v>
          </cell>
        </row>
        <row r="605">
          <cell r="G605" t="str">
            <v>JNCMCACHE</v>
          </cell>
          <cell r="H605">
            <v>320</v>
          </cell>
        </row>
        <row r="606">
          <cell r="G606" t="str">
            <v>JNCMCACHE</v>
          </cell>
          <cell r="H606">
            <v>320</v>
          </cell>
        </row>
        <row r="607">
          <cell r="G607" t="str">
            <v>JNCMCACHE</v>
          </cell>
          <cell r="H607">
            <v>320</v>
          </cell>
        </row>
        <row r="608">
          <cell r="G608" t="str">
            <v>JNCMCACHE</v>
          </cell>
          <cell r="H608">
            <v>320</v>
          </cell>
        </row>
        <row r="609">
          <cell r="G609" t="str">
            <v>JNCTCACHE</v>
          </cell>
          <cell r="H609">
            <v>400</v>
          </cell>
        </row>
        <row r="610">
          <cell r="G610" t="str">
            <v>JNCTCACHE</v>
          </cell>
          <cell r="H610">
            <v>400</v>
          </cell>
        </row>
        <row r="611">
          <cell r="G611" t="str">
            <v>JNCTCACHE</v>
          </cell>
          <cell r="H611">
            <v>400</v>
          </cell>
        </row>
        <row r="612">
          <cell r="G612" t="str">
            <v>JNCTCACHE</v>
          </cell>
          <cell r="H612">
            <v>400</v>
          </cell>
        </row>
        <row r="613">
          <cell r="G613" t="str">
            <v>JNCTCACHE</v>
          </cell>
          <cell r="H613">
            <v>400</v>
          </cell>
        </row>
        <row r="614">
          <cell r="G614" t="str">
            <v>JNCTCACHE</v>
          </cell>
          <cell r="H614">
            <v>400</v>
          </cell>
        </row>
        <row r="615">
          <cell r="G615" t="str">
            <v>JNUNCACHE</v>
          </cell>
          <cell r="H615">
            <v>240</v>
          </cell>
        </row>
        <row r="616">
          <cell r="G616" t="str">
            <v>JNUNCACHE</v>
          </cell>
          <cell r="H616">
            <v>240</v>
          </cell>
        </row>
        <row r="617">
          <cell r="G617" t="str">
            <v>JNUNCACHE</v>
          </cell>
          <cell r="H617">
            <v>240</v>
          </cell>
        </row>
        <row r="618">
          <cell r="G618" t="str">
            <v>JNUNCACHE</v>
          </cell>
          <cell r="H618">
            <v>240</v>
          </cell>
        </row>
        <row r="619">
          <cell r="G619" t="str">
            <v>JNUNCACHE</v>
          </cell>
          <cell r="H619">
            <v>240</v>
          </cell>
        </row>
        <row r="620">
          <cell r="G620" t="str">
            <v>JNUNCACHE</v>
          </cell>
          <cell r="H620">
            <v>240</v>
          </cell>
        </row>
        <row r="621">
          <cell r="G621" t="str">
            <v>JNUNCACHE</v>
          </cell>
          <cell r="H621">
            <v>240</v>
          </cell>
        </row>
        <row r="622">
          <cell r="G622" t="str">
            <v>JNUNCACHE</v>
          </cell>
          <cell r="H622">
            <v>240</v>
          </cell>
        </row>
        <row r="623">
          <cell r="G623" t="str">
            <v>JX2UN</v>
          </cell>
          <cell r="H623">
            <v>60</v>
          </cell>
        </row>
        <row r="624">
          <cell r="G624" t="str">
            <v>JX2UN</v>
          </cell>
          <cell r="H624">
            <v>60</v>
          </cell>
        </row>
        <row r="625">
          <cell r="G625" t="str">
            <v>JXUN</v>
          </cell>
          <cell r="H625">
            <v>40</v>
          </cell>
        </row>
        <row r="626">
          <cell r="G626" t="str">
            <v>JXUN</v>
          </cell>
          <cell r="H626">
            <v>40</v>
          </cell>
        </row>
        <row r="627">
          <cell r="G627" t="str">
            <v>JXUN</v>
          </cell>
          <cell r="H627">
            <v>40</v>
          </cell>
        </row>
        <row r="628">
          <cell r="G628" t="str">
            <v>JXUN</v>
          </cell>
          <cell r="H628">
            <v>40</v>
          </cell>
        </row>
        <row r="629">
          <cell r="G629" t="str">
            <v>JZCT</v>
          </cell>
          <cell r="H629">
            <v>80</v>
          </cell>
        </row>
        <row r="630">
          <cell r="G630" t="str">
            <v>JZCT</v>
          </cell>
          <cell r="H630">
            <v>80</v>
          </cell>
        </row>
        <row r="631">
          <cell r="G631" t="str">
            <v>JZCT</v>
          </cell>
          <cell r="H631">
            <v>80</v>
          </cell>
        </row>
        <row r="632">
          <cell r="G632" t="str">
            <v>JZCT</v>
          </cell>
          <cell r="H632">
            <v>80</v>
          </cell>
        </row>
        <row r="633">
          <cell r="G633" t="str">
            <v>JZCT</v>
          </cell>
          <cell r="H633">
            <v>80</v>
          </cell>
        </row>
        <row r="634">
          <cell r="G634" t="str">
            <v>JZCT</v>
          </cell>
          <cell r="H634">
            <v>80</v>
          </cell>
        </row>
        <row r="635">
          <cell r="G635" t="str">
            <v>KFCM</v>
          </cell>
          <cell r="H635">
            <v>140</v>
          </cell>
        </row>
        <row r="636">
          <cell r="G636" t="str">
            <v>KFCM</v>
          </cell>
          <cell r="H636">
            <v>140</v>
          </cell>
        </row>
        <row r="637">
          <cell r="G637" t="str">
            <v>KFCM</v>
          </cell>
          <cell r="H637">
            <v>140</v>
          </cell>
        </row>
        <row r="638">
          <cell r="G638" t="str">
            <v>KFCM</v>
          </cell>
          <cell r="H638">
            <v>140</v>
          </cell>
        </row>
        <row r="639">
          <cell r="G639" t="str">
            <v>KLMY4CM</v>
          </cell>
          <cell r="H639">
            <v>80</v>
          </cell>
        </row>
        <row r="640">
          <cell r="G640" t="str">
            <v>KLMY4CM</v>
          </cell>
          <cell r="H640">
            <v>80</v>
          </cell>
        </row>
        <row r="641">
          <cell r="G641" t="str">
            <v>KM3CM</v>
          </cell>
          <cell r="H641">
            <v>200</v>
          </cell>
        </row>
        <row r="642">
          <cell r="G642" t="str">
            <v>KM3CM</v>
          </cell>
          <cell r="H642">
            <v>200</v>
          </cell>
        </row>
        <row r="643">
          <cell r="G643" t="str">
            <v>KM3CM</v>
          </cell>
          <cell r="H643">
            <v>200</v>
          </cell>
        </row>
        <row r="644">
          <cell r="G644" t="str">
            <v>KM3CM</v>
          </cell>
          <cell r="H644">
            <v>200</v>
          </cell>
        </row>
        <row r="645">
          <cell r="G645" t="str">
            <v>KM3CM</v>
          </cell>
          <cell r="H645">
            <v>200</v>
          </cell>
        </row>
        <row r="646">
          <cell r="G646" t="str">
            <v>KM3CM</v>
          </cell>
          <cell r="H646">
            <v>200</v>
          </cell>
        </row>
        <row r="647">
          <cell r="G647" t="str">
            <v>KM3CM</v>
          </cell>
          <cell r="H647">
            <v>200</v>
          </cell>
        </row>
        <row r="648">
          <cell r="G648" t="str">
            <v>KM4CM</v>
          </cell>
          <cell r="H648">
            <v>320</v>
          </cell>
        </row>
        <row r="649">
          <cell r="G649" t="str">
            <v>KM4CM</v>
          </cell>
          <cell r="H649">
            <v>320</v>
          </cell>
        </row>
        <row r="650">
          <cell r="G650" t="str">
            <v>KM4CM</v>
          </cell>
          <cell r="H650">
            <v>320</v>
          </cell>
        </row>
        <row r="651">
          <cell r="G651" t="str">
            <v>KM4CM</v>
          </cell>
          <cell r="H651">
            <v>320</v>
          </cell>
        </row>
        <row r="652">
          <cell r="G652" t="str">
            <v>KM4CM</v>
          </cell>
          <cell r="H652">
            <v>320</v>
          </cell>
        </row>
        <row r="653">
          <cell r="G653" t="str">
            <v>KM4CM</v>
          </cell>
          <cell r="H653">
            <v>320</v>
          </cell>
        </row>
        <row r="654">
          <cell r="G654" t="str">
            <v>KM4CM</v>
          </cell>
          <cell r="H654">
            <v>320</v>
          </cell>
        </row>
        <row r="655">
          <cell r="G655" t="str">
            <v>KM4CM</v>
          </cell>
          <cell r="H655">
            <v>320</v>
          </cell>
        </row>
        <row r="656">
          <cell r="G656" t="str">
            <v>KM4CM</v>
          </cell>
          <cell r="H656">
            <v>320</v>
          </cell>
        </row>
        <row r="657">
          <cell r="G657" t="str">
            <v>KM4CM</v>
          </cell>
          <cell r="H657">
            <v>320</v>
          </cell>
        </row>
        <row r="658">
          <cell r="G658" t="str">
            <v>KM4CM</v>
          </cell>
          <cell r="H658">
            <v>320</v>
          </cell>
        </row>
        <row r="659">
          <cell r="G659" t="str">
            <v>KM4CT</v>
          </cell>
          <cell r="H659">
            <v>80</v>
          </cell>
        </row>
        <row r="660">
          <cell r="G660" t="str">
            <v>KM4CT</v>
          </cell>
          <cell r="H660">
            <v>80</v>
          </cell>
        </row>
        <row r="661">
          <cell r="G661" t="str">
            <v>KM4CT</v>
          </cell>
          <cell r="H661">
            <v>80</v>
          </cell>
        </row>
        <row r="662">
          <cell r="G662" t="str">
            <v>KM4CT</v>
          </cell>
          <cell r="H662">
            <v>80</v>
          </cell>
        </row>
        <row r="663">
          <cell r="G663" t="str">
            <v>KM4UN</v>
          </cell>
          <cell r="H663">
            <v>80</v>
          </cell>
        </row>
        <row r="664">
          <cell r="G664" t="str">
            <v>KM4UN</v>
          </cell>
          <cell r="H664">
            <v>80</v>
          </cell>
        </row>
        <row r="665">
          <cell r="G665" t="str">
            <v>KM4UN</v>
          </cell>
          <cell r="H665">
            <v>80</v>
          </cell>
        </row>
        <row r="666">
          <cell r="G666" t="str">
            <v>KM4UN</v>
          </cell>
          <cell r="H666">
            <v>80</v>
          </cell>
        </row>
        <row r="667">
          <cell r="G667" t="str">
            <v>KM4UN</v>
          </cell>
          <cell r="H667">
            <v>80</v>
          </cell>
        </row>
        <row r="668">
          <cell r="G668" t="str">
            <v>KM5CT</v>
          </cell>
          <cell r="H668">
            <v>80</v>
          </cell>
        </row>
        <row r="669">
          <cell r="G669" t="str">
            <v>KM5CT</v>
          </cell>
          <cell r="H669">
            <v>80</v>
          </cell>
        </row>
        <row r="670">
          <cell r="G670" t="str">
            <v>KM5CT</v>
          </cell>
          <cell r="H670">
            <v>80</v>
          </cell>
        </row>
        <row r="671">
          <cell r="G671" t="str">
            <v>KM5CT</v>
          </cell>
          <cell r="H671">
            <v>80</v>
          </cell>
        </row>
        <row r="672">
          <cell r="G672" t="str">
            <v>KM5CT</v>
          </cell>
          <cell r="H672">
            <v>80</v>
          </cell>
        </row>
        <row r="673">
          <cell r="G673" t="str">
            <v>KM5CT</v>
          </cell>
          <cell r="H673">
            <v>80</v>
          </cell>
        </row>
        <row r="674">
          <cell r="G674" t="str">
            <v>KM5CT</v>
          </cell>
          <cell r="H674">
            <v>80</v>
          </cell>
        </row>
        <row r="675">
          <cell r="G675" t="str">
            <v>KM6CT</v>
          </cell>
          <cell r="H675">
            <v>240</v>
          </cell>
        </row>
        <row r="676">
          <cell r="G676" t="str">
            <v>KM6CT</v>
          </cell>
          <cell r="H676">
            <v>240</v>
          </cell>
        </row>
        <row r="677">
          <cell r="G677" t="str">
            <v>KM6CT</v>
          </cell>
          <cell r="H677">
            <v>240</v>
          </cell>
        </row>
        <row r="678">
          <cell r="G678" t="str">
            <v>KM6CT</v>
          </cell>
          <cell r="H678">
            <v>240</v>
          </cell>
        </row>
        <row r="679">
          <cell r="G679" t="str">
            <v>KM6CT</v>
          </cell>
          <cell r="H679">
            <v>240</v>
          </cell>
        </row>
        <row r="680">
          <cell r="G680" t="str">
            <v>KM6CT</v>
          </cell>
          <cell r="H680">
            <v>240</v>
          </cell>
        </row>
        <row r="681">
          <cell r="G681" t="str">
            <v>KM6CT</v>
          </cell>
          <cell r="H681">
            <v>240</v>
          </cell>
        </row>
        <row r="682">
          <cell r="G682" t="str">
            <v>KM6CT</v>
          </cell>
          <cell r="H682">
            <v>240</v>
          </cell>
        </row>
        <row r="683">
          <cell r="G683" t="str">
            <v>KMUN</v>
          </cell>
          <cell r="H683">
            <v>40</v>
          </cell>
        </row>
        <row r="684">
          <cell r="G684" t="str">
            <v>KMUN</v>
          </cell>
          <cell r="H684">
            <v>40</v>
          </cell>
        </row>
        <row r="685">
          <cell r="G685" t="str">
            <v>KMUN</v>
          </cell>
          <cell r="H685">
            <v>40</v>
          </cell>
        </row>
        <row r="686">
          <cell r="G686" t="str">
            <v>LASCM</v>
          </cell>
          <cell r="H686">
            <v>20</v>
          </cell>
        </row>
        <row r="687">
          <cell r="G687" t="str">
            <v>LASCT</v>
          </cell>
          <cell r="H687">
            <v>40</v>
          </cell>
        </row>
        <row r="688">
          <cell r="G688" t="str">
            <v>LASCT</v>
          </cell>
          <cell r="H688">
            <v>40</v>
          </cell>
        </row>
        <row r="689">
          <cell r="G689" t="str">
            <v>LASUN</v>
          </cell>
          <cell r="H689">
            <v>3</v>
          </cell>
        </row>
        <row r="690">
          <cell r="G690" t="str">
            <v>LF3CT</v>
          </cell>
          <cell r="H690">
            <v>300</v>
          </cell>
        </row>
        <row r="691">
          <cell r="G691" t="str">
            <v>LF3CT</v>
          </cell>
          <cell r="H691">
            <v>300</v>
          </cell>
        </row>
        <row r="692">
          <cell r="G692" t="str">
            <v>LF3CT</v>
          </cell>
          <cell r="H692">
            <v>300</v>
          </cell>
        </row>
        <row r="693">
          <cell r="G693" t="str">
            <v>LF3CT</v>
          </cell>
          <cell r="H693">
            <v>300</v>
          </cell>
        </row>
        <row r="694">
          <cell r="G694" t="str">
            <v>LF3CT</v>
          </cell>
          <cell r="H694">
            <v>300</v>
          </cell>
        </row>
        <row r="695">
          <cell r="G695" t="str">
            <v>LF3CT</v>
          </cell>
          <cell r="H695">
            <v>300</v>
          </cell>
        </row>
        <row r="696">
          <cell r="G696" t="str">
            <v>LF3CT</v>
          </cell>
          <cell r="H696">
            <v>300</v>
          </cell>
        </row>
        <row r="697">
          <cell r="G697" t="str">
            <v>LF3CT</v>
          </cell>
          <cell r="H697">
            <v>300</v>
          </cell>
        </row>
        <row r="698">
          <cell r="G698" t="str">
            <v>LF3CT</v>
          </cell>
          <cell r="H698">
            <v>300</v>
          </cell>
        </row>
        <row r="699">
          <cell r="G699" t="str">
            <v>LF3CT</v>
          </cell>
          <cell r="H699">
            <v>300</v>
          </cell>
        </row>
        <row r="700">
          <cell r="G700" t="str">
            <v>LF3CT</v>
          </cell>
          <cell r="H700">
            <v>300</v>
          </cell>
        </row>
        <row r="701">
          <cell r="G701" t="str">
            <v>LF3CT</v>
          </cell>
          <cell r="H701">
            <v>300</v>
          </cell>
        </row>
        <row r="702">
          <cell r="G702" t="str">
            <v>LF3CT</v>
          </cell>
          <cell r="H702">
            <v>300</v>
          </cell>
        </row>
        <row r="703">
          <cell r="G703" t="str">
            <v>LFUN</v>
          </cell>
          <cell r="H703">
            <v>200</v>
          </cell>
        </row>
        <row r="704">
          <cell r="G704" t="str">
            <v>LFUN</v>
          </cell>
          <cell r="H704">
            <v>200</v>
          </cell>
        </row>
        <row r="705">
          <cell r="G705" t="str">
            <v>LFUN</v>
          </cell>
          <cell r="H705">
            <v>200</v>
          </cell>
        </row>
        <row r="706">
          <cell r="G706" t="str">
            <v>LFUN</v>
          </cell>
          <cell r="H706">
            <v>200</v>
          </cell>
        </row>
        <row r="707">
          <cell r="G707" t="str">
            <v>LFUN</v>
          </cell>
          <cell r="H707">
            <v>200</v>
          </cell>
        </row>
        <row r="708">
          <cell r="G708" t="str">
            <v>LFUN</v>
          </cell>
          <cell r="H708">
            <v>200</v>
          </cell>
        </row>
        <row r="709">
          <cell r="G709" t="str">
            <v>LFUN</v>
          </cell>
          <cell r="H709">
            <v>200</v>
          </cell>
        </row>
        <row r="710">
          <cell r="G710" t="str">
            <v>LFUN</v>
          </cell>
          <cell r="H710">
            <v>200</v>
          </cell>
        </row>
        <row r="711">
          <cell r="G711" t="str">
            <v>LFUN</v>
          </cell>
          <cell r="H711">
            <v>200</v>
          </cell>
        </row>
        <row r="712">
          <cell r="G712" t="str">
            <v>LHCM</v>
          </cell>
          <cell r="H712">
            <v>240</v>
          </cell>
        </row>
        <row r="713">
          <cell r="G713" t="str">
            <v>LHCM</v>
          </cell>
          <cell r="H713">
            <v>240</v>
          </cell>
        </row>
        <row r="714">
          <cell r="G714" t="str">
            <v>LHCM</v>
          </cell>
          <cell r="H714">
            <v>240</v>
          </cell>
        </row>
        <row r="715">
          <cell r="G715" t="str">
            <v>LHCM</v>
          </cell>
          <cell r="H715">
            <v>240</v>
          </cell>
        </row>
        <row r="716">
          <cell r="G716" t="str">
            <v>LHCM</v>
          </cell>
          <cell r="H716">
            <v>240</v>
          </cell>
        </row>
        <row r="720">
          <cell r="G720" t="str">
            <v>LINF2UN</v>
          </cell>
          <cell r="H720">
            <v>160</v>
          </cell>
        </row>
        <row r="721">
          <cell r="G721" t="str">
            <v>LINFUN</v>
          </cell>
          <cell r="H721">
            <v>160</v>
          </cell>
        </row>
        <row r="722">
          <cell r="G722" t="str">
            <v>LINFUN</v>
          </cell>
          <cell r="H722">
            <v>160</v>
          </cell>
        </row>
        <row r="723">
          <cell r="G723" t="str">
            <v>LINFUN</v>
          </cell>
          <cell r="H723">
            <v>160</v>
          </cell>
        </row>
        <row r="724">
          <cell r="G724" t="str">
            <v>LINFUN</v>
          </cell>
          <cell r="H724">
            <v>160</v>
          </cell>
        </row>
        <row r="725">
          <cell r="G725" t="str">
            <v>LINFUN</v>
          </cell>
          <cell r="H725">
            <v>160</v>
          </cell>
        </row>
        <row r="726">
          <cell r="G726" t="str">
            <v>LINFUN</v>
          </cell>
          <cell r="H726">
            <v>160</v>
          </cell>
        </row>
        <row r="727">
          <cell r="G727" t="str">
            <v>LS2CM</v>
          </cell>
          <cell r="H727">
            <v>200</v>
          </cell>
        </row>
        <row r="728">
          <cell r="G728" t="str">
            <v>LS2CM</v>
          </cell>
          <cell r="H728">
            <v>200</v>
          </cell>
        </row>
        <row r="729">
          <cell r="G729" t="str">
            <v>LS2CM</v>
          </cell>
          <cell r="H729">
            <v>200</v>
          </cell>
        </row>
        <row r="730">
          <cell r="G730" t="str">
            <v>LS2CM</v>
          </cell>
          <cell r="H730">
            <v>200</v>
          </cell>
        </row>
        <row r="731">
          <cell r="G731" t="str">
            <v>LS2CM</v>
          </cell>
          <cell r="H731">
            <v>200</v>
          </cell>
        </row>
        <row r="732">
          <cell r="G732" t="str">
            <v>LY3CT</v>
          </cell>
          <cell r="H732">
            <v>100</v>
          </cell>
        </row>
        <row r="733">
          <cell r="G733" t="str">
            <v>LY3CT</v>
          </cell>
          <cell r="H733">
            <v>100</v>
          </cell>
        </row>
        <row r="734">
          <cell r="G734" t="str">
            <v>LY3CT</v>
          </cell>
          <cell r="H734">
            <v>100</v>
          </cell>
        </row>
        <row r="735">
          <cell r="G735" t="str">
            <v>LY3CT</v>
          </cell>
          <cell r="H735">
            <v>100</v>
          </cell>
        </row>
        <row r="736">
          <cell r="G736" t="str">
            <v>LYCT</v>
          </cell>
          <cell r="H736">
            <v>200</v>
          </cell>
        </row>
        <row r="737">
          <cell r="G737" t="str">
            <v>LYCT</v>
          </cell>
          <cell r="H737">
            <v>200</v>
          </cell>
        </row>
        <row r="738">
          <cell r="G738" t="str">
            <v>LYCT</v>
          </cell>
          <cell r="H738">
            <v>200</v>
          </cell>
        </row>
        <row r="739">
          <cell r="G739" t="str">
            <v>LYCT</v>
          </cell>
          <cell r="H739">
            <v>200</v>
          </cell>
        </row>
        <row r="740">
          <cell r="G740" t="str">
            <v>LYCT</v>
          </cell>
          <cell r="H740">
            <v>200</v>
          </cell>
        </row>
        <row r="741">
          <cell r="G741" t="str">
            <v>LYCT</v>
          </cell>
          <cell r="H741">
            <v>200</v>
          </cell>
        </row>
        <row r="742">
          <cell r="G742" t="str">
            <v>LYCT</v>
          </cell>
          <cell r="H742">
            <v>200</v>
          </cell>
        </row>
        <row r="743">
          <cell r="G743" t="str">
            <v>LYCT</v>
          </cell>
          <cell r="H743">
            <v>200</v>
          </cell>
        </row>
        <row r="744">
          <cell r="G744" t="str">
            <v>LYCT</v>
          </cell>
          <cell r="H744">
            <v>200</v>
          </cell>
        </row>
        <row r="745">
          <cell r="G745" t="str">
            <v>LYCT</v>
          </cell>
          <cell r="H745">
            <v>200</v>
          </cell>
        </row>
        <row r="746">
          <cell r="G746" t="str">
            <v>LYCT</v>
          </cell>
          <cell r="H746">
            <v>200</v>
          </cell>
        </row>
        <row r="747">
          <cell r="G747" t="str">
            <v>LYCT</v>
          </cell>
          <cell r="H747">
            <v>200</v>
          </cell>
        </row>
        <row r="748">
          <cell r="G748" t="str">
            <v>LYUN</v>
          </cell>
          <cell r="H748">
            <v>160</v>
          </cell>
        </row>
        <row r="749">
          <cell r="G749" t="str">
            <v>LYUN</v>
          </cell>
          <cell r="H749">
            <v>160</v>
          </cell>
        </row>
        <row r="750">
          <cell r="G750" t="str">
            <v>LYUN</v>
          </cell>
          <cell r="H750">
            <v>160</v>
          </cell>
        </row>
        <row r="751">
          <cell r="G751" t="str">
            <v>LYUN</v>
          </cell>
          <cell r="H751">
            <v>160</v>
          </cell>
        </row>
        <row r="752">
          <cell r="G752" t="str">
            <v>LYUN</v>
          </cell>
          <cell r="H752">
            <v>160</v>
          </cell>
        </row>
        <row r="753">
          <cell r="G753" t="str">
            <v>LYUN</v>
          </cell>
          <cell r="H753">
            <v>160</v>
          </cell>
        </row>
        <row r="754">
          <cell r="G754" t="str">
            <v>LYUN</v>
          </cell>
          <cell r="H754">
            <v>160</v>
          </cell>
        </row>
        <row r="755">
          <cell r="G755" t="str">
            <v>LZ2CM</v>
          </cell>
          <cell r="H755">
            <v>80</v>
          </cell>
        </row>
        <row r="756">
          <cell r="G756" t="str">
            <v>LZ2CM</v>
          </cell>
          <cell r="H756">
            <v>80</v>
          </cell>
        </row>
        <row r="757">
          <cell r="G757" t="str">
            <v>LZ2CM</v>
          </cell>
          <cell r="H757">
            <v>80</v>
          </cell>
        </row>
        <row r="758">
          <cell r="G758" t="str">
            <v>LZ2CM</v>
          </cell>
          <cell r="H758">
            <v>80</v>
          </cell>
        </row>
        <row r="759">
          <cell r="G759" t="str">
            <v>LZ2UN</v>
          </cell>
          <cell r="H759">
            <v>20</v>
          </cell>
        </row>
        <row r="760">
          <cell r="G760" t="str">
            <v>LZ3CM</v>
          </cell>
          <cell r="H760">
            <v>100</v>
          </cell>
        </row>
        <row r="761">
          <cell r="G761" t="str">
            <v>LZ3CM</v>
          </cell>
          <cell r="H761">
            <v>100</v>
          </cell>
        </row>
        <row r="762">
          <cell r="G762" t="str">
            <v>LZ3CM</v>
          </cell>
          <cell r="H762">
            <v>100</v>
          </cell>
        </row>
        <row r="763">
          <cell r="G763" t="str">
            <v>LZ3CT</v>
          </cell>
          <cell r="H763">
            <v>200</v>
          </cell>
        </row>
        <row r="764">
          <cell r="G764" t="str">
            <v>LZ3CT</v>
          </cell>
          <cell r="H764">
            <v>200</v>
          </cell>
        </row>
        <row r="765">
          <cell r="G765" t="str">
            <v>LZ3CT</v>
          </cell>
          <cell r="H765">
            <v>200</v>
          </cell>
        </row>
        <row r="766">
          <cell r="G766" t="str">
            <v>LZ3CT</v>
          </cell>
          <cell r="H766">
            <v>200</v>
          </cell>
        </row>
        <row r="767">
          <cell r="G767" t="str">
            <v>LZ3CT</v>
          </cell>
          <cell r="H767">
            <v>200</v>
          </cell>
        </row>
        <row r="768">
          <cell r="G768" t="str">
            <v>LZ3CT</v>
          </cell>
          <cell r="H768">
            <v>200</v>
          </cell>
        </row>
        <row r="769">
          <cell r="G769" t="str">
            <v>LZ4CT</v>
          </cell>
          <cell r="H769">
            <v>160</v>
          </cell>
        </row>
        <row r="770">
          <cell r="G770" t="str">
            <v>LZ4CT</v>
          </cell>
          <cell r="H770">
            <v>160</v>
          </cell>
        </row>
        <row r="771">
          <cell r="G771" t="str">
            <v>LZ4CT</v>
          </cell>
          <cell r="H771">
            <v>160</v>
          </cell>
        </row>
        <row r="772">
          <cell r="G772" t="str">
            <v>LZ4CT</v>
          </cell>
          <cell r="H772">
            <v>160</v>
          </cell>
        </row>
        <row r="773">
          <cell r="G773" t="str">
            <v>LZ5CT</v>
          </cell>
          <cell r="H773">
            <v>160</v>
          </cell>
        </row>
        <row r="774">
          <cell r="G774" t="str">
            <v>LZ5CT</v>
          </cell>
          <cell r="H774">
            <v>160</v>
          </cell>
        </row>
        <row r="775">
          <cell r="G775" t="str">
            <v>LZ5CT</v>
          </cell>
          <cell r="H775">
            <v>160</v>
          </cell>
        </row>
        <row r="776">
          <cell r="G776" t="str">
            <v>LZ5CT</v>
          </cell>
          <cell r="H776">
            <v>160</v>
          </cell>
        </row>
        <row r="777">
          <cell r="G777" t="str">
            <v>LZCT</v>
          </cell>
          <cell r="H777">
            <v>40</v>
          </cell>
        </row>
        <row r="778">
          <cell r="G778" t="str">
            <v>LZCT</v>
          </cell>
          <cell r="H778">
            <v>40</v>
          </cell>
        </row>
        <row r="779">
          <cell r="G779" t="str">
            <v>LZCT</v>
          </cell>
          <cell r="H779">
            <v>40</v>
          </cell>
        </row>
        <row r="780">
          <cell r="G780" t="str">
            <v>MASCT</v>
          </cell>
          <cell r="H780">
            <v>20</v>
          </cell>
        </row>
        <row r="781">
          <cell r="G781" t="str">
            <v>MASCT</v>
          </cell>
          <cell r="H781">
            <v>20</v>
          </cell>
        </row>
        <row r="782">
          <cell r="G782" t="str">
            <v>MASCT</v>
          </cell>
          <cell r="H782">
            <v>20</v>
          </cell>
        </row>
        <row r="783">
          <cell r="G783" t="str">
            <v>NB2CM</v>
          </cell>
          <cell r="H783">
            <v>80</v>
          </cell>
        </row>
        <row r="784">
          <cell r="G784" t="str">
            <v>NB2CM</v>
          </cell>
          <cell r="H784">
            <v>80</v>
          </cell>
        </row>
        <row r="785">
          <cell r="G785" t="str">
            <v>NB2CM</v>
          </cell>
          <cell r="H785">
            <v>80</v>
          </cell>
        </row>
        <row r="786">
          <cell r="G786" t="str">
            <v>NB2CM</v>
          </cell>
          <cell r="H786">
            <v>80</v>
          </cell>
        </row>
        <row r="787">
          <cell r="G787" t="str">
            <v>NB2CTCACHE</v>
          </cell>
          <cell r="H787">
            <v>160</v>
          </cell>
        </row>
        <row r="788">
          <cell r="G788" t="str">
            <v>NB2CTCACHE</v>
          </cell>
          <cell r="H788">
            <v>160</v>
          </cell>
        </row>
        <row r="789">
          <cell r="G789" t="str">
            <v>NB2CTCACHE</v>
          </cell>
          <cell r="H789">
            <v>160</v>
          </cell>
        </row>
        <row r="790">
          <cell r="G790" t="str">
            <v>NB2CTCACHE</v>
          </cell>
          <cell r="H790">
            <v>160</v>
          </cell>
        </row>
        <row r="791">
          <cell r="G791" t="str">
            <v>NB2CTCACHE</v>
          </cell>
          <cell r="H791">
            <v>160</v>
          </cell>
        </row>
        <row r="792">
          <cell r="G792" t="str">
            <v>NB2CTCACHE</v>
          </cell>
          <cell r="H792">
            <v>160</v>
          </cell>
        </row>
        <row r="793">
          <cell r="G793" t="str">
            <v>NB2CTCACHE</v>
          </cell>
          <cell r="H793">
            <v>160</v>
          </cell>
        </row>
        <row r="794">
          <cell r="G794" t="str">
            <v>NB2CTCACHE</v>
          </cell>
          <cell r="H794">
            <v>160</v>
          </cell>
        </row>
        <row r="795">
          <cell r="G795" t="str">
            <v>NB2CTCACHE</v>
          </cell>
          <cell r="H795">
            <v>160</v>
          </cell>
        </row>
        <row r="796">
          <cell r="G796" t="str">
            <v>NB2CTCACHE</v>
          </cell>
          <cell r="H796">
            <v>160</v>
          </cell>
        </row>
        <row r="797">
          <cell r="G797" t="str">
            <v>NB2CTCACHE</v>
          </cell>
          <cell r="H797">
            <v>160</v>
          </cell>
        </row>
        <row r="798">
          <cell r="G798" t="str">
            <v>NB4CT</v>
          </cell>
          <cell r="H798">
            <v>80</v>
          </cell>
        </row>
        <row r="799">
          <cell r="G799" t="str">
            <v>NB4CT</v>
          </cell>
          <cell r="H799">
            <v>80</v>
          </cell>
        </row>
        <row r="800">
          <cell r="G800" t="str">
            <v>NB4CT</v>
          </cell>
          <cell r="H800">
            <v>80</v>
          </cell>
        </row>
        <row r="801">
          <cell r="G801" t="str">
            <v>NB4CT</v>
          </cell>
          <cell r="H801">
            <v>80</v>
          </cell>
        </row>
        <row r="802">
          <cell r="G802" t="str">
            <v>NB5CT</v>
          </cell>
          <cell r="H802">
            <v>200</v>
          </cell>
        </row>
        <row r="803">
          <cell r="G803" t="str">
            <v>NB5CT</v>
          </cell>
          <cell r="H803">
            <v>200</v>
          </cell>
        </row>
        <row r="804">
          <cell r="G804" t="str">
            <v>NB5CT</v>
          </cell>
          <cell r="H804">
            <v>200</v>
          </cell>
        </row>
        <row r="805">
          <cell r="G805" t="str">
            <v>NB5CT</v>
          </cell>
          <cell r="H805">
            <v>200</v>
          </cell>
        </row>
        <row r="806">
          <cell r="G806" t="str">
            <v>NB5CT</v>
          </cell>
          <cell r="H806">
            <v>200</v>
          </cell>
        </row>
        <row r="807">
          <cell r="G807" t="str">
            <v>NB5CT</v>
          </cell>
          <cell r="H807">
            <v>200</v>
          </cell>
        </row>
        <row r="808">
          <cell r="G808" t="str">
            <v>NB5CT</v>
          </cell>
          <cell r="H808">
            <v>200</v>
          </cell>
        </row>
        <row r="809">
          <cell r="G809" t="str">
            <v>NB5CT</v>
          </cell>
          <cell r="H809">
            <v>200</v>
          </cell>
        </row>
        <row r="810">
          <cell r="G810" t="str">
            <v>NBCMCACHE</v>
          </cell>
          <cell r="H810">
            <v>160</v>
          </cell>
        </row>
        <row r="811">
          <cell r="G811" t="str">
            <v>NBCMCACHE</v>
          </cell>
          <cell r="H811">
            <v>160</v>
          </cell>
        </row>
        <row r="812">
          <cell r="G812" t="str">
            <v>NBCMCACHE</v>
          </cell>
          <cell r="H812">
            <v>160</v>
          </cell>
        </row>
        <row r="813">
          <cell r="G813" t="str">
            <v>NBCMCACHE</v>
          </cell>
          <cell r="H813">
            <v>160</v>
          </cell>
        </row>
        <row r="814">
          <cell r="G814" t="str">
            <v>NBCMCACHE</v>
          </cell>
          <cell r="H814">
            <v>160</v>
          </cell>
        </row>
        <row r="815">
          <cell r="G815" t="str">
            <v>NBCMCACHE</v>
          </cell>
          <cell r="H815">
            <v>160</v>
          </cell>
        </row>
        <row r="816">
          <cell r="G816" t="str">
            <v>NBCMCACHE</v>
          </cell>
          <cell r="H816">
            <v>160</v>
          </cell>
        </row>
        <row r="817">
          <cell r="G817" t="str">
            <v>NBCMCACHE</v>
          </cell>
          <cell r="H817">
            <v>160</v>
          </cell>
        </row>
        <row r="818">
          <cell r="G818" t="str">
            <v>NC2CM</v>
          </cell>
          <cell r="H818">
            <v>40</v>
          </cell>
        </row>
        <row r="819">
          <cell r="G819" t="str">
            <v>NC2CM</v>
          </cell>
          <cell r="H819">
            <v>40</v>
          </cell>
        </row>
        <row r="820">
          <cell r="G820" t="str">
            <v>NC2UN</v>
          </cell>
          <cell r="H820">
            <v>100</v>
          </cell>
        </row>
        <row r="821">
          <cell r="G821" t="str">
            <v>NC2UN</v>
          </cell>
          <cell r="H821">
            <v>100</v>
          </cell>
        </row>
        <row r="822">
          <cell r="G822" t="str">
            <v>NC2UN</v>
          </cell>
          <cell r="H822">
            <v>100</v>
          </cell>
        </row>
        <row r="823">
          <cell r="G823" t="str">
            <v>NC2UN</v>
          </cell>
          <cell r="H823">
            <v>100</v>
          </cell>
        </row>
        <row r="824">
          <cell r="G824" t="str">
            <v>NC3CM</v>
          </cell>
          <cell r="H824">
            <v>180</v>
          </cell>
        </row>
        <row r="825">
          <cell r="G825" t="str">
            <v>NC3CM</v>
          </cell>
          <cell r="H825">
            <v>180</v>
          </cell>
        </row>
        <row r="826">
          <cell r="G826" t="str">
            <v>NC3CM</v>
          </cell>
          <cell r="H826">
            <v>180</v>
          </cell>
        </row>
        <row r="827">
          <cell r="G827" t="str">
            <v>NC3CM</v>
          </cell>
          <cell r="H827">
            <v>180</v>
          </cell>
        </row>
        <row r="828">
          <cell r="G828" t="str">
            <v>NC3CM</v>
          </cell>
          <cell r="H828">
            <v>180</v>
          </cell>
        </row>
        <row r="829">
          <cell r="G829" t="str">
            <v>NC3CM</v>
          </cell>
          <cell r="H829">
            <v>180</v>
          </cell>
        </row>
        <row r="830">
          <cell r="G830" t="str">
            <v>NC3CT</v>
          </cell>
          <cell r="H830">
            <v>220</v>
          </cell>
        </row>
        <row r="831">
          <cell r="G831" t="str">
            <v>NC3CT</v>
          </cell>
          <cell r="H831">
            <v>220</v>
          </cell>
        </row>
        <row r="832">
          <cell r="G832" t="str">
            <v>NC3CT</v>
          </cell>
          <cell r="H832">
            <v>220</v>
          </cell>
        </row>
        <row r="833">
          <cell r="G833" t="str">
            <v>NC3CT</v>
          </cell>
          <cell r="H833">
            <v>220</v>
          </cell>
        </row>
        <row r="834">
          <cell r="G834" t="str">
            <v>NC3CT</v>
          </cell>
          <cell r="H834">
            <v>220</v>
          </cell>
        </row>
        <row r="835">
          <cell r="G835" t="str">
            <v>NC3CT</v>
          </cell>
          <cell r="H835">
            <v>220</v>
          </cell>
        </row>
        <row r="836">
          <cell r="G836" t="str">
            <v>NC3CT</v>
          </cell>
          <cell r="H836">
            <v>220</v>
          </cell>
        </row>
        <row r="837">
          <cell r="G837" t="str">
            <v>NC3CT</v>
          </cell>
          <cell r="H837">
            <v>220</v>
          </cell>
        </row>
        <row r="838">
          <cell r="G838" t="str">
            <v>NC3CT</v>
          </cell>
          <cell r="H838">
            <v>220</v>
          </cell>
        </row>
        <row r="839">
          <cell r="G839" t="str">
            <v>NC3CT</v>
          </cell>
          <cell r="H839">
            <v>220</v>
          </cell>
        </row>
        <row r="840">
          <cell r="G840" t="str">
            <v>NC3CT</v>
          </cell>
          <cell r="H840">
            <v>220</v>
          </cell>
        </row>
        <row r="841">
          <cell r="G841" t="str">
            <v>NC3CT</v>
          </cell>
          <cell r="H841">
            <v>220</v>
          </cell>
        </row>
        <row r="842">
          <cell r="G842" t="str">
            <v>NC5CM</v>
          </cell>
          <cell r="H842">
            <v>200</v>
          </cell>
        </row>
        <row r="843">
          <cell r="G843" t="str">
            <v>NC5CM</v>
          </cell>
          <cell r="H843">
            <v>200</v>
          </cell>
        </row>
        <row r="844">
          <cell r="G844" t="str">
            <v>NC5CM</v>
          </cell>
          <cell r="H844">
            <v>200</v>
          </cell>
        </row>
        <row r="845">
          <cell r="G845" t="str">
            <v>NC5CM</v>
          </cell>
          <cell r="H845">
            <v>200</v>
          </cell>
        </row>
        <row r="846">
          <cell r="G846" t="str">
            <v>NC5CM</v>
          </cell>
          <cell r="H846">
            <v>200</v>
          </cell>
        </row>
        <row r="847">
          <cell r="G847" t="str">
            <v>NC5CM</v>
          </cell>
          <cell r="H847">
            <v>200</v>
          </cell>
        </row>
        <row r="848">
          <cell r="G848" t="str">
            <v>NJ2CT</v>
          </cell>
          <cell r="H848">
            <v>140</v>
          </cell>
        </row>
        <row r="849">
          <cell r="G849" t="str">
            <v>NJ2CT</v>
          </cell>
          <cell r="H849">
            <v>140</v>
          </cell>
        </row>
        <row r="850">
          <cell r="G850" t="str">
            <v>NJ2CT</v>
          </cell>
          <cell r="H850">
            <v>140</v>
          </cell>
        </row>
        <row r="851">
          <cell r="G851" t="str">
            <v>NJ2CT</v>
          </cell>
          <cell r="H851">
            <v>140</v>
          </cell>
        </row>
        <row r="852">
          <cell r="G852" t="str">
            <v>NJCM</v>
          </cell>
          <cell r="H852">
            <v>100</v>
          </cell>
        </row>
        <row r="853">
          <cell r="G853" t="str">
            <v>NJCM</v>
          </cell>
          <cell r="H853">
            <v>100</v>
          </cell>
        </row>
        <row r="854">
          <cell r="G854" t="str">
            <v>NJCM</v>
          </cell>
          <cell r="H854">
            <v>100</v>
          </cell>
        </row>
        <row r="855">
          <cell r="G855" t="str">
            <v>NJCM</v>
          </cell>
          <cell r="H855">
            <v>100</v>
          </cell>
        </row>
        <row r="856">
          <cell r="G856" t="str">
            <v>NJCTCACHE</v>
          </cell>
          <cell r="H856">
            <v>400</v>
          </cell>
        </row>
        <row r="857">
          <cell r="G857" t="str">
            <v>NJCTCACHE</v>
          </cell>
          <cell r="H857">
            <v>400</v>
          </cell>
        </row>
        <row r="858">
          <cell r="G858" t="str">
            <v>NJCTCACHE</v>
          </cell>
          <cell r="H858">
            <v>400</v>
          </cell>
        </row>
        <row r="859">
          <cell r="G859" t="str">
            <v>NJCTCACHE</v>
          </cell>
          <cell r="H859">
            <v>400</v>
          </cell>
        </row>
        <row r="860">
          <cell r="G860" t="str">
            <v>NJCTCACHE</v>
          </cell>
          <cell r="H860">
            <v>400</v>
          </cell>
        </row>
        <row r="861">
          <cell r="G861" t="str">
            <v>NJCTCACHE</v>
          </cell>
          <cell r="H861">
            <v>400</v>
          </cell>
        </row>
        <row r="862">
          <cell r="G862" t="str">
            <v>NJCTCACHE</v>
          </cell>
          <cell r="H862">
            <v>400</v>
          </cell>
        </row>
        <row r="863">
          <cell r="G863" t="str">
            <v>NJCTCACHE</v>
          </cell>
          <cell r="H863">
            <v>400</v>
          </cell>
        </row>
        <row r="864">
          <cell r="G864" t="str">
            <v>NJCTCACHE</v>
          </cell>
          <cell r="H864">
            <v>400</v>
          </cell>
        </row>
        <row r="865">
          <cell r="G865" t="str">
            <v>NN2UN</v>
          </cell>
          <cell r="H865">
            <v>40</v>
          </cell>
        </row>
        <row r="866">
          <cell r="G866" t="str">
            <v>NN2UN</v>
          </cell>
          <cell r="H866">
            <v>40</v>
          </cell>
        </row>
        <row r="867">
          <cell r="G867" t="str">
            <v>NN3CM</v>
          </cell>
          <cell r="H867">
            <v>160</v>
          </cell>
        </row>
        <row r="868">
          <cell r="G868" t="str">
            <v>NN3CM</v>
          </cell>
          <cell r="H868">
            <v>160</v>
          </cell>
        </row>
        <row r="869">
          <cell r="G869" t="str">
            <v>NN3CM</v>
          </cell>
          <cell r="H869">
            <v>160</v>
          </cell>
        </row>
        <row r="870">
          <cell r="G870" t="str">
            <v>NN3CM</v>
          </cell>
          <cell r="H870">
            <v>160</v>
          </cell>
        </row>
        <row r="871">
          <cell r="G871" t="str">
            <v>NN3CM</v>
          </cell>
          <cell r="H871">
            <v>160</v>
          </cell>
        </row>
        <row r="872">
          <cell r="G872" t="str">
            <v>NN3CM</v>
          </cell>
          <cell r="H872">
            <v>160</v>
          </cell>
        </row>
        <row r="873">
          <cell r="G873" t="str">
            <v>NN3CM</v>
          </cell>
          <cell r="H873">
            <v>160</v>
          </cell>
        </row>
        <row r="874">
          <cell r="G874" t="str">
            <v>NN3CM</v>
          </cell>
          <cell r="H874">
            <v>160</v>
          </cell>
        </row>
        <row r="875">
          <cell r="G875" t="str">
            <v>NN3CT</v>
          </cell>
          <cell r="H875">
            <v>160</v>
          </cell>
        </row>
        <row r="876">
          <cell r="G876" t="str">
            <v>NN3CT</v>
          </cell>
          <cell r="H876">
            <v>160</v>
          </cell>
        </row>
        <row r="877">
          <cell r="G877" t="str">
            <v>NN3CT</v>
          </cell>
          <cell r="H877">
            <v>160</v>
          </cell>
        </row>
        <row r="878">
          <cell r="G878" t="str">
            <v>NN3CT</v>
          </cell>
          <cell r="H878">
            <v>160</v>
          </cell>
        </row>
        <row r="879">
          <cell r="G879" t="str">
            <v>NN3CT</v>
          </cell>
          <cell r="H879">
            <v>160</v>
          </cell>
        </row>
        <row r="880">
          <cell r="G880" t="str">
            <v>NN3CT</v>
          </cell>
          <cell r="H880">
            <v>160</v>
          </cell>
        </row>
        <row r="881">
          <cell r="G881" t="str">
            <v>NN3UN</v>
          </cell>
          <cell r="H881">
            <v>60</v>
          </cell>
        </row>
        <row r="882">
          <cell r="G882" t="str">
            <v>NN3UN</v>
          </cell>
          <cell r="H882">
            <v>60</v>
          </cell>
        </row>
        <row r="883">
          <cell r="G883" t="str">
            <v>NN3UN</v>
          </cell>
          <cell r="H883">
            <v>60</v>
          </cell>
        </row>
        <row r="884">
          <cell r="G884" t="str">
            <v>NN3UN</v>
          </cell>
          <cell r="H884">
            <v>60</v>
          </cell>
        </row>
        <row r="885">
          <cell r="G885" t="str">
            <v>NN3UN</v>
          </cell>
          <cell r="H885">
            <v>60</v>
          </cell>
        </row>
        <row r="886">
          <cell r="G886" t="str">
            <v>NN4CT</v>
          </cell>
          <cell r="H886">
            <v>260</v>
          </cell>
        </row>
        <row r="887">
          <cell r="G887" t="str">
            <v>NN4CT</v>
          </cell>
          <cell r="H887">
            <v>260</v>
          </cell>
        </row>
        <row r="888">
          <cell r="G888" t="str">
            <v>NN4CT</v>
          </cell>
          <cell r="H888">
            <v>260</v>
          </cell>
        </row>
        <row r="889">
          <cell r="G889" t="str">
            <v>NN4CT</v>
          </cell>
          <cell r="H889">
            <v>260</v>
          </cell>
        </row>
        <row r="890">
          <cell r="G890" t="str">
            <v>NN4CT</v>
          </cell>
          <cell r="H890">
            <v>260</v>
          </cell>
        </row>
        <row r="891">
          <cell r="G891" t="str">
            <v>NN4CT</v>
          </cell>
          <cell r="H891">
            <v>260</v>
          </cell>
        </row>
        <row r="892">
          <cell r="G892" t="str">
            <v>NN4CT</v>
          </cell>
          <cell r="H892">
            <v>260</v>
          </cell>
        </row>
        <row r="893">
          <cell r="G893" t="str">
            <v>NN4CT</v>
          </cell>
          <cell r="H893">
            <v>260</v>
          </cell>
        </row>
        <row r="894">
          <cell r="G894" t="str">
            <v>NN4CT</v>
          </cell>
          <cell r="H894">
            <v>260</v>
          </cell>
        </row>
        <row r="895">
          <cell r="G895" t="str">
            <v>NN4CT</v>
          </cell>
          <cell r="H895">
            <v>260</v>
          </cell>
        </row>
        <row r="896">
          <cell r="G896" t="str">
            <v>NN5CT</v>
          </cell>
          <cell r="H896">
            <v>80</v>
          </cell>
        </row>
        <row r="897">
          <cell r="G897" t="str">
            <v>NN5CT</v>
          </cell>
          <cell r="H897">
            <v>80</v>
          </cell>
        </row>
        <row r="898">
          <cell r="G898" t="str">
            <v>NN5CT</v>
          </cell>
          <cell r="H898">
            <v>80</v>
          </cell>
        </row>
        <row r="899">
          <cell r="G899" t="str">
            <v>NNCM</v>
          </cell>
          <cell r="H899">
            <v>240</v>
          </cell>
        </row>
        <row r="900">
          <cell r="G900" t="str">
            <v>NNCM</v>
          </cell>
          <cell r="H900">
            <v>240</v>
          </cell>
        </row>
        <row r="901">
          <cell r="G901" t="str">
            <v>NNCM</v>
          </cell>
          <cell r="H901">
            <v>240</v>
          </cell>
        </row>
        <row r="902">
          <cell r="G902" t="str">
            <v>NNCM</v>
          </cell>
          <cell r="H902">
            <v>240</v>
          </cell>
        </row>
        <row r="903">
          <cell r="G903" t="str">
            <v>NNCM</v>
          </cell>
          <cell r="H903">
            <v>240</v>
          </cell>
        </row>
        <row r="904">
          <cell r="G904" t="str">
            <v>NNCM</v>
          </cell>
          <cell r="H904">
            <v>240</v>
          </cell>
        </row>
        <row r="905">
          <cell r="G905" t="str">
            <v>PLCT</v>
          </cell>
          <cell r="H905">
            <v>160</v>
          </cell>
        </row>
        <row r="906">
          <cell r="G906" t="str">
            <v>PLCT</v>
          </cell>
          <cell r="H906">
            <v>160</v>
          </cell>
        </row>
        <row r="907">
          <cell r="G907" t="str">
            <v>PLCT</v>
          </cell>
          <cell r="H907">
            <v>160</v>
          </cell>
        </row>
        <row r="908">
          <cell r="G908" t="str">
            <v>PLCT</v>
          </cell>
          <cell r="H908">
            <v>160</v>
          </cell>
        </row>
        <row r="909">
          <cell r="G909" t="str">
            <v>PLCT</v>
          </cell>
          <cell r="H909">
            <v>160</v>
          </cell>
        </row>
        <row r="910">
          <cell r="G910" t="str">
            <v>PLCT</v>
          </cell>
          <cell r="H910">
            <v>160</v>
          </cell>
        </row>
        <row r="911">
          <cell r="G911" t="str">
            <v>QD2CMCACHE</v>
          </cell>
          <cell r="H911">
            <v>200</v>
          </cell>
        </row>
        <row r="912">
          <cell r="G912" t="str">
            <v>QD2CMCACHE</v>
          </cell>
          <cell r="H912">
            <v>200</v>
          </cell>
        </row>
        <row r="913">
          <cell r="G913" t="str">
            <v>QD2CMCACHE</v>
          </cell>
          <cell r="H913">
            <v>200</v>
          </cell>
        </row>
        <row r="914">
          <cell r="G914" t="str">
            <v>QD2CMCACHE</v>
          </cell>
          <cell r="H914">
            <v>200</v>
          </cell>
        </row>
        <row r="915">
          <cell r="G915" t="str">
            <v>QD2UN</v>
          </cell>
          <cell r="H915">
            <v>240</v>
          </cell>
        </row>
        <row r="916">
          <cell r="G916" t="str">
            <v>QD2UN</v>
          </cell>
          <cell r="H916">
            <v>240</v>
          </cell>
        </row>
        <row r="917">
          <cell r="G917" t="str">
            <v>QD2UN</v>
          </cell>
          <cell r="H917">
            <v>240</v>
          </cell>
        </row>
        <row r="918">
          <cell r="G918" t="str">
            <v>QD2UN</v>
          </cell>
          <cell r="H918">
            <v>240</v>
          </cell>
        </row>
        <row r="919">
          <cell r="G919" t="str">
            <v>QD2UN</v>
          </cell>
          <cell r="H919">
            <v>240</v>
          </cell>
        </row>
        <row r="920">
          <cell r="G920" t="str">
            <v>QD3UN</v>
          </cell>
          <cell r="H920">
            <v>80</v>
          </cell>
        </row>
        <row r="921">
          <cell r="G921" t="str">
            <v>QD3UN</v>
          </cell>
          <cell r="H921">
            <v>80</v>
          </cell>
        </row>
        <row r="922">
          <cell r="G922" t="str">
            <v>QD3UN</v>
          </cell>
          <cell r="H922">
            <v>80</v>
          </cell>
        </row>
        <row r="923">
          <cell r="G923" t="str">
            <v>QD3UN</v>
          </cell>
          <cell r="H923">
            <v>80</v>
          </cell>
        </row>
        <row r="924">
          <cell r="G924" t="str">
            <v>QD3UN</v>
          </cell>
          <cell r="H924">
            <v>80</v>
          </cell>
        </row>
        <row r="925">
          <cell r="G925" t="str">
            <v>QD3UN</v>
          </cell>
          <cell r="H925">
            <v>80</v>
          </cell>
        </row>
        <row r="926">
          <cell r="G926" t="str">
            <v>QD3UN</v>
          </cell>
          <cell r="H926">
            <v>80</v>
          </cell>
        </row>
        <row r="927">
          <cell r="G927" t="str">
            <v>QD4CM</v>
          </cell>
          <cell r="H927">
            <v>400</v>
          </cell>
        </row>
        <row r="928">
          <cell r="G928" t="str">
            <v>QD4CM</v>
          </cell>
          <cell r="H928">
            <v>400</v>
          </cell>
        </row>
        <row r="929">
          <cell r="G929" t="str">
            <v>QD4CM</v>
          </cell>
          <cell r="H929">
            <v>400</v>
          </cell>
        </row>
        <row r="930">
          <cell r="G930" t="str">
            <v>QD4CM</v>
          </cell>
          <cell r="H930">
            <v>400</v>
          </cell>
        </row>
        <row r="931">
          <cell r="G931" t="str">
            <v>QD4CM</v>
          </cell>
          <cell r="H931">
            <v>400</v>
          </cell>
        </row>
        <row r="932">
          <cell r="G932" t="str">
            <v>QD4CM</v>
          </cell>
          <cell r="H932">
            <v>400</v>
          </cell>
        </row>
        <row r="933">
          <cell r="G933" t="str">
            <v>QD4CM</v>
          </cell>
          <cell r="H933">
            <v>400</v>
          </cell>
        </row>
        <row r="934">
          <cell r="G934" t="str">
            <v>QD4CM</v>
          </cell>
          <cell r="H934">
            <v>400</v>
          </cell>
        </row>
        <row r="935">
          <cell r="G935" t="str">
            <v>QD4CT</v>
          </cell>
          <cell r="H935">
            <v>180</v>
          </cell>
        </row>
        <row r="936">
          <cell r="G936" t="str">
            <v>QD4CT</v>
          </cell>
          <cell r="H936">
            <v>180</v>
          </cell>
        </row>
        <row r="937">
          <cell r="G937" t="str">
            <v>QD4CT</v>
          </cell>
          <cell r="H937">
            <v>180</v>
          </cell>
        </row>
        <row r="938">
          <cell r="G938" t="str">
            <v>QD4CT</v>
          </cell>
          <cell r="H938">
            <v>180</v>
          </cell>
        </row>
        <row r="939">
          <cell r="G939" t="str">
            <v>QD4CT</v>
          </cell>
          <cell r="H939">
            <v>180</v>
          </cell>
        </row>
        <row r="940">
          <cell r="G940" t="str">
            <v>QD4CT</v>
          </cell>
          <cell r="H940">
            <v>180</v>
          </cell>
        </row>
        <row r="941">
          <cell r="G941" t="str">
            <v>QD4CT</v>
          </cell>
          <cell r="H941">
            <v>180</v>
          </cell>
        </row>
        <row r="942">
          <cell r="G942" t="str">
            <v>QD4CT</v>
          </cell>
          <cell r="H942">
            <v>180</v>
          </cell>
        </row>
        <row r="943">
          <cell r="G943" t="str">
            <v>QD4CT</v>
          </cell>
          <cell r="H943">
            <v>180</v>
          </cell>
        </row>
        <row r="944">
          <cell r="G944" t="str">
            <v>QD4CT</v>
          </cell>
          <cell r="H944">
            <v>180</v>
          </cell>
        </row>
        <row r="945">
          <cell r="G945" t="str">
            <v>QD5UN</v>
          </cell>
          <cell r="H945">
            <v>200</v>
          </cell>
        </row>
        <row r="946">
          <cell r="G946" t="str">
            <v>QD5UN</v>
          </cell>
          <cell r="H946">
            <v>200</v>
          </cell>
        </row>
        <row r="947">
          <cell r="G947" t="str">
            <v>QD5UN</v>
          </cell>
          <cell r="H947">
            <v>200</v>
          </cell>
        </row>
        <row r="948">
          <cell r="G948" t="str">
            <v>QD5UN</v>
          </cell>
          <cell r="H948">
            <v>200</v>
          </cell>
        </row>
        <row r="949">
          <cell r="G949" t="str">
            <v>QD5UN</v>
          </cell>
          <cell r="H949">
            <v>200</v>
          </cell>
        </row>
        <row r="950">
          <cell r="G950" t="str">
            <v>QD5UN</v>
          </cell>
          <cell r="H950">
            <v>200</v>
          </cell>
        </row>
        <row r="951">
          <cell r="G951" t="str">
            <v>QD5UN</v>
          </cell>
          <cell r="H951">
            <v>200</v>
          </cell>
        </row>
        <row r="952">
          <cell r="G952" t="str">
            <v>QD6UN</v>
          </cell>
          <cell r="H952">
            <v>100</v>
          </cell>
        </row>
        <row r="953">
          <cell r="G953" t="str">
            <v>QD6UN</v>
          </cell>
          <cell r="H953">
            <v>100</v>
          </cell>
        </row>
        <row r="954">
          <cell r="G954" t="str">
            <v>QD7UN</v>
          </cell>
          <cell r="H954">
            <v>100</v>
          </cell>
        </row>
        <row r="955">
          <cell r="G955" t="str">
            <v>QD7UN</v>
          </cell>
          <cell r="H955">
            <v>100</v>
          </cell>
        </row>
        <row r="956">
          <cell r="G956" t="str">
            <v>QD7UN</v>
          </cell>
          <cell r="H956">
            <v>100</v>
          </cell>
        </row>
        <row r="957">
          <cell r="G957" t="str">
            <v>QD7UN</v>
          </cell>
          <cell r="H957">
            <v>100</v>
          </cell>
        </row>
        <row r="958">
          <cell r="G958" t="str">
            <v>QDIX</v>
          </cell>
          <cell r="H958">
            <v>720</v>
          </cell>
        </row>
        <row r="959">
          <cell r="G959" t="str">
            <v>QDIX</v>
          </cell>
          <cell r="H959">
            <v>720</v>
          </cell>
        </row>
        <row r="960">
          <cell r="G960" t="str">
            <v>QDIX</v>
          </cell>
          <cell r="H960">
            <v>720</v>
          </cell>
        </row>
        <row r="961">
          <cell r="G961" t="str">
            <v>QDIX</v>
          </cell>
          <cell r="H961">
            <v>720</v>
          </cell>
        </row>
        <row r="962">
          <cell r="G962" t="str">
            <v>QDIX</v>
          </cell>
          <cell r="H962">
            <v>720</v>
          </cell>
        </row>
        <row r="963">
          <cell r="G963" t="str">
            <v>QDIX</v>
          </cell>
          <cell r="H963">
            <v>720</v>
          </cell>
        </row>
        <row r="964">
          <cell r="G964" t="str">
            <v>QDIX</v>
          </cell>
          <cell r="H964">
            <v>720</v>
          </cell>
        </row>
        <row r="965">
          <cell r="G965" t="str">
            <v>QDIX</v>
          </cell>
          <cell r="H965">
            <v>720</v>
          </cell>
        </row>
        <row r="966">
          <cell r="G966" t="str">
            <v>QDIX</v>
          </cell>
          <cell r="H966">
            <v>720</v>
          </cell>
        </row>
        <row r="967">
          <cell r="G967" t="str">
            <v>QDIX</v>
          </cell>
          <cell r="H967">
            <v>720</v>
          </cell>
        </row>
        <row r="968">
          <cell r="G968" t="str">
            <v>QDIX</v>
          </cell>
          <cell r="H968">
            <v>720</v>
          </cell>
        </row>
        <row r="969">
          <cell r="G969" t="str">
            <v>QDIX</v>
          </cell>
          <cell r="H969">
            <v>720</v>
          </cell>
        </row>
        <row r="970">
          <cell r="G970" t="str">
            <v>QDIX</v>
          </cell>
          <cell r="H970">
            <v>720</v>
          </cell>
        </row>
        <row r="971">
          <cell r="G971" t="str">
            <v>QDIX</v>
          </cell>
          <cell r="H971">
            <v>720</v>
          </cell>
        </row>
        <row r="972">
          <cell r="G972" t="str">
            <v>QDIX</v>
          </cell>
          <cell r="H972">
            <v>720</v>
          </cell>
        </row>
        <row r="973">
          <cell r="G973" t="str">
            <v>QDIX</v>
          </cell>
          <cell r="H973">
            <v>720</v>
          </cell>
        </row>
        <row r="974">
          <cell r="G974" t="str">
            <v>QDIX</v>
          </cell>
          <cell r="H974">
            <v>720</v>
          </cell>
        </row>
        <row r="976">
          <cell r="G976" t="str">
            <v>青岛三级</v>
          </cell>
          <cell r="H976" t="str">
            <v>QDIX</v>
          </cell>
        </row>
        <row r="977">
          <cell r="G977" t="str">
            <v>QDIX</v>
          </cell>
          <cell r="H977">
            <v>720</v>
          </cell>
        </row>
        <row r="978">
          <cell r="G978" t="str">
            <v>SH4CM</v>
          </cell>
          <cell r="H978">
            <v>100</v>
          </cell>
        </row>
        <row r="979">
          <cell r="G979" t="str">
            <v>SH4CM</v>
          </cell>
          <cell r="H979">
            <v>100</v>
          </cell>
        </row>
        <row r="980">
          <cell r="G980" t="str">
            <v>SH4CM</v>
          </cell>
          <cell r="H980">
            <v>100</v>
          </cell>
        </row>
        <row r="981">
          <cell r="G981" t="str">
            <v>SH4CT</v>
          </cell>
          <cell r="H981">
            <v>200</v>
          </cell>
        </row>
        <row r="982">
          <cell r="G982" t="str">
            <v>SH4CT</v>
          </cell>
          <cell r="H982">
            <v>200</v>
          </cell>
        </row>
        <row r="983">
          <cell r="G983" t="str">
            <v>SH4CT</v>
          </cell>
          <cell r="H983">
            <v>200</v>
          </cell>
        </row>
        <row r="984">
          <cell r="G984" t="str">
            <v>SH4CT</v>
          </cell>
          <cell r="H984">
            <v>200</v>
          </cell>
        </row>
        <row r="985">
          <cell r="G985" t="str">
            <v>SH4CT</v>
          </cell>
          <cell r="H985">
            <v>200</v>
          </cell>
        </row>
        <row r="986">
          <cell r="G986" t="str">
            <v>SH4CT</v>
          </cell>
          <cell r="H986">
            <v>200</v>
          </cell>
        </row>
        <row r="987">
          <cell r="G987" t="str">
            <v>SH4CT</v>
          </cell>
          <cell r="H987">
            <v>200</v>
          </cell>
        </row>
        <row r="988">
          <cell r="G988" t="str">
            <v>SH4CT</v>
          </cell>
          <cell r="H988">
            <v>200</v>
          </cell>
        </row>
        <row r="989">
          <cell r="G989" t="str">
            <v>SHAOX2UN</v>
          </cell>
          <cell r="H989">
            <v>40</v>
          </cell>
        </row>
        <row r="990">
          <cell r="G990" t="str">
            <v>SHAOX2UN</v>
          </cell>
          <cell r="H990">
            <v>40</v>
          </cell>
        </row>
        <row r="991">
          <cell r="G991" t="str">
            <v>SHAOX2UN</v>
          </cell>
          <cell r="H991">
            <v>40</v>
          </cell>
        </row>
        <row r="992">
          <cell r="G992" t="str">
            <v>SHAOX2UN</v>
          </cell>
          <cell r="H992">
            <v>40</v>
          </cell>
        </row>
        <row r="993">
          <cell r="G993" t="str">
            <v>SHAOX2UN</v>
          </cell>
          <cell r="H993">
            <v>40</v>
          </cell>
        </row>
        <row r="994">
          <cell r="G994" t="str">
            <v>SHCT</v>
          </cell>
          <cell r="H994">
            <v>300</v>
          </cell>
        </row>
        <row r="995">
          <cell r="G995" t="str">
            <v>SHCT</v>
          </cell>
          <cell r="H995">
            <v>300</v>
          </cell>
        </row>
        <row r="996">
          <cell r="G996" t="str">
            <v>SHCT</v>
          </cell>
          <cell r="H996">
            <v>300</v>
          </cell>
        </row>
        <row r="997">
          <cell r="G997" t="str">
            <v>SHCT</v>
          </cell>
          <cell r="H997">
            <v>300</v>
          </cell>
        </row>
        <row r="998">
          <cell r="G998" t="str">
            <v>SHCT</v>
          </cell>
          <cell r="H998">
            <v>300</v>
          </cell>
        </row>
        <row r="999">
          <cell r="G999" t="str">
            <v>SHCT</v>
          </cell>
          <cell r="H999">
            <v>300</v>
          </cell>
        </row>
        <row r="1000">
          <cell r="G1000" t="str">
            <v>SHCT</v>
          </cell>
          <cell r="H1000">
            <v>300</v>
          </cell>
        </row>
        <row r="1001">
          <cell r="G1001" t="str">
            <v>SHCT</v>
          </cell>
          <cell r="H1001">
            <v>300</v>
          </cell>
        </row>
        <row r="1002">
          <cell r="G1002" t="str">
            <v>SHCT</v>
          </cell>
          <cell r="H1002">
            <v>300</v>
          </cell>
        </row>
        <row r="1003">
          <cell r="G1003" t="str">
            <v>SHCT</v>
          </cell>
          <cell r="H1003">
            <v>300</v>
          </cell>
        </row>
        <row r="1004">
          <cell r="G1004" t="str">
            <v>SHCT</v>
          </cell>
          <cell r="H1004">
            <v>300</v>
          </cell>
        </row>
        <row r="1005">
          <cell r="G1005" t="str">
            <v>SHCT</v>
          </cell>
          <cell r="H1005">
            <v>300</v>
          </cell>
        </row>
        <row r="1006">
          <cell r="G1006" t="str">
            <v>SHCT</v>
          </cell>
          <cell r="H1006">
            <v>300</v>
          </cell>
        </row>
        <row r="1007">
          <cell r="G1007" t="str">
            <v>SHUN</v>
          </cell>
          <cell r="H1007">
            <v>160</v>
          </cell>
        </row>
        <row r="1008">
          <cell r="G1008" t="str">
            <v>SHUN</v>
          </cell>
          <cell r="H1008">
            <v>160</v>
          </cell>
        </row>
        <row r="1009">
          <cell r="G1009" t="str">
            <v>SHUN</v>
          </cell>
          <cell r="H1009">
            <v>160</v>
          </cell>
        </row>
        <row r="1010">
          <cell r="G1010" t="str">
            <v>SHUN</v>
          </cell>
          <cell r="H1010">
            <v>160</v>
          </cell>
        </row>
        <row r="1011">
          <cell r="G1011" t="str">
            <v>SHUN</v>
          </cell>
          <cell r="H1011">
            <v>160</v>
          </cell>
        </row>
        <row r="1012">
          <cell r="G1012" t="str">
            <v>SHUN</v>
          </cell>
          <cell r="H1012">
            <v>160</v>
          </cell>
        </row>
        <row r="1013">
          <cell r="G1013" t="str">
            <v>SHUN</v>
          </cell>
          <cell r="H1013">
            <v>160</v>
          </cell>
        </row>
        <row r="1014">
          <cell r="G1014" t="str">
            <v>SHUN</v>
          </cell>
          <cell r="H1014">
            <v>160</v>
          </cell>
        </row>
        <row r="1015">
          <cell r="G1015" t="str">
            <v>SHUN</v>
          </cell>
          <cell r="H1015">
            <v>160</v>
          </cell>
        </row>
        <row r="1016">
          <cell r="G1016" t="str">
            <v>SHUN</v>
          </cell>
          <cell r="H1016">
            <v>160</v>
          </cell>
        </row>
        <row r="1017">
          <cell r="G1017" t="str">
            <v>SHUN</v>
          </cell>
          <cell r="H1017">
            <v>160</v>
          </cell>
        </row>
        <row r="1018">
          <cell r="G1018" t="str">
            <v>SJZ3CT</v>
          </cell>
          <cell r="H1018">
            <v>160</v>
          </cell>
        </row>
        <row r="1019">
          <cell r="G1019" t="str">
            <v>SJZ3CT</v>
          </cell>
          <cell r="H1019">
            <v>160</v>
          </cell>
        </row>
        <row r="1020">
          <cell r="G1020" t="str">
            <v>SJZ3CT</v>
          </cell>
          <cell r="H1020">
            <v>160</v>
          </cell>
        </row>
        <row r="1021">
          <cell r="G1021" t="str">
            <v>SJZ3CT</v>
          </cell>
          <cell r="H1021">
            <v>160</v>
          </cell>
        </row>
        <row r="1022">
          <cell r="G1022" t="str">
            <v>SJZ3CT</v>
          </cell>
          <cell r="H1022">
            <v>160</v>
          </cell>
        </row>
        <row r="1023">
          <cell r="G1023" t="str">
            <v>SJZ3CT</v>
          </cell>
          <cell r="H1023">
            <v>160</v>
          </cell>
        </row>
        <row r="1024">
          <cell r="G1024" t="str">
            <v>SJZ4CT</v>
          </cell>
          <cell r="H1024">
            <v>160</v>
          </cell>
        </row>
        <row r="1025">
          <cell r="G1025" t="str">
            <v>SJZ4CT</v>
          </cell>
          <cell r="H1025">
            <v>160</v>
          </cell>
        </row>
        <row r="1026">
          <cell r="G1026" t="str">
            <v>SJZ4CT</v>
          </cell>
          <cell r="H1026">
            <v>160</v>
          </cell>
        </row>
        <row r="1027">
          <cell r="G1027" t="str">
            <v>SJZ4CT</v>
          </cell>
          <cell r="H1027">
            <v>160</v>
          </cell>
        </row>
        <row r="1028">
          <cell r="G1028" t="str">
            <v>SJZ4CT</v>
          </cell>
          <cell r="H1028">
            <v>160</v>
          </cell>
        </row>
        <row r="1029">
          <cell r="G1029" t="str">
            <v>SJZ4CT</v>
          </cell>
          <cell r="H1029">
            <v>160</v>
          </cell>
        </row>
        <row r="1030">
          <cell r="G1030" t="str">
            <v>SQ2CT</v>
          </cell>
          <cell r="H1030">
            <v>200</v>
          </cell>
        </row>
        <row r="1031">
          <cell r="G1031" t="str">
            <v>SQ2CT</v>
          </cell>
          <cell r="H1031">
            <v>200</v>
          </cell>
        </row>
        <row r="1032">
          <cell r="G1032" t="str">
            <v>SQ2CT</v>
          </cell>
          <cell r="H1032">
            <v>200</v>
          </cell>
        </row>
        <row r="1033">
          <cell r="G1033" t="str">
            <v>SQ2CT</v>
          </cell>
          <cell r="H1033">
            <v>200</v>
          </cell>
        </row>
        <row r="1034">
          <cell r="G1034" t="str">
            <v>SQ2CT</v>
          </cell>
          <cell r="H1034">
            <v>200</v>
          </cell>
        </row>
        <row r="1035">
          <cell r="G1035" t="str">
            <v>SQ2CT</v>
          </cell>
          <cell r="H1035">
            <v>200</v>
          </cell>
        </row>
        <row r="1036">
          <cell r="G1036" t="str">
            <v>SQ2CT</v>
          </cell>
          <cell r="H1036">
            <v>200</v>
          </cell>
        </row>
        <row r="1037">
          <cell r="G1037" t="str">
            <v>SQ2CT</v>
          </cell>
          <cell r="H1037">
            <v>200</v>
          </cell>
        </row>
        <row r="1038">
          <cell r="G1038" t="str">
            <v>SQ2CT</v>
          </cell>
          <cell r="H1038">
            <v>200</v>
          </cell>
        </row>
        <row r="1039">
          <cell r="G1039" t="str">
            <v>SQCT</v>
          </cell>
          <cell r="H1039">
            <v>200</v>
          </cell>
        </row>
        <row r="1040">
          <cell r="G1040" t="str">
            <v>SQCT</v>
          </cell>
          <cell r="H1040">
            <v>200</v>
          </cell>
        </row>
        <row r="1041">
          <cell r="G1041" t="str">
            <v>SQCT</v>
          </cell>
          <cell r="H1041">
            <v>200</v>
          </cell>
        </row>
        <row r="1042">
          <cell r="G1042" t="str">
            <v>SQCT</v>
          </cell>
          <cell r="H1042">
            <v>200</v>
          </cell>
        </row>
        <row r="1043">
          <cell r="G1043" t="str">
            <v>SQCT</v>
          </cell>
          <cell r="H1043">
            <v>200</v>
          </cell>
        </row>
        <row r="1044">
          <cell r="G1044" t="str">
            <v>SQCT</v>
          </cell>
          <cell r="H1044">
            <v>200</v>
          </cell>
        </row>
        <row r="1045">
          <cell r="G1045" t="str">
            <v>SQCT</v>
          </cell>
          <cell r="H1045">
            <v>200</v>
          </cell>
        </row>
        <row r="1046">
          <cell r="G1046" t="str">
            <v>SQCT</v>
          </cell>
          <cell r="H1046">
            <v>200</v>
          </cell>
        </row>
        <row r="1047">
          <cell r="G1047" t="str">
            <v>SQCT</v>
          </cell>
          <cell r="H1047">
            <v>200</v>
          </cell>
        </row>
        <row r="1048">
          <cell r="G1048" t="str">
            <v>SUZ2CT</v>
          </cell>
          <cell r="H1048">
            <v>160</v>
          </cell>
        </row>
        <row r="1049">
          <cell r="G1049" t="str">
            <v>SUZ2CT</v>
          </cell>
          <cell r="H1049">
            <v>160</v>
          </cell>
        </row>
        <row r="1050">
          <cell r="G1050" t="str">
            <v>SUZ2CT</v>
          </cell>
          <cell r="H1050">
            <v>160</v>
          </cell>
        </row>
        <row r="1051">
          <cell r="G1051" t="str">
            <v>SUZ2CT</v>
          </cell>
          <cell r="H1051">
            <v>160</v>
          </cell>
        </row>
        <row r="1052">
          <cell r="G1052" t="str">
            <v>SUZ2CT</v>
          </cell>
          <cell r="H1052">
            <v>160</v>
          </cell>
        </row>
        <row r="1053">
          <cell r="G1053" t="str">
            <v>SUZ2CT</v>
          </cell>
          <cell r="H1053">
            <v>160</v>
          </cell>
        </row>
        <row r="1054">
          <cell r="G1054" t="str">
            <v>SUZ2CT</v>
          </cell>
          <cell r="H1054">
            <v>160</v>
          </cell>
        </row>
        <row r="1055">
          <cell r="G1055" t="str">
            <v>SUZ2CT</v>
          </cell>
          <cell r="H1055">
            <v>160</v>
          </cell>
        </row>
        <row r="1056">
          <cell r="G1056" t="str">
            <v>SUZ2CT</v>
          </cell>
          <cell r="H1056">
            <v>160</v>
          </cell>
        </row>
        <row r="1057">
          <cell r="G1057" t="str">
            <v>SUZ4CT</v>
          </cell>
          <cell r="H1057">
            <v>100</v>
          </cell>
        </row>
        <row r="1058">
          <cell r="G1058" t="str">
            <v>SUZ4CT</v>
          </cell>
          <cell r="H1058">
            <v>100</v>
          </cell>
        </row>
        <row r="1059">
          <cell r="G1059" t="str">
            <v>SUZ4CT</v>
          </cell>
          <cell r="H1059">
            <v>100</v>
          </cell>
        </row>
        <row r="1060">
          <cell r="G1060" t="str">
            <v>SUZCT</v>
          </cell>
          <cell r="H1060">
            <v>160</v>
          </cell>
        </row>
        <row r="1061">
          <cell r="G1061" t="str">
            <v>SUZCT</v>
          </cell>
          <cell r="H1061">
            <v>160</v>
          </cell>
        </row>
        <row r="1062">
          <cell r="G1062" t="str">
            <v>SUZCT</v>
          </cell>
          <cell r="H1062">
            <v>160</v>
          </cell>
        </row>
        <row r="1063">
          <cell r="G1063" t="str">
            <v>SUZCT</v>
          </cell>
          <cell r="H1063">
            <v>160</v>
          </cell>
        </row>
        <row r="1064">
          <cell r="G1064" t="str">
            <v>SUZCT</v>
          </cell>
          <cell r="H1064">
            <v>160</v>
          </cell>
        </row>
        <row r="1065">
          <cell r="G1065" t="str">
            <v>SUZCT</v>
          </cell>
          <cell r="H1065">
            <v>160</v>
          </cell>
        </row>
        <row r="1066">
          <cell r="G1066" t="str">
            <v>SUZCT</v>
          </cell>
          <cell r="H1066">
            <v>160</v>
          </cell>
        </row>
        <row r="1067">
          <cell r="G1067" t="str">
            <v>SUZCT</v>
          </cell>
          <cell r="H1067">
            <v>160</v>
          </cell>
        </row>
        <row r="1068">
          <cell r="G1068" t="str">
            <v>SUZCT</v>
          </cell>
          <cell r="H1068">
            <v>160</v>
          </cell>
        </row>
        <row r="1069">
          <cell r="G1069" t="str">
            <v>SUZCT</v>
          </cell>
          <cell r="H1069">
            <v>160</v>
          </cell>
        </row>
        <row r="1070">
          <cell r="G1070" t="str">
            <v>SY2CM</v>
          </cell>
          <cell r="H1070">
            <v>180</v>
          </cell>
        </row>
        <row r="1071">
          <cell r="G1071" t="str">
            <v>SY2CM</v>
          </cell>
          <cell r="H1071">
            <v>180</v>
          </cell>
        </row>
        <row r="1072">
          <cell r="G1072" t="str">
            <v>SY2CM</v>
          </cell>
          <cell r="H1072">
            <v>180</v>
          </cell>
        </row>
        <row r="1073">
          <cell r="G1073" t="str">
            <v>SY2CM</v>
          </cell>
          <cell r="H1073">
            <v>180</v>
          </cell>
        </row>
        <row r="1074">
          <cell r="G1074" t="str">
            <v>SY2CM</v>
          </cell>
          <cell r="H1074">
            <v>180</v>
          </cell>
        </row>
        <row r="1075">
          <cell r="G1075" t="str">
            <v>SY2CM</v>
          </cell>
          <cell r="H1075">
            <v>180</v>
          </cell>
        </row>
        <row r="1076">
          <cell r="G1076" t="str">
            <v>SY2CM</v>
          </cell>
          <cell r="H1076">
            <v>180</v>
          </cell>
        </row>
        <row r="1077">
          <cell r="G1077" t="str">
            <v>SY2CM</v>
          </cell>
          <cell r="H1077">
            <v>180</v>
          </cell>
        </row>
        <row r="1078">
          <cell r="G1078" t="str">
            <v>SY2CM</v>
          </cell>
          <cell r="H1078">
            <v>180</v>
          </cell>
        </row>
        <row r="1079">
          <cell r="G1079" t="str">
            <v>SY2CM</v>
          </cell>
          <cell r="H1079">
            <v>180</v>
          </cell>
        </row>
        <row r="1080">
          <cell r="G1080" t="str">
            <v>SY2CM</v>
          </cell>
          <cell r="H1080">
            <v>180</v>
          </cell>
        </row>
        <row r="1081">
          <cell r="G1081" t="str">
            <v>SY2CT</v>
          </cell>
          <cell r="H1081">
            <v>40</v>
          </cell>
        </row>
        <row r="1082">
          <cell r="G1082" t="str">
            <v>SY2CT</v>
          </cell>
          <cell r="H1082">
            <v>40</v>
          </cell>
        </row>
        <row r="1083">
          <cell r="G1083" t="str">
            <v>SY2UN</v>
          </cell>
          <cell r="H1083">
            <v>60</v>
          </cell>
        </row>
        <row r="1084">
          <cell r="G1084" t="str">
            <v>SY2UN</v>
          </cell>
          <cell r="H1084">
            <v>60</v>
          </cell>
        </row>
        <row r="1085">
          <cell r="G1085" t="str">
            <v>SY2UN</v>
          </cell>
          <cell r="H1085">
            <v>60</v>
          </cell>
        </row>
        <row r="1086">
          <cell r="G1086" t="str">
            <v>SY3CM</v>
          </cell>
          <cell r="H1086">
            <v>320</v>
          </cell>
        </row>
        <row r="1087">
          <cell r="G1087" t="str">
            <v>SY3CM</v>
          </cell>
          <cell r="H1087">
            <v>320</v>
          </cell>
        </row>
        <row r="1088">
          <cell r="G1088" t="str">
            <v>SY3CM</v>
          </cell>
          <cell r="H1088">
            <v>320</v>
          </cell>
        </row>
        <row r="1089">
          <cell r="G1089" t="str">
            <v>SY3CM</v>
          </cell>
          <cell r="H1089">
            <v>320</v>
          </cell>
        </row>
        <row r="1090">
          <cell r="G1090" t="str">
            <v>SY3CM</v>
          </cell>
          <cell r="H1090">
            <v>320</v>
          </cell>
        </row>
        <row r="1091">
          <cell r="G1091" t="str">
            <v>SY3CM</v>
          </cell>
          <cell r="H1091">
            <v>320</v>
          </cell>
        </row>
        <row r="1092">
          <cell r="G1092" t="str">
            <v>SY3CM</v>
          </cell>
          <cell r="H1092">
            <v>320</v>
          </cell>
        </row>
        <row r="1093">
          <cell r="G1093" t="str">
            <v>SY3CM</v>
          </cell>
          <cell r="H1093">
            <v>320</v>
          </cell>
        </row>
        <row r="1094">
          <cell r="G1094" t="str">
            <v>SY3CM</v>
          </cell>
          <cell r="H1094">
            <v>320</v>
          </cell>
        </row>
        <row r="1095">
          <cell r="G1095" t="str">
            <v>SY3UN</v>
          </cell>
          <cell r="H1095">
            <v>160</v>
          </cell>
        </row>
        <row r="1096">
          <cell r="G1096" t="str">
            <v>SY3UN</v>
          </cell>
          <cell r="H1096">
            <v>160</v>
          </cell>
        </row>
        <row r="1097">
          <cell r="G1097" t="str">
            <v>SY3UN</v>
          </cell>
          <cell r="H1097">
            <v>160</v>
          </cell>
        </row>
        <row r="1098">
          <cell r="G1098" t="str">
            <v>SY3UN</v>
          </cell>
          <cell r="H1098">
            <v>160</v>
          </cell>
        </row>
        <row r="1099">
          <cell r="G1099" t="str">
            <v>SY3UN</v>
          </cell>
          <cell r="H1099">
            <v>160</v>
          </cell>
        </row>
        <row r="1100">
          <cell r="G1100" t="str">
            <v>SY3UN</v>
          </cell>
          <cell r="H1100">
            <v>160</v>
          </cell>
        </row>
        <row r="1101">
          <cell r="G1101" t="str">
            <v>SY3UN</v>
          </cell>
          <cell r="H1101">
            <v>160</v>
          </cell>
        </row>
        <row r="1102">
          <cell r="G1102" t="str">
            <v>SY4UN</v>
          </cell>
          <cell r="H1102">
            <v>200</v>
          </cell>
        </row>
        <row r="1103">
          <cell r="G1103" t="str">
            <v>SY4UN</v>
          </cell>
          <cell r="H1103">
            <v>200</v>
          </cell>
        </row>
        <row r="1104">
          <cell r="G1104" t="str">
            <v>SY4UN</v>
          </cell>
          <cell r="H1104">
            <v>200</v>
          </cell>
        </row>
        <row r="1105">
          <cell r="G1105" t="str">
            <v>SY4UN</v>
          </cell>
          <cell r="H1105">
            <v>200</v>
          </cell>
        </row>
        <row r="1106">
          <cell r="G1106" t="str">
            <v>SY4UN</v>
          </cell>
          <cell r="H1106">
            <v>200</v>
          </cell>
        </row>
        <row r="1107">
          <cell r="G1107" t="str">
            <v>SY4UN</v>
          </cell>
          <cell r="H1107">
            <v>200</v>
          </cell>
        </row>
        <row r="1108">
          <cell r="G1108" t="str">
            <v>SYCM</v>
          </cell>
          <cell r="H1108">
            <v>120</v>
          </cell>
        </row>
        <row r="1109">
          <cell r="G1109" t="str">
            <v>SYCM</v>
          </cell>
          <cell r="H1109">
            <v>120</v>
          </cell>
        </row>
        <row r="1110">
          <cell r="G1110" t="str">
            <v>SYCM</v>
          </cell>
          <cell r="H1110">
            <v>120</v>
          </cell>
        </row>
        <row r="1111">
          <cell r="G1111" t="str">
            <v>SYCM</v>
          </cell>
          <cell r="H1111">
            <v>120</v>
          </cell>
        </row>
        <row r="1112">
          <cell r="G1112" t="str">
            <v>SYCM</v>
          </cell>
          <cell r="H1112">
            <v>120</v>
          </cell>
        </row>
        <row r="1113">
          <cell r="G1113" t="str">
            <v>SYCT</v>
          </cell>
          <cell r="H1113">
            <v>40</v>
          </cell>
        </row>
        <row r="1114">
          <cell r="G1114" t="str">
            <v>SYCT</v>
          </cell>
          <cell r="H1114">
            <v>40</v>
          </cell>
        </row>
        <row r="1115">
          <cell r="G1115" t="str">
            <v>SZCM</v>
          </cell>
          <cell r="H1115">
            <v>340</v>
          </cell>
        </row>
        <row r="1116">
          <cell r="G1116" t="str">
            <v>SZCM</v>
          </cell>
          <cell r="H1116">
            <v>340</v>
          </cell>
        </row>
        <row r="1117">
          <cell r="G1117" t="str">
            <v>SZCM</v>
          </cell>
          <cell r="H1117">
            <v>340</v>
          </cell>
        </row>
        <row r="1118">
          <cell r="G1118" t="str">
            <v>SZCM</v>
          </cell>
          <cell r="H1118">
            <v>340</v>
          </cell>
        </row>
        <row r="1119">
          <cell r="G1119" t="str">
            <v>SZCM</v>
          </cell>
          <cell r="H1119">
            <v>340</v>
          </cell>
        </row>
        <row r="1120">
          <cell r="G1120" t="str">
            <v>SZCM</v>
          </cell>
          <cell r="H1120">
            <v>340</v>
          </cell>
        </row>
        <row r="1121">
          <cell r="G1121" t="str">
            <v>SZCM</v>
          </cell>
          <cell r="H1121">
            <v>340</v>
          </cell>
        </row>
        <row r="1122">
          <cell r="G1122" t="str">
            <v>SZCM</v>
          </cell>
          <cell r="H1122">
            <v>340</v>
          </cell>
        </row>
        <row r="1123">
          <cell r="G1123" t="str">
            <v>TJ2CM</v>
          </cell>
          <cell r="H1123">
            <v>100</v>
          </cell>
        </row>
        <row r="1124">
          <cell r="G1124" t="str">
            <v>TJ2CM</v>
          </cell>
          <cell r="H1124">
            <v>100</v>
          </cell>
        </row>
        <row r="1125">
          <cell r="G1125" t="str">
            <v>TJ2CM</v>
          </cell>
          <cell r="H1125">
            <v>100</v>
          </cell>
        </row>
        <row r="1126">
          <cell r="G1126" t="str">
            <v>TJ2CM</v>
          </cell>
          <cell r="H1126">
            <v>100</v>
          </cell>
        </row>
        <row r="1127">
          <cell r="G1127" t="str">
            <v>TJ3CT</v>
          </cell>
          <cell r="H1127">
            <v>160</v>
          </cell>
        </row>
        <row r="1128">
          <cell r="G1128" t="str">
            <v>TJ3CT</v>
          </cell>
          <cell r="H1128">
            <v>160</v>
          </cell>
        </row>
        <row r="1129">
          <cell r="G1129" t="str">
            <v>TJ3CT</v>
          </cell>
          <cell r="H1129">
            <v>160</v>
          </cell>
        </row>
        <row r="1130">
          <cell r="G1130" t="str">
            <v>TJ3CT</v>
          </cell>
          <cell r="H1130">
            <v>160</v>
          </cell>
        </row>
        <row r="1131">
          <cell r="G1131" t="str">
            <v>TJ3UN</v>
          </cell>
          <cell r="H1131">
            <v>240</v>
          </cell>
        </row>
        <row r="1132">
          <cell r="G1132" t="str">
            <v>TJ3UN</v>
          </cell>
          <cell r="H1132">
            <v>240</v>
          </cell>
        </row>
        <row r="1133">
          <cell r="G1133" t="str">
            <v>TJ3UN</v>
          </cell>
          <cell r="H1133">
            <v>240</v>
          </cell>
        </row>
        <row r="1134">
          <cell r="G1134" t="str">
            <v>TJ3UN</v>
          </cell>
          <cell r="H1134">
            <v>240</v>
          </cell>
        </row>
        <row r="1135">
          <cell r="G1135" t="str">
            <v>TJ3UN</v>
          </cell>
          <cell r="H1135">
            <v>240</v>
          </cell>
        </row>
        <row r="1136">
          <cell r="G1136" t="str">
            <v>TJ3UN</v>
          </cell>
          <cell r="H1136">
            <v>240</v>
          </cell>
        </row>
        <row r="1137">
          <cell r="G1137" t="str">
            <v>TJ3UN</v>
          </cell>
          <cell r="H1137">
            <v>240</v>
          </cell>
        </row>
        <row r="1138">
          <cell r="G1138" t="str">
            <v>TJ4CT</v>
          </cell>
          <cell r="H1138">
            <v>70</v>
          </cell>
        </row>
        <row r="1139">
          <cell r="G1139" t="str">
            <v>TJ4CT</v>
          </cell>
          <cell r="H1139">
            <v>70</v>
          </cell>
        </row>
        <row r="1140">
          <cell r="G1140" t="str">
            <v>TJ4CT</v>
          </cell>
          <cell r="H1140">
            <v>70</v>
          </cell>
        </row>
        <row r="1141">
          <cell r="G1141" t="str">
            <v>TJ4CT</v>
          </cell>
          <cell r="H1141">
            <v>70</v>
          </cell>
        </row>
        <row r="1142">
          <cell r="G1142" t="str">
            <v>TJ4CT</v>
          </cell>
          <cell r="H1142">
            <v>70</v>
          </cell>
        </row>
        <row r="1143">
          <cell r="G1143" t="str">
            <v>TJCTCACHE</v>
          </cell>
          <cell r="H1143">
            <v>160</v>
          </cell>
        </row>
        <row r="1144">
          <cell r="G1144" t="str">
            <v>TJCTCACHE</v>
          </cell>
          <cell r="H1144">
            <v>160</v>
          </cell>
        </row>
        <row r="1145">
          <cell r="G1145" t="str">
            <v>TJCTCACHE</v>
          </cell>
          <cell r="H1145">
            <v>160</v>
          </cell>
        </row>
        <row r="1146">
          <cell r="G1146" t="str">
            <v>TJCTCACHE</v>
          </cell>
          <cell r="H1146">
            <v>160</v>
          </cell>
        </row>
        <row r="1147">
          <cell r="G1147" t="str">
            <v>TJCTCACHE</v>
          </cell>
          <cell r="H1147">
            <v>160</v>
          </cell>
        </row>
        <row r="1148">
          <cell r="G1148" t="str">
            <v>TJCTCACHE</v>
          </cell>
          <cell r="H1148">
            <v>160</v>
          </cell>
        </row>
        <row r="1149">
          <cell r="G1149" t="str">
            <v>TJCTCACHE</v>
          </cell>
          <cell r="H1149">
            <v>160</v>
          </cell>
        </row>
        <row r="1150">
          <cell r="G1150" t="str">
            <v>TJCTCACHE</v>
          </cell>
          <cell r="H1150">
            <v>160</v>
          </cell>
        </row>
        <row r="1151">
          <cell r="G1151" t="str">
            <v>TJCTCACHE</v>
          </cell>
          <cell r="H1151">
            <v>160</v>
          </cell>
        </row>
        <row r="1152">
          <cell r="G1152" t="str">
            <v>TS2CT</v>
          </cell>
          <cell r="H1152">
            <v>160</v>
          </cell>
        </row>
        <row r="1153">
          <cell r="G1153" t="str">
            <v>TS2CT</v>
          </cell>
          <cell r="H1153">
            <v>160</v>
          </cell>
        </row>
        <row r="1154">
          <cell r="G1154" t="str">
            <v>TS2CT</v>
          </cell>
          <cell r="H1154">
            <v>160</v>
          </cell>
        </row>
        <row r="1155">
          <cell r="G1155" t="str">
            <v>TS2CT</v>
          </cell>
          <cell r="H1155">
            <v>160</v>
          </cell>
        </row>
        <row r="1156">
          <cell r="G1156" t="str">
            <v>TS2CT</v>
          </cell>
          <cell r="H1156">
            <v>160</v>
          </cell>
        </row>
        <row r="1157">
          <cell r="G1157" t="str">
            <v>TS2CT</v>
          </cell>
          <cell r="H1157">
            <v>160</v>
          </cell>
        </row>
        <row r="1158">
          <cell r="G1158" t="str">
            <v>TS2CT</v>
          </cell>
          <cell r="H1158">
            <v>160</v>
          </cell>
        </row>
        <row r="1159">
          <cell r="G1159" t="str">
            <v>TS2UN</v>
          </cell>
          <cell r="H1159">
            <v>160</v>
          </cell>
        </row>
        <row r="1160">
          <cell r="G1160" t="str">
            <v>TS2UN</v>
          </cell>
          <cell r="H1160">
            <v>160</v>
          </cell>
        </row>
        <row r="1161">
          <cell r="G1161" t="str">
            <v>TS2UN</v>
          </cell>
          <cell r="H1161">
            <v>160</v>
          </cell>
        </row>
        <row r="1162">
          <cell r="G1162" t="str">
            <v>TS2UN</v>
          </cell>
          <cell r="H1162">
            <v>160</v>
          </cell>
        </row>
        <row r="1163">
          <cell r="G1163" t="str">
            <v>TS2UN</v>
          </cell>
          <cell r="H1163">
            <v>160</v>
          </cell>
        </row>
        <row r="1164">
          <cell r="G1164" t="str">
            <v>TS2UN</v>
          </cell>
          <cell r="H1164">
            <v>160</v>
          </cell>
        </row>
        <row r="1165">
          <cell r="G1165" t="str">
            <v>TS2UN</v>
          </cell>
          <cell r="H1165">
            <v>160</v>
          </cell>
        </row>
        <row r="1166">
          <cell r="G1166" t="str">
            <v>TS4UN</v>
          </cell>
          <cell r="H1166">
            <v>280</v>
          </cell>
        </row>
        <row r="1167">
          <cell r="G1167" t="str">
            <v>TS4UN</v>
          </cell>
          <cell r="H1167">
            <v>280</v>
          </cell>
        </row>
        <row r="1168">
          <cell r="G1168" t="str">
            <v>TS4UN</v>
          </cell>
          <cell r="H1168">
            <v>280</v>
          </cell>
        </row>
        <row r="1169">
          <cell r="G1169" t="str">
            <v>TS4UN</v>
          </cell>
          <cell r="H1169">
            <v>280</v>
          </cell>
        </row>
        <row r="1170">
          <cell r="G1170" t="str">
            <v>TS4UN</v>
          </cell>
          <cell r="H1170">
            <v>280</v>
          </cell>
        </row>
        <row r="1171">
          <cell r="G1171" t="str">
            <v>TS4UN</v>
          </cell>
          <cell r="H1171">
            <v>280</v>
          </cell>
        </row>
        <row r="1172">
          <cell r="G1172" t="str">
            <v>TS4UN</v>
          </cell>
          <cell r="H1172">
            <v>280</v>
          </cell>
        </row>
        <row r="1173">
          <cell r="G1173" t="str">
            <v>TS6UN</v>
          </cell>
          <cell r="H1173">
            <v>150</v>
          </cell>
        </row>
        <row r="1174">
          <cell r="G1174" t="str">
            <v>TS6UN</v>
          </cell>
          <cell r="H1174">
            <v>150</v>
          </cell>
        </row>
        <row r="1175">
          <cell r="G1175" t="str">
            <v>TS6UN</v>
          </cell>
          <cell r="H1175">
            <v>150</v>
          </cell>
        </row>
        <row r="1176">
          <cell r="G1176" t="str">
            <v>TS6UN</v>
          </cell>
          <cell r="H1176">
            <v>150</v>
          </cell>
        </row>
        <row r="1177">
          <cell r="G1177" t="str">
            <v>TS6UN</v>
          </cell>
          <cell r="H1177">
            <v>150</v>
          </cell>
        </row>
        <row r="1178">
          <cell r="G1178" t="str">
            <v>TSUN</v>
          </cell>
          <cell r="H1178">
            <v>110</v>
          </cell>
        </row>
        <row r="1179">
          <cell r="G1179" t="str">
            <v>TSUN</v>
          </cell>
          <cell r="H1179">
            <v>110</v>
          </cell>
        </row>
        <row r="1180">
          <cell r="G1180" t="str">
            <v>TSUN</v>
          </cell>
          <cell r="H1180">
            <v>110</v>
          </cell>
        </row>
        <row r="1181">
          <cell r="G1181" t="str">
            <v>TSUN</v>
          </cell>
          <cell r="H1181">
            <v>110</v>
          </cell>
        </row>
        <row r="1182">
          <cell r="G1182" t="str">
            <v>TSUN</v>
          </cell>
          <cell r="H1182">
            <v>110</v>
          </cell>
        </row>
        <row r="1183">
          <cell r="G1183" t="str">
            <v>TSUN</v>
          </cell>
          <cell r="H1183">
            <v>110</v>
          </cell>
        </row>
        <row r="1184">
          <cell r="G1184" t="str">
            <v>TSUN</v>
          </cell>
          <cell r="H1184">
            <v>110</v>
          </cell>
        </row>
        <row r="1185">
          <cell r="G1185" t="str">
            <v>TY2UN</v>
          </cell>
          <cell r="H1185">
            <v>160</v>
          </cell>
        </row>
        <row r="1186">
          <cell r="G1186" t="str">
            <v>TY2UN</v>
          </cell>
          <cell r="H1186">
            <v>160</v>
          </cell>
        </row>
        <row r="1187">
          <cell r="G1187" t="str">
            <v>TY2UN</v>
          </cell>
          <cell r="H1187">
            <v>160</v>
          </cell>
        </row>
        <row r="1188">
          <cell r="G1188" t="str">
            <v>TY2UN</v>
          </cell>
          <cell r="H1188">
            <v>160</v>
          </cell>
        </row>
        <row r="1189">
          <cell r="G1189" t="str">
            <v>TY2UN</v>
          </cell>
          <cell r="H1189">
            <v>160</v>
          </cell>
        </row>
        <row r="1190">
          <cell r="G1190" t="str">
            <v>TY2UN</v>
          </cell>
          <cell r="H1190">
            <v>160</v>
          </cell>
        </row>
        <row r="1191">
          <cell r="G1191" t="str">
            <v>TY2UN</v>
          </cell>
          <cell r="H1191">
            <v>160</v>
          </cell>
        </row>
        <row r="1192">
          <cell r="G1192" t="str">
            <v>TY2UN</v>
          </cell>
          <cell r="H1192">
            <v>160</v>
          </cell>
        </row>
        <row r="1193">
          <cell r="G1193" t="str">
            <v>TY2UN</v>
          </cell>
          <cell r="H1193">
            <v>160</v>
          </cell>
        </row>
        <row r="1194">
          <cell r="G1194" t="str">
            <v>TY3CT</v>
          </cell>
          <cell r="H1194">
            <v>200</v>
          </cell>
        </row>
        <row r="1195">
          <cell r="G1195" t="str">
            <v>TY3CT</v>
          </cell>
          <cell r="H1195">
            <v>200</v>
          </cell>
        </row>
        <row r="1196">
          <cell r="G1196" t="str">
            <v>TY3CT</v>
          </cell>
          <cell r="H1196">
            <v>200</v>
          </cell>
        </row>
        <row r="1197">
          <cell r="G1197" t="str">
            <v>TY3CT</v>
          </cell>
          <cell r="H1197">
            <v>200</v>
          </cell>
        </row>
        <row r="1198">
          <cell r="G1198" t="str">
            <v>TY3CT</v>
          </cell>
          <cell r="H1198">
            <v>200</v>
          </cell>
        </row>
        <row r="1199">
          <cell r="G1199" t="str">
            <v>TY3CT</v>
          </cell>
          <cell r="H1199">
            <v>200</v>
          </cell>
        </row>
        <row r="1200">
          <cell r="G1200" t="str">
            <v>TY3CT</v>
          </cell>
          <cell r="H1200">
            <v>200</v>
          </cell>
        </row>
        <row r="1201">
          <cell r="G1201" t="str">
            <v>TY3CT</v>
          </cell>
          <cell r="H1201">
            <v>200</v>
          </cell>
        </row>
        <row r="1202">
          <cell r="G1202" t="str">
            <v>TY3CT</v>
          </cell>
          <cell r="H1202">
            <v>200</v>
          </cell>
        </row>
        <row r="1203">
          <cell r="G1203" t="str">
            <v>TY4CM</v>
          </cell>
          <cell r="H1203">
            <v>160</v>
          </cell>
        </row>
        <row r="1204">
          <cell r="G1204" t="str">
            <v>TY4CM</v>
          </cell>
          <cell r="H1204">
            <v>160</v>
          </cell>
        </row>
        <row r="1205">
          <cell r="G1205" t="str">
            <v>TY4CM</v>
          </cell>
          <cell r="H1205">
            <v>160</v>
          </cell>
        </row>
        <row r="1206">
          <cell r="G1206" t="str">
            <v>TY4CM</v>
          </cell>
          <cell r="H1206">
            <v>160</v>
          </cell>
        </row>
        <row r="1207">
          <cell r="G1207" t="str">
            <v>TY4CM</v>
          </cell>
          <cell r="H1207">
            <v>160</v>
          </cell>
        </row>
        <row r="1208">
          <cell r="G1208" t="str">
            <v>TY5CM</v>
          </cell>
          <cell r="H1208">
            <v>160</v>
          </cell>
        </row>
        <row r="1209">
          <cell r="G1209" t="str">
            <v>TY5CM</v>
          </cell>
          <cell r="H1209">
            <v>160</v>
          </cell>
        </row>
        <row r="1210">
          <cell r="G1210" t="str">
            <v>TY5CM</v>
          </cell>
          <cell r="H1210">
            <v>160</v>
          </cell>
        </row>
        <row r="1211">
          <cell r="G1211" t="str">
            <v>TY5CM</v>
          </cell>
          <cell r="H1211">
            <v>160</v>
          </cell>
        </row>
        <row r="1212">
          <cell r="G1212" t="str">
            <v>TY5CM</v>
          </cell>
          <cell r="H1212">
            <v>160</v>
          </cell>
        </row>
        <row r="1213">
          <cell r="G1213" t="str">
            <v>TZ2CM</v>
          </cell>
          <cell r="H1213">
            <v>340</v>
          </cell>
        </row>
        <row r="1214">
          <cell r="G1214" t="str">
            <v>TZ2CM</v>
          </cell>
          <cell r="H1214">
            <v>340</v>
          </cell>
        </row>
        <row r="1215">
          <cell r="G1215" t="str">
            <v>TZ2CM</v>
          </cell>
          <cell r="H1215">
            <v>340</v>
          </cell>
        </row>
        <row r="1216">
          <cell r="G1216" t="str">
            <v>TZ2CM</v>
          </cell>
          <cell r="H1216">
            <v>340</v>
          </cell>
        </row>
        <row r="1217">
          <cell r="G1217" t="str">
            <v>TZ2CM</v>
          </cell>
          <cell r="H1217">
            <v>340</v>
          </cell>
        </row>
        <row r="1218">
          <cell r="G1218" t="str">
            <v>TZ2CM</v>
          </cell>
          <cell r="H1218">
            <v>340</v>
          </cell>
        </row>
        <row r="1219">
          <cell r="G1219" t="str">
            <v>TZ2CM</v>
          </cell>
          <cell r="H1219">
            <v>340</v>
          </cell>
        </row>
        <row r="1220">
          <cell r="G1220" t="str">
            <v>TZ2CM</v>
          </cell>
          <cell r="H1220">
            <v>340</v>
          </cell>
        </row>
        <row r="1221">
          <cell r="G1221" t="str">
            <v>TZ2CM</v>
          </cell>
          <cell r="H1221">
            <v>340</v>
          </cell>
        </row>
        <row r="1222">
          <cell r="G1222" t="str">
            <v>TZ2CM</v>
          </cell>
          <cell r="H1222">
            <v>340</v>
          </cell>
        </row>
        <row r="1223">
          <cell r="G1223" t="str">
            <v>WLMQ2CT</v>
          </cell>
          <cell r="H1223">
            <v>40</v>
          </cell>
        </row>
        <row r="1224">
          <cell r="G1224" t="str">
            <v>WLMQ2CT</v>
          </cell>
          <cell r="H1224">
            <v>40</v>
          </cell>
        </row>
        <row r="1225">
          <cell r="G1225" t="str">
            <v>WLMQ2CT</v>
          </cell>
          <cell r="H1225">
            <v>40</v>
          </cell>
        </row>
        <row r="1226">
          <cell r="G1226" t="str">
            <v>WLMQCT</v>
          </cell>
          <cell r="H1226">
            <v>20</v>
          </cell>
        </row>
        <row r="1227">
          <cell r="G1227" t="str">
            <v>WLMQCT</v>
          </cell>
          <cell r="H1227">
            <v>20</v>
          </cell>
        </row>
        <row r="1228">
          <cell r="G1228" t="str">
            <v>WLMQUN</v>
          </cell>
          <cell r="H1228">
            <v>40</v>
          </cell>
        </row>
        <row r="1229">
          <cell r="G1229" t="str">
            <v>WLMQUN</v>
          </cell>
          <cell r="H1229">
            <v>40</v>
          </cell>
        </row>
        <row r="1230">
          <cell r="G1230" t="str">
            <v>WX3CM</v>
          </cell>
          <cell r="H1230">
            <v>100</v>
          </cell>
        </row>
        <row r="1231">
          <cell r="G1231" t="str">
            <v>WX3CM</v>
          </cell>
          <cell r="H1231">
            <v>100</v>
          </cell>
        </row>
        <row r="1232">
          <cell r="G1232" t="str">
            <v>WX3CM</v>
          </cell>
          <cell r="H1232">
            <v>100</v>
          </cell>
        </row>
        <row r="1233">
          <cell r="G1233" t="str">
            <v>WXCM</v>
          </cell>
          <cell r="H1233">
            <v>240</v>
          </cell>
        </row>
        <row r="1234">
          <cell r="G1234" t="str">
            <v>WXCM</v>
          </cell>
          <cell r="H1234">
            <v>240</v>
          </cell>
        </row>
        <row r="1235">
          <cell r="G1235" t="str">
            <v>WXCM</v>
          </cell>
          <cell r="H1235">
            <v>240</v>
          </cell>
        </row>
        <row r="1236">
          <cell r="G1236" t="str">
            <v>WXCM</v>
          </cell>
          <cell r="H1236">
            <v>240</v>
          </cell>
        </row>
        <row r="1237">
          <cell r="G1237" t="str">
            <v>WXCM</v>
          </cell>
          <cell r="H1237">
            <v>240</v>
          </cell>
        </row>
        <row r="1238">
          <cell r="G1238" t="str">
            <v>WXCM</v>
          </cell>
          <cell r="H1238">
            <v>240</v>
          </cell>
        </row>
        <row r="1239">
          <cell r="G1239" t="str">
            <v>WXCM</v>
          </cell>
          <cell r="H1239">
            <v>240</v>
          </cell>
        </row>
        <row r="1240">
          <cell r="G1240" t="str">
            <v>WXCM</v>
          </cell>
          <cell r="H1240">
            <v>240</v>
          </cell>
        </row>
        <row r="1241">
          <cell r="G1241" t="str">
            <v>WZ2CM</v>
          </cell>
          <cell r="H1241">
            <v>300</v>
          </cell>
        </row>
        <row r="1242">
          <cell r="G1242" t="str">
            <v>WZ2CM</v>
          </cell>
          <cell r="H1242">
            <v>300</v>
          </cell>
        </row>
        <row r="1243">
          <cell r="G1243" t="str">
            <v>WZ2CM</v>
          </cell>
          <cell r="H1243">
            <v>300</v>
          </cell>
        </row>
        <row r="1244">
          <cell r="G1244" t="str">
            <v>WZ2CM</v>
          </cell>
          <cell r="H1244">
            <v>300</v>
          </cell>
        </row>
        <row r="1245">
          <cell r="G1245" t="str">
            <v>WZ2CM</v>
          </cell>
          <cell r="H1245">
            <v>300</v>
          </cell>
        </row>
        <row r="1246">
          <cell r="G1246" t="str">
            <v>WZ2CM</v>
          </cell>
          <cell r="H1246">
            <v>300</v>
          </cell>
        </row>
        <row r="1247">
          <cell r="G1247" t="str">
            <v>WZ2CM</v>
          </cell>
          <cell r="H1247">
            <v>300</v>
          </cell>
        </row>
        <row r="1248">
          <cell r="G1248" t="str">
            <v>WZ2CM</v>
          </cell>
          <cell r="H1248">
            <v>300</v>
          </cell>
        </row>
        <row r="1249">
          <cell r="G1249" t="str">
            <v>WZ2CM1H2F-D-18</v>
          </cell>
          <cell r="H1249" t="str">
            <v>WZ2CM1H2F-D-19</v>
          </cell>
        </row>
        <row r="1250">
          <cell r="G1250" t="str">
            <v>WZ2CT</v>
          </cell>
          <cell r="H1250">
            <v>240</v>
          </cell>
        </row>
        <row r="1251">
          <cell r="G1251" t="str">
            <v>WZ2CT</v>
          </cell>
          <cell r="H1251">
            <v>240</v>
          </cell>
        </row>
        <row r="1252">
          <cell r="G1252" t="str">
            <v>WZ2CT</v>
          </cell>
          <cell r="H1252">
            <v>240</v>
          </cell>
        </row>
        <row r="1253">
          <cell r="G1253" t="str">
            <v>WZ2CT</v>
          </cell>
          <cell r="H1253">
            <v>240</v>
          </cell>
        </row>
        <row r="1254">
          <cell r="G1254" t="str">
            <v>WZ2CT</v>
          </cell>
          <cell r="H1254">
            <v>240</v>
          </cell>
        </row>
        <row r="1255">
          <cell r="G1255" t="str">
            <v>WZ2CT</v>
          </cell>
          <cell r="H1255">
            <v>240</v>
          </cell>
        </row>
        <row r="1256">
          <cell r="G1256" t="str">
            <v>WZ2CT</v>
          </cell>
          <cell r="H1256">
            <v>240</v>
          </cell>
        </row>
        <row r="1257">
          <cell r="G1257" t="str">
            <v>WZ2CT</v>
          </cell>
          <cell r="H1257">
            <v>240</v>
          </cell>
        </row>
        <row r="1258">
          <cell r="G1258" t="str">
            <v>XA2CT</v>
          </cell>
          <cell r="H1258">
            <v>260</v>
          </cell>
        </row>
        <row r="1259">
          <cell r="G1259" t="str">
            <v>XA2CT</v>
          </cell>
          <cell r="H1259">
            <v>260</v>
          </cell>
        </row>
        <row r="1260">
          <cell r="G1260" t="str">
            <v>XA2CT</v>
          </cell>
          <cell r="H1260">
            <v>260</v>
          </cell>
        </row>
        <row r="1261">
          <cell r="G1261" t="str">
            <v>XA2CT</v>
          </cell>
          <cell r="H1261">
            <v>260</v>
          </cell>
        </row>
        <row r="1262">
          <cell r="G1262" t="str">
            <v>XA2CT</v>
          </cell>
          <cell r="H1262">
            <v>260</v>
          </cell>
        </row>
        <row r="1263">
          <cell r="G1263" t="str">
            <v>XA2CT</v>
          </cell>
          <cell r="H1263">
            <v>260</v>
          </cell>
        </row>
        <row r="1264">
          <cell r="G1264" t="str">
            <v>XA2CT</v>
          </cell>
          <cell r="H1264">
            <v>260</v>
          </cell>
        </row>
        <row r="1265">
          <cell r="G1265" t="str">
            <v>XA2CT</v>
          </cell>
          <cell r="H1265">
            <v>260</v>
          </cell>
        </row>
        <row r="1266">
          <cell r="G1266" t="str">
            <v>XA2CT</v>
          </cell>
          <cell r="H1266">
            <v>260</v>
          </cell>
        </row>
        <row r="1267">
          <cell r="G1267" t="str">
            <v>XA2CT</v>
          </cell>
          <cell r="H1267">
            <v>260</v>
          </cell>
        </row>
        <row r="1268">
          <cell r="G1268" t="str">
            <v>XA2CT</v>
          </cell>
          <cell r="H1268">
            <v>260</v>
          </cell>
        </row>
        <row r="1269">
          <cell r="G1269" t="str">
            <v>XA2CT</v>
          </cell>
          <cell r="H1269">
            <v>260</v>
          </cell>
        </row>
        <row r="1270">
          <cell r="G1270" t="str">
            <v>XA2CT</v>
          </cell>
          <cell r="H1270">
            <v>260</v>
          </cell>
        </row>
        <row r="1271">
          <cell r="G1271" t="str">
            <v>XA2CT</v>
          </cell>
          <cell r="H1271">
            <v>260</v>
          </cell>
        </row>
        <row r="1272">
          <cell r="G1272" t="str">
            <v>XA2CT</v>
          </cell>
          <cell r="H1272">
            <v>260</v>
          </cell>
        </row>
        <row r="1273">
          <cell r="G1273" t="str">
            <v>XA2UN</v>
          </cell>
          <cell r="H1273">
            <v>60</v>
          </cell>
        </row>
        <row r="1274">
          <cell r="G1274" t="str">
            <v>XA2UN</v>
          </cell>
          <cell r="H1274">
            <v>60</v>
          </cell>
        </row>
        <row r="1275">
          <cell r="G1275" t="str">
            <v>XA2UN</v>
          </cell>
          <cell r="H1275">
            <v>60</v>
          </cell>
        </row>
        <row r="1276">
          <cell r="G1276" t="str">
            <v>XA2UN</v>
          </cell>
          <cell r="H1276">
            <v>60</v>
          </cell>
        </row>
        <row r="1277">
          <cell r="G1277" t="str">
            <v>XA2UN</v>
          </cell>
          <cell r="H1277">
            <v>60</v>
          </cell>
        </row>
        <row r="1278">
          <cell r="G1278" t="str">
            <v>XA2UN</v>
          </cell>
          <cell r="H1278">
            <v>60</v>
          </cell>
        </row>
        <row r="1279">
          <cell r="G1279" t="str">
            <v>XA2UN</v>
          </cell>
          <cell r="H1279">
            <v>60</v>
          </cell>
        </row>
        <row r="1280">
          <cell r="G1280" t="str">
            <v>XA3CT</v>
          </cell>
          <cell r="H1280">
            <v>160</v>
          </cell>
        </row>
        <row r="1281">
          <cell r="G1281" t="str">
            <v>XA3CT</v>
          </cell>
          <cell r="H1281">
            <v>160</v>
          </cell>
        </row>
        <row r="1282">
          <cell r="G1282" t="str">
            <v>XA3CT</v>
          </cell>
          <cell r="H1282">
            <v>160</v>
          </cell>
        </row>
        <row r="1283">
          <cell r="G1283" t="str">
            <v>XA3CT</v>
          </cell>
          <cell r="H1283">
            <v>160</v>
          </cell>
        </row>
        <row r="1284">
          <cell r="G1284" t="str">
            <v>XA3CT</v>
          </cell>
          <cell r="H1284">
            <v>160</v>
          </cell>
        </row>
        <row r="1285">
          <cell r="G1285" t="str">
            <v>XA3CT</v>
          </cell>
          <cell r="H1285">
            <v>160</v>
          </cell>
        </row>
        <row r="1286">
          <cell r="G1286" t="str">
            <v>XA3CT</v>
          </cell>
          <cell r="H1286">
            <v>160</v>
          </cell>
        </row>
        <row r="1287">
          <cell r="G1287" t="str">
            <v>XA4CT</v>
          </cell>
          <cell r="H1287">
            <v>220</v>
          </cell>
        </row>
        <row r="1288">
          <cell r="G1288" t="str">
            <v>XA4CT</v>
          </cell>
          <cell r="H1288">
            <v>220</v>
          </cell>
        </row>
        <row r="1289">
          <cell r="G1289" t="str">
            <v>XA4CT</v>
          </cell>
          <cell r="H1289">
            <v>220</v>
          </cell>
        </row>
        <row r="1290">
          <cell r="G1290" t="str">
            <v>XA4CT</v>
          </cell>
          <cell r="H1290">
            <v>220</v>
          </cell>
        </row>
        <row r="1291">
          <cell r="G1291" t="str">
            <v>XA4CT</v>
          </cell>
          <cell r="H1291">
            <v>220</v>
          </cell>
        </row>
        <row r="1292">
          <cell r="G1292" t="str">
            <v>XACM</v>
          </cell>
          <cell r="H1292">
            <v>100</v>
          </cell>
        </row>
        <row r="1293">
          <cell r="G1293" t="str">
            <v>XACM</v>
          </cell>
          <cell r="H1293">
            <v>100</v>
          </cell>
        </row>
        <row r="1294">
          <cell r="G1294" t="str">
            <v>XACM</v>
          </cell>
          <cell r="H1294">
            <v>100</v>
          </cell>
        </row>
        <row r="1295">
          <cell r="G1295" t="str">
            <v>XACM</v>
          </cell>
          <cell r="H1295">
            <v>100</v>
          </cell>
        </row>
        <row r="1296">
          <cell r="G1296" t="str">
            <v>XACM</v>
          </cell>
          <cell r="H1296">
            <v>100</v>
          </cell>
        </row>
        <row r="1297">
          <cell r="G1297" t="str">
            <v>XACTCACHE</v>
          </cell>
          <cell r="H1297">
            <v>240</v>
          </cell>
        </row>
        <row r="1298">
          <cell r="G1298" t="str">
            <v>XACTCACHE</v>
          </cell>
          <cell r="H1298">
            <v>240</v>
          </cell>
        </row>
        <row r="1299">
          <cell r="G1299" t="str">
            <v>XACTCACHE</v>
          </cell>
          <cell r="H1299">
            <v>240</v>
          </cell>
        </row>
        <row r="1300">
          <cell r="G1300" t="str">
            <v>XACTCACHE</v>
          </cell>
          <cell r="H1300">
            <v>240</v>
          </cell>
        </row>
        <row r="1301">
          <cell r="G1301" t="str">
            <v>XACTCACHE</v>
          </cell>
          <cell r="H1301">
            <v>240</v>
          </cell>
        </row>
        <row r="1302">
          <cell r="G1302" t="str">
            <v>XACTCACHE</v>
          </cell>
          <cell r="H1302">
            <v>240</v>
          </cell>
        </row>
        <row r="1303">
          <cell r="G1303" t="str">
            <v>XACTCACHE</v>
          </cell>
          <cell r="H1303">
            <v>240</v>
          </cell>
        </row>
        <row r="1304">
          <cell r="G1304" t="str">
            <v>XAIX</v>
          </cell>
          <cell r="H1304">
            <v>700</v>
          </cell>
        </row>
        <row r="1305">
          <cell r="G1305" t="str">
            <v>XAIX</v>
          </cell>
          <cell r="H1305">
            <v>700</v>
          </cell>
        </row>
        <row r="1306">
          <cell r="G1306" t="str">
            <v>XAIX</v>
          </cell>
          <cell r="H1306">
            <v>700</v>
          </cell>
        </row>
        <row r="1307">
          <cell r="G1307" t="str">
            <v>XAIX</v>
          </cell>
          <cell r="H1307">
            <v>700</v>
          </cell>
        </row>
        <row r="1308">
          <cell r="G1308" t="str">
            <v>XAIX</v>
          </cell>
          <cell r="H1308">
            <v>700</v>
          </cell>
        </row>
        <row r="1309">
          <cell r="G1309" t="str">
            <v>XAIX</v>
          </cell>
          <cell r="H1309">
            <v>700</v>
          </cell>
        </row>
        <row r="1310">
          <cell r="G1310" t="str">
            <v>XAIX</v>
          </cell>
          <cell r="H1310">
            <v>700</v>
          </cell>
        </row>
        <row r="1311">
          <cell r="G1311" t="str">
            <v>XAIX</v>
          </cell>
          <cell r="H1311">
            <v>700</v>
          </cell>
        </row>
        <row r="1312">
          <cell r="G1312" t="str">
            <v>XAIX</v>
          </cell>
          <cell r="H1312">
            <v>700</v>
          </cell>
        </row>
        <row r="1313">
          <cell r="G1313" t="str">
            <v>XAIX</v>
          </cell>
          <cell r="H1313">
            <v>700</v>
          </cell>
        </row>
        <row r="1314">
          <cell r="G1314" t="str">
            <v>XAIX</v>
          </cell>
          <cell r="H1314">
            <v>700</v>
          </cell>
        </row>
        <row r="1315">
          <cell r="G1315" t="str">
            <v>XAIX</v>
          </cell>
          <cell r="H1315">
            <v>700</v>
          </cell>
        </row>
        <row r="1316">
          <cell r="G1316" t="str">
            <v>XAIX</v>
          </cell>
          <cell r="H1316">
            <v>700</v>
          </cell>
        </row>
        <row r="1317">
          <cell r="G1317" t="str">
            <v>XAIX</v>
          </cell>
          <cell r="H1317">
            <v>700</v>
          </cell>
        </row>
        <row r="1318">
          <cell r="G1318" t="str">
            <v>XAIX</v>
          </cell>
          <cell r="H1318">
            <v>700</v>
          </cell>
        </row>
        <row r="1319">
          <cell r="G1319" t="str">
            <v>XAIX</v>
          </cell>
          <cell r="H1319">
            <v>700</v>
          </cell>
        </row>
        <row r="1320">
          <cell r="G1320" t="str">
            <v>XAIX</v>
          </cell>
          <cell r="H1320">
            <v>700</v>
          </cell>
        </row>
        <row r="1321">
          <cell r="G1321" t="str">
            <v>XAIX</v>
          </cell>
          <cell r="H1321">
            <v>700</v>
          </cell>
        </row>
        <row r="1322">
          <cell r="G1322" t="str">
            <v>XAIX</v>
          </cell>
          <cell r="H1322">
            <v>700</v>
          </cell>
        </row>
        <row r="1323">
          <cell r="G1323" t="str">
            <v>XAIX</v>
          </cell>
          <cell r="H1323">
            <v>700</v>
          </cell>
        </row>
        <row r="1324">
          <cell r="G1324" t="str">
            <v>XAIX</v>
          </cell>
          <cell r="H1324">
            <v>700</v>
          </cell>
        </row>
        <row r="1325">
          <cell r="G1325" t="str">
            <v>XIANGTCM</v>
          </cell>
          <cell r="H1325">
            <v>320</v>
          </cell>
        </row>
        <row r="1326">
          <cell r="G1326" t="str">
            <v>XIANGTCM</v>
          </cell>
          <cell r="H1326">
            <v>320</v>
          </cell>
        </row>
        <row r="1327">
          <cell r="G1327" t="str">
            <v>XIANGTCM</v>
          </cell>
          <cell r="H1327">
            <v>320</v>
          </cell>
        </row>
        <row r="1328">
          <cell r="G1328" t="str">
            <v>XIANGTCM</v>
          </cell>
          <cell r="H1328">
            <v>320</v>
          </cell>
        </row>
        <row r="1329">
          <cell r="G1329" t="str">
            <v>XIANGTCM</v>
          </cell>
          <cell r="H1329">
            <v>320</v>
          </cell>
        </row>
        <row r="1330">
          <cell r="G1330" t="str">
            <v>XIANGTCM</v>
          </cell>
          <cell r="H1330">
            <v>320</v>
          </cell>
        </row>
        <row r="1331">
          <cell r="G1331" t="str">
            <v>XIANGTCM</v>
          </cell>
          <cell r="H1331">
            <v>320</v>
          </cell>
        </row>
        <row r="1332">
          <cell r="G1332" t="str">
            <v>XIANGTCM</v>
          </cell>
          <cell r="H1332">
            <v>320</v>
          </cell>
        </row>
        <row r="1333">
          <cell r="G1333" t="str">
            <v>XIANGTCM</v>
          </cell>
          <cell r="H1333">
            <v>320</v>
          </cell>
        </row>
        <row r="1334">
          <cell r="G1334" t="str">
            <v>XIANGTCM</v>
          </cell>
          <cell r="H1334">
            <v>320</v>
          </cell>
        </row>
        <row r="1335">
          <cell r="G1335" t="str">
            <v>XIANGTCM</v>
          </cell>
          <cell r="H1335">
            <v>320</v>
          </cell>
        </row>
        <row r="1336">
          <cell r="G1336" t="str">
            <v>XIANGTCM</v>
          </cell>
          <cell r="H1336">
            <v>320</v>
          </cell>
        </row>
        <row r="1337">
          <cell r="G1337" t="str">
            <v>XIANGY2CM</v>
          </cell>
          <cell r="H1337">
            <v>320</v>
          </cell>
        </row>
        <row r="1338">
          <cell r="G1338" t="str">
            <v>XIANGY2CM</v>
          </cell>
          <cell r="H1338">
            <v>320</v>
          </cell>
        </row>
        <row r="1339">
          <cell r="G1339" t="str">
            <v>XIANGY2CM</v>
          </cell>
          <cell r="H1339">
            <v>320</v>
          </cell>
        </row>
        <row r="1340">
          <cell r="G1340" t="str">
            <v>XIANGY2CM</v>
          </cell>
          <cell r="H1340">
            <v>320</v>
          </cell>
        </row>
        <row r="1341">
          <cell r="G1341" t="str">
            <v>XIANGY2CM</v>
          </cell>
          <cell r="H1341">
            <v>320</v>
          </cell>
        </row>
        <row r="1342">
          <cell r="G1342" t="str">
            <v>XIANGY2CM</v>
          </cell>
          <cell r="H1342">
            <v>320</v>
          </cell>
        </row>
        <row r="1343">
          <cell r="G1343" t="str">
            <v>XIANGY2CM</v>
          </cell>
          <cell r="H1343">
            <v>320</v>
          </cell>
        </row>
        <row r="1344">
          <cell r="G1344" t="str">
            <v>XIANGY2CM</v>
          </cell>
          <cell r="H1344">
            <v>320</v>
          </cell>
        </row>
        <row r="1345">
          <cell r="G1345" t="str">
            <v>XIANGY2CM</v>
          </cell>
          <cell r="H1345">
            <v>320</v>
          </cell>
        </row>
        <row r="1346">
          <cell r="G1346" t="str">
            <v>XIANGY2CM</v>
          </cell>
          <cell r="H1346">
            <v>320</v>
          </cell>
        </row>
        <row r="1347">
          <cell r="G1347" t="str">
            <v>XIANGY2CM</v>
          </cell>
          <cell r="H1347">
            <v>320</v>
          </cell>
        </row>
        <row r="1348">
          <cell r="G1348" t="str">
            <v>XIANGY2CT</v>
          </cell>
          <cell r="H1348">
            <v>160</v>
          </cell>
        </row>
        <row r="1349">
          <cell r="G1349" t="str">
            <v>XIANGY2CT</v>
          </cell>
          <cell r="H1349">
            <v>160</v>
          </cell>
        </row>
        <row r="1350">
          <cell r="G1350" t="str">
            <v>XIANGY2CT</v>
          </cell>
          <cell r="H1350">
            <v>160</v>
          </cell>
        </row>
        <row r="1351">
          <cell r="G1351" t="str">
            <v>XIANGY2CT</v>
          </cell>
          <cell r="H1351">
            <v>160</v>
          </cell>
        </row>
        <row r="1352">
          <cell r="G1352" t="str">
            <v>XIANGY2CT</v>
          </cell>
          <cell r="H1352">
            <v>160</v>
          </cell>
        </row>
        <row r="1353">
          <cell r="G1353" t="str">
            <v>XIANGY2CT</v>
          </cell>
          <cell r="H1353">
            <v>160</v>
          </cell>
        </row>
        <row r="1354">
          <cell r="G1354" t="str">
            <v>XIANGY2CT</v>
          </cell>
          <cell r="H1354">
            <v>160</v>
          </cell>
        </row>
        <row r="1355">
          <cell r="G1355" t="str">
            <v>XIANGYCTCACHE</v>
          </cell>
          <cell r="H1355">
            <v>160</v>
          </cell>
        </row>
        <row r="1356">
          <cell r="G1356" t="str">
            <v>XIANGYCTCACHE</v>
          </cell>
          <cell r="H1356">
            <v>160</v>
          </cell>
        </row>
        <row r="1357">
          <cell r="G1357" t="str">
            <v>XIANGYCTCACHE</v>
          </cell>
          <cell r="H1357">
            <v>160</v>
          </cell>
        </row>
        <row r="1358">
          <cell r="G1358" t="str">
            <v>XIANGYCTCACHE</v>
          </cell>
          <cell r="H1358">
            <v>160</v>
          </cell>
        </row>
        <row r="1359">
          <cell r="G1359" t="str">
            <v>XIANGYCTCACHE</v>
          </cell>
          <cell r="H1359">
            <v>160</v>
          </cell>
        </row>
        <row r="1360">
          <cell r="G1360" t="str">
            <v>XIANGYCTCACHE</v>
          </cell>
          <cell r="H1360">
            <v>160</v>
          </cell>
        </row>
        <row r="1361">
          <cell r="G1361" t="str">
            <v>XIANGYCTCACHE</v>
          </cell>
          <cell r="H1361">
            <v>160</v>
          </cell>
        </row>
        <row r="1362">
          <cell r="G1362" t="str">
            <v>XIANGYCTCACHE</v>
          </cell>
          <cell r="H1362">
            <v>160</v>
          </cell>
        </row>
        <row r="1363">
          <cell r="G1363" t="str">
            <v>XIANGYCTCACHE</v>
          </cell>
          <cell r="H1363">
            <v>160</v>
          </cell>
        </row>
        <row r="1364">
          <cell r="G1364" t="str">
            <v>XIANGYCTCACHE</v>
          </cell>
          <cell r="H1364">
            <v>160</v>
          </cell>
        </row>
        <row r="1365">
          <cell r="G1365" t="str">
            <v>XIANGYCTCACHE</v>
          </cell>
          <cell r="H1365">
            <v>160</v>
          </cell>
        </row>
        <row r="1366">
          <cell r="G1366" t="str">
            <v>XIANGYIX</v>
          </cell>
          <cell r="H1366">
            <v>320</v>
          </cell>
        </row>
        <row r="1367">
          <cell r="G1367" t="str">
            <v>XIANGYIX</v>
          </cell>
          <cell r="H1367">
            <v>320</v>
          </cell>
        </row>
        <row r="1368">
          <cell r="G1368" t="str">
            <v>XIANGYIX</v>
          </cell>
          <cell r="H1368">
            <v>320</v>
          </cell>
        </row>
        <row r="1369">
          <cell r="G1369" t="str">
            <v>XIANGYIX</v>
          </cell>
          <cell r="H1369">
            <v>320</v>
          </cell>
        </row>
        <row r="1370">
          <cell r="G1370" t="str">
            <v>XIANGYIX</v>
          </cell>
          <cell r="H1370">
            <v>320</v>
          </cell>
        </row>
        <row r="1371">
          <cell r="G1371" t="str">
            <v>XIANGYIX</v>
          </cell>
          <cell r="H1371">
            <v>320</v>
          </cell>
        </row>
        <row r="1372">
          <cell r="G1372" t="str">
            <v>XIANGYIX</v>
          </cell>
          <cell r="H1372">
            <v>320</v>
          </cell>
        </row>
        <row r="1373">
          <cell r="G1373" t="str">
            <v>XIANGYIX</v>
          </cell>
          <cell r="H1373">
            <v>320</v>
          </cell>
        </row>
        <row r="1374">
          <cell r="G1374" t="str">
            <v>XIANGYIX</v>
          </cell>
          <cell r="H1374">
            <v>320</v>
          </cell>
        </row>
        <row r="1375">
          <cell r="G1375" t="str">
            <v>XIANGYIX</v>
          </cell>
          <cell r="H1375">
            <v>320</v>
          </cell>
        </row>
        <row r="1376">
          <cell r="G1376" t="str">
            <v>XIANGYIX</v>
          </cell>
          <cell r="H1376">
            <v>320</v>
          </cell>
        </row>
        <row r="1377">
          <cell r="G1377" t="str">
            <v>XIANGYIX</v>
          </cell>
          <cell r="H1377">
            <v>320</v>
          </cell>
        </row>
        <row r="1378">
          <cell r="G1378" t="str">
            <v>XIANGYIX</v>
          </cell>
          <cell r="H1378">
            <v>320</v>
          </cell>
        </row>
        <row r="1379">
          <cell r="G1379" t="str">
            <v>XINYUN</v>
          </cell>
          <cell r="H1379">
            <v>160</v>
          </cell>
        </row>
        <row r="1380">
          <cell r="G1380" t="str">
            <v>XINYUN</v>
          </cell>
          <cell r="H1380">
            <v>160</v>
          </cell>
        </row>
        <row r="1381">
          <cell r="G1381" t="str">
            <v>XINYUN</v>
          </cell>
          <cell r="H1381">
            <v>160</v>
          </cell>
        </row>
        <row r="1382">
          <cell r="G1382" t="str">
            <v>XINYUN</v>
          </cell>
          <cell r="H1382">
            <v>160</v>
          </cell>
        </row>
        <row r="1383">
          <cell r="G1383" t="str">
            <v>XINYUN</v>
          </cell>
          <cell r="H1383">
            <v>160</v>
          </cell>
        </row>
        <row r="1384">
          <cell r="G1384" t="str">
            <v>XINYUN</v>
          </cell>
          <cell r="H1384">
            <v>160</v>
          </cell>
        </row>
        <row r="1385">
          <cell r="G1385" t="str">
            <v>XINYUN</v>
          </cell>
          <cell r="H1385">
            <v>160</v>
          </cell>
        </row>
        <row r="1386">
          <cell r="G1386" t="str">
            <v>XINYUN</v>
          </cell>
          <cell r="H1386">
            <v>160</v>
          </cell>
        </row>
        <row r="1387">
          <cell r="G1387" t="str">
            <v>XINYUN</v>
          </cell>
          <cell r="H1387">
            <v>160</v>
          </cell>
        </row>
        <row r="1388">
          <cell r="G1388" t="str">
            <v>XINYUN</v>
          </cell>
          <cell r="H1388">
            <v>160</v>
          </cell>
        </row>
        <row r="1389">
          <cell r="G1389" t="str">
            <v>XM2CT</v>
          </cell>
          <cell r="H1389">
            <v>120</v>
          </cell>
        </row>
        <row r="1390">
          <cell r="G1390" t="str">
            <v>XM2CT</v>
          </cell>
          <cell r="H1390">
            <v>120</v>
          </cell>
        </row>
        <row r="1391">
          <cell r="G1391" t="str">
            <v>XM2CT</v>
          </cell>
          <cell r="H1391">
            <v>120</v>
          </cell>
        </row>
        <row r="1392">
          <cell r="G1392" t="str">
            <v>XM2CT</v>
          </cell>
          <cell r="H1392">
            <v>120</v>
          </cell>
        </row>
        <row r="1393">
          <cell r="G1393" t="str">
            <v>XM2CT</v>
          </cell>
          <cell r="H1393">
            <v>120</v>
          </cell>
        </row>
        <row r="1394">
          <cell r="G1394" t="str">
            <v>XM2CT</v>
          </cell>
          <cell r="H1394">
            <v>120</v>
          </cell>
        </row>
        <row r="1395">
          <cell r="G1395" t="str">
            <v>XM2CT</v>
          </cell>
          <cell r="H1395">
            <v>120</v>
          </cell>
        </row>
        <row r="1396">
          <cell r="G1396" t="str">
            <v>XM2CT</v>
          </cell>
          <cell r="H1396">
            <v>120</v>
          </cell>
        </row>
        <row r="1397">
          <cell r="G1397" t="str">
            <v>XM2CT</v>
          </cell>
          <cell r="H1397">
            <v>120</v>
          </cell>
        </row>
        <row r="1398">
          <cell r="G1398" t="str">
            <v>XM2CT</v>
          </cell>
          <cell r="H1398">
            <v>120</v>
          </cell>
        </row>
        <row r="1399">
          <cell r="G1399" t="str">
            <v>XN2CT</v>
          </cell>
          <cell r="H1399">
            <v>120</v>
          </cell>
        </row>
        <row r="1400">
          <cell r="G1400" t="str">
            <v>XN2CT</v>
          </cell>
          <cell r="H1400">
            <v>120</v>
          </cell>
        </row>
        <row r="1401">
          <cell r="G1401" t="str">
            <v>XN2CT</v>
          </cell>
          <cell r="H1401">
            <v>120</v>
          </cell>
        </row>
        <row r="1402">
          <cell r="G1402" t="str">
            <v>XN2CT</v>
          </cell>
          <cell r="H1402">
            <v>120</v>
          </cell>
        </row>
        <row r="1403">
          <cell r="G1403" t="str">
            <v>XNCM</v>
          </cell>
          <cell r="H1403">
            <v>70</v>
          </cell>
        </row>
        <row r="1404">
          <cell r="G1404" t="str">
            <v>XNCM</v>
          </cell>
          <cell r="H1404">
            <v>70</v>
          </cell>
        </row>
        <row r="1405">
          <cell r="G1405" t="str">
            <v>XNCM</v>
          </cell>
          <cell r="H1405">
            <v>70</v>
          </cell>
        </row>
        <row r="1406">
          <cell r="G1406" t="str">
            <v>XNUN</v>
          </cell>
          <cell r="H1406">
            <v>20</v>
          </cell>
        </row>
        <row r="1407">
          <cell r="G1407" t="str">
            <v>XNUN</v>
          </cell>
          <cell r="H1407">
            <v>20</v>
          </cell>
        </row>
        <row r="1408">
          <cell r="G1408" t="str">
            <v>XTUN</v>
          </cell>
          <cell r="H1408">
            <v>160</v>
          </cell>
        </row>
        <row r="1409">
          <cell r="G1409" t="str">
            <v>XTUN</v>
          </cell>
          <cell r="H1409">
            <v>160</v>
          </cell>
        </row>
        <row r="1410">
          <cell r="G1410" t="str">
            <v>XTUN</v>
          </cell>
          <cell r="H1410">
            <v>160</v>
          </cell>
        </row>
        <row r="1411">
          <cell r="G1411" t="str">
            <v>XTUN</v>
          </cell>
          <cell r="H1411">
            <v>160</v>
          </cell>
        </row>
        <row r="1412">
          <cell r="G1412" t="str">
            <v>XTUN</v>
          </cell>
          <cell r="H1412">
            <v>160</v>
          </cell>
        </row>
        <row r="1413">
          <cell r="G1413" t="str">
            <v>XTUN</v>
          </cell>
          <cell r="H1413">
            <v>160</v>
          </cell>
        </row>
        <row r="1414">
          <cell r="G1414" t="str">
            <v>XTUN</v>
          </cell>
          <cell r="H1414">
            <v>160</v>
          </cell>
        </row>
        <row r="1415">
          <cell r="G1415" t="str">
            <v>XXUN</v>
          </cell>
          <cell r="H1415">
            <v>160</v>
          </cell>
        </row>
        <row r="1416">
          <cell r="G1416" t="str">
            <v>XXUN</v>
          </cell>
          <cell r="H1416">
            <v>160</v>
          </cell>
        </row>
        <row r="1417">
          <cell r="G1417" t="str">
            <v>XXUN</v>
          </cell>
          <cell r="H1417">
            <v>160</v>
          </cell>
        </row>
        <row r="1418">
          <cell r="G1418" t="str">
            <v>XXUN</v>
          </cell>
          <cell r="H1418">
            <v>160</v>
          </cell>
        </row>
        <row r="1419">
          <cell r="G1419" t="str">
            <v>XXUN</v>
          </cell>
          <cell r="H1419">
            <v>160</v>
          </cell>
        </row>
        <row r="1420">
          <cell r="G1420" t="str">
            <v>XXUN</v>
          </cell>
          <cell r="H1420">
            <v>160</v>
          </cell>
        </row>
        <row r="1421">
          <cell r="G1421" t="str">
            <v>XXUN</v>
          </cell>
          <cell r="H1421">
            <v>160</v>
          </cell>
        </row>
        <row r="1422">
          <cell r="G1422" t="str">
            <v>XY2CM</v>
          </cell>
          <cell r="H1422">
            <v>240</v>
          </cell>
        </row>
        <row r="1423">
          <cell r="G1423" t="str">
            <v>XY2CM</v>
          </cell>
          <cell r="H1423">
            <v>240</v>
          </cell>
        </row>
        <row r="1424">
          <cell r="G1424" t="str">
            <v>XY2CM</v>
          </cell>
          <cell r="H1424">
            <v>240</v>
          </cell>
        </row>
        <row r="1425">
          <cell r="G1425" t="str">
            <v>XY2CM</v>
          </cell>
          <cell r="H1425">
            <v>240</v>
          </cell>
        </row>
        <row r="1426">
          <cell r="G1426" t="str">
            <v>XY2CM</v>
          </cell>
          <cell r="H1426">
            <v>240</v>
          </cell>
        </row>
        <row r="1427">
          <cell r="G1427" t="str">
            <v>XY2CM</v>
          </cell>
          <cell r="H1427">
            <v>240</v>
          </cell>
        </row>
        <row r="1428">
          <cell r="G1428" t="str">
            <v>XY3CM</v>
          </cell>
          <cell r="H1428">
            <v>100</v>
          </cell>
        </row>
        <row r="1429">
          <cell r="G1429" t="str">
            <v>XY3CM</v>
          </cell>
          <cell r="H1429">
            <v>100</v>
          </cell>
        </row>
        <row r="1430">
          <cell r="G1430" t="str">
            <v>XYCM</v>
          </cell>
          <cell r="H1430">
            <v>120</v>
          </cell>
        </row>
        <row r="1431">
          <cell r="G1431" t="str">
            <v>XYCM</v>
          </cell>
          <cell r="H1431">
            <v>120</v>
          </cell>
        </row>
        <row r="1432">
          <cell r="G1432" t="str">
            <v>XYCM</v>
          </cell>
          <cell r="H1432">
            <v>120</v>
          </cell>
        </row>
        <row r="1433">
          <cell r="G1433" t="str">
            <v>XYCM</v>
          </cell>
          <cell r="H1433">
            <v>120</v>
          </cell>
        </row>
        <row r="1434">
          <cell r="G1434" t="str">
            <v>XYCM</v>
          </cell>
          <cell r="H1434">
            <v>120</v>
          </cell>
        </row>
        <row r="1435">
          <cell r="G1435" t="str">
            <v>XYCM</v>
          </cell>
          <cell r="H1435">
            <v>120</v>
          </cell>
        </row>
        <row r="1436">
          <cell r="G1436" t="str">
            <v>XZUNCACHE</v>
          </cell>
          <cell r="H1436">
            <v>240</v>
          </cell>
        </row>
        <row r="1437">
          <cell r="G1437" t="str">
            <v>XZUNCACHE</v>
          </cell>
          <cell r="H1437">
            <v>240</v>
          </cell>
        </row>
        <row r="1438">
          <cell r="G1438" t="str">
            <v>XZUNCACHE</v>
          </cell>
          <cell r="H1438">
            <v>240</v>
          </cell>
        </row>
        <row r="1439">
          <cell r="G1439" t="str">
            <v>XZUNCACHE</v>
          </cell>
          <cell r="H1439">
            <v>240</v>
          </cell>
        </row>
        <row r="1440">
          <cell r="G1440" t="str">
            <v>XZUNCACHE</v>
          </cell>
          <cell r="H1440">
            <v>240</v>
          </cell>
        </row>
        <row r="1441">
          <cell r="G1441" t="str">
            <v>XZUNCACHE</v>
          </cell>
          <cell r="H1441">
            <v>240</v>
          </cell>
        </row>
        <row r="1442">
          <cell r="G1442" t="str">
            <v>XZUNCACHE</v>
          </cell>
          <cell r="H1442">
            <v>240</v>
          </cell>
        </row>
        <row r="1443">
          <cell r="G1443" t="str">
            <v>XZUNCACHE</v>
          </cell>
          <cell r="H1443">
            <v>240</v>
          </cell>
        </row>
        <row r="1444">
          <cell r="G1444" t="str">
            <v>XZUNCACHE</v>
          </cell>
          <cell r="H1444">
            <v>240</v>
          </cell>
        </row>
        <row r="1445">
          <cell r="G1445" t="str">
            <v>XZUNCACHE</v>
          </cell>
          <cell r="H1445">
            <v>240</v>
          </cell>
        </row>
        <row r="1446">
          <cell r="G1446" t="str">
            <v>XZUNCACHE</v>
          </cell>
          <cell r="H1446">
            <v>240</v>
          </cell>
        </row>
        <row r="1447">
          <cell r="G1447" t="str">
            <v>YANCCM</v>
          </cell>
          <cell r="H1447">
            <v>240</v>
          </cell>
        </row>
        <row r="1448">
          <cell r="G1448" t="str">
            <v>YANCCM</v>
          </cell>
          <cell r="H1448">
            <v>240</v>
          </cell>
        </row>
        <row r="1449">
          <cell r="G1449" t="str">
            <v>YANCCM</v>
          </cell>
          <cell r="H1449">
            <v>240</v>
          </cell>
        </row>
        <row r="1450">
          <cell r="G1450" t="str">
            <v>YANCCM</v>
          </cell>
          <cell r="H1450">
            <v>240</v>
          </cell>
        </row>
        <row r="1451">
          <cell r="G1451" t="str">
            <v>YANCCM</v>
          </cell>
          <cell r="H1451">
            <v>240</v>
          </cell>
        </row>
        <row r="1452">
          <cell r="G1452" t="str">
            <v>YANCCM</v>
          </cell>
          <cell r="H1452">
            <v>240</v>
          </cell>
        </row>
        <row r="1453">
          <cell r="G1453" t="str">
            <v>YANCCM</v>
          </cell>
          <cell r="H1453">
            <v>240</v>
          </cell>
        </row>
        <row r="1454">
          <cell r="G1454" t="str">
            <v>YANGZ3CM</v>
          </cell>
          <cell r="H1454">
            <v>480</v>
          </cell>
        </row>
        <row r="1455">
          <cell r="G1455" t="str">
            <v>YANGZ3CM</v>
          </cell>
          <cell r="H1455">
            <v>480</v>
          </cell>
        </row>
        <row r="1456">
          <cell r="G1456" t="str">
            <v>YANGZ3CM</v>
          </cell>
          <cell r="H1456">
            <v>480</v>
          </cell>
        </row>
        <row r="1457">
          <cell r="G1457" t="str">
            <v>YANGZ3CM</v>
          </cell>
          <cell r="H1457">
            <v>480</v>
          </cell>
        </row>
        <row r="1458">
          <cell r="G1458" t="str">
            <v>YANGZ3CM</v>
          </cell>
          <cell r="H1458">
            <v>480</v>
          </cell>
        </row>
        <row r="1459">
          <cell r="G1459" t="str">
            <v>YANGZ3CM</v>
          </cell>
          <cell r="H1459">
            <v>480</v>
          </cell>
        </row>
        <row r="1460">
          <cell r="G1460" t="str">
            <v>YANGZ3CM</v>
          </cell>
          <cell r="H1460">
            <v>480</v>
          </cell>
        </row>
        <row r="1461">
          <cell r="G1461" t="str">
            <v>YANGZ3CM</v>
          </cell>
          <cell r="H1461">
            <v>480</v>
          </cell>
        </row>
        <row r="1462">
          <cell r="G1462" t="str">
            <v>YANGZ3CM</v>
          </cell>
          <cell r="H1462">
            <v>480</v>
          </cell>
        </row>
        <row r="1463">
          <cell r="G1463" t="str">
            <v>YANGZ3CM</v>
          </cell>
          <cell r="H1463">
            <v>480</v>
          </cell>
        </row>
        <row r="1464">
          <cell r="G1464" t="str">
            <v>YANGZ3CM</v>
          </cell>
          <cell r="H1464">
            <v>480</v>
          </cell>
        </row>
        <row r="1465">
          <cell r="G1465" t="str">
            <v>YANGZ3CM</v>
          </cell>
          <cell r="H1465">
            <v>480</v>
          </cell>
        </row>
        <row r="1466">
          <cell r="G1466" t="str">
            <v>YANGZ3CM</v>
          </cell>
          <cell r="H1466">
            <v>480</v>
          </cell>
        </row>
        <row r="1467">
          <cell r="G1467" t="str">
            <v>YANGZ3CM</v>
          </cell>
          <cell r="H1467">
            <v>480</v>
          </cell>
        </row>
        <row r="1468">
          <cell r="G1468" t="str">
            <v>YANGZCM</v>
          </cell>
          <cell r="H1468">
            <v>80</v>
          </cell>
        </row>
        <row r="1469">
          <cell r="G1469" t="str">
            <v>YANGZCM</v>
          </cell>
          <cell r="H1469">
            <v>80</v>
          </cell>
        </row>
        <row r="1470">
          <cell r="G1470" t="str">
            <v>YANGZCM</v>
          </cell>
          <cell r="H1470">
            <v>80</v>
          </cell>
        </row>
        <row r="1471">
          <cell r="G1471" t="str">
            <v>YANGZCM</v>
          </cell>
          <cell r="H1471">
            <v>80</v>
          </cell>
        </row>
        <row r="1472">
          <cell r="G1472" t="str">
            <v>YANGZCM</v>
          </cell>
          <cell r="H1472">
            <v>80</v>
          </cell>
        </row>
        <row r="1473">
          <cell r="G1473" t="str">
            <v>YANGZCMCACHE</v>
          </cell>
          <cell r="H1473">
            <v>200</v>
          </cell>
        </row>
        <row r="1474">
          <cell r="G1474" t="str">
            <v>YANGZCMCACHE</v>
          </cell>
          <cell r="H1474">
            <v>200</v>
          </cell>
        </row>
        <row r="1475">
          <cell r="G1475" t="str">
            <v>YANGZCMCACHE</v>
          </cell>
          <cell r="H1475">
            <v>200</v>
          </cell>
        </row>
        <row r="1476">
          <cell r="G1476" t="str">
            <v>YANGZCMCACHE</v>
          </cell>
          <cell r="H1476">
            <v>200</v>
          </cell>
        </row>
        <row r="1477">
          <cell r="G1477" t="str">
            <v>YANGZCMCACHE</v>
          </cell>
          <cell r="H1477">
            <v>200</v>
          </cell>
        </row>
        <row r="1478">
          <cell r="G1478" t="str">
            <v>YANGZCMCACHE</v>
          </cell>
          <cell r="H1478">
            <v>200</v>
          </cell>
        </row>
        <row r="1479">
          <cell r="G1479" t="str">
            <v>YCCT</v>
          </cell>
          <cell r="H1479">
            <v>40</v>
          </cell>
        </row>
        <row r="1480">
          <cell r="G1480" t="str">
            <v>YCCT</v>
          </cell>
          <cell r="H1480">
            <v>40</v>
          </cell>
        </row>
        <row r="1481">
          <cell r="G1481" t="str">
            <v>YJCT</v>
          </cell>
          <cell r="H1481">
            <v>200</v>
          </cell>
        </row>
        <row r="1482">
          <cell r="G1482" t="str">
            <v>YJCT</v>
          </cell>
          <cell r="H1482">
            <v>200</v>
          </cell>
        </row>
        <row r="1483">
          <cell r="G1483" t="str">
            <v>YJCT</v>
          </cell>
          <cell r="H1483">
            <v>200</v>
          </cell>
        </row>
        <row r="1484">
          <cell r="G1484" t="str">
            <v>YJCT</v>
          </cell>
          <cell r="H1484">
            <v>200</v>
          </cell>
        </row>
        <row r="1485">
          <cell r="G1485" t="str">
            <v>YJCT</v>
          </cell>
          <cell r="H1485">
            <v>200</v>
          </cell>
        </row>
        <row r="1486">
          <cell r="G1486" t="str">
            <v>YJCT</v>
          </cell>
          <cell r="H1486">
            <v>200</v>
          </cell>
        </row>
        <row r="1487">
          <cell r="G1487" t="str">
            <v>YJCT</v>
          </cell>
          <cell r="H1487">
            <v>200</v>
          </cell>
        </row>
        <row r="1488">
          <cell r="G1488" t="str">
            <v>YJCT</v>
          </cell>
          <cell r="H1488">
            <v>200</v>
          </cell>
        </row>
        <row r="1489">
          <cell r="G1489" t="str">
            <v>YTUN</v>
          </cell>
          <cell r="H1489">
            <v>160</v>
          </cell>
        </row>
        <row r="1490">
          <cell r="G1490" t="str">
            <v>YTUN</v>
          </cell>
          <cell r="H1490">
            <v>160</v>
          </cell>
        </row>
        <row r="1491">
          <cell r="G1491" t="str">
            <v>YTUN</v>
          </cell>
          <cell r="H1491">
            <v>160</v>
          </cell>
        </row>
        <row r="1492">
          <cell r="G1492" t="str">
            <v>YTUN</v>
          </cell>
          <cell r="H1492">
            <v>160</v>
          </cell>
        </row>
        <row r="1493">
          <cell r="G1493" t="str">
            <v>YTUN</v>
          </cell>
          <cell r="H1493">
            <v>160</v>
          </cell>
        </row>
        <row r="1494">
          <cell r="G1494" t="str">
            <v>YTUN</v>
          </cell>
          <cell r="H1494">
            <v>160</v>
          </cell>
        </row>
        <row r="1495">
          <cell r="G1495" t="str">
            <v>YY2CT</v>
          </cell>
          <cell r="H1495">
            <v>180</v>
          </cell>
        </row>
        <row r="1496">
          <cell r="G1496" t="str">
            <v>YY2CT</v>
          </cell>
          <cell r="H1496">
            <v>180</v>
          </cell>
        </row>
        <row r="1497">
          <cell r="G1497" t="str">
            <v>YY2CT</v>
          </cell>
          <cell r="H1497">
            <v>180</v>
          </cell>
        </row>
        <row r="1498">
          <cell r="G1498" t="str">
            <v>YY2CT</v>
          </cell>
          <cell r="H1498">
            <v>180</v>
          </cell>
        </row>
        <row r="1499">
          <cell r="G1499" t="str">
            <v>YY2CT</v>
          </cell>
          <cell r="H1499">
            <v>180</v>
          </cell>
        </row>
        <row r="1500">
          <cell r="G1500" t="str">
            <v>YY2CT</v>
          </cell>
          <cell r="H1500">
            <v>180</v>
          </cell>
        </row>
        <row r="1501">
          <cell r="G1501" t="str">
            <v>YY2CT</v>
          </cell>
          <cell r="H1501">
            <v>180</v>
          </cell>
        </row>
        <row r="1502">
          <cell r="G1502" t="str">
            <v>YY2CT</v>
          </cell>
          <cell r="H1502">
            <v>180</v>
          </cell>
        </row>
        <row r="1503">
          <cell r="G1503" t="str">
            <v>YY2CT</v>
          </cell>
          <cell r="H1503">
            <v>180</v>
          </cell>
        </row>
        <row r="1504">
          <cell r="G1504" t="str">
            <v>YY2CT</v>
          </cell>
          <cell r="H1504">
            <v>180</v>
          </cell>
        </row>
        <row r="1505">
          <cell r="G1505" t="str">
            <v>YY2CT</v>
          </cell>
          <cell r="H1505">
            <v>180</v>
          </cell>
        </row>
        <row r="1506">
          <cell r="G1506" t="str">
            <v>YYCM</v>
          </cell>
          <cell r="H1506">
            <v>320</v>
          </cell>
        </row>
        <row r="1507">
          <cell r="G1507" t="str">
            <v>YYCM</v>
          </cell>
          <cell r="H1507">
            <v>320</v>
          </cell>
        </row>
        <row r="1508">
          <cell r="G1508" t="str">
            <v>YYCM</v>
          </cell>
          <cell r="H1508">
            <v>320</v>
          </cell>
        </row>
        <row r="1509">
          <cell r="G1509" t="str">
            <v>YYCM</v>
          </cell>
          <cell r="H1509">
            <v>320</v>
          </cell>
        </row>
        <row r="1510">
          <cell r="G1510" t="str">
            <v>YYCM</v>
          </cell>
          <cell r="H1510">
            <v>320</v>
          </cell>
        </row>
        <row r="1511">
          <cell r="G1511" t="str">
            <v>YYCM</v>
          </cell>
          <cell r="H1511">
            <v>320</v>
          </cell>
        </row>
        <row r="1512">
          <cell r="G1512" t="str">
            <v>ZAOZCM</v>
          </cell>
          <cell r="H1512">
            <v>200</v>
          </cell>
        </row>
        <row r="1513">
          <cell r="G1513" t="str">
            <v>ZAOZCM</v>
          </cell>
          <cell r="H1513">
            <v>200</v>
          </cell>
        </row>
        <row r="1514">
          <cell r="G1514" t="str">
            <v>ZAOZCM</v>
          </cell>
          <cell r="H1514">
            <v>200</v>
          </cell>
        </row>
        <row r="1515">
          <cell r="G1515" t="str">
            <v>ZAOZCM</v>
          </cell>
          <cell r="H1515">
            <v>200</v>
          </cell>
        </row>
        <row r="1516">
          <cell r="G1516" t="str">
            <v>ZAOZCM</v>
          </cell>
          <cell r="H1516">
            <v>200</v>
          </cell>
        </row>
        <row r="1517">
          <cell r="G1517" t="str">
            <v>山东</v>
          </cell>
          <cell r="H1517" t="str">
            <v>cmnet</v>
          </cell>
        </row>
        <row r="1518">
          <cell r="G1518" t="str">
            <v>ZHUZUNCACHE</v>
          </cell>
          <cell r="H1518">
            <v>160</v>
          </cell>
        </row>
        <row r="1519">
          <cell r="G1519" t="str">
            <v>ZHUZUNCACHE</v>
          </cell>
          <cell r="H1519">
            <v>160</v>
          </cell>
        </row>
        <row r="1520">
          <cell r="G1520" t="str">
            <v>ZHUZUNCACHE</v>
          </cell>
          <cell r="H1520">
            <v>160</v>
          </cell>
        </row>
        <row r="1521">
          <cell r="G1521" t="str">
            <v>ZHUZUNCACHE</v>
          </cell>
          <cell r="H1521">
            <v>160</v>
          </cell>
        </row>
        <row r="1522">
          <cell r="G1522" t="str">
            <v>ZHUZUNCACHE</v>
          </cell>
          <cell r="H1522">
            <v>160</v>
          </cell>
        </row>
        <row r="1523">
          <cell r="G1523" t="str">
            <v>ZHUZUNCACHE</v>
          </cell>
          <cell r="H1523">
            <v>160</v>
          </cell>
        </row>
        <row r="1524">
          <cell r="G1524" t="str">
            <v>ZHUZUNCACHE</v>
          </cell>
          <cell r="H1524">
            <v>160</v>
          </cell>
        </row>
        <row r="1525">
          <cell r="G1525" t="str">
            <v>ZHUZUNCACHE</v>
          </cell>
          <cell r="H1525">
            <v>160</v>
          </cell>
        </row>
        <row r="1526">
          <cell r="G1526" t="str">
            <v>ZHUZUNCACHE</v>
          </cell>
          <cell r="H1526">
            <v>160</v>
          </cell>
        </row>
        <row r="1527">
          <cell r="G1527" t="str">
            <v>ZHUZUNCACHE</v>
          </cell>
          <cell r="H1527">
            <v>160</v>
          </cell>
        </row>
        <row r="1528">
          <cell r="G1528" t="str">
            <v>ZHUZUNCACHE</v>
          </cell>
          <cell r="H1528">
            <v>160</v>
          </cell>
        </row>
        <row r="1529">
          <cell r="G1529" t="str">
            <v>ZHUZUNCACHE</v>
          </cell>
          <cell r="H1529">
            <v>160</v>
          </cell>
        </row>
        <row r="1530">
          <cell r="G1530" t="str">
            <v>ZHUZUNCACHE</v>
          </cell>
          <cell r="H1530">
            <v>160</v>
          </cell>
        </row>
        <row r="1531">
          <cell r="G1531" t="str">
            <v>ZHUZUNCACHE</v>
          </cell>
          <cell r="H1531">
            <v>160</v>
          </cell>
        </row>
        <row r="1532">
          <cell r="G1532" t="str">
            <v>ZHUZUNCACHE</v>
          </cell>
          <cell r="H1532">
            <v>160</v>
          </cell>
        </row>
        <row r="1533">
          <cell r="G1533" t="str">
            <v>ZHUZUNCACHE</v>
          </cell>
          <cell r="H1533">
            <v>160</v>
          </cell>
        </row>
        <row r="1534">
          <cell r="G1534" t="str">
            <v>ZHUZUNCACHE</v>
          </cell>
          <cell r="H1534">
            <v>160</v>
          </cell>
        </row>
        <row r="1535">
          <cell r="G1535" t="str">
            <v>ZHUZUNCACHE</v>
          </cell>
          <cell r="H1535">
            <v>160</v>
          </cell>
        </row>
        <row r="1536">
          <cell r="G1536" t="str">
            <v>ZHUZUNCACHE</v>
          </cell>
          <cell r="H1536">
            <v>160</v>
          </cell>
        </row>
        <row r="1537">
          <cell r="G1537" t="str">
            <v>ZHUZUNCACHE</v>
          </cell>
          <cell r="H1537">
            <v>160</v>
          </cell>
        </row>
        <row r="1538">
          <cell r="G1538" t="str">
            <v>ZJCM</v>
          </cell>
          <cell r="H1538">
            <v>80</v>
          </cell>
        </row>
        <row r="1539">
          <cell r="G1539" t="str">
            <v>ZJCM</v>
          </cell>
          <cell r="H1539">
            <v>80</v>
          </cell>
        </row>
        <row r="1540">
          <cell r="G1540" t="str">
            <v>ZJCM</v>
          </cell>
          <cell r="H1540">
            <v>80</v>
          </cell>
        </row>
        <row r="1541">
          <cell r="G1541" t="str">
            <v>ZJCM</v>
          </cell>
          <cell r="H1541">
            <v>80</v>
          </cell>
        </row>
        <row r="1542">
          <cell r="G1542" t="str">
            <v>ZJCM</v>
          </cell>
          <cell r="H1542">
            <v>80</v>
          </cell>
        </row>
        <row r="1543">
          <cell r="G1543" t="str">
            <v>ZJKCM</v>
          </cell>
          <cell r="H1543">
            <v>200</v>
          </cell>
        </row>
        <row r="1544">
          <cell r="G1544" t="str">
            <v>ZJKCM</v>
          </cell>
          <cell r="H1544">
            <v>200</v>
          </cell>
        </row>
        <row r="1545">
          <cell r="G1545" t="str">
            <v>ZJKCM</v>
          </cell>
          <cell r="H1545">
            <v>200</v>
          </cell>
        </row>
        <row r="1546">
          <cell r="G1546" t="str">
            <v>ZJKCM</v>
          </cell>
          <cell r="H1546">
            <v>200</v>
          </cell>
        </row>
        <row r="1547">
          <cell r="G1547" t="str">
            <v>ZJKCM</v>
          </cell>
          <cell r="H1547">
            <v>200</v>
          </cell>
        </row>
        <row r="1548">
          <cell r="G1548" t="str">
            <v>ZJKCM</v>
          </cell>
          <cell r="H1548">
            <v>200</v>
          </cell>
        </row>
        <row r="1549">
          <cell r="G1549" t="str">
            <v>ZJKCM</v>
          </cell>
          <cell r="H1549">
            <v>200</v>
          </cell>
        </row>
        <row r="1550">
          <cell r="G1550" t="str">
            <v>ZKUN</v>
          </cell>
          <cell r="H1550">
            <v>160</v>
          </cell>
        </row>
        <row r="1551">
          <cell r="G1551" t="str">
            <v>ZKUN</v>
          </cell>
          <cell r="H1551">
            <v>160</v>
          </cell>
        </row>
        <row r="1552">
          <cell r="G1552" t="str">
            <v>ZKUN</v>
          </cell>
          <cell r="H1552">
            <v>160</v>
          </cell>
        </row>
        <row r="1553">
          <cell r="G1553" t="str">
            <v>ZKUN</v>
          </cell>
          <cell r="H1553">
            <v>160</v>
          </cell>
        </row>
        <row r="1554">
          <cell r="G1554" t="str">
            <v>ZKUN</v>
          </cell>
          <cell r="H1554">
            <v>160</v>
          </cell>
        </row>
        <row r="1555">
          <cell r="G1555" t="str">
            <v>ZKUN</v>
          </cell>
          <cell r="H1555">
            <v>160</v>
          </cell>
        </row>
        <row r="1556">
          <cell r="G1556" t="str">
            <v>ZKUN</v>
          </cell>
          <cell r="H1556">
            <v>160</v>
          </cell>
        </row>
        <row r="1557">
          <cell r="G1557" t="str">
            <v>ZKUN</v>
          </cell>
          <cell r="H1557">
            <v>160</v>
          </cell>
        </row>
        <row r="1558">
          <cell r="G1558" t="str">
            <v>ZW2CT</v>
          </cell>
          <cell r="H1558">
            <v>40</v>
          </cell>
        </row>
        <row r="1559">
          <cell r="G1559" t="str">
            <v>ZW2CT</v>
          </cell>
          <cell r="H1559">
            <v>40</v>
          </cell>
        </row>
        <row r="1560">
          <cell r="G1560" t="str">
            <v>ZW3CM</v>
          </cell>
          <cell r="H1560">
            <v>160</v>
          </cell>
        </row>
        <row r="1561">
          <cell r="G1561" t="str">
            <v>ZW3CM</v>
          </cell>
          <cell r="H1561">
            <v>160</v>
          </cell>
        </row>
        <row r="1562">
          <cell r="G1562" t="str">
            <v>ZW3CM</v>
          </cell>
          <cell r="H1562">
            <v>160</v>
          </cell>
        </row>
        <row r="1563">
          <cell r="G1563" t="str">
            <v>ZW3CM</v>
          </cell>
          <cell r="H1563">
            <v>160</v>
          </cell>
        </row>
        <row r="1564">
          <cell r="G1564" t="str">
            <v>ZW3CM</v>
          </cell>
          <cell r="H1564">
            <v>160</v>
          </cell>
        </row>
        <row r="1565">
          <cell r="G1565" t="str">
            <v>ZW3CM</v>
          </cell>
          <cell r="H1565">
            <v>160</v>
          </cell>
        </row>
        <row r="1566">
          <cell r="G1566" t="str">
            <v>ZWCT</v>
          </cell>
          <cell r="H1566">
            <v>40</v>
          </cell>
        </row>
        <row r="1567">
          <cell r="G1567" t="str">
            <v>ZWCT</v>
          </cell>
          <cell r="H1567">
            <v>40</v>
          </cell>
        </row>
        <row r="1568">
          <cell r="G1568" t="str">
            <v>ZWUN</v>
          </cell>
          <cell r="H1568">
            <v>40</v>
          </cell>
        </row>
        <row r="1569">
          <cell r="G1569" t="str">
            <v>ZWUN</v>
          </cell>
          <cell r="H1569">
            <v>40</v>
          </cell>
        </row>
        <row r="1570">
          <cell r="G1570" t="str">
            <v>ZZ2CM</v>
          </cell>
          <cell r="H1570">
            <v>120</v>
          </cell>
        </row>
        <row r="1571">
          <cell r="G1571" t="str">
            <v>ZZ2CM</v>
          </cell>
          <cell r="H1571">
            <v>120</v>
          </cell>
        </row>
        <row r="1572">
          <cell r="G1572" t="str">
            <v>ZZ2CM</v>
          </cell>
          <cell r="H1572">
            <v>120</v>
          </cell>
        </row>
        <row r="1573">
          <cell r="G1573" t="str">
            <v>ZZ2CM</v>
          </cell>
          <cell r="H1573">
            <v>120</v>
          </cell>
        </row>
        <row r="1574">
          <cell r="G1574" t="str">
            <v>ZZ2CM</v>
          </cell>
          <cell r="H1574">
            <v>120</v>
          </cell>
        </row>
        <row r="1575">
          <cell r="G1575" t="str">
            <v>ZZ2CM</v>
          </cell>
          <cell r="H1575">
            <v>120</v>
          </cell>
        </row>
        <row r="1576">
          <cell r="G1576" t="str">
            <v>ZZ2UN</v>
          </cell>
          <cell r="H1576">
            <v>160</v>
          </cell>
        </row>
        <row r="1577">
          <cell r="G1577" t="str">
            <v>ZZ2UN</v>
          </cell>
          <cell r="H1577">
            <v>160</v>
          </cell>
        </row>
        <row r="1578">
          <cell r="G1578" t="str">
            <v>ZZ2UN</v>
          </cell>
          <cell r="H1578">
            <v>160</v>
          </cell>
        </row>
        <row r="1579">
          <cell r="G1579" t="str">
            <v>ZZ2UN</v>
          </cell>
          <cell r="H1579">
            <v>160</v>
          </cell>
        </row>
        <row r="1580">
          <cell r="G1580" t="str">
            <v>ZZ2UN</v>
          </cell>
          <cell r="H1580">
            <v>160</v>
          </cell>
        </row>
        <row r="1581">
          <cell r="G1581" t="str">
            <v>ZZ2UN</v>
          </cell>
          <cell r="H1581">
            <v>160</v>
          </cell>
        </row>
        <row r="1582">
          <cell r="G1582" t="str">
            <v>ZZ2UN</v>
          </cell>
          <cell r="H1582">
            <v>160</v>
          </cell>
        </row>
        <row r="1583">
          <cell r="G1583" t="str">
            <v>ZZ2UN</v>
          </cell>
          <cell r="H1583">
            <v>160</v>
          </cell>
        </row>
        <row r="1584">
          <cell r="G1584" t="str">
            <v>ZZ2UN</v>
          </cell>
          <cell r="H1584">
            <v>160</v>
          </cell>
        </row>
        <row r="1585">
          <cell r="G1585" t="str">
            <v>ZZ2UN</v>
          </cell>
          <cell r="H1585">
            <v>160</v>
          </cell>
        </row>
        <row r="1586">
          <cell r="G1586" t="str">
            <v>ZZ3UN</v>
          </cell>
          <cell r="H1586">
            <v>120</v>
          </cell>
        </row>
        <row r="1587">
          <cell r="G1587" t="str">
            <v>ZZ3UN</v>
          </cell>
          <cell r="H1587">
            <v>120</v>
          </cell>
        </row>
        <row r="1588">
          <cell r="G1588" t="str">
            <v>ZZ3UN</v>
          </cell>
          <cell r="H1588">
            <v>120</v>
          </cell>
        </row>
        <row r="1589">
          <cell r="G1589" t="str">
            <v>ZZ4CM</v>
          </cell>
          <cell r="H1589">
            <v>300</v>
          </cell>
        </row>
        <row r="1590">
          <cell r="G1590" t="str">
            <v>ZZ4CM</v>
          </cell>
          <cell r="H1590">
            <v>300</v>
          </cell>
        </row>
        <row r="1591">
          <cell r="G1591" t="str">
            <v>ZZ4CM</v>
          </cell>
          <cell r="H1591">
            <v>300</v>
          </cell>
        </row>
        <row r="1592">
          <cell r="G1592" t="str">
            <v>ZZ4CM</v>
          </cell>
          <cell r="H1592">
            <v>300</v>
          </cell>
        </row>
        <row r="1593">
          <cell r="G1593" t="str">
            <v>ZZ4CM</v>
          </cell>
          <cell r="H1593">
            <v>300</v>
          </cell>
        </row>
        <row r="1594">
          <cell r="G1594" t="str">
            <v>ZZ4CM</v>
          </cell>
          <cell r="H1594">
            <v>300</v>
          </cell>
        </row>
        <row r="1595">
          <cell r="G1595" t="str">
            <v>ZZ4CM</v>
          </cell>
          <cell r="H1595">
            <v>300</v>
          </cell>
        </row>
        <row r="1596">
          <cell r="G1596" t="str">
            <v>ZZ4CM</v>
          </cell>
          <cell r="H1596">
            <v>300</v>
          </cell>
        </row>
        <row r="1597">
          <cell r="G1597" t="str">
            <v>ZZ4CM</v>
          </cell>
          <cell r="H1597">
            <v>300</v>
          </cell>
        </row>
        <row r="1598">
          <cell r="G1598" t="str">
            <v>ZZ4CT</v>
          </cell>
          <cell r="H1598">
            <v>100</v>
          </cell>
        </row>
        <row r="1599">
          <cell r="G1599" t="str">
            <v>ZZ4CT</v>
          </cell>
          <cell r="H1599">
            <v>100</v>
          </cell>
        </row>
        <row r="1600">
          <cell r="G1600" t="str">
            <v>ZZ4CT</v>
          </cell>
          <cell r="H1600">
            <v>100</v>
          </cell>
        </row>
        <row r="1601">
          <cell r="G1601" t="str">
            <v>ZZ4UN</v>
          </cell>
          <cell r="H1601">
            <v>160</v>
          </cell>
        </row>
        <row r="1602">
          <cell r="G1602" t="str">
            <v>ZZ4UN</v>
          </cell>
          <cell r="H1602">
            <v>160</v>
          </cell>
        </row>
        <row r="1603">
          <cell r="G1603" t="str">
            <v>ZZ4UN</v>
          </cell>
          <cell r="H1603">
            <v>160</v>
          </cell>
        </row>
        <row r="1604">
          <cell r="G1604" t="str">
            <v>ZZ4UN</v>
          </cell>
          <cell r="H1604">
            <v>160</v>
          </cell>
        </row>
        <row r="1605">
          <cell r="G1605" t="str">
            <v>ZZ4UN</v>
          </cell>
          <cell r="H1605">
            <v>160</v>
          </cell>
        </row>
        <row r="1606">
          <cell r="G1606" t="str">
            <v>ZZ4UN</v>
          </cell>
          <cell r="H1606">
            <v>160</v>
          </cell>
        </row>
        <row r="1607">
          <cell r="G1607" t="str">
            <v>ZZ4UN</v>
          </cell>
          <cell r="H1607">
            <v>160</v>
          </cell>
        </row>
        <row r="1608">
          <cell r="G1608" t="str">
            <v>ZZ4UN</v>
          </cell>
          <cell r="H1608">
            <v>160</v>
          </cell>
        </row>
        <row r="1609">
          <cell r="G1609" t="str">
            <v>ZZ4UN</v>
          </cell>
          <cell r="H1609">
            <v>160</v>
          </cell>
        </row>
        <row r="1610">
          <cell r="G1610" t="str">
            <v>ZZ5CM</v>
          </cell>
          <cell r="H1610">
            <v>200</v>
          </cell>
        </row>
        <row r="1611">
          <cell r="G1611" t="str">
            <v>ZZ5CM</v>
          </cell>
          <cell r="H1611">
            <v>200</v>
          </cell>
        </row>
        <row r="1612">
          <cell r="G1612" t="str">
            <v>ZZ5CM</v>
          </cell>
          <cell r="H1612">
            <v>200</v>
          </cell>
        </row>
        <row r="1613">
          <cell r="G1613" t="str">
            <v>ZZ5CM</v>
          </cell>
          <cell r="H1613">
            <v>200</v>
          </cell>
        </row>
        <row r="1614">
          <cell r="G1614" t="str">
            <v>ZZ5CM</v>
          </cell>
          <cell r="H1614">
            <v>200</v>
          </cell>
        </row>
        <row r="1615">
          <cell r="G1615" t="str">
            <v>ZZ5CM</v>
          </cell>
          <cell r="H1615">
            <v>200</v>
          </cell>
        </row>
        <row r="1616">
          <cell r="G1616" t="str">
            <v>ZZCM</v>
          </cell>
          <cell r="H1616">
            <v>180</v>
          </cell>
        </row>
        <row r="1617">
          <cell r="G1617" t="str">
            <v>ZZCM</v>
          </cell>
          <cell r="H1617">
            <v>180</v>
          </cell>
        </row>
        <row r="1618">
          <cell r="G1618" t="str">
            <v>ZZCM</v>
          </cell>
          <cell r="H1618">
            <v>180</v>
          </cell>
        </row>
        <row r="1619">
          <cell r="G1619" t="str">
            <v>ZZCM</v>
          </cell>
          <cell r="H1619">
            <v>180</v>
          </cell>
        </row>
        <row r="1620">
          <cell r="G1620" t="str">
            <v>ZZCM</v>
          </cell>
          <cell r="H1620">
            <v>180</v>
          </cell>
        </row>
        <row r="1621">
          <cell r="G1621" t="str">
            <v>ZZCM</v>
          </cell>
          <cell r="H1621">
            <v>180</v>
          </cell>
        </row>
        <row r="1622">
          <cell r="G1622" t="str">
            <v>ZZCM</v>
          </cell>
          <cell r="H1622">
            <v>180</v>
          </cell>
        </row>
        <row r="1623">
          <cell r="G1623" t="str">
            <v>ZZCM</v>
          </cell>
          <cell r="H1623">
            <v>180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2008华东及第三方-带宽"/>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65CA3-01AE-4DDB-ADD0-659ED24D4A1F}">
  <dimension ref="A1:AC1027410"/>
  <sheetViews>
    <sheetView tabSelected="1" zoomScale="90" zoomScaleNormal="90" workbookViewId="0">
      <pane ySplit="1" topLeftCell="A2" activePane="bottomLeft" state="frozen"/>
      <selection pane="bottomLeft" activeCell="L19" sqref="L19"/>
    </sheetView>
  </sheetViews>
  <sheetFormatPr baseColWidth="10" defaultColWidth="11.6640625" defaultRowHeight="15" customHeight="1"/>
  <cols>
    <col min="1" max="4" width="4.5" style="285" customWidth="1"/>
    <col min="5" max="5" width="21.5" style="285" customWidth="1"/>
    <col min="6" max="6" width="12.5" style="285" customWidth="1"/>
    <col min="7" max="7" width="7" style="285" customWidth="1"/>
    <col min="8" max="9" width="15.33203125" style="352" customWidth="1"/>
    <col min="10" max="10" width="15.83203125" style="285" customWidth="1"/>
    <col min="11" max="11" width="23.1640625" style="285" customWidth="1"/>
    <col min="12" max="12" width="14.83203125" style="285" customWidth="1"/>
    <col min="13" max="13" width="8.1640625" style="285" customWidth="1"/>
    <col min="14" max="14" width="11.1640625" style="285" customWidth="1"/>
    <col min="15" max="15" width="8.1640625" style="285" customWidth="1"/>
    <col min="16" max="16" width="12.5" style="349" customWidth="1"/>
    <col min="17" max="17" width="10.5" style="349" customWidth="1"/>
    <col min="18" max="18" width="14.1640625" style="349" customWidth="1"/>
    <col min="19" max="19" width="11.83203125" style="44" customWidth="1"/>
    <col min="20" max="20" width="8" style="298" customWidth="1"/>
    <col min="21" max="21" width="8" style="44" customWidth="1"/>
    <col min="22" max="22" width="11.5" style="357" customWidth="1"/>
    <col min="23" max="23" width="11.6640625" style="285" customWidth="1"/>
    <col min="24" max="25" width="11.83203125" style="358" customWidth="1"/>
    <col min="26" max="26" width="11.6640625" style="285" customWidth="1"/>
    <col min="27" max="29" width="11.6640625" style="350" customWidth="1"/>
    <col min="30" max="16384" width="11.6640625" style="44"/>
  </cols>
  <sheetData>
    <row r="1" spans="1:29" s="19" customFormat="1" ht="15" customHeight="1">
      <c r="A1" s="1" t="s">
        <v>0</v>
      </c>
      <c r="B1" s="1" t="s">
        <v>1</v>
      </c>
      <c r="C1" s="1" t="s">
        <v>2</v>
      </c>
      <c r="D1" s="1" t="s">
        <v>3</v>
      </c>
      <c r="E1" s="1" t="s">
        <v>4</v>
      </c>
      <c r="F1" s="1" t="s">
        <v>5</v>
      </c>
      <c r="G1" s="1" t="s">
        <v>6</v>
      </c>
      <c r="H1" s="351" t="s">
        <v>7</v>
      </c>
      <c r="I1" s="364" t="s">
        <v>9553</v>
      </c>
      <c r="J1" s="3" t="s">
        <v>8</v>
      </c>
      <c r="K1" s="3" t="s">
        <v>9</v>
      </c>
      <c r="L1" s="3" t="s">
        <v>10</v>
      </c>
      <c r="M1" s="3" t="s">
        <v>11</v>
      </c>
      <c r="N1" s="4" t="s">
        <v>12</v>
      </c>
      <c r="O1" s="3" t="s">
        <v>13</v>
      </c>
      <c r="P1" s="348" t="s">
        <v>14</v>
      </c>
      <c r="Q1" s="348" t="s">
        <v>15</v>
      </c>
      <c r="R1" s="348" t="s">
        <v>16</v>
      </c>
      <c r="S1" s="353" t="s">
        <v>17</v>
      </c>
      <c r="T1" s="354" t="s">
        <v>18</v>
      </c>
      <c r="U1" s="9" t="s">
        <v>21</v>
      </c>
      <c r="V1" s="355" t="s">
        <v>22</v>
      </c>
      <c r="W1" s="12" t="s">
        <v>23</v>
      </c>
      <c r="X1" s="4" t="s">
        <v>24</v>
      </c>
      <c r="Y1" s="4" t="s">
        <v>25</v>
      </c>
      <c r="Z1" s="15" t="s">
        <v>26</v>
      </c>
      <c r="AA1" s="356" t="s">
        <v>27</v>
      </c>
      <c r="AB1" s="356" t="s">
        <v>28</v>
      </c>
      <c r="AC1" s="356" t="s">
        <v>29</v>
      </c>
    </row>
    <row r="2" spans="1:29" s="385" customFormat="1" ht="15" customHeight="1">
      <c r="A2" s="368" t="s">
        <v>45</v>
      </c>
      <c r="B2" s="369" t="s">
        <v>837</v>
      </c>
      <c r="C2" s="369" t="s">
        <v>838</v>
      </c>
      <c r="D2" s="369" t="s">
        <v>48</v>
      </c>
      <c r="E2" s="369" t="s">
        <v>3540</v>
      </c>
      <c r="F2" s="370" t="s">
        <v>3541</v>
      </c>
      <c r="G2" s="371" t="s">
        <v>165</v>
      </c>
      <c r="H2" s="369" t="s">
        <v>3550</v>
      </c>
      <c r="I2" s="369" t="e">
        <f>VLOOKUP(H2,'合同高级查询数据-10月新返回合同'!A:A,1,0)</f>
        <v>#N/A</v>
      </c>
      <c r="J2" s="370" t="s">
        <v>3724</v>
      </c>
      <c r="K2" s="370" t="s">
        <v>3725</v>
      </c>
      <c r="L2" s="370" t="s">
        <v>3725</v>
      </c>
      <c r="M2" s="372" t="s">
        <v>3543</v>
      </c>
      <c r="N2" s="373">
        <v>45170</v>
      </c>
      <c r="O2" s="374" t="s">
        <v>1542</v>
      </c>
      <c r="P2" s="375">
        <v>6740</v>
      </c>
      <c r="Q2" s="376">
        <v>80</v>
      </c>
      <c r="R2" s="377">
        <f t="shared" ref="R2:R10" si="0">ROUND(P2*Q2,2)</f>
        <v>539200</v>
      </c>
      <c r="S2" s="378">
        <v>202310</v>
      </c>
      <c r="T2" s="379" t="s">
        <v>4688</v>
      </c>
      <c r="U2" s="380"/>
      <c r="V2" s="381">
        <v>0</v>
      </c>
      <c r="W2" s="382"/>
      <c r="X2" s="383"/>
      <c r="Y2" s="383"/>
      <c r="Z2" s="382" t="s">
        <v>3727</v>
      </c>
      <c r="AA2" s="384">
        <v>0.4</v>
      </c>
      <c r="AB2" s="384">
        <v>200</v>
      </c>
      <c r="AC2" s="384">
        <f>AA2*AB2</f>
        <v>80</v>
      </c>
    </row>
    <row r="3" spans="1:29" s="385" customFormat="1" ht="15" customHeight="1">
      <c r="A3" s="386" t="s">
        <v>57</v>
      </c>
      <c r="B3" s="387" t="s">
        <v>3728</v>
      </c>
      <c r="C3" s="388" t="s">
        <v>84</v>
      </c>
      <c r="D3" s="388" t="s">
        <v>3729</v>
      </c>
      <c r="E3" s="386" t="s">
        <v>3730</v>
      </c>
      <c r="F3" s="386" t="s">
        <v>3731</v>
      </c>
      <c r="G3" s="386" t="s">
        <v>165</v>
      </c>
      <c r="H3" s="389" t="s">
        <v>3732</v>
      </c>
      <c r="I3" s="369" t="e">
        <f>VLOOKUP(H3,'合同高级查询数据-10月新返回合同'!A:A,1,0)</f>
        <v>#N/A</v>
      </c>
      <c r="J3" s="390" t="s">
        <v>3724</v>
      </c>
      <c r="K3" s="386" t="s">
        <v>3733</v>
      </c>
      <c r="L3" s="389" t="s">
        <v>3734</v>
      </c>
      <c r="M3" s="386"/>
      <c r="N3" s="391">
        <v>44044</v>
      </c>
      <c r="O3" s="386"/>
      <c r="P3" s="392">
        <v>8500</v>
      </c>
      <c r="Q3" s="392">
        <v>2802.9340000000002</v>
      </c>
      <c r="R3" s="393">
        <f t="shared" si="0"/>
        <v>23824939</v>
      </c>
      <c r="S3" s="378">
        <v>202310</v>
      </c>
      <c r="T3" s="394" t="s">
        <v>3735</v>
      </c>
      <c r="U3" s="394"/>
      <c r="V3" s="381">
        <v>2802.9333496089998</v>
      </c>
      <c r="W3" s="395"/>
      <c r="X3" s="383"/>
      <c r="Y3" s="383"/>
      <c r="Z3" s="382" t="s">
        <v>3736</v>
      </c>
      <c r="AA3" s="384">
        <v>0</v>
      </c>
      <c r="AB3" s="384"/>
      <c r="AC3" s="384">
        <v>0</v>
      </c>
    </row>
    <row r="4" spans="1:29" s="385" customFormat="1" ht="15" customHeight="1">
      <c r="A4" s="386" t="s">
        <v>57</v>
      </c>
      <c r="B4" s="387" t="s">
        <v>3728</v>
      </c>
      <c r="C4" s="388" t="s">
        <v>84</v>
      </c>
      <c r="D4" s="388" t="s">
        <v>3729</v>
      </c>
      <c r="E4" s="386" t="s">
        <v>3730</v>
      </c>
      <c r="F4" s="386" t="s">
        <v>3731</v>
      </c>
      <c r="G4" s="386" t="s">
        <v>165</v>
      </c>
      <c r="H4" s="389" t="s">
        <v>3732</v>
      </c>
      <c r="I4" s="369" t="e">
        <f>VLOOKUP(H4,'合同高级查询数据-10月新返回合同'!A:A,1,0)</f>
        <v>#N/A</v>
      </c>
      <c r="J4" s="390" t="s">
        <v>3724</v>
      </c>
      <c r="K4" s="386" t="s">
        <v>3733</v>
      </c>
      <c r="L4" s="389" t="s">
        <v>3741</v>
      </c>
      <c r="M4" s="386"/>
      <c r="N4" s="391">
        <v>44409</v>
      </c>
      <c r="O4" s="386"/>
      <c r="P4" s="392">
        <v>8500</v>
      </c>
      <c r="Q4" s="396"/>
      <c r="R4" s="393">
        <f t="shared" si="0"/>
        <v>0</v>
      </c>
      <c r="S4" s="378">
        <v>202310</v>
      </c>
      <c r="T4" s="394" t="s">
        <v>3735</v>
      </c>
      <c r="U4" s="394"/>
      <c r="V4" s="381">
        <v>0</v>
      </c>
      <c r="W4" s="395"/>
      <c r="X4" s="383"/>
      <c r="Y4" s="383"/>
      <c r="Z4" s="382" t="s">
        <v>3742</v>
      </c>
      <c r="AA4" s="384">
        <v>0</v>
      </c>
      <c r="AB4" s="384"/>
      <c r="AC4" s="384">
        <v>0</v>
      </c>
    </row>
    <row r="5" spans="1:29" s="385" customFormat="1" ht="15" customHeight="1">
      <c r="A5" s="386" t="s">
        <v>57</v>
      </c>
      <c r="B5" s="387" t="s">
        <v>3728</v>
      </c>
      <c r="C5" s="388" t="s">
        <v>84</v>
      </c>
      <c r="D5" s="388" t="s">
        <v>3729</v>
      </c>
      <c r="E5" s="386" t="s">
        <v>3730</v>
      </c>
      <c r="F5" s="386" t="s">
        <v>3731</v>
      </c>
      <c r="G5" s="386" t="s">
        <v>165</v>
      </c>
      <c r="H5" s="389" t="s">
        <v>3732</v>
      </c>
      <c r="I5" s="369" t="e">
        <f>VLOOKUP(H5,'合同高级查询数据-10月新返回合同'!A:A,1,0)</f>
        <v>#N/A</v>
      </c>
      <c r="J5" s="390" t="s">
        <v>3724</v>
      </c>
      <c r="K5" s="386" t="s">
        <v>3733</v>
      </c>
      <c r="L5" s="389" t="s">
        <v>3743</v>
      </c>
      <c r="M5" s="386"/>
      <c r="N5" s="391">
        <v>44440</v>
      </c>
      <c r="O5" s="386"/>
      <c r="P5" s="392">
        <v>8500</v>
      </c>
      <c r="Q5" s="392">
        <v>518.45100000000002</v>
      </c>
      <c r="R5" s="393">
        <f t="shared" si="0"/>
        <v>4406833.5</v>
      </c>
      <c r="S5" s="378">
        <v>202310</v>
      </c>
      <c r="T5" s="394" t="s">
        <v>3735</v>
      </c>
      <c r="U5" s="394"/>
      <c r="V5" s="381">
        <v>518.45056152300003</v>
      </c>
      <c r="W5" s="395"/>
      <c r="X5" s="383"/>
      <c r="Y5" s="383"/>
      <c r="Z5" s="382" t="s">
        <v>3744</v>
      </c>
      <c r="AA5" s="384">
        <v>0</v>
      </c>
      <c r="AB5" s="384"/>
      <c r="AC5" s="384">
        <v>0</v>
      </c>
    </row>
    <row r="6" spans="1:29" s="385" customFormat="1" ht="15" customHeight="1">
      <c r="A6" s="386" t="s">
        <v>57</v>
      </c>
      <c r="B6" s="387" t="s">
        <v>3728</v>
      </c>
      <c r="C6" s="388" t="s">
        <v>84</v>
      </c>
      <c r="D6" s="388" t="s">
        <v>3729</v>
      </c>
      <c r="E6" s="386" t="s">
        <v>3730</v>
      </c>
      <c r="F6" s="386" t="s">
        <v>3731</v>
      </c>
      <c r="G6" s="386" t="s">
        <v>165</v>
      </c>
      <c r="H6" s="389" t="s">
        <v>3732</v>
      </c>
      <c r="I6" s="369" t="e">
        <f>VLOOKUP(H6,'合同高级查询数据-10月新返回合同'!A:A,1,0)</f>
        <v>#N/A</v>
      </c>
      <c r="J6" s="390" t="s">
        <v>3724</v>
      </c>
      <c r="K6" s="386" t="s">
        <v>3745</v>
      </c>
      <c r="L6" s="389" t="s">
        <v>3746</v>
      </c>
      <c r="M6" s="386"/>
      <c r="N6" s="391">
        <v>44440</v>
      </c>
      <c r="O6" s="386"/>
      <c r="P6" s="392">
        <v>8500</v>
      </c>
      <c r="Q6" s="392">
        <v>968.64499999999998</v>
      </c>
      <c r="R6" s="393">
        <f t="shared" si="0"/>
        <v>8233482.5</v>
      </c>
      <c r="S6" s="378">
        <v>202310</v>
      </c>
      <c r="T6" s="394" t="s">
        <v>3747</v>
      </c>
      <c r="U6" s="394"/>
      <c r="V6" s="381">
        <v>968.64416503899997</v>
      </c>
      <c r="W6" s="395"/>
      <c r="X6" s="383"/>
      <c r="Y6" s="383"/>
      <c r="Z6" s="382" t="s">
        <v>3748</v>
      </c>
      <c r="AA6" s="384"/>
      <c r="AB6" s="384"/>
      <c r="AC6" s="384">
        <v>0</v>
      </c>
    </row>
    <row r="7" spans="1:29" s="385" customFormat="1" ht="15" customHeight="1">
      <c r="A7" s="386" t="s">
        <v>57</v>
      </c>
      <c r="B7" s="387" t="s">
        <v>3728</v>
      </c>
      <c r="C7" s="388" t="s">
        <v>84</v>
      </c>
      <c r="D7" s="388" t="s">
        <v>3729</v>
      </c>
      <c r="E7" s="386" t="s">
        <v>3730</v>
      </c>
      <c r="F7" s="386" t="s">
        <v>3731</v>
      </c>
      <c r="G7" s="386" t="s">
        <v>165</v>
      </c>
      <c r="H7" s="389" t="s">
        <v>3749</v>
      </c>
      <c r="I7" s="369" t="e">
        <f>VLOOKUP(H7,'合同高级查询数据-10月新返回合同'!A:A,1,0)</f>
        <v>#N/A</v>
      </c>
      <c r="J7" s="390" t="s">
        <v>3724</v>
      </c>
      <c r="K7" s="386"/>
      <c r="L7" s="389" t="s">
        <v>3750</v>
      </c>
      <c r="M7" s="386"/>
      <c r="N7" s="391">
        <v>45078</v>
      </c>
      <c r="O7" s="386"/>
      <c r="P7" s="392">
        <v>5400</v>
      </c>
      <c r="Q7" s="392"/>
      <c r="R7" s="393">
        <f t="shared" si="0"/>
        <v>0</v>
      </c>
      <c r="S7" s="378">
        <v>202310</v>
      </c>
      <c r="T7" s="394" t="s">
        <v>3751</v>
      </c>
      <c r="U7" s="394"/>
      <c r="V7" s="381">
        <v>0</v>
      </c>
      <c r="W7" s="395"/>
      <c r="X7" s="383"/>
      <c r="Y7" s="383"/>
      <c r="Z7" s="382" t="s">
        <v>3752</v>
      </c>
      <c r="AA7" s="384">
        <v>0</v>
      </c>
      <c r="AB7" s="384"/>
      <c r="AC7" s="384">
        <v>0</v>
      </c>
    </row>
    <row r="8" spans="1:29" s="577" customFormat="1" ht="15" customHeight="1">
      <c r="A8" s="561" t="s">
        <v>57</v>
      </c>
      <c r="B8" s="562" t="s">
        <v>3728</v>
      </c>
      <c r="C8" s="563" t="s">
        <v>84</v>
      </c>
      <c r="D8" s="563" t="s">
        <v>3729</v>
      </c>
      <c r="E8" s="561" t="s">
        <v>3755</v>
      </c>
      <c r="F8" s="561" t="s">
        <v>3756</v>
      </c>
      <c r="G8" s="561" t="s">
        <v>165</v>
      </c>
      <c r="H8" s="564" t="s">
        <v>3757</v>
      </c>
      <c r="I8" s="565" t="e">
        <f>VLOOKUP(H8,'合同高级查询数据-10月新返回合同'!A:A,1,0)</f>
        <v>#N/A</v>
      </c>
      <c r="J8" s="566" t="s">
        <v>3724</v>
      </c>
      <c r="K8" s="561" t="s">
        <v>3758</v>
      </c>
      <c r="L8" s="564" t="s">
        <v>3759</v>
      </c>
      <c r="M8" s="561"/>
      <c r="N8" s="567">
        <v>45017</v>
      </c>
      <c r="O8" s="561"/>
      <c r="P8" s="568">
        <v>5300</v>
      </c>
      <c r="Q8" s="568">
        <v>733.14</v>
      </c>
      <c r="R8" s="569">
        <f t="shared" si="0"/>
        <v>3885642</v>
      </c>
      <c r="S8" s="570">
        <v>202310</v>
      </c>
      <c r="T8" s="571" t="s">
        <v>3760</v>
      </c>
      <c r="U8" s="571"/>
      <c r="V8" s="572">
        <v>733.13934326200001</v>
      </c>
      <c r="W8" s="573"/>
      <c r="X8" s="574">
        <v>45017</v>
      </c>
      <c r="Y8" s="574">
        <v>45382</v>
      </c>
      <c r="Z8" s="575" t="s">
        <v>3761</v>
      </c>
      <c r="AA8" s="576">
        <v>0</v>
      </c>
      <c r="AB8" s="576"/>
      <c r="AC8" s="576">
        <v>0</v>
      </c>
    </row>
    <row r="9" spans="1:29" s="577" customFormat="1" ht="15" customHeight="1">
      <c r="A9" s="561" t="s">
        <v>57</v>
      </c>
      <c r="B9" s="562" t="s">
        <v>3728</v>
      </c>
      <c r="C9" s="563" t="s">
        <v>84</v>
      </c>
      <c r="D9" s="563" t="s">
        <v>3729</v>
      </c>
      <c r="E9" s="561" t="s">
        <v>3755</v>
      </c>
      <c r="F9" s="561" t="s">
        <v>3756</v>
      </c>
      <c r="G9" s="561" t="s">
        <v>165</v>
      </c>
      <c r="H9" s="564" t="s">
        <v>3757</v>
      </c>
      <c r="I9" s="565" t="e">
        <f>VLOOKUP(H9,'合同高级查询数据-10月新返回合同'!A:A,1,0)</f>
        <v>#N/A</v>
      </c>
      <c r="J9" s="566" t="s">
        <v>3724</v>
      </c>
      <c r="K9" s="561" t="s">
        <v>3764</v>
      </c>
      <c r="L9" s="564" t="s">
        <v>3765</v>
      </c>
      <c r="M9" s="561"/>
      <c r="N9" s="567">
        <v>45017</v>
      </c>
      <c r="O9" s="561"/>
      <c r="P9" s="568">
        <v>5300</v>
      </c>
      <c r="Q9" s="568">
        <v>348.35199999999998</v>
      </c>
      <c r="R9" s="569">
        <f t="shared" si="0"/>
        <v>1846265.6</v>
      </c>
      <c r="S9" s="570">
        <v>202310</v>
      </c>
      <c r="T9" s="571" t="s">
        <v>3760</v>
      </c>
      <c r="U9" s="571"/>
      <c r="V9" s="572">
        <v>348.35144043000003</v>
      </c>
      <c r="W9" s="573"/>
      <c r="X9" s="574">
        <v>45017</v>
      </c>
      <c r="Y9" s="574">
        <v>45382</v>
      </c>
      <c r="Z9" s="575" t="s">
        <v>3766</v>
      </c>
      <c r="AA9" s="576">
        <v>0</v>
      </c>
      <c r="AB9" s="576"/>
      <c r="AC9" s="576">
        <v>0</v>
      </c>
    </row>
    <row r="10" spans="1:29" s="577" customFormat="1" ht="15" customHeight="1">
      <c r="A10" s="561" t="s">
        <v>57</v>
      </c>
      <c r="B10" s="562" t="s">
        <v>3728</v>
      </c>
      <c r="C10" s="563" t="s">
        <v>84</v>
      </c>
      <c r="D10" s="563" t="s">
        <v>3729</v>
      </c>
      <c r="E10" s="561" t="s">
        <v>3767</v>
      </c>
      <c r="F10" s="561" t="s">
        <v>3768</v>
      </c>
      <c r="G10" s="561" t="s">
        <v>165</v>
      </c>
      <c r="H10" s="564" t="s">
        <v>3769</v>
      </c>
      <c r="I10" s="565" t="e">
        <f>VLOOKUP(H10,'合同高级查询数据-10月新返回合同'!A:A,1,0)</f>
        <v>#N/A</v>
      </c>
      <c r="J10" s="566" t="s">
        <v>3724</v>
      </c>
      <c r="K10" s="561" t="s">
        <v>3770</v>
      </c>
      <c r="L10" s="564" t="s">
        <v>3771</v>
      </c>
      <c r="M10" s="561"/>
      <c r="N10" s="567">
        <v>44593</v>
      </c>
      <c r="O10" s="561"/>
      <c r="P10" s="568">
        <v>8500</v>
      </c>
      <c r="Q10" s="568">
        <v>374.55799999999999</v>
      </c>
      <c r="R10" s="569">
        <f t="shared" si="0"/>
        <v>3183743</v>
      </c>
      <c r="S10" s="570">
        <v>202310</v>
      </c>
      <c r="T10" s="571" t="s">
        <v>3772</v>
      </c>
      <c r="U10" s="571"/>
      <c r="V10" s="572">
        <v>374.55715942400002</v>
      </c>
      <c r="W10" s="578">
        <v>375.61700000000002</v>
      </c>
      <c r="X10" s="574">
        <v>44958</v>
      </c>
      <c r="Y10" s="574">
        <v>45322</v>
      </c>
      <c r="Z10" s="575" t="s">
        <v>3774</v>
      </c>
      <c r="AA10" s="576">
        <v>0</v>
      </c>
      <c r="AB10" s="576"/>
      <c r="AC10" s="576">
        <v>0</v>
      </c>
    </row>
    <row r="11" spans="1:29" s="577" customFormat="1" ht="15" customHeight="1">
      <c r="A11" s="561" t="s">
        <v>57</v>
      </c>
      <c r="B11" s="562" t="s">
        <v>83</v>
      </c>
      <c r="C11" s="563" t="s">
        <v>58</v>
      </c>
      <c r="D11" s="563" t="s">
        <v>85</v>
      </c>
      <c r="E11" s="561" t="s">
        <v>86</v>
      </c>
      <c r="F11" s="561" t="s">
        <v>87</v>
      </c>
      <c r="G11" s="561" t="s">
        <v>165</v>
      </c>
      <c r="H11" s="564" t="s">
        <v>88</v>
      </c>
      <c r="I11" s="565" t="e">
        <f>VLOOKUP(H11,'合同高级查询数据-10月新返回合同'!A:A,1,0)</f>
        <v>#N/A</v>
      </c>
      <c r="J11" s="566" t="s">
        <v>3776</v>
      </c>
      <c r="K11" s="561" t="s">
        <v>3777</v>
      </c>
      <c r="L11" s="564" t="s">
        <v>3778</v>
      </c>
      <c r="M11" s="561"/>
      <c r="N11" s="567">
        <v>43313</v>
      </c>
      <c r="O11" s="561" t="s">
        <v>3779</v>
      </c>
      <c r="P11" s="568">
        <v>5000</v>
      </c>
      <c r="Q11" s="579">
        <v>3</v>
      </c>
      <c r="R11" s="569">
        <f>P11*Q11</f>
        <v>15000</v>
      </c>
      <c r="S11" s="570">
        <v>202310</v>
      </c>
      <c r="T11" s="571" t="s">
        <v>3780</v>
      </c>
      <c r="U11" s="571"/>
      <c r="V11" s="572">
        <v>3</v>
      </c>
      <c r="W11" s="573">
        <v>3</v>
      </c>
      <c r="X11" s="574">
        <v>44044</v>
      </c>
      <c r="Y11" s="574">
        <v>45504</v>
      </c>
      <c r="Z11" s="575" t="s">
        <v>3781</v>
      </c>
      <c r="AA11" s="576" t="s">
        <v>3782</v>
      </c>
      <c r="AB11" s="576">
        <v>30</v>
      </c>
      <c r="AC11" s="576">
        <v>3</v>
      </c>
    </row>
    <row r="12" spans="1:29" s="577" customFormat="1" ht="15" customHeight="1">
      <c r="A12" s="561" t="s">
        <v>57</v>
      </c>
      <c r="B12" s="562" t="s">
        <v>3728</v>
      </c>
      <c r="C12" s="563" t="s">
        <v>84</v>
      </c>
      <c r="D12" s="563" t="s">
        <v>3729</v>
      </c>
      <c r="E12" s="561" t="s">
        <v>3784</v>
      </c>
      <c r="F12" s="561" t="s">
        <v>3785</v>
      </c>
      <c r="G12" s="561" t="s">
        <v>165</v>
      </c>
      <c r="H12" s="564" t="s">
        <v>3786</v>
      </c>
      <c r="I12" s="565" t="e">
        <f>VLOOKUP(H12,'合同高级查询数据-10月新返回合同'!A:A,1,0)</f>
        <v>#N/A</v>
      </c>
      <c r="J12" s="566" t="s">
        <v>3724</v>
      </c>
      <c r="K12" s="561" t="s">
        <v>3787</v>
      </c>
      <c r="L12" s="564" t="s">
        <v>3788</v>
      </c>
      <c r="M12" s="561"/>
      <c r="N12" s="567">
        <v>44531</v>
      </c>
      <c r="O12" s="561"/>
      <c r="P12" s="568">
        <v>6500</v>
      </c>
      <c r="Q12" s="568">
        <v>777.33100000000002</v>
      </c>
      <c r="R12" s="569">
        <f t="shared" ref="R12:R15" si="1">ROUND(P12*Q12,2)</f>
        <v>5052651.5</v>
      </c>
      <c r="S12" s="570">
        <v>202310</v>
      </c>
      <c r="T12" s="571" t="s">
        <v>3789</v>
      </c>
      <c r="U12" s="571"/>
      <c r="V12" s="572">
        <v>777.33038330099998</v>
      </c>
      <c r="W12" s="573"/>
      <c r="X12" s="574">
        <v>45047</v>
      </c>
      <c r="Y12" s="574">
        <v>45412</v>
      </c>
      <c r="Z12" s="575" t="s">
        <v>3790</v>
      </c>
      <c r="AA12" s="576">
        <v>0</v>
      </c>
      <c r="AB12" s="576"/>
      <c r="AC12" s="576">
        <v>0</v>
      </c>
    </row>
    <row r="13" spans="1:29" s="385" customFormat="1" ht="15" customHeight="1">
      <c r="A13" s="386" t="s">
        <v>57</v>
      </c>
      <c r="B13" s="387" t="s">
        <v>3728</v>
      </c>
      <c r="C13" s="388" t="s">
        <v>84</v>
      </c>
      <c r="D13" s="388" t="s">
        <v>3729</v>
      </c>
      <c r="E13" s="386" t="s">
        <v>3792</v>
      </c>
      <c r="F13" s="386" t="s">
        <v>3793</v>
      </c>
      <c r="G13" s="386" t="s">
        <v>165</v>
      </c>
      <c r="H13" s="389" t="s">
        <v>3794</v>
      </c>
      <c r="I13" s="369" t="e">
        <f>VLOOKUP(H13,'合同高级查询数据-10月新返回合同'!A:A,1,0)</f>
        <v>#N/A</v>
      </c>
      <c r="J13" s="390" t="s">
        <v>3724</v>
      </c>
      <c r="K13" s="386"/>
      <c r="L13" s="389" t="s">
        <v>3795</v>
      </c>
      <c r="M13" s="386"/>
      <c r="N13" s="391">
        <v>45017</v>
      </c>
      <c r="O13" s="386"/>
      <c r="P13" s="392">
        <v>5300</v>
      </c>
      <c r="Q13" s="392">
        <v>317.24299999999999</v>
      </c>
      <c r="R13" s="393">
        <f t="shared" si="1"/>
        <v>1681387.9</v>
      </c>
      <c r="S13" s="378">
        <v>202310</v>
      </c>
      <c r="T13" s="394" t="s">
        <v>3796</v>
      </c>
      <c r="U13" s="394"/>
      <c r="V13" s="381">
        <v>317.24218000000002</v>
      </c>
      <c r="W13" s="395"/>
      <c r="X13" s="383"/>
      <c r="Y13" s="383"/>
      <c r="Z13" s="382" t="s">
        <v>3797</v>
      </c>
      <c r="AA13" s="384">
        <v>0</v>
      </c>
      <c r="AB13" s="384"/>
      <c r="AC13" s="384">
        <v>0</v>
      </c>
    </row>
    <row r="14" spans="1:29" s="385" customFormat="1" ht="15" customHeight="1">
      <c r="A14" s="386" t="s">
        <v>57</v>
      </c>
      <c r="B14" s="387" t="s">
        <v>3728</v>
      </c>
      <c r="C14" s="388" t="s">
        <v>84</v>
      </c>
      <c r="D14" s="388" t="s">
        <v>3729</v>
      </c>
      <c r="E14" s="386" t="s">
        <v>3792</v>
      </c>
      <c r="F14" s="386" t="s">
        <v>3793</v>
      </c>
      <c r="G14" s="386" t="s">
        <v>165</v>
      </c>
      <c r="H14" s="389" t="s">
        <v>3794</v>
      </c>
      <c r="I14" s="369" t="e">
        <f>VLOOKUP(H14,'合同高级查询数据-10月新返回合同'!A:A,1,0)</f>
        <v>#N/A</v>
      </c>
      <c r="J14" s="390" t="s">
        <v>3724</v>
      </c>
      <c r="K14" s="386"/>
      <c r="L14" s="389" t="s">
        <v>3798</v>
      </c>
      <c r="M14" s="386"/>
      <c r="N14" s="391">
        <v>45017</v>
      </c>
      <c r="O14" s="386"/>
      <c r="P14" s="392">
        <v>5300</v>
      </c>
      <c r="Q14" s="392">
        <v>177.24100000000001</v>
      </c>
      <c r="R14" s="393">
        <f t="shared" si="1"/>
        <v>939377.3</v>
      </c>
      <c r="S14" s="378">
        <v>202310</v>
      </c>
      <c r="T14" s="394" t="s">
        <v>3799</v>
      </c>
      <c r="U14" s="394"/>
      <c r="V14" s="381">
        <v>177.240402222</v>
      </c>
      <c r="W14" s="395"/>
      <c r="X14" s="383"/>
      <c r="Y14" s="383"/>
      <c r="Z14" s="382" t="s">
        <v>3800</v>
      </c>
      <c r="AA14" s="384">
        <v>0</v>
      </c>
      <c r="AB14" s="384"/>
      <c r="AC14" s="384">
        <v>0</v>
      </c>
    </row>
    <row r="15" spans="1:29" s="577" customFormat="1" ht="15" customHeight="1">
      <c r="A15" s="561" t="s">
        <v>57</v>
      </c>
      <c r="B15" s="562" t="s">
        <v>3728</v>
      </c>
      <c r="C15" s="563" t="s">
        <v>84</v>
      </c>
      <c r="D15" s="563" t="s">
        <v>3729</v>
      </c>
      <c r="E15" s="561" t="s">
        <v>3801</v>
      </c>
      <c r="F15" s="561" t="s">
        <v>3802</v>
      </c>
      <c r="G15" s="561" t="s">
        <v>165</v>
      </c>
      <c r="H15" s="564" t="s">
        <v>3803</v>
      </c>
      <c r="I15" s="565" t="e">
        <f>VLOOKUP(H15,'合同高级查询数据-10月新返回合同'!A:A,1,0)</f>
        <v>#N/A</v>
      </c>
      <c r="J15" s="566" t="s">
        <v>3724</v>
      </c>
      <c r="K15" s="561" t="s">
        <v>3733</v>
      </c>
      <c r="L15" s="564" t="s">
        <v>3804</v>
      </c>
      <c r="M15" s="561"/>
      <c r="N15" s="567">
        <v>42705</v>
      </c>
      <c r="O15" s="561"/>
      <c r="P15" s="568">
        <v>8500</v>
      </c>
      <c r="Q15" s="579"/>
      <c r="R15" s="569">
        <f t="shared" si="1"/>
        <v>0</v>
      </c>
      <c r="S15" s="570">
        <v>202310</v>
      </c>
      <c r="T15" s="571" t="s">
        <v>3805</v>
      </c>
      <c r="U15" s="571"/>
      <c r="V15" s="572">
        <v>0</v>
      </c>
      <c r="W15" s="573"/>
      <c r="X15" s="574">
        <v>44348</v>
      </c>
      <c r="Y15" s="574">
        <v>44712</v>
      </c>
      <c r="Z15" s="575" t="s">
        <v>3806</v>
      </c>
      <c r="AA15" s="576">
        <v>0</v>
      </c>
      <c r="AB15" s="576"/>
      <c r="AC15" s="576">
        <v>0</v>
      </c>
    </row>
    <row r="16" spans="1:29" s="385" customFormat="1" ht="15" customHeight="1">
      <c r="A16" s="386" t="s">
        <v>57</v>
      </c>
      <c r="B16" s="387" t="s">
        <v>3728</v>
      </c>
      <c r="C16" s="388" t="s">
        <v>84</v>
      </c>
      <c r="D16" s="388" t="s">
        <v>3729</v>
      </c>
      <c r="E16" s="386" t="s">
        <v>3808</v>
      </c>
      <c r="F16" s="386" t="s">
        <v>3809</v>
      </c>
      <c r="G16" s="386" t="s">
        <v>165</v>
      </c>
      <c r="H16" s="389" t="s">
        <v>3810</v>
      </c>
      <c r="I16" s="369" t="e">
        <f>VLOOKUP(H16,'合同高级查询数据-10月新返回合同'!A:A,1,0)</f>
        <v>#N/A</v>
      </c>
      <c r="J16" s="390" t="s">
        <v>3724</v>
      </c>
      <c r="K16" s="386"/>
      <c r="L16" s="389" t="s">
        <v>3811</v>
      </c>
      <c r="M16" s="386"/>
      <c r="N16" s="391">
        <v>44774</v>
      </c>
      <c r="O16" s="386"/>
      <c r="P16" s="397" t="s">
        <v>3812</v>
      </c>
      <c r="Q16" s="396"/>
      <c r="R16" s="393">
        <f>ROUND(0.0388*Q16,2)</f>
        <v>0</v>
      </c>
      <c r="S16" s="378">
        <v>202310</v>
      </c>
      <c r="T16" s="394" t="s">
        <v>3813</v>
      </c>
      <c r="U16" s="394"/>
      <c r="V16" s="381">
        <v>0</v>
      </c>
      <c r="W16" s="395"/>
      <c r="X16" s="383"/>
      <c r="Y16" s="383"/>
      <c r="Z16" s="382" t="s">
        <v>3815</v>
      </c>
      <c r="AA16" s="384">
        <v>0</v>
      </c>
      <c r="AB16" s="384"/>
      <c r="AC16" s="384">
        <v>0</v>
      </c>
    </row>
    <row r="17" spans="1:29" s="577" customFormat="1" ht="15" customHeight="1">
      <c r="A17" s="561" t="s">
        <v>57</v>
      </c>
      <c r="B17" s="562" t="s">
        <v>3728</v>
      </c>
      <c r="C17" s="563" t="s">
        <v>84</v>
      </c>
      <c r="D17" s="563" t="s">
        <v>3729</v>
      </c>
      <c r="E17" s="561" t="s">
        <v>3817</v>
      </c>
      <c r="F17" s="561" t="s">
        <v>3818</v>
      </c>
      <c r="G17" s="561" t="s">
        <v>165</v>
      </c>
      <c r="H17" s="564" t="s">
        <v>3819</v>
      </c>
      <c r="I17" s="565" t="e">
        <f>VLOOKUP(H17,'合同高级查询数据-10月新返回合同'!A:A,1,0)</f>
        <v>#N/A</v>
      </c>
      <c r="J17" s="566" t="s">
        <v>3724</v>
      </c>
      <c r="K17" s="561" t="s">
        <v>3820</v>
      </c>
      <c r="L17" s="564" t="s">
        <v>3820</v>
      </c>
      <c r="M17" s="561"/>
      <c r="N17" s="567">
        <v>44682</v>
      </c>
      <c r="O17" s="561"/>
      <c r="P17" s="568">
        <v>5350</v>
      </c>
      <c r="Q17" s="579"/>
      <c r="R17" s="569">
        <f t="shared" ref="R17:R32" si="2">ROUND(P17*Q17,2)</f>
        <v>0</v>
      </c>
      <c r="S17" s="570">
        <v>202310</v>
      </c>
      <c r="T17" s="571" t="s">
        <v>3821</v>
      </c>
      <c r="U17" s="571"/>
      <c r="V17" s="572">
        <v>0</v>
      </c>
      <c r="W17" s="573"/>
      <c r="X17" s="574">
        <v>44927</v>
      </c>
      <c r="Y17" s="574">
        <v>45291</v>
      </c>
      <c r="Z17" s="575" t="s">
        <v>3822</v>
      </c>
      <c r="AA17" s="576">
        <v>0</v>
      </c>
      <c r="AB17" s="576"/>
      <c r="AC17" s="576">
        <v>0</v>
      </c>
    </row>
    <row r="18" spans="1:29" s="577" customFormat="1" ht="15" customHeight="1">
      <c r="A18" s="561" t="s">
        <v>57</v>
      </c>
      <c r="B18" s="562" t="s">
        <v>3728</v>
      </c>
      <c r="C18" s="563" t="s">
        <v>84</v>
      </c>
      <c r="D18" s="563" t="s">
        <v>3729</v>
      </c>
      <c r="E18" s="561" t="s">
        <v>3817</v>
      </c>
      <c r="F18" s="561" t="s">
        <v>3818</v>
      </c>
      <c r="G18" s="561" t="s">
        <v>165</v>
      </c>
      <c r="H18" s="564" t="s">
        <v>3824</v>
      </c>
      <c r="I18" s="565" t="e">
        <f>VLOOKUP(H18,'合同高级查询数据-10月新返回合同'!A:A,1,0)</f>
        <v>#N/A</v>
      </c>
      <c r="J18" s="566" t="s">
        <v>3724</v>
      </c>
      <c r="K18" s="561" t="s">
        <v>3825</v>
      </c>
      <c r="L18" s="564" t="s">
        <v>3826</v>
      </c>
      <c r="M18" s="561"/>
      <c r="N18" s="567">
        <v>44409</v>
      </c>
      <c r="O18" s="561"/>
      <c r="P18" s="568">
        <v>5550</v>
      </c>
      <c r="Q18" s="579"/>
      <c r="R18" s="569">
        <f t="shared" si="2"/>
        <v>0</v>
      </c>
      <c r="S18" s="570">
        <v>202310</v>
      </c>
      <c r="T18" s="571" t="s">
        <v>3827</v>
      </c>
      <c r="U18" s="571"/>
      <c r="V18" s="572">
        <v>0</v>
      </c>
      <c r="W18" s="573"/>
      <c r="X18" s="574">
        <v>44743</v>
      </c>
      <c r="Y18" s="574">
        <v>45107</v>
      </c>
      <c r="Z18" s="575" t="s">
        <v>3828</v>
      </c>
      <c r="AA18" s="576" t="s">
        <v>3807</v>
      </c>
      <c r="AB18" s="576"/>
      <c r="AC18" s="576">
        <v>0</v>
      </c>
    </row>
    <row r="19" spans="1:29" s="577" customFormat="1" ht="15" customHeight="1">
      <c r="A19" s="561" t="s">
        <v>57</v>
      </c>
      <c r="B19" s="562" t="s">
        <v>3728</v>
      </c>
      <c r="C19" s="563" t="s">
        <v>84</v>
      </c>
      <c r="D19" s="563" t="s">
        <v>3729</v>
      </c>
      <c r="E19" s="561" t="s">
        <v>3817</v>
      </c>
      <c r="F19" s="561" t="s">
        <v>3818</v>
      </c>
      <c r="G19" s="561" t="s">
        <v>165</v>
      </c>
      <c r="H19" s="564" t="s">
        <v>3824</v>
      </c>
      <c r="I19" s="565" t="e">
        <f>VLOOKUP(H19,'合同高级查询数据-10月新返回合同'!A:A,1,0)</f>
        <v>#N/A</v>
      </c>
      <c r="J19" s="566" t="s">
        <v>3724</v>
      </c>
      <c r="K19" s="561" t="s">
        <v>3825</v>
      </c>
      <c r="L19" s="564" t="s">
        <v>3829</v>
      </c>
      <c r="M19" s="561"/>
      <c r="N19" s="567">
        <v>44470</v>
      </c>
      <c r="O19" s="561"/>
      <c r="P19" s="568">
        <v>5300</v>
      </c>
      <c r="Q19" s="579"/>
      <c r="R19" s="569">
        <f t="shared" si="2"/>
        <v>0</v>
      </c>
      <c r="S19" s="570">
        <v>202310</v>
      </c>
      <c r="T19" s="571" t="s">
        <v>3830</v>
      </c>
      <c r="U19" s="571"/>
      <c r="V19" s="572">
        <v>0</v>
      </c>
      <c r="W19" s="573"/>
      <c r="X19" s="574">
        <v>44743</v>
      </c>
      <c r="Y19" s="574">
        <v>45107</v>
      </c>
      <c r="Z19" s="575" t="s">
        <v>3831</v>
      </c>
      <c r="AA19" s="576" t="s">
        <v>3807</v>
      </c>
      <c r="AB19" s="576"/>
      <c r="AC19" s="576">
        <v>0</v>
      </c>
    </row>
    <row r="20" spans="1:29" s="577" customFormat="1" ht="15" customHeight="1">
      <c r="A20" s="561" t="s">
        <v>57</v>
      </c>
      <c r="B20" s="562" t="s">
        <v>3728</v>
      </c>
      <c r="C20" s="563" t="s">
        <v>84</v>
      </c>
      <c r="D20" s="563" t="s">
        <v>3729</v>
      </c>
      <c r="E20" s="561" t="s">
        <v>3832</v>
      </c>
      <c r="F20" s="561" t="s">
        <v>3833</v>
      </c>
      <c r="G20" s="561" t="s">
        <v>165</v>
      </c>
      <c r="H20" s="564" t="s">
        <v>3834</v>
      </c>
      <c r="I20" s="565" t="e">
        <f>VLOOKUP(H20,'合同高级查询数据-10月新返回合同'!A:A,1,0)</f>
        <v>#N/A</v>
      </c>
      <c r="J20" s="566" t="s">
        <v>3724</v>
      </c>
      <c r="K20" s="561" t="s">
        <v>3835</v>
      </c>
      <c r="L20" s="564" t="s">
        <v>3836</v>
      </c>
      <c r="M20" s="561"/>
      <c r="N20" s="567">
        <v>44835</v>
      </c>
      <c r="O20" s="561"/>
      <c r="P20" s="568">
        <v>4500</v>
      </c>
      <c r="Q20" s="579"/>
      <c r="R20" s="569">
        <f t="shared" si="2"/>
        <v>0</v>
      </c>
      <c r="S20" s="570">
        <v>202310</v>
      </c>
      <c r="T20" s="571" t="s">
        <v>3837</v>
      </c>
      <c r="U20" s="571"/>
      <c r="V20" s="572">
        <v>0</v>
      </c>
      <c r="W20" s="573"/>
      <c r="X20" s="574">
        <v>44896</v>
      </c>
      <c r="Y20" s="574">
        <v>45260</v>
      </c>
      <c r="Z20" s="575" t="s">
        <v>3838</v>
      </c>
      <c r="AA20" s="576">
        <v>0</v>
      </c>
      <c r="AB20" s="576"/>
      <c r="AC20" s="576">
        <v>0</v>
      </c>
    </row>
    <row r="21" spans="1:29" s="577" customFormat="1" ht="15" customHeight="1">
      <c r="A21" s="561" t="s">
        <v>57</v>
      </c>
      <c r="B21" s="562" t="s">
        <v>3728</v>
      </c>
      <c r="C21" s="563" t="s">
        <v>84</v>
      </c>
      <c r="D21" s="563" t="s">
        <v>3729</v>
      </c>
      <c r="E21" s="561" t="s">
        <v>3832</v>
      </c>
      <c r="F21" s="561" t="s">
        <v>3833</v>
      </c>
      <c r="G21" s="561" t="s">
        <v>165</v>
      </c>
      <c r="H21" s="564" t="s">
        <v>3834</v>
      </c>
      <c r="I21" s="565" t="e">
        <f>VLOOKUP(H21,'合同高级查询数据-10月新返回合同'!A:A,1,0)</f>
        <v>#N/A</v>
      </c>
      <c r="J21" s="566" t="s">
        <v>3724</v>
      </c>
      <c r="K21" s="561" t="s">
        <v>3835</v>
      </c>
      <c r="L21" s="564" t="s">
        <v>3840</v>
      </c>
      <c r="M21" s="561"/>
      <c r="N21" s="567">
        <v>44986</v>
      </c>
      <c r="O21" s="561"/>
      <c r="P21" s="568">
        <v>4000</v>
      </c>
      <c r="Q21" s="579"/>
      <c r="R21" s="569">
        <f t="shared" si="2"/>
        <v>0</v>
      </c>
      <c r="S21" s="570">
        <v>202310</v>
      </c>
      <c r="T21" s="571" t="s">
        <v>3841</v>
      </c>
      <c r="U21" s="571"/>
      <c r="V21" s="572">
        <v>0</v>
      </c>
      <c r="W21" s="573"/>
      <c r="X21" s="574">
        <v>44896</v>
      </c>
      <c r="Y21" s="574">
        <v>45260</v>
      </c>
      <c r="Z21" s="575" t="s">
        <v>3842</v>
      </c>
      <c r="AA21" s="576">
        <v>0</v>
      </c>
      <c r="AB21" s="576"/>
      <c r="AC21" s="576">
        <v>0</v>
      </c>
    </row>
    <row r="22" spans="1:29" s="385" customFormat="1" ht="15" customHeight="1">
      <c r="A22" s="386" t="s">
        <v>258</v>
      </c>
      <c r="B22" s="387" t="s">
        <v>46</v>
      </c>
      <c r="C22" s="388" t="s">
        <v>188</v>
      </c>
      <c r="D22" s="387" t="s">
        <v>48</v>
      </c>
      <c r="E22" s="386" t="s">
        <v>431</v>
      </c>
      <c r="F22" s="386" t="s">
        <v>432</v>
      </c>
      <c r="G22" s="386" t="s">
        <v>165</v>
      </c>
      <c r="H22" s="389" t="s">
        <v>3843</v>
      </c>
      <c r="I22" s="369" t="e">
        <f>VLOOKUP(H22,'合同高级查询数据-10月新返回合同'!A:A,1,0)</f>
        <v>#N/A</v>
      </c>
      <c r="J22" s="390" t="s">
        <v>3776</v>
      </c>
      <c r="K22" s="386" t="s">
        <v>3844</v>
      </c>
      <c r="L22" s="389" t="s">
        <v>3845</v>
      </c>
      <c r="M22" s="386"/>
      <c r="N22" s="391" t="s">
        <v>3846</v>
      </c>
      <c r="O22" s="386" t="s">
        <v>3847</v>
      </c>
      <c r="P22" s="392">
        <v>175000</v>
      </c>
      <c r="Q22" s="396">
        <v>4.2</v>
      </c>
      <c r="R22" s="393">
        <f t="shared" si="2"/>
        <v>735000</v>
      </c>
      <c r="S22" s="378">
        <v>202310</v>
      </c>
      <c r="T22" s="394" t="s">
        <v>4705</v>
      </c>
      <c r="U22" s="394"/>
      <c r="V22" s="398">
        <v>4.003655974</v>
      </c>
      <c r="W22" s="395">
        <v>4.3099999999999996</v>
      </c>
      <c r="X22" s="383"/>
      <c r="Y22" s="383"/>
      <c r="Z22" s="382" t="s">
        <v>3849</v>
      </c>
      <c r="AA22" s="384">
        <v>0.1</v>
      </c>
      <c r="AB22" s="384">
        <v>20</v>
      </c>
      <c r="AC22" s="384">
        <v>2</v>
      </c>
    </row>
    <row r="23" spans="1:29" s="385" customFormat="1" ht="15" customHeight="1">
      <c r="A23" s="386" t="s">
        <v>258</v>
      </c>
      <c r="B23" s="387" t="s">
        <v>46</v>
      </c>
      <c r="C23" s="388" t="s">
        <v>188</v>
      </c>
      <c r="D23" s="388" t="s">
        <v>48</v>
      </c>
      <c r="E23" s="386" t="s">
        <v>431</v>
      </c>
      <c r="F23" s="386" t="s">
        <v>432</v>
      </c>
      <c r="G23" s="386" t="s">
        <v>165</v>
      </c>
      <c r="H23" s="389" t="s">
        <v>632</v>
      </c>
      <c r="I23" s="369" t="e">
        <f>VLOOKUP(H23,'合同高级查询数据-10月新返回合同'!A:A,1,0)</f>
        <v>#N/A</v>
      </c>
      <c r="J23" s="390" t="s">
        <v>3724</v>
      </c>
      <c r="K23" s="386" t="s">
        <v>3851</v>
      </c>
      <c r="L23" s="389" t="s">
        <v>3852</v>
      </c>
      <c r="M23" s="386"/>
      <c r="N23" s="399" t="s">
        <v>3853</v>
      </c>
      <c r="O23" s="400" t="s">
        <v>3854</v>
      </c>
      <c r="P23" s="392">
        <v>9000</v>
      </c>
      <c r="Q23" s="396">
        <v>63.1</v>
      </c>
      <c r="R23" s="393">
        <f t="shared" si="2"/>
        <v>567900</v>
      </c>
      <c r="S23" s="378">
        <v>202310</v>
      </c>
      <c r="T23" s="394" t="s">
        <v>4704</v>
      </c>
      <c r="U23" s="394"/>
      <c r="V23" s="398">
        <v>61.550148925000002</v>
      </c>
      <c r="W23" s="395">
        <v>63.09</v>
      </c>
      <c r="X23" s="383"/>
      <c r="Y23" s="383"/>
      <c r="Z23" s="382" t="s">
        <v>3856</v>
      </c>
      <c r="AA23" s="384">
        <v>0.3</v>
      </c>
      <c r="AB23" s="384">
        <v>200</v>
      </c>
      <c r="AC23" s="384">
        <f>AA23*AB23</f>
        <v>60</v>
      </c>
    </row>
    <row r="24" spans="1:29" s="385" customFormat="1" ht="15" customHeight="1">
      <c r="A24" s="386" t="s">
        <v>258</v>
      </c>
      <c r="B24" s="387" t="s">
        <v>46</v>
      </c>
      <c r="C24" s="388" t="s">
        <v>188</v>
      </c>
      <c r="D24" s="387" t="s">
        <v>48</v>
      </c>
      <c r="E24" s="386" t="s">
        <v>431</v>
      </c>
      <c r="F24" s="386" t="s">
        <v>432</v>
      </c>
      <c r="G24" s="386" t="s">
        <v>165</v>
      </c>
      <c r="H24" s="389" t="s">
        <v>610</v>
      </c>
      <c r="I24" s="369" t="e">
        <f>VLOOKUP(H24,'合同高级查询数据-10月新返回合同'!A:A,1,0)</f>
        <v>#N/A</v>
      </c>
      <c r="J24" s="390" t="s">
        <v>3858</v>
      </c>
      <c r="K24" s="386" t="s">
        <v>3859</v>
      </c>
      <c r="L24" s="389" t="s">
        <v>3860</v>
      </c>
      <c r="M24" s="386"/>
      <c r="N24" s="391" t="s">
        <v>3861</v>
      </c>
      <c r="O24" s="386" t="s">
        <v>3862</v>
      </c>
      <c r="P24" s="392">
        <v>13333.33</v>
      </c>
      <c r="Q24" s="396">
        <v>62</v>
      </c>
      <c r="R24" s="393">
        <f t="shared" si="2"/>
        <v>826666.46</v>
      </c>
      <c r="S24" s="378">
        <v>202310</v>
      </c>
      <c r="T24" s="394" t="s">
        <v>4706</v>
      </c>
      <c r="U24" s="394"/>
      <c r="V24" s="398">
        <v>60.607211511000003</v>
      </c>
      <c r="W24" s="395">
        <v>63.2</v>
      </c>
      <c r="X24" s="383"/>
      <c r="Y24" s="383"/>
      <c r="Z24" s="382" t="s">
        <v>3864</v>
      </c>
      <c r="AA24" s="384">
        <v>0.2</v>
      </c>
      <c r="AB24" s="384">
        <v>240</v>
      </c>
      <c r="AC24" s="384">
        <v>48</v>
      </c>
    </row>
    <row r="25" spans="1:29" s="385" customFormat="1" ht="15" customHeight="1">
      <c r="A25" s="386" t="s">
        <v>258</v>
      </c>
      <c r="B25" s="387" t="s">
        <v>46</v>
      </c>
      <c r="C25" s="388" t="s">
        <v>188</v>
      </c>
      <c r="D25" s="387" t="s">
        <v>48</v>
      </c>
      <c r="E25" s="386" t="s">
        <v>431</v>
      </c>
      <c r="F25" s="386" t="s">
        <v>432</v>
      </c>
      <c r="G25" s="386" t="s">
        <v>165</v>
      </c>
      <c r="H25" s="389" t="s">
        <v>610</v>
      </c>
      <c r="I25" s="369" t="e">
        <f>VLOOKUP(H25,'合同高级查询数据-10月新返回合同'!A:A,1,0)</f>
        <v>#N/A</v>
      </c>
      <c r="J25" s="390" t="s">
        <v>3858</v>
      </c>
      <c r="K25" s="386" t="s">
        <v>3866</v>
      </c>
      <c r="L25" s="389" t="s">
        <v>3867</v>
      </c>
      <c r="M25" s="386"/>
      <c r="N25" s="391" t="s">
        <v>3868</v>
      </c>
      <c r="O25" s="386" t="s">
        <v>3869</v>
      </c>
      <c r="P25" s="392">
        <v>13333.33</v>
      </c>
      <c r="Q25" s="396">
        <v>16.809999999999999</v>
      </c>
      <c r="R25" s="393">
        <f t="shared" si="2"/>
        <v>224133.28</v>
      </c>
      <c r="S25" s="378">
        <v>202310</v>
      </c>
      <c r="T25" s="394" t="s">
        <v>4707</v>
      </c>
      <c r="U25" s="394"/>
      <c r="V25" s="398">
        <v>16.359276442999999</v>
      </c>
      <c r="W25" s="395">
        <v>16.809999999999999</v>
      </c>
      <c r="X25" s="383"/>
      <c r="Y25" s="383"/>
      <c r="Z25" s="382" t="s">
        <v>3871</v>
      </c>
      <c r="AA25" s="384">
        <v>0.2</v>
      </c>
      <c r="AB25" s="384">
        <v>40</v>
      </c>
      <c r="AC25" s="384">
        <v>8</v>
      </c>
    </row>
    <row r="26" spans="1:29" s="385" customFormat="1" ht="15" customHeight="1">
      <c r="A26" s="386" t="s">
        <v>258</v>
      </c>
      <c r="B26" s="387" t="s">
        <v>46</v>
      </c>
      <c r="C26" s="388" t="s">
        <v>188</v>
      </c>
      <c r="D26" s="387" t="s">
        <v>48</v>
      </c>
      <c r="E26" s="386" t="s">
        <v>431</v>
      </c>
      <c r="F26" s="386" t="s">
        <v>547</v>
      </c>
      <c r="G26" s="386" t="s">
        <v>165</v>
      </c>
      <c r="H26" s="390" t="s">
        <v>548</v>
      </c>
      <c r="I26" s="369" t="e">
        <f>VLOOKUP(H26,'合同高级查询数据-10月新返回合同'!A:A,1,0)</f>
        <v>#N/A</v>
      </c>
      <c r="J26" s="390" t="s">
        <v>3858</v>
      </c>
      <c r="K26" s="386" t="s">
        <v>3872</v>
      </c>
      <c r="L26" s="389" t="s">
        <v>3873</v>
      </c>
      <c r="M26" s="386"/>
      <c r="N26" s="391">
        <v>44453</v>
      </c>
      <c r="O26" s="386" t="s">
        <v>3874</v>
      </c>
      <c r="P26" s="392">
        <v>9000</v>
      </c>
      <c r="Q26" s="396">
        <v>81.2</v>
      </c>
      <c r="R26" s="393">
        <f t="shared" si="2"/>
        <v>730800</v>
      </c>
      <c r="S26" s="378">
        <v>202310</v>
      </c>
      <c r="T26" s="394" t="s">
        <v>4708</v>
      </c>
      <c r="U26" s="394"/>
      <c r="V26" s="398">
        <v>79.285362961000004</v>
      </c>
      <c r="W26" s="395">
        <v>82.94</v>
      </c>
      <c r="X26" s="383"/>
      <c r="Y26" s="383"/>
      <c r="Z26" s="382" t="s">
        <v>550</v>
      </c>
      <c r="AA26" s="384">
        <v>0.3</v>
      </c>
      <c r="AB26" s="384">
        <v>180</v>
      </c>
      <c r="AC26" s="384">
        <v>54</v>
      </c>
    </row>
    <row r="27" spans="1:29" s="385" customFormat="1" ht="15" customHeight="1">
      <c r="A27" s="386" t="s">
        <v>258</v>
      </c>
      <c r="B27" s="387" t="s">
        <v>46</v>
      </c>
      <c r="C27" s="388" t="s">
        <v>188</v>
      </c>
      <c r="D27" s="388" t="s">
        <v>48</v>
      </c>
      <c r="E27" s="386" t="s">
        <v>431</v>
      </c>
      <c r="F27" s="386" t="s">
        <v>432</v>
      </c>
      <c r="G27" s="386" t="s">
        <v>165</v>
      </c>
      <c r="H27" s="390" t="s">
        <v>478</v>
      </c>
      <c r="I27" s="369" t="e">
        <f>VLOOKUP(H27,'合同高级查询数据-10月新返回合同'!A:A,1,0)</f>
        <v>#N/A</v>
      </c>
      <c r="J27" s="390" t="s">
        <v>3724</v>
      </c>
      <c r="K27" s="386" t="s">
        <v>3877</v>
      </c>
      <c r="L27" s="389" t="s">
        <v>492</v>
      </c>
      <c r="M27" s="386"/>
      <c r="N27" s="391" t="s">
        <v>3878</v>
      </c>
      <c r="O27" s="400" t="s">
        <v>3879</v>
      </c>
      <c r="P27" s="392">
        <v>9000</v>
      </c>
      <c r="Q27" s="396">
        <v>76</v>
      </c>
      <c r="R27" s="393">
        <f t="shared" si="2"/>
        <v>684000</v>
      </c>
      <c r="S27" s="378">
        <v>202310</v>
      </c>
      <c r="T27" s="394" t="s">
        <v>3880</v>
      </c>
      <c r="U27" s="394"/>
      <c r="V27" s="398">
        <v>75.939076385000007</v>
      </c>
      <c r="W27" s="395"/>
      <c r="X27" s="383"/>
      <c r="Y27" s="383"/>
      <c r="Z27" s="382" t="s">
        <v>3881</v>
      </c>
      <c r="AA27" s="384">
        <v>0.3</v>
      </c>
      <c r="AB27" s="384">
        <v>180</v>
      </c>
      <c r="AC27" s="384">
        <v>54</v>
      </c>
    </row>
    <row r="28" spans="1:29" s="385" customFormat="1" ht="15" customHeight="1">
      <c r="A28" s="386" t="s">
        <v>260</v>
      </c>
      <c r="B28" s="387" t="s">
        <v>46</v>
      </c>
      <c r="C28" s="388" t="s">
        <v>188</v>
      </c>
      <c r="D28" s="388" t="s">
        <v>48</v>
      </c>
      <c r="E28" s="386" t="s">
        <v>431</v>
      </c>
      <c r="F28" s="386" t="s">
        <v>432</v>
      </c>
      <c r="G28" s="386" t="s">
        <v>165</v>
      </c>
      <c r="H28" s="390" t="s">
        <v>478</v>
      </c>
      <c r="I28" s="369" t="e">
        <f>VLOOKUP(H28,'合同高级查询数据-10月新返回合同'!A:A,1,0)</f>
        <v>#N/A</v>
      </c>
      <c r="J28" s="390" t="s">
        <v>3724</v>
      </c>
      <c r="K28" s="386" t="s">
        <v>3883</v>
      </c>
      <c r="L28" s="389" t="s">
        <v>3603</v>
      </c>
      <c r="M28" s="386"/>
      <c r="N28" s="391" t="s">
        <v>3884</v>
      </c>
      <c r="O28" s="386" t="s">
        <v>3885</v>
      </c>
      <c r="P28" s="392">
        <v>7794</v>
      </c>
      <c r="Q28" s="396">
        <v>131</v>
      </c>
      <c r="R28" s="393">
        <f t="shared" si="2"/>
        <v>1021014</v>
      </c>
      <c r="S28" s="378">
        <v>202310</v>
      </c>
      <c r="T28" s="394" t="s">
        <v>9185</v>
      </c>
      <c r="U28" s="394"/>
      <c r="V28" s="398">
        <v>128.599264831</v>
      </c>
      <c r="W28" s="395">
        <v>133.30000000000001</v>
      </c>
      <c r="X28" s="383"/>
      <c r="Y28" s="383"/>
      <c r="Z28" s="382" t="s">
        <v>3887</v>
      </c>
      <c r="AA28" s="384">
        <v>0.3</v>
      </c>
      <c r="AB28" s="384">
        <v>280</v>
      </c>
      <c r="AC28" s="384">
        <v>84</v>
      </c>
    </row>
    <row r="29" spans="1:29" s="385" customFormat="1" ht="15" customHeight="1">
      <c r="A29" s="386" t="s">
        <v>45</v>
      </c>
      <c r="B29" s="387" t="s">
        <v>46</v>
      </c>
      <c r="C29" s="388" t="s">
        <v>188</v>
      </c>
      <c r="D29" s="388" t="s">
        <v>48</v>
      </c>
      <c r="E29" s="386" t="s">
        <v>431</v>
      </c>
      <c r="F29" s="386" t="s">
        <v>432</v>
      </c>
      <c r="G29" s="386" t="s">
        <v>165</v>
      </c>
      <c r="H29" s="390" t="s">
        <v>478</v>
      </c>
      <c r="I29" s="369" t="e">
        <f>VLOOKUP(H29,'合同高级查询数据-10月新返回合同'!A:A,1,0)</f>
        <v>#N/A</v>
      </c>
      <c r="J29" s="390" t="s">
        <v>3724</v>
      </c>
      <c r="K29" s="386" t="s">
        <v>3888</v>
      </c>
      <c r="L29" s="389" t="s">
        <v>3889</v>
      </c>
      <c r="M29" s="386"/>
      <c r="N29" s="391" t="s">
        <v>3890</v>
      </c>
      <c r="O29" s="386" t="s">
        <v>3891</v>
      </c>
      <c r="P29" s="392">
        <v>5000</v>
      </c>
      <c r="Q29" s="396">
        <v>133.1</v>
      </c>
      <c r="R29" s="393">
        <f t="shared" si="2"/>
        <v>665500</v>
      </c>
      <c r="S29" s="378">
        <v>202310</v>
      </c>
      <c r="T29" s="394" t="s">
        <v>9186</v>
      </c>
      <c r="U29" s="394"/>
      <c r="V29" s="398">
        <v>127.34965515099999</v>
      </c>
      <c r="W29" s="395">
        <v>138.69999999999999</v>
      </c>
      <c r="X29" s="383"/>
      <c r="Y29" s="383"/>
      <c r="Z29" s="382" t="s">
        <v>3893</v>
      </c>
      <c r="AA29" s="384">
        <v>0.3</v>
      </c>
      <c r="AB29" s="384">
        <v>260</v>
      </c>
      <c r="AC29" s="384">
        <v>78</v>
      </c>
    </row>
    <row r="30" spans="1:29" s="385" customFormat="1" ht="15" customHeight="1">
      <c r="A30" s="386" t="s">
        <v>258</v>
      </c>
      <c r="B30" s="387" t="s">
        <v>46</v>
      </c>
      <c r="C30" s="388" t="s">
        <v>188</v>
      </c>
      <c r="D30" s="388" t="s">
        <v>48</v>
      </c>
      <c r="E30" s="386" t="s">
        <v>431</v>
      </c>
      <c r="F30" s="386" t="s">
        <v>432</v>
      </c>
      <c r="G30" s="386" t="s">
        <v>165</v>
      </c>
      <c r="H30" s="389" t="s">
        <v>632</v>
      </c>
      <c r="I30" s="369" t="e">
        <f>VLOOKUP(H30,'合同高级查询数据-10月新返回合同'!A:A,1,0)</f>
        <v>#N/A</v>
      </c>
      <c r="J30" s="390" t="s">
        <v>3724</v>
      </c>
      <c r="K30" s="386" t="s">
        <v>626</v>
      </c>
      <c r="L30" s="389" t="s">
        <v>627</v>
      </c>
      <c r="M30" s="386" t="s">
        <v>628</v>
      </c>
      <c r="N30" s="399" t="s">
        <v>3894</v>
      </c>
      <c r="O30" s="400" t="s">
        <v>3895</v>
      </c>
      <c r="P30" s="392">
        <v>6000</v>
      </c>
      <c r="Q30" s="396">
        <v>86.3</v>
      </c>
      <c r="R30" s="393">
        <f t="shared" si="2"/>
        <v>517800</v>
      </c>
      <c r="S30" s="378">
        <v>202310</v>
      </c>
      <c r="T30" s="401" t="s">
        <v>4703</v>
      </c>
      <c r="U30" s="394"/>
      <c r="V30" s="398">
        <v>84.880314542999997</v>
      </c>
      <c r="W30" s="395">
        <v>87.61</v>
      </c>
      <c r="X30" s="383"/>
      <c r="Y30" s="383"/>
      <c r="Z30" s="382" t="s">
        <v>3897</v>
      </c>
      <c r="AA30" s="384">
        <v>0.3</v>
      </c>
      <c r="AB30" s="384">
        <v>140</v>
      </c>
      <c r="AC30" s="384">
        <f>AA30*AB30</f>
        <v>42</v>
      </c>
    </row>
    <row r="31" spans="1:29" s="385" customFormat="1" ht="15" customHeight="1">
      <c r="A31" s="386" t="s">
        <v>258</v>
      </c>
      <c r="B31" s="387" t="s">
        <v>46</v>
      </c>
      <c r="C31" s="388" t="s">
        <v>188</v>
      </c>
      <c r="D31" s="388" t="s">
        <v>48</v>
      </c>
      <c r="E31" s="386" t="s">
        <v>431</v>
      </c>
      <c r="F31" s="386" t="s">
        <v>432</v>
      </c>
      <c r="G31" s="402" t="s">
        <v>165</v>
      </c>
      <c r="H31" s="390" t="s">
        <v>648</v>
      </c>
      <c r="I31" s="369" t="e">
        <f>VLOOKUP(H31,'合同高级查询数据-10月新返回合同'!A:A,1,0)</f>
        <v>#N/A</v>
      </c>
      <c r="J31" s="390" t="s">
        <v>3724</v>
      </c>
      <c r="K31" s="402" t="s">
        <v>649</v>
      </c>
      <c r="L31" s="389" t="s">
        <v>650</v>
      </c>
      <c r="M31" s="403" t="s">
        <v>651</v>
      </c>
      <c r="N31" s="373" t="s">
        <v>3898</v>
      </c>
      <c r="O31" s="373" t="s">
        <v>3899</v>
      </c>
      <c r="P31" s="404">
        <v>9000</v>
      </c>
      <c r="Q31" s="405">
        <v>6.85</v>
      </c>
      <c r="R31" s="405">
        <f t="shared" si="2"/>
        <v>61650</v>
      </c>
      <c r="S31" s="378">
        <v>202310</v>
      </c>
      <c r="T31" s="406" t="s">
        <v>4709</v>
      </c>
      <c r="U31" s="407"/>
      <c r="V31" s="398">
        <v>6.7691562760000004</v>
      </c>
      <c r="W31" s="408">
        <v>6.85</v>
      </c>
      <c r="X31" s="383"/>
      <c r="Y31" s="383"/>
      <c r="Z31" s="382" t="s">
        <v>3901</v>
      </c>
      <c r="AA31" s="384">
        <v>0.3</v>
      </c>
      <c r="AB31" s="409">
        <v>10</v>
      </c>
      <c r="AC31" s="384">
        <v>3</v>
      </c>
    </row>
    <row r="32" spans="1:29" s="385" customFormat="1" ht="15" customHeight="1">
      <c r="A32" s="386" t="s">
        <v>57</v>
      </c>
      <c r="B32" s="387" t="s">
        <v>3728</v>
      </c>
      <c r="C32" s="388" t="s">
        <v>84</v>
      </c>
      <c r="D32" s="388" t="s">
        <v>3729</v>
      </c>
      <c r="E32" s="386" t="s">
        <v>3902</v>
      </c>
      <c r="F32" s="386" t="s">
        <v>3903</v>
      </c>
      <c r="G32" s="386" t="s">
        <v>165</v>
      </c>
      <c r="H32" s="389" t="s">
        <v>3904</v>
      </c>
      <c r="I32" s="369" t="e">
        <f>VLOOKUP(H32,'合同高级查询数据-10月新返回合同'!A:A,1,0)</f>
        <v>#N/A</v>
      </c>
      <c r="J32" s="390" t="s">
        <v>3724</v>
      </c>
      <c r="K32" s="386" t="s">
        <v>3835</v>
      </c>
      <c r="L32" s="389" t="s">
        <v>3905</v>
      </c>
      <c r="M32" s="386"/>
      <c r="N32" s="391">
        <v>45017</v>
      </c>
      <c r="O32" s="386"/>
      <c r="P32" s="392">
        <v>4900</v>
      </c>
      <c r="Q32" s="396">
        <v>206.79499999999999</v>
      </c>
      <c r="R32" s="393">
        <f t="shared" si="2"/>
        <v>1013295.5</v>
      </c>
      <c r="S32" s="378">
        <v>202310</v>
      </c>
      <c r="T32" s="394" t="s">
        <v>3906</v>
      </c>
      <c r="U32" s="394"/>
      <c r="V32" s="381">
        <v>206.794555664</v>
      </c>
      <c r="W32" s="395"/>
      <c r="X32" s="383"/>
      <c r="Y32" s="383"/>
      <c r="Z32" s="382" t="s">
        <v>3907</v>
      </c>
      <c r="AA32" s="384">
        <v>0</v>
      </c>
      <c r="AB32" s="384"/>
      <c r="AC32" s="384">
        <v>0</v>
      </c>
    </row>
    <row r="33" spans="1:29" s="577" customFormat="1" ht="15" customHeight="1">
      <c r="A33" s="561" t="s">
        <v>57</v>
      </c>
      <c r="B33" s="562" t="s">
        <v>3728</v>
      </c>
      <c r="C33" s="563" t="s">
        <v>84</v>
      </c>
      <c r="D33" s="563" t="s">
        <v>3729</v>
      </c>
      <c r="E33" s="561" t="s">
        <v>3909</v>
      </c>
      <c r="F33" s="561" t="s">
        <v>3910</v>
      </c>
      <c r="G33" s="561" t="s">
        <v>165</v>
      </c>
      <c r="H33" s="564" t="s">
        <v>3911</v>
      </c>
      <c r="I33" s="565" t="e">
        <f>VLOOKUP(H33,'合同高级查询数据-10月新返回合同'!A:A,1,0)</f>
        <v>#N/A</v>
      </c>
      <c r="J33" s="566" t="s">
        <v>3724</v>
      </c>
      <c r="K33" s="561" t="s">
        <v>3912</v>
      </c>
      <c r="L33" s="564" t="s">
        <v>3913</v>
      </c>
      <c r="M33" s="561"/>
      <c r="N33" s="567">
        <v>43922</v>
      </c>
      <c r="O33" s="561"/>
      <c r="P33" s="580" t="s">
        <v>3914</v>
      </c>
      <c r="Q33" s="579"/>
      <c r="R33" s="569">
        <v>0</v>
      </c>
      <c r="S33" s="570">
        <v>202310</v>
      </c>
      <c r="T33" s="571" t="s">
        <v>3915</v>
      </c>
      <c r="U33" s="571"/>
      <c r="V33" s="572"/>
      <c r="W33" s="581"/>
      <c r="X33" s="574">
        <v>45017</v>
      </c>
      <c r="Y33" s="574">
        <v>45382</v>
      </c>
      <c r="Z33" s="575"/>
      <c r="AA33" s="576">
        <v>0</v>
      </c>
      <c r="AB33" s="576"/>
      <c r="AC33" s="576">
        <v>0</v>
      </c>
    </row>
    <row r="34" spans="1:29" s="577" customFormat="1" ht="15" customHeight="1">
      <c r="A34" s="561" t="s">
        <v>57</v>
      </c>
      <c r="B34" s="562" t="s">
        <v>3728</v>
      </c>
      <c r="C34" s="563" t="s">
        <v>84</v>
      </c>
      <c r="D34" s="563" t="s">
        <v>3729</v>
      </c>
      <c r="E34" s="561" t="s">
        <v>3909</v>
      </c>
      <c r="F34" s="561" t="s">
        <v>3910</v>
      </c>
      <c r="G34" s="561" t="s">
        <v>165</v>
      </c>
      <c r="H34" s="564" t="s">
        <v>3911</v>
      </c>
      <c r="I34" s="565" t="e">
        <f>VLOOKUP(H34,'合同高级查询数据-10月新返回合同'!A:A,1,0)</f>
        <v>#N/A</v>
      </c>
      <c r="J34" s="566" t="s">
        <v>3724</v>
      </c>
      <c r="K34" s="561"/>
      <c r="L34" s="564" t="s">
        <v>3916</v>
      </c>
      <c r="M34" s="561"/>
      <c r="N34" s="567"/>
      <c r="O34" s="561"/>
      <c r="P34" s="568">
        <v>0.2</v>
      </c>
      <c r="Q34" s="579"/>
      <c r="R34" s="569">
        <f>ROUND(P34*Q34,2)</f>
        <v>0</v>
      </c>
      <c r="S34" s="570">
        <v>202310</v>
      </c>
      <c r="T34" s="571" t="s">
        <v>3917</v>
      </c>
      <c r="U34" s="571"/>
      <c r="V34" s="572"/>
      <c r="W34" s="573"/>
      <c r="X34" s="574">
        <v>45017</v>
      </c>
      <c r="Y34" s="574">
        <v>45382</v>
      </c>
      <c r="Z34" s="575"/>
      <c r="AA34" s="576">
        <v>0</v>
      </c>
      <c r="AB34" s="576"/>
      <c r="AC34" s="576">
        <v>0</v>
      </c>
    </row>
    <row r="35" spans="1:29" s="577" customFormat="1" ht="15" customHeight="1">
      <c r="A35" s="561" t="s">
        <v>57</v>
      </c>
      <c r="B35" s="562" t="s">
        <v>3728</v>
      </c>
      <c r="C35" s="563" t="s">
        <v>84</v>
      </c>
      <c r="D35" s="563" t="s">
        <v>3729</v>
      </c>
      <c r="E35" s="561" t="s">
        <v>3909</v>
      </c>
      <c r="F35" s="561" t="s">
        <v>3910</v>
      </c>
      <c r="G35" s="561" t="s">
        <v>165</v>
      </c>
      <c r="H35" s="564" t="s">
        <v>3911</v>
      </c>
      <c r="I35" s="565" t="e">
        <f>VLOOKUP(H35,'合同高级查询数据-10月新返回合同'!A:A,1,0)</f>
        <v>#N/A</v>
      </c>
      <c r="J35" s="566" t="s">
        <v>3724</v>
      </c>
      <c r="K35" s="561" t="s">
        <v>3918</v>
      </c>
      <c r="L35" s="564" t="s">
        <v>3919</v>
      </c>
      <c r="M35" s="561"/>
      <c r="N35" s="567">
        <v>43922</v>
      </c>
      <c r="O35" s="561"/>
      <c r="P35" s="568" t="s">
        <v>3920</v>
      </c>
      <c r="Q35" s="579"/>
      <c r="R35" s="569">
        <f>ROUND(Q35*0.3,2)</f>
        <v>0</v>
      </c>
      <c r="S35" s="570">
        <v>202310</v>
      </c>
      <c r="T35" s="571" t="s">
        <v>3921</v>
      </c>
      <c r="U35" s="571"/>
      <c r="V35" s="572"/>
      <c r="W35" s="573"/>
      <c r="X35" s="574">
        <v>45017</v>
      </c>
      <c r="Y35" s="574">
        <v>45382</v>
      </c>
      <c r="Z35" s="575"/>
      <c r="AA35" s="576">
        <v>0</v>
      </c>
      <c r="AB35" s="576"/>
      <c r="AC35" s="576">
        <v>0</v>
      </c>
    </row>
    <row r="36" spans="1:29" s="385" customFormat="1" ht="15" customHeight="1">
      <c r="A36" s="386" t="s">
        <v>57</v>
      </c>
      <c r="B36" s="387" t="s">
        <v>3728</v>
      </c>
      <c r="C36" s="388" t="s">
        <v>84</v>
      </c>
      <c r="D36" s="388" t="s">
        <v>3729</v>
      </c>
      <c r="E36" s="386" t="s">
        <v>3922</v>
      </c>
      <c r="F36" s="386" t="s">
        <v>3923</v>
      </c>
      <c r="G36" s="386" t="s">
        <v>165</v>
      </c>
      <c r="H36" s="389" t="s">
        <v>3924</v>
      </c>
      <c r="I36" s="369" t="e">
        <f>VLOOKUP(H36,'合同高级查询数据-10月新返回合同'!A:A,1,0)</f>
        <v>#N/A</v>
      </c>
      <c r="J36" s="390" t="s">
        <v>3724</v>
      </c>
      <c r="K36" s="386" t="s">
        <v>3925</v>
      </c>
      <c r="L36" s="389" t="s">
        <v>3925</v>
      </c>
      <c r="M36" s="386"/>
      <c r="N36" s="391">
        <v>44197</v>
      </c>
      <c r="O36" s="386"/>
      <c r="P36" s="392">
        <v>6200</v>
      </c>
      <c r="Q36" s="396">
        <v>1.962</v>
      </c>
      <c r="R36" s="393">
        <f t="shared" ref="R36:R56" si="3">ROUND(P36*Q36,2)</f>
        <v>12164.4</v>
      </c>
      <c r="S36" s="378">
        <v>202310</v>
      </c>
      <c r="T36" s="394" t="s">
        <v>3926</v>
      </c>
      <c r="U36" s="394"/>
      <c r="V36" s="381">
        <v>1.9614301919999999</v>
      </c>
      <c r="W36" s="395"/>
      <c r="X36" s="383"/>
      <c r="Y36" s="383"/>
      <c r="Z36" s="382" t="s">
        <v>3927</v>
      </c>
      <c r="AA36" s="384">
        <v>0</v>
      </c>
      <c r="AB36" s="384"/>
      <c r="AC36" s="384">
        <v>0</v>
      </c>
    </row>
    <row r="37" spans="1:29" s="577" customFormat="1" ht="15" customHeight="1">
      <c r="A37" s="561" t="s">
        <v>57</v>
      </c>
      <c r="B37" s="562" t="s">
        <v>3728</v>
      </c>
      <c r="C37" s="563" t="s">
        <v>84</v>
      </c>
      <c r="D37" s="563" t="s">
        <v>3729</v>
      </c>
      <c r="E37" s="561" t="s">
        <v>3922</v>
      </c>
      <c r="F37" s="561" t="s">
        <v>3923</v>
      </c>
      <c r="G37" s="561" t="s">
        <v>165</v>
      </c>
      <c r="H37" s="564" t="s">
        <v>3928</v>
      </c>
      <c r="I37" s="565" t="e">
        <f>VLOOKUP(H37,'合同高级查询数据-10月新返回合同'!A:A,1,0)</f>
        <v>#N/A</v>
      </c>
      <c r="J37" s="566" t="s">
        <v>3724</v>
      </c>
      <c r="K37" s="561" t="s">
        <v>3929</v>
      </c>
      <c r="L37" s="564" t="s">
        <v>3929</v>
      </c>
      <c r="M37" s="561"/>
      <c r="N37" s="567">
        <v>44197</v>
      </c>
      <c r="O37" s="561"/>
      <c r="P37" s="568">
        <v>4800</v>
      </c>
      <c r="Q37" s="579">
        <v>63.682000000000002</v>
      </c>
      <c r="R37" s="569">
        <f t="shared" si="3"/>
        <v>305673.59999999998</v>
      </c>
      <c r="S37" s="570">
        <v>202310</v>
      </c>
      <c r="T37" s="571" t="s">
        <v>3930</v>
      </c>
      <c r="U37" s="571"/>
      <c r="V37" s="572">
        <v>63.681228638</v>
      </c>
      <c r="W37" s="573"/>
      <c r="X37" s="574">
        <v>45047</v>
      </c>
      <c r="Y37" s="574">
        <v>45412</v>
      </c>
      <c r="Z37" s="575" t="s">
        <v>3931</v>
      </c>
      <c r="AA37" s="576">
        <v>0</v>
      </c>
      <c r="AB37" s="576"/>
      <c r="AC37" s="576">
        <v>0</v>
      </c>
    </row>
    <row r="38" spans="1:29" s="577" customFormat="1" ht="15" customHeight="1">
      <c r="A38" s="561" t="s">
        <v>57</v>
      </c>
      <c r="B38" s="562" t="s">
        <v>3728</v>
      </c>
      <c r="C38" s="563" t="s">
        <v>84</v>
      </c>
      <c r="D38" s="563" t="s">
        <v>3729</v>
      </c>
      <c r="E38" s="561" t="s">
        <v>3932</v>
      </c>
      <c r="F38" s="561" t="s">
        <v>3933</v>
      </c>
      <c r="G38" s="561" t="s">
        <v>165</v>
      </c>
      <c r="H38" s="564" t="s">
        <v>3934</v>
      </c>
      <c r="I38" s="565" t="e">
        <f>VLOOKUP(H38,'合同高级查询数据-10月新返回合同'!A:A,1,0)</f>
        <v>#N/A</v>
      </c>
      <c r="J38" s="566" t="s">
        <v>3724</v>
      </c>
      <c r="K38" s="561"/>
      <c r="L38" s="564" t="s">
        <v>3935</v>
      </c>
      <c r="M38" s="561"/>
      <c r="N38" s="567">
        <v>44562</v>
      </c>
      <c r="O38" s="561"/>
      <c r="P38" s="568">
        <v>5800</v>
      </c>
      <c r="Q38" s="579">
        <v>1315.72</v>
      </c>
      <c r="R38" s="569">
        <f t="shared" si="3"/>
        <v>7631176</v>
      </c>
      <c r="S38" s="570">
        <v>202310</v>
      </c>
      <c r="T38" s="571" t="s">
        <v>3936</v>
      </c>
      <c r="U38" s="571"/>
      <c r="V38" s="572">
        <v>1315.7198486330001</v>
      </c>
      <c r="W38" s="582"/>
      <c r="X38" s="574">
        <v>44866</v>
      </c>
      <c r="Y38" s="574">
        <v>45230</v>
      </c>
      <c r="Z38" s="575" t="s">
        <v>3938</v>
      </c>
      <c r="AA38" s="576"/>
      <c r="AB38" s="576"/>
      <c r="AC38" s="576">
        <v>0</v>
      </c>
    </row>
    <row r="39" spans="1:29" s="577" customFormat="1" ht="15" customHeight="1">
      <c r="A39" s="561" t="s">
        <v>57</v>
      </c>
      <c r="B39" s="562" t="s">
        <v>3728</v>
      </c>
      <c r="C39" s="563" t="s">
        <v>84</v>
      </c>
      <c r="D39" s="563" t="s">
        <v>3729</v>
      </c>
      <c r="E39" s="561" t="s">
        <v>3940</v>
      </c>
      <c r="F39" s="561" t="s">
        <v>3941</v>
      </c>
      <c r="G39" s="561" t="s">
        <v>165</v>
      </c>
      <c r="H39" s="564" t="s">
        <v>3942</v>
      </c>
      <c r="I39" s="565" t="e">
        <f>VLOOKUP(H39,'合同高级查询数据-10月新返回合同'!A:A,1,0)</f>
        <v>#N/A</v>
      </c>
      <c r="J39" s="566" t="s">
        <v>3724</v>
      </c>
      <c r="K39" s="561"/>
      <c r="L39" s="564" t="s">
        <v>3943</v>
      </c>
      <c r="M39" s="561"/>
      <c r="N39" s="567">
        <v>44896</v>
      </c>
      <c r="O39" s="561"/>
      <c r="P39" s="568">
        <v>8400</v>
      </c>
      <c r="Q39" s="579">
        <v>107.11799999999999</v>
      </c>
      <c r="R39" s="569">
        <f t="shared" si="3"/>
        <v>899791.2</v>
      </c>
      <c r="S39" s="570">
        <v>202310</v>
      </c>
      <c r="T39" s="571" t="s">
        <v>3944</v>
      </c>
      <c r="U39" s="571"/>
      <c r="V39" s="572">
        <v>107.117195129</v>
      </c>
      <c r="W39" s="573"/>
      <c r="X39" s="574">
        <v>44896</v>
      </c>
      <c r="Y39" s="574">
        <v>45260</v>
      </c>
      <c r="Z39" s="575" t="s">
        <v>3945</v>
      </c>
      <c r="AA39" s="576">
        <v>0</v>
      </c>
      <c r="AB39" s="576"/>
      <c r="AC39" s="576">
        <v>0</v>
      </c>
    </row>
    <row r="40" spans="1:29" s="577" customFormat="1" ht="15" customHeight="1">
      <c r="A40" s="561" t="s">
        <v>57</v>
      </c>
      <c r="B40" s="562" t="s">
        <v>3728</v>
      </c>
      <c r="C40" s="563" t="s">
        <v>84</v>
      </c>
      <c r="D40" s="563" t="s">
        <v>3729</v>
      </c>
      <c r="E40" s="561" t="s">
        <v>3947</v>
      </c>
      <c r="F40" s="561" t="s">
        <v>3948</v>
      </c>
      <c r="G40" s="561" t="s">
        <v>165</v>
      </c>
      <c r="H40" s="564" t="s">
        <v>3949</v>
      </c>
      <c r="I40" s="565" t="e">
        <f>VLOOKUP(H40,'合同高级查询数据-10月新返回合同'!A:A,1,0)</f>
        <v>#N/A</v>
      </c>
      <c r="J40" s="566" t="s">
        <v>3724</v>
      </c>
      <c r="K40" s="561" t="s">
        <v>3950</v>
      </c>
      <c r="L40" s="564" t="s">
        <v>3951</v>
      </c>
      <c r="M40" s="561"/>
      <c r="N40" s="567">
        <v>44593</v>
      </c>
      <c r="O40" s="561"/>
      <c r="P40" s="568">
        <v>5400</v>
      </c>
      <c r="Q40" s="579">
        <v>354.41300000000001</v>
      </c>
      <c r="R40" s="569">
        <f t="shared" si="3"/>
        <v>1913830.2</v>
      </c>
      <c r="S40" s="570">
        <v>202310</v>
      </c>
      <c r="T40" s="571" t="s">
        <v>3952</v>
      </c>
      <c r="U40" s="571"/>
      <c r="V40" s="572">
        <v>354.412841797</v>
      </c>
      <c r="W40" s="573"/>
      <c r="X40" s="574">
        <v>44958</v>
      </c>
      <c r="Y40" s="574">
        <v>45322</v>
      </c>
      <c r="Z40" s="575" t="s">
        <v>3953</v>
      </c>
      <c r="AA40" s="576">
        <v>0</v>
      </c>
      <c r="AB40" s="576"/>
      <c r="AC40" s="576">
        <v>0</v>
      </c>
    </row>
    <row r="41" spans="1:29" s="577" customFormat="1" ht="15" customHeight="1">
      <c r="A41" s="561" t="s">
        <v>57</v>
      </c>
      <c r="B41" s="562" t="s">
        <v>3728</v>
      </c>
      <c r="C41" s="563" t="s">
        <v>84</v>
      </c>
      <c r="D41" s="563" t="s">
        <v>3729</v>
      </c>
      <c r="E41" s="561" t="s">
        <v>3947</v>
      </c>
      <c r="F41" s="561" t="s">
        <v>3948</v>
      </c>
      <c r="G41" s="561" t="s">
        <v>165</v>
      </c>
      <c r="H41" s="564" t="s">
        <v>3955</v>
      </c>
      <c r="I41" s="565" t="str">
        <f>VLOOKUP(H41,'合同高级查询数据-10月新返回合同'!A:A,1,0)</f>
        <v>182315IDC00477</v>
      </c>
      <c r="J41" s="566" t="s">
        <v>3724</v>
      </c>
      <c r="K41" s="561" t="s">
        <v>3956</v>
      </c>
      <c r="L41" s="564" t="s">
        <v>3957</v>
      </c>
      <c r="M41" s="561"/>
      <c r="N41" s="567">
        <v>44287</v>
      </c>
      <c r="O41" s="561"/>
      <c r="P41" s="568">
        <v>3500</v>
      </c>
      <c r="Q41" s="579">
        <v>11.946</v>
      </c>
      <c r="R41" s="569">
        <f t="shared" si="3"/>
        <v>41811</v>
      </c>
      <c r="S41" s="570">
        <v>202310</v>
      </c>
      <c r="T41" s="571" t="s">
        <v>3958</v>
      </c>
      <c r="U41" s="571"/>
      <c r="V41" s="572">
        <v>11.945874214</v>
      </c>
      <c r="W41" s="573"/>
      <c r="X41" s="574">
        <v>45017</v>
      </c>
      <c r="Y41" s="574">
        <v>45382</v>
      </c>
      <c r="Z41" s="575" t="s">
        <v>3959</v>
      </c>
      <c r="AA41" s="576">
        <v>0</v>
      </c>
      <c r="AB41" s="576"/>
      <c r="AC41" s="576">
        <v>0</v>
      </c>
    </row>
    <row r="42" spans="1:29" s="577" customFormat="1" ht="15" customHeight="1">
      <c r="A42" s="561" t="s">
        <v>57</v>
      </c>
      <c r="B42" s="562" t="s">
        <v>3728</v>
      </c>
      <c r="C42" s="563" t="s">
        <v>84</v>
      </c>
      <c r="D42" s="563" t="s">
        <v>3729</v>
      </c>
      <c r="E42" s="561" t="s">
        <v>3947</v>
      </c>
      <c r="F42" s="561" t="s">
        <v>3948</v>
      </c>
      <c r="G42" s="561" t="s">
        <v>165</v>
      </c>
      <c r="H42" s="564" t="s">
        <v>3955</v>
      </c>
      <c r="I42" s="565" t="str">
        <f>VLOOKUP(H42,'合同高级查询数据-10月新返回合同'!A:A,1,0)</f>
        <v>182315IDC00477</v>
      </c>
      <c r="J42" s="566" t="s">
        <v>3724</v>
      </c>
      <c r="K42" s="561" t="s">
        <v>3961</v>
      </c>
      <c r="L42" s="564" t="s">
        <v>3962</v>
      </c>
      <c r="M42" s="561"/>
      <c r="N42" s="567">
        <v>44774</v>
      </c>
      <c r="O42" s="561"/>
      <c r="P42" s="568">
        <v>6500</v>
      </c>
      <c r="Q42" s="579">
        <v>43.277999999999999</v>
      </c>
      <c r="R42" s="569">
        <f t="shared" si="3"/>
        <v>281307</v>
      </c>
      <c r="S42" s="570">
        <v>202310</v>
      </c>
      <c r="T42" s="571" t="s">
        <v>3963</v>
      </c>
      <c r="U42" s="571"/>
      <c r="V42" s="572">
        <v>43.277767181000002</v>
      </c>
      <c r="W42" s="573"/>
      <c r="X42" s="574">
        <v>45017</v>
      </c>
      <c r="Y42" s="574">
        <v>45382</v>
      </c>
      <c r="Z42" s="575" t="s">
        <v>3964</v>
      </c>
      <c r="AA42" s="576">
        <v>0</v>
      </c>
      <c r="AB42" s="576"/>
      <c r="AC42" s="576">
        <v>0</v>
      </c>
    </row>
    <row r="43" spans="1:29" s="385" customFormat="1" ht="15" customHeight="1">
      <c r="A43" s="386" t="s">
        <v>57</v>
      </c>
      <c r="B43" s="387" t="s">
        <v>3728</v>
      </c>
      <c r="C43" s="388" t="s">
        <v>84</v>
      </c>
      <c r="D43" s="388" t="s">
        <v>3729</v>
      </c>
      <c r="E43" s="386" t="s">
        <v>3965</v>
      </c>
      <c r="F43" s="386" t="s">
        <v>3966</v>
      </c>
      <c r="G43" s="386" t="s">
        <v>165</v>
      </c>
      <c r="H43" s="389" t="s">
        <v>3967</v>
      </c>
      <c r="I43" s="369" t="e">
        <f>VLOOKUP(H43,'合同高级查询数据-10月新返回合同'!A:A,1,0)</f>
        <v>#N/A</v>
      </c>
      <c r="J43" s="390" t="s">
        <v>3724</v>
      </c>
      <c r="K43" s="386" t="s">
        <v>3968</v>
      </c>
      <c r="L43" s="389" t="s">
        <v>3969</v>
      </c>
      <c r="M43" s="386"/>
      <c r="N43" s="391">
        <v>44593</v>
      </c>
      <c r="O43" s="386"/>
      <c r="P43" s="392">
        <v>6800</v>
      </c>
      <c r="Q43" s="396"/>
      <c r="R43" s="393">
        <f t="shared" si="3"/>
        <v>0</v>
      </c>
      <c r="S43" s="378">
        <v>202310</v>
      </c>
      <c r="T43" s="394" t="s">
        <v>3970</v>
      </c>
      <c r="U43" s="394"/>
      <c r="V43" s="381">
        <v>0</v>
      </c>
      <c r="W43" s="395"/>
      <c r="X43" s="383"/>
      <c r="Y43" s="383"/>
      <c r="Z43" s="382" t="s">
        <v>3971</v>
      </c>
      <c r="AA43" s="384">
        <v>0</v>
      </c>
      <c r="AB43" s="384"/>
      <c r="AC43" s="384">
        <v>0</v>
      </c>
    </row>
    <row r="44" spans="1:29" s="577" customFormat="1" ht="15" customHeight="1">
      <c r="A44" s="561" t="s">
        <v>57</v>
      </c>
      <c r="B44" s="562" t="s">
        <v>3728</v>
      </c>
      <c r="C44" s="563" t="s">
        <v>84</v>
      </c>
      <c r="D44" s="563" t="s">
        <v>3729</v>
      </c>
      <c r="E44" s="561" t="s">
        <v>3965</v>
      </c>
      <c r="F44" s="561" t="s">
        <v>3966</v>
      </c>
      <c r="G44" s="561" t="s">
        <v>165</v>
      </c>
      <c r="H44" s="564" t="s">
        <v>3972</v>
      </c>
      <c r="I44" s="565" t="e">
        <f>VLOOKUP(H44,'合同高级查询数据-10月新返回合同'!A:A,1,0)</f>
        <v>#N/A</v>
      </c>
      <c r="J44" s="566" t="s">
        <v>3724</v>
      </c>
      <c r="K44" s="561" t="s">
        <v>3733</v>
      </c>
      <c r="L44" s="564" t="s">
        <v>3973</v>
      </c>
      <c r="M44" s="561"/>
      <c r="N44" s="567">
        <v>43556</v>
      </c>
      <c r="O44" s="561"/>
      <c r="P44" s="568">
        <v>8400</v>
      </c>
      <c r="Q44" s="579">
        <v>2285.87</v>
      </c>
      <c r="R44" s="569">
        <f t="shared" si="3"/>
        <v>19201308</v>
      </c>
      <c r="S44" s="570">
        <v>202310</v>
      </c>
      <c r="T44" s="571" t="s">
        <v>3974</v>
      </c>
      <c r="U44" s="571"/>
      <c r="V44" s="572">
        <v>2285.8698730470001</v>
      </c>
      <c r="W44" s="573"/>
      <c r="X44" s="574">
        <v>44927</v>
      </c>
      <c r="Y44" s="574">
        <v>45291</v>
      </c>
      <c r="Z44" s="575" t="s">
        <v>3975</v>
      </c>
      <c r="AA44" s="576">
        <v>0</v>
      </c>
      <c r="AB44" s="576"/>
      <c r="AC44" s="576">
        <v>0</v>
      </c>
    </row>
    <row r="45" spans="1:29" s="385" customFormat="1" ht="15" customHeight="1">
      <c r="A45" s="386" t="s">
        <v>57</v>
      </c>
      <c r="B45" s="387" t="s">
        <v>3728</v>
      </c>
      <c r="C45" s="388" t="s">
        <v>84</v>
      </c>
      <c r="D45" s="388" t="s">
        <v>3729</v>
      </c>
      <c r="E45" s="386" t="s">
        <v>3965</v>
      </c>
      <c r="F45" s="386" t="s">
        <v>3966</v>
      </c>
      <c r="G45" s="386" t="s">
        <v>165</v>
      </c>
      <c r="H45" s="389" t="s">
        <v>3977</v>
      </c>
      <c r="I45" s="369" t="e">
        <f>VLOOKUP(H45,'合同高级查询数据-10月新返回合同'!A:A,1,0)</f>
        <v>#N/A</v>
      </c>
      <c r="J45" s="390" t="s">
        <v>3724</v>
      </c>
      <c r="K45" s="386" t="s">
        <v>3978</v>
      </c>
      <c r="L45" s="389" t="s">
        <v>3979</v>
      </c>
      <c r="M45" s="386"/>
      <c r="N45" s="391">
        <v>44621</v>
      </c>
      <c r="O45" s="386"/>
      <c r="P45" s="392">
        <v>5300</v>
      </c>
      <c r="Q45" s="396"/>
      <c r="R45" s="393">
        <f t="shared" si="3"/>
        <v>0</v>
      </c>
      <c r="S45" s="378">
        <v>202310</v>
      </c>
      <c r="T45" s="394" t="s">
        <v>3980</v>
      </c>
      <c r="U45" s="394"/>
      <c r="V45" s="381">
        <v>0</v>
      </c>
      <c r="W45" s="395"/>
      <c r="X45" s="383"/>
      <c r="Y45" s="383"/>
      <c r="Z45" s="382" t="s">
        <v>3981</v>
      </c>
      <c r="AA45" s="384">
        <v>0</v>
      </c>
      <c r="AB45" s="384"/>
      <c r="AC45" s="384">
        <v>0</v>
      </c>
    </row>
    <row r="46" spans="1:29" s="577" customFormat="1" ht="15" customHeight="1">
      <c r="A46" s="561" t="s">
        <v>57</v>
      </c>
      <c r="B46" s="562" t="s">
        <v>3728</v>
      </c>
      <c r="C46" s="563" t="s">
        <v>84</v>
      </c>
      <c r="D46" s="563" t="s">
        <v>3729</v>
      </c>
      <c r="E46" s="561" t="s">
        <v>3983</v>
      </c>
      <c r="F46" s="561" t="s">
        <v>3984</v>
      </c>
      <c r="G46" s="561" t="s">
        <v>165</v>
      </c>
      <c r="H46" s="564" t="s">
        <v>3985</v>
      </c>
      <c r="I46" s="565" t="e">
        <f>VLOOKUP(H46,'合同高级查询数据-10月新返回合同'!A:A,1,0)</f>
        <v>#N/A</v>
      </c>
      <c r="J46" s="566" t="s">
        <v>3724</v>
      </c>
      <c r="K46" s="561"/>
      <c r="L46" s="564" t="s">
        <v>3986</v>
      </c>
      <c r="M46" s="561"/>
      <c r="N46" s="567">
        <v>44896</v>
      </c>
      <c r="O46" s="561"/>
      <c r="P46" s="568">
        <v>5000</v>
      </c>
      <c r="Q46" s="579"/>
      <c r="R46" s="569">
        <f t="shared" si="3"/>
        <v>0</v>
      </c>
      <c r="S46" s="570">
        <v>202310</v>
      </c>
      <c r="T46" s="571" t="s">
        <v>3987</v>
      </c>
      <c r="U46" s="571"/>
      <c r="V46" s="572">
        <v>0</v>
      </c>
      <c r="W46" s="573"/>
      <c r="X46" s="574">
        <v>44896</v>
      </c>
      <c r="Y46" s="574">
        <v>45260</v>
      </c>
      <c r="Z46" s="575" t="s">
        <v>3988</v>
      </c>
      <c r="AA46" s="576">
        <v>0</v>
      </c>
      <c r="AB46" s="576"/>
      <c r="AC46" s="576">
        <v>0</v>
      </c>
    </row>
    <row r="47" spans="1:29" s="577" customFormat="1" ht="15" customHeight="1">
      <c r="A47" s="561" t="s">
        <v>57</v>
      </c>
      <c r="B47" s="562" t="s">
        <v>3728</v>
      </c>
      <c r="C47" s="563" t="s">
        <v>84</v>
      </c>
      <c r="D47" s="563" t="s">
        <v>3729</v>
      </c>
      <c r="E47" s="561" t="s">
        <v>3983</v>
      </c>
      <c r="F47" s="561" t="s">
        <v>3984</v>
      </c>
      <c r="G47" s="561" t="s">
        <v>165</v>
      </c>
      <c r="H47" s="564" t="s">
        <v>3985</v>
      </c>
      <c r="I47" s="565" t="e">
        <f>VLOOKUP(H47,'合同高级查询数据-10月新返回合同'!A:A,1,0)</f>
        <v>#N/A</v>
      </c>
      <c r="J47" s="566" t="s">
        <v>3724</v>
      </c>
      <c r="K47" s="561"/>
      <c r="L47" s="564" t="s">
        <v>3990</v>
      </c>
      <c r="M47" s="561"/>
      <c r="N47" s="567">
        <v>44896</v>
      </c>
      <c r="O47" s="561"/>
      <c r="P47" s="568">
        <v>5000</v>
      </c>
      <c r="Q47" s="579"/>
      <c r="R47" s="569">
        <f t="shared" si="3"/>
        <v>0</v>
      </c>
      <c r="S47" s="570">
        <v>202310</v>
      </c>
      <c r="T47" s="571" t="s">
        <v>3991</v>
      </c>
      <c r="U47" s="571"/>
      <c r="V47" s="572">
        <v>0</v>
      </c>
      <c r="W47" s="573"/>
      <c r="X47" s="574">
        <v>44896</v>
      </c>
      <c r="Y47" s="574">
        <v>45260</v>
      </c>
      <c r="Z47" s="575" t="s">
        <v>3992</v>
      </c>
      <c r="AA47" s="576">
        <v>0</v>
      </c>
      <c r="AB47" s="576"/>
      <c r="AC47" s="576">
        <v>0</v>
      </c>
    </row>
    <row r="48" spans="1:29" s="577" customFormat="1" ht="15" customHeight="1">
      <c r="A48" s="561" t="s">
        <v>57</v>
      </c>
      <c r="B48" s="562" t="s">
        <v>3728</v>
      </c>
      <c r="C48" s="563" t="s">
        <v>84</v>
      </c>
      <c r="D48" s="563" t="s">
        <v>3729</v>
      </c>
      <c r="E48" s="561" t="s">
        <v>3993</v>
      </c>
      <c r="F48" s="561" t="s">
        <v>3994</v>
      </c>
      <c r="G48" s="561" t="s">
        <v>165</v>
      </c>
      <c r="H48" s="564" t="s">
        <v>3995</v>
      </c>
      <c r="I48" s="565" t="e">
        <f>VLOOKUP(H48,'合同高级查询数据-10月新返回合同'!A:A,1,0)</f>
        <v>#N/A</v>
      </c>
      <c r="J48" s="566" t="s">
        <v>3724</v>
      </c>
      <c r="K48" s="561" t="s">
        <v>3835</v>
      </c>
      <c r="L48" s="564" t="s">
        <v>3996</v>
      </c>
      <c r="M48" s="561"/>
      <c r="N48" s="567">
        <v>45017</v>
      </c>
      <c r="O48" s="561"/>
      <c r="P48" s="568">
        <v>8533</v>
      </c>
      <c r="Q48" s="579">
        <v>107.58</v>
      </c>
      <c r="R48" s="569">
        <f>ROUND(P48*Q48,2)</f>
        <v>917980.14</v>
      </c>
      <c r="S48" s="570">
        <v>202310</v>
      </c>
      <c r="T48" s="571" t="s">
        <v>3997</v>
      </c>
      <c r="U48" s="571"/>
      <c r="V48" s="572">
        <v>107.469619751</v>
      </c>
      <c r="W48" s="573">
        <v>107.58</v>
      </c>
      <c r="X48" s="574">
        <v>44927</v>
      </c>
      <c r="Y48" s="574">
        <v>46022</v>
      </c>
      <c r="Z48" s="575" t="s">
        <v>3998</v>
      </c>
      <c r="AA48" s="576">
        <v>0</v>
      </c>
      <c r="AB48" s="576"/>
      <c r="AC48" s="576">
        <v>0</v>
      </c>
    </row>
    <row r="49" spans="1:29" s="385" customFormat="1" ht="15" customHeight="1">
      <c r="A49" s="386" t="s">
        <v>260</v>
      </c>
      <c r="B49" s="387" t="s">
        <v>46</v>
      </c>
      <c r="C49" s="388" t="s">
        <v>887</v>
      </c>
      <c r="D49" s="387" t="s">
        <v>888</v>
      </c>
      <c r="E49" s="386" t="s">
        <v>889</v>
      </c>
      <c r="F49" s="386" t="s">
        <v>890</v>
      </c>
      <c r="G49" s="386" t="s">
        <v>165</v>
      </c>
      <c r="H49" s="389" t="s">
        <v>891</v>
      </c>
      <c r="I49" s="369" t="e">
        <f>VLOOKUP(H49,'合同高级查询数据-10月新返回合同'!A:A,1,0)</f>
        <v>#N/A</v>
      </c>
      <c r="J49" s="390" t="s">
        <v>4000</v>
      </c>
      <c r="K49" s="386" t="s">
        <v>4001</v>
      </c>
      <c r="L49" s="389" t="s">
        <v>4002</v>
      </c>
      <c r="M49" s="386" t="s">
        <v>4003</v>
      </c>
      <c r="N49" s="391" t="s">
        <v>4004</v>
      </c>
      <c r="O49" s="386" t="s">
        <v>4005</v>
      </c>
      <c r="P49" s="392">
        <v>9500</v>
      </c>
      <c r="Q49" s="396">
        <v>143.56299999999999</v>
      </c>
      <c r="R49" s="393">
        <f t="shared" si="3"/>
        <v>1363848.5</v>
      </c>
      <c r="S49" s="378">
        <v>202310</v>
      </c>
      <c r="T49" s="394" t="s">
        <v>4006</v>
      </c>
      <c r="U49" s="394"/>
      <c r="V49" s="381">
        <v>143.562144362</v>
      </c>
      <c r="W49" s="395"/>
      <c r="X49" s="383"/>
      <c r="Y49" s="383"/>
      <c r="Z49" s="382" t="s">
        <v>4007</v>
      </c>
      <c r="AA49" s="384">
        <v>0.2</v>
      </c>
      <c r="AB49" s="384">
        <v>600</v>
      </c>
      <c r="AC49" s="384">
        <v>120</v>
      </c>
    </row>
    <row r="50" spans="1:29" s="385" customFormat="1" ht="15" customHeight="1">
      <c r="A50" s="386" t="s">
        <v>260</v>
      </c>
      <c r="B50" s="387" t="s">
        <v>46</v>
      </c>
      <c r="C50" s="388" t="s">
        <v>887</v>
      </c>
      <c r="D50" s="387" t="s">
        <v>888</v>
      </c>
      <c r="E50" s="386" t="s">
        <v>889</v>
      </c>
      <c r="F50" s="386" t="s">
        <v>890</v>
      </c>
      <c r="G50" s="386" t="s">
        <v>165</v>
      </c>
      <c r="H50" s="389" t="s">
        <v>912</v>
      </c>
      <c r="I50" s="369" t="e">
        <f>VLOOKUP(H50,'合同高级查询数据-10月新返回合同'!A:A,1,0)</f>
        <v>#N/A</v>
      </c>
      <c r="J50" s="390" t="s">
        <v>3724</v>
      </c>
      <c r="K50" s="386"/>
      <c r="L50" s="389" t="s">
        <v>913</v>
      </c>
      <c r="M50" s="386" t="s">
        <v>914</v>
      </c>
      <c r="N50" s="399" t="s">
        <v>4010</v>
      </c>
      <c r="O50" s="386" t="s">
        <v>1542</v>
      </c>
      <c r="P50" s="392">
        <v>9500</v>
      </c>
      <c r="Q50" s="396"/>
      <c r="R50" s="393">
        <f t="shared" si="3"/>
        <v>0</v>
      </c>
      <c r="S50" s="378">
        <v>202310</v>
      </c>
      <c r="T50" s="394" t="s">
        <v>4011</v>
      </c>
      <c r="U50" s="394"/>
      <c r="V50" s="381">
        <v>0</v>
      </c>
      <c r="W50" s="395"/>
      <c r="X50" s="383"/>
      <c r="Y50" s="383"/>
      <c r="Z50" s="382" t="s">
        <v>4012</v>
      </c>
      <c r="AA50" s="384" t="s">
        <v>3807</v>
      </c>
      <c r="AB50" s="384">
        <v>0</v>
      </c>
      <c r="AC50" s="384">
        <v>0</v>
      </c>
    </row>
    <row r="51" spans="1:29" s="385" customFormat="1" ht="15" customHeight="1">
      <c r="A51" s="386" t="s">
        <v>260</v>
      </c>
      <c r="B51" s="387" t="s">
        <v>46</v>
      </c>
      <c r="C51" s="388" t="s">
        <v>188</v>
      </c>
      <c r="D51" s="388" t="s">
        <v>48</v>
      </c>
      <c r="E51" s="386" t="s">
        <v>919</v>
      </c>
      <c r="F51" s="386" t="s">
        <v>920</v>
      </c>
      <c r="G51" s="386" t="s">
        <v>165</v>
      </c>
      <c r="H51" s="389" t="s">
        <v>1275</v>
      </c>
      <c r="I51" s="369" t="e">
        <f>VLOOKUP(H51,'合同高级查询数据-10月新返回合同'!A:A,1,0)</f>
        <v>#N/A</v>
      </c>
      <c r="J51" s="390" t="s">
        <v>4013</v>
      </c>
      <c r="K51" s="386" t="s">
        <v>1276</v>
      </c>
      <c r="L51" s="389" t="s">
        <v>4014</v>
      </c>
      <c r="M51" s="386"/>
      <c r="N51" s="399" t="s">
        <v>4015</v>
      </c>
      <c r="O51" s="386" t="s">
        <v>4016</v>
      </c>
      <c r="P51" s="392">
        <v>9500</v>
      </c>
      <c r="Q51" s="396"/>
      <c r="R51" s="393">
        <f t="shared" si="3"/>
        <v>0</v>
      </c>
      <c r="S51" s="378">
        <v>202310</v>
      </c>
      <c r="T51" s="394" t="s">
        <v>4017</v>
      </c>
      <c r="U51" s="394"/>
      <c r="V51" s="381"/>
      <c r="W51" s="395"/>
      <c r="X51" s="383"/>
      <c r="Y51" s="383"/>
      <c r="Z51" s="382"/>
      <c r="AA51" s="384" t="s">
        <v>3807</v>
      </c>
      <c r="AB51" s="384">
        <v>0</v>
      </c>
      <c r="AC51" s="384">
        <v>0</v>
      </c>
    </row>
    <row r="52" spans="1:29" s="385" customFormat="1" ht="15" customHeight="1">
      <c r="A52" s="386" t="s">
        <v>260</v>
      </c>
      <c r="B52" s="387" t="s">
        <v>46</v>
      </c>
      <c r="C52" s="388" t="s">
        <v>188</v>
      </c>
      <c r="D52" s="388" t="s">
        <v>48</v>
      </c>
      <c r="E52" s="386" t="s">
        <v>919</v>
      </c>
      <c r="F52" s="386" t="s">
        <v>920</v>
      </c>
      <c r="G52" s="386" t="s">
        <v>165</v>
      </c>
      <c r="H52" s="389" t="s">
        <v>1275</v>
      </c>
      <c r="I52" s="369" t="e">
        <f>VLOOKUP(H52,'合同高级查询数据-10月新返回合同'!A:A,1,0)</f>
        <v>#N/A</v>
      </c>
      <c r="J52" s="390" t="s">
        <v>4013</v>
      </c>
      <c r="K52" s="386" t="s">
        <v>699</v>
      </c>
      <c r="L52" s="389" t="s">
        <v>1277</v>
      </c>
      <c r="M52" s="386"/>
      <c r="N52" s="399" t="s">
        <v>4018</v>
      </c>
      <c r="O52" s="400" t="s">
        <v>4019</v>
      </c>
      <c r="P52" s="392">
        <v>9500</v>
      </c>
      <c r="Q52" s="396"/>
      <c r="R52" s="393">
        <f t="shared" si="3"/>
        <v>0</v>
      </c>
      <c r="S52" s="378">
        <v>202310</v>
      </c>
      <c r="T52" s="394" t="s">
        <v>4020</v>
      </c>
      <c r="U52" s="394"/>
      <c r="V52" s="381">
        <v>0</v>
      </c>
      <c r="W52" s="410"/>
      <c r="X52" s="383"/>
      <c r="Y52" s="383"/>
      <c r="Z52" s="382" t="s">
        <v>4021</v>
      </c>
      <c r="AA52" s="384" t="s">
        <v>3807</v>
      </c>
      <c r="AB52" s="384">
        <v>0</v>
      </c>
      <c r="AC52" s="384">
        <v>0</v>
      </c>
    </row>
    <row r="53" spans="1:29" s="385" customFormat="1" ht="15" customHeight="1">
      <c r="A53" s="386" t="s">
        <v>260</v>
      </c>
      <c r="B53" s="387" t="s">
        <v>46</v>
      </c>
      <c r="C53" s="388" t="s">
        <v>188</v>
      </c>
      <c r="D53" s="388" t="s">
        <v>48</v>
      </c>
      <c r="E53" s="386" t="s">
        <v>919</v>
      </c>
      <c r="F53" s="386" t="s">
        <v>920</v>
      </c>
      <c r="G53" s="386" t="s">
        <v>165</v>
      </c>
      <c r="H53" s="389" t="s">
        <v>1275</v>
      </c>
      <c r="I53" s="369" t="e">
        <f>VLOOKUP(H53,'合同高级查询数据-10月新返回合同'!A:A,1,0)</f>
        <v>#N/A</v>
      </c>
      <c r="J53" s="390" t="s">
        <v>3724</v>
      </c>
      <c r="K53" s="400" t="s">
        <v>1285</v>
      </c>
      <c r="L53" s="389" t="s">
        <v>920</v>
      </c>
      <c r="M53" s="386"/>
      <c r="N53" s="399" t="s">
        <v>4022</v>
      </c>
      <c r="O53" s="386" t="s">
        <v>4023</v>
      </c>
      <c r="P53" s="392">
        <v>9500</v>
      </c>
      <c r="Q53" s="396">
        <v>54.5</v>
      </c>
      <c r="R53" s="393">
        <f t="shared" si="3"/>
        <v>517750</v>
      </c>
      <c r="S53" s="378">
        <v>202310</v>
      </c>
      <c r="T53" s="394" t="s">
        <v>4714</v>
      </c>
      <c r="U53" s="394"/>
      <c r="V53" s="398">
        <v>53.156954955000003</v>
      </c>
      <c r="W53" s="410">
        <v>55.657879182528546</v>
      </c>
      <c r="X53" s="383"/>
      <c r="Y53" s="383"/>
      <c r="Z53" s="382" t="s">
        <v>4025</v>
      </c>
      <c r="AA53" s="384">
        <v>0.3</v>
      </c>
      <c r="AB53" s="384">
        <v>160</v>
      </c>
      <c r="AC53" s="384">
        <f>AB53*0.3</f>
        <v>48</v>
      </c>
    </row>
    <row r="54" spans="1:29" s="385" customFormat="1" ht="15" customHeight="1">
      <c r="A54" s="386" t="s">
        <v>260</v>
      </c>
      <c r="B54" s="387" t="s">
        <v>46</v>
      </c>
      <c r="C54" s="388" t="s">
        <v>188</v>
      </c>
      <c r="D54" s="388" t="s">
        <v>48</v>
      </c>
      <c r="E54" s="386" t="s">
        <v>919</v>
      </c>
      <c r="F54" s="386" t="s">
        <v>920</v>
      </c>
      <c r="G54" s="386" t="s">
        <v>165</v>
      </c>
      <c r="H54" s="389" t="s">
        <v>1275</v>
      </c>
      <c r="I54" s="369" t="e">
        <f>VLOOKUP(H54,'合同高级查询数据-10月新返回合同'!A:A,1,0)</f>
        <v>#N/A</v>
      </c>
      <c r="J54" s="390" t="s">
        <v>3724</v>
      </c>
      <c r="K54" s="386" t="s">
        <v>4026</v>
      </c>
      <c r="L54" s="389" t="s">
        <v>4027</v>
      </c>
      <c r="M54" s="386"/>
      <c r="N54" s="399" t="s">
        <v>4028</v>
      </c>
      <c r="O54" s="386" t="s">
        <v>4029</v>
      </c>
      <c r="P54" s="392">
        <v>9500</v>
      </c>
      <c r="Q54" s="396">
        <v>47.8</v>
      </c>
      <c r="R54" s="393">
        <f t="shared" si="3"/>
        <v>454100</v>
      </c>
      <c r="S54" s="378">
        <v>202310</v>
      </c>
      <c r="T54" s="394" t="s">
        <v>4715</v>
      </c>
      <c r="U54" s="394"/>
      <c r="V54" s="398">
        <v>46.675401000000001</v>
      </c>
      <c r="W54" s="410">
        <v>48.872120817471455</v>
      </c>
      <c r="X54" s="383"/>
      <c r="Y54" s="383"/>
      <c r="Z54" s="382" t="s">
        <v>4031</v>
      </c>
      <c r="AA54" s="384">
        <v>0.3</v>
      </c>
      <c r="AB54" s="384">
        <v>140</v>
      </c>
      <c r="AC54" s="384">
        <v>42</v>
      </c>
    </row>
    <row r="55" spans="1:29" s="385" customFormat="1" ht="15" customHeight="1">
      <c r="A55" s="386" t="s">
        <v>260</v>
      </c>
      <c r="B55" s="387" t="s">
        <v>46</v>
      </c>
      <c r="C55" s="388" t="s">
        <v>188</v>
      </c>
      <c r="D55" s="388" t="s">
        <v>48</v>
      </c>
      <c r="E55" s="386" t="s">
        <v>919</v>
      </c>
      <c r="F55" s="386" t="s">
        <v>1252</v>
      </c>
      <c r="G55" s="386" t="s">
        <v>165</v>
      </c>
      <c r="H55" s="389" t="s">
        <v>1253</v>
      </c>
      <c r="I55" s="369" t="e">
        <f>VLOOKUP(H55,'合同高级查询数据-10月新返回合同'!A:A,1,0)</f>
        <v>#N/A</v>
      </c>
      <c r="J55" s="390" t="s">
        <v>3724</v>
      </c>
      <c r="K55" s="386" t="s">
        <v>4032</v>
      </c>
      <c r="L55" s="389" t="s">
        <v>1264</v>
      </c>
      <c r="M55" s="386"/>
      <c r="N55" s="391" t="s">
        <v>4033</v>
      </c>
      <c r="O55" s="400" t="s">
        <v>4034</v>
      </c>
      <c r="P55" s="392">
        <v>9500</v>
      </c>
      <c r="Q55" s="396"/>
      <c r="R55" s="393">
        <f t="shared" si="3"/>
        <v>0</v>
      </c>
      <c r="S55" s="378">
        <v>202310</v>
      </c>
      <c r="T55" s="394" t="s">
        <v>4035</v>
      </c>
      <c r="U55" s="394"/>
      <c r="V55" s="381">
        <v>0</v>
      </c>
      <c r="W55" s="395"/>
      <c r="X55" s="383"/>
      <c r="Y55" s="383"/>
      <c r="Z55" s="382" t="s">
        <v>4036</v>
      </c>
      <c r="AA55" s="384" t="s">
        <v>3807</v>
      </c>
      <c r="AB55" s="384"/>
      <c r="AC55" s="384"/>
    </row>
    <row r="56" spans="1:29" s="385" customFormat="1" ht="15" customHeight="1">
      <c r="A56" s="386" t="s">
        <v>260</v>
      </c>
      <c r="B56" s="387" t="s">
        <v>46</v>
      </c>
      <c r="C56" s="388" t="s">
        <v>188</v>
      </c>
      <c r="D56" s="388" t="s">
        <v>48</v>
      </c>
      <c r="E56" s="386" t="s">
        <v>919</v>
      </c>
      <c r="F56" s="386" t="s">
        <v>1252</v>
      </c>
      <c r="G56" s="386" t="s">
        <v>165</v>
      </c>
      <c r="H56" s="389" t="s">
        <v>1253</v>
      </c>
      <c r="I56" s="369" t="e">
        <f>VLOOKUP(H56,'合同高级查询数据-10月新返回合同'!A:A,1,0)</f>
        <v>#N/A</v>
      </c>
      <c r="J56" s="390" t="s">
        <v>3724</v>
      </c>
      <c r="K56" s="386" t="s">
        <v>1255</v>
      </c>
      <c r="L56" s="389" t="s">
        <v>1255</v>
      </c>
      <c r="M56" s="386"/>
      <c r="N56" s="399" t="s">
        <v>4037</v>
      </c>
      <c r="O56" s="400" t="s">
        <v>4038</v>
      </c>
      <c r="P56" s="392">
        <v>9500</v>
      </c>
      <c r="Q56" s="396">
        <v>66.5</v>
      </c>
      <c r="R56" s="393">
        <f t="shared" si="3"/>
        <v>631750</v>
      </c>
      <c r="S56" s="378">
        <v>202310</v>
      </c>
      <c r="T56" s="401" t="s">
        <v>4716</v>
      </c>
      <c r="U56" s="394"/>
      <c r="V56" s="398">
        <v>66.299147337999997</v>
      </c>
      <c r="W56" s="411">
        <v>66.59</v>
      </c>
      <c r="X56" s="383"/>
      <c r="Y56" s="383"/>
      <c r="Z56" s="382" t="s">
        <v>4040</v>
      </c>
      <c r="AA56" s="384">
        <v>0.3</v>
      </c>
      <c r="AB56" s="384">
        <v>200</v>
      </c>
      <c r="AC56" s="384">
        <f>AA56*AB56</f>
        <v>60</v>
      </c>
    </row>
    <row r="57" spans="1:29" s="577" customFormat="1" ht="15" customHeight="1">
      <c r="A57" s="561" t="s">
        <v>260</v>
      </c>
      <c r="B57" s="562" t="s">
        <v>46</v>
      </c>
      <c r="C57" s="563" t="s">
        <v>188</v>
      </c>
      <c r="D57" s="562" t="s">
        <v>48</v>
      </c>
      <c r="E57" s="561" t="s">
        <v>919</v>
      </c>
      <c r="F57" s="561" t="s">
        <v>953</v>
      </c>
      <c r="G57" s="561" t="s">
        <v>165</v>
      </c>
      <c r="H57" s="564" t="s">
        <v>1225</v>
      </c>
      <c r="I57" s="565" t="e">
        <f>VLOOKUP(H57,'合同高级查询数据-10月新返回合同'!A:A,1,0)</f>
        <v>#N/A</v>
      </c>
      <c r="J57" s="566" t="s">
        <v>3858</v>
      </c>
      <c r="K57" s="583" t="s">
        <v>4042</v>
      </c>
      <c r="L57" s="564" t="s">
        <v>4043</v>
      </c>
      <c r="M57" s="561"/>
      <c r="N57" s="567">
        <v>41244</v>
      </c>
      <c r="O57" s="561" t="s">
        <v>4044</v>
      </c>
      <c r="P57" s="580" t="s">
        <v>4696</v>
      </c>
      <c r="Q57" s="579">
        <v>85.884</v>
      </c>
      <c r="R57" s="569">
        <f>ROUND(14000*Q57,2)</f>
        <v>1202376</v>
      </c>
      <c r="S57" s="570">
        <v>202310</v>
      </c>
      <c r="T57" s="571" t="s">
        <v>4046</v>
      </c>
      <c r="U57" s="571"/>
      <c r="V57" s="584">
        <v>85.883196635000004</v>
      </c>
      <c r="W57" s="573"/>
      <c r="X57" s="574">
        <v>44829</v>
      </c>
      <c r="Y57" s="574">
        <v>45559</v>
      </c>
      <c r="Z57" s="575" t="s">
        <v>4047</v>
      </c>
      <c r="AA57" s="576">
        <f>85/620</f>
        <v>0.13709677419354838</v>
      </c>
      <c r="AB57" s="576">
        <v>420</v>
      </c>
      <c r="AC57" s="576" t="s">
        <v>4048</v>
      </c>
    </row>
    <row r="58" spans="1:29" s="577" customFormat="1" ht="15" customHeight="1">
      <c r="A58" s="561" t="s">
        <v>260</v>
      </c>
      <c r="B58" s="562" t="s">
        <v>46</v>
      </c>
      <c r="C58" s="563" t="s">
        <v>188</v>
      </c>
      <c r="D58" s="562" t="s">
        <v>48</v>
      </c>
      <c r="E58" s="561" t="s">
        <v>919</v>
      </c>
      <c r="F58" s="561" t="s">
        <v>953</v>
      </c>
      <c r="G58" s="561" t="s">
        <v>165</v>
      </c>
      <c r="H58" s="564" t="s">
        <v>1225</v>
      </c>
      <c r="I58" s="565" t="e">
        <f>VLOOKUP(H58,'合同高级查询数据-10月新返回合同'!A:A,1,0)</f>
        <v>#N/A</v>
      </c>
      <c r="J58" s="566" t="s">
        <v>3858</v>
      </c>
      <c r="K58" s="561" t="s">
        <v>1226</v>
      </c>
      <c r="L58" s="564" t="s">
        <v>1227</v>
      </c>
      <c r="M58" s="561"/>
      <c r="N58" s="567">
        <v>41244</v>
      </c>
      <c r="O58" s="561" t="s">
        <v>1542</v>
      </c>
      <c r="P58" s="580" t="s">
        <v>4045</v>
      </c>
      <c r="Q58" s="579">
        <v>99.209000000000003</v>
      </c>
      <c r="R58" s="569">
        <f>ROUND(14000*Q58,2)</f>
        <v>1388926</v>
      </c>
      <c r="S58" s="570">
        <v>202310</v>
      </c>
      <c r="T58" s="571" t="s">
        <v>4050</v>
      </c>
      <c r="U58" s="571"/>
      <c r="V58" s="584">
        <v>99.208825847</v>
      </c>
      <c r="W58" s="573"/>
      <c r="X58" s="574">
        <v>44829</v>
      </c>
      <c r="Y58" s="574">
        <v>45559</v>
      </c>
      <c r="Z58" s="575" t="s">
        <v>4051</v>
      </c>
      <c r="AA58" s="576">
        <f>85/620</f>
        <v>0.13709677419354838</v>
      </c>
      <c r="AB58" s="576">
        <v>200</v>
      </c>
      <c r="AC58" s="576" t="s">
        <v>4048</v>
      </c>
    </row>
    <row r="59" spans="1:29" s="577" customFormat="1" ht="15" customHeight="1">
      <c r="A59" s="561" t="s">
        <v>260</v>
      </c>
      <c r="B59" s="562" t="s">
        <v>46</v>
      </c>
      <c r="C59" s="563" t="s">
        <v>188</v>
      </c>
      <c r="D59" s="562" t="s">
        <v>48</v>
      </c>
      <c r="E59" s="561" t="s">
        <v>919</v>
      </c>
      <c r="F59" s="561" t="s">
        <v>953</v>
      </c>
      <c r="G59" s="561" t="s">
        <v>165</v>
      </c>
      <c r="H59" s="564" t="s">
        <v>1225</v>
      </c>
      <c r="I59" s="565" t="e">
        <f>VLOOKUP(H59,'合同高级查询数据-10月新返回合同'!A:A,1,0)</f>
        <v>#N/A</v>
      </c>
      <c r="J59" s="566" t="s">
        <v>3776</v>
      </c>
      <c r="K59" s="561" t="s">
        <v>4052</v>
      </c>
      <c r="L59" s="564" t="s">
        <v>4053</v>
      </c>
      <c r="M59" s="561"/>
      <c r="N59" s="567">
        <v>42796</v>
      </c>
      <c r="O59" s="561" t="s">
        <v>3847</v>
      </c>
      <c r="P59" s="568">
        <v>120000</v>
      </c>
      <c r="Q59" s="579">
        <v>4.3550000000000004</v>
      </c>
      <c r="R59" s="569">
        <f>ROUND(P59*Q59,2)</f>
        <v>522600</v>
      </c>
      <c r="S59" s="570">
        <v>202310</v>
      </c>
      <c r="T59" s="571" t="s">
        <v>4054</v>
      </c>
      <c r="U59" s="571"/>
      <c r="V59" s="584">
        <v>4.3545927759999996</v>
      </c>
      <c r="W59" s="573"/>
      <c r="X59" s="574">
        <v>44829</v>
      </c>
      <c r="Y59" s="574">
        <v>45559</v>
      </c>
      <c r="Z59" s="575" t="s">
        <v>4055</v>
      </c>
      <c r="AA59" s="576">
        <v>0.1</v>
      </c>
      <c r="AB59" s="576">
        <v>20</v>
      </c>
      <c r="AC59" s="576">
        <v>2</v>
      </c>
    </row>
    <row r="60" spans="1:29" s="577" customFormat="1" ht="15" customHeight="1">
      <c r="A60" s="561" t="s">
        <v>260</v>
      </c>
      <c r="B60" s="562" t="s">
        <v>46</v>
      </c>
      <c r="C60" s="563" t="s">
        <v>188</v>
      </c>
      <c r="D60" s="562" t="s">
        <v>48</v>
      </c>
      <c r="E60" s="561" t="s">
        <v>919</v>
      </c>
      <c r="F60" s="561" t="s">
        <v>920</v>
      </c>
      <c r="G60" s="561" t="s">
        <v>165</v>
      </c>
      <c r="H60" s="585" t="s">
        <v>1225</v>
      </c>
      <c r="I60" s="565" t="e">
        <f>VLOOKUP(H60,'合同高级查询数据-10月新返回合同'!A:A,1,0)</f>
        <v>#N/A</v>
      </c>
      <c r="J60" s="566" t="s">
        <v>3858</v>
      </c>
      <c r="K60" s="561" t="s">
        <v>1246</v>
      </c>
      <c r="L60" s="564" t="s">
        <v>1247</v>
      </c>
      <c r="M60" s="561"/>
      <c r="N60" s="586">
        <v>42795</v>
      </c>
      <c r="O60" s="561" t="s">
        <v>4056</v>
      </c>
      <c r="P60" s="580" t="s">
        <v>4057</v>
      </c>
      <c r="Q60" s="587">
        <v>26.727</v>
      </c>
      <c r="R60" s="569">
        <f>ROUND(14000*Q60,2)</f>
        <v>374178</v>
      </c>
      <c r="S60" s="570">
        <v>202310</v>
      </c>
      <c r="T60" s="588" t="s">
        <v>4713</v>
      </c>
      <c r="U60" s="571"/>
      <c r="V60" s="584">
        <v>26.271961788999999</v>
      </c>
      <c r="W60" s="573">
        <v>27.181999999999999</v>
      </c>
      <c r="X60" s="574">
        <v>44829</v>
      </c>
      <c r="Y60" s="574">
        <v>45559</v>
      </c>
      <c r="Z60" s="575" t="s">
        <v>4059</v>
      </c>
      <c r="AA60" s="576">
        <f>AC60/AB60</f>
        <v>0.13333333333333333</v>
      </c>
      <c r="AB60" s="576">
        <v>120</v>
      </c>
      <c r="AC60" s="576">
        <v>16</v>
      </c>
    </row>
    <row r="61" spans="1:29" s="385" customFormat="1" ht="15" customHeight="1">
      <c r="A61" s="386" t="s">
        <v>260</v>
      </c>
      <c r="B61" s="387" t="s">
        <v>46</v>
      </c>
      <c r="C61" s="388" t="s">
        <v>188</v>
      </c>
      <c r="D61" s="387" t="s">
        <v>48</v>
      </c>
      <c r="E61" s="386" t="s">
        <v>919</v>
      </c>
      <c r="F61" s="386" t="s">
        <v>1202</v>
      </c>
      <c r="G61" s="386" t="s">
        <v>165</v>
      </c>
      <c r="H61" s="389" t="s">
        <v>1203</v>
      </c>
      <c r="I61" s="369" t="e">
        <f>VLOOKUP(H61,'合同高级查询数据-10月新返回合同'!A:A,1,0)</f>
        <v>#N/A</v>
      </c>
      <c r="J61" s="390" t="s">
        <v>3858</v>
      </c>
      <c r="K61" s="386" t="s">
        <v>4060</v>
      </c>
      <c r="L61" s="389" t="s">
        <v>4061</v>
      </c>
      <c r="M61" s="386"/>
      <c r="N61" s="399" t="s">
        <v>4062</v>
      </c>
      <c r="O61" s="400" t="s">
        <v>4063</v>
      </c>
      <c r="P61" s="392">
        <v>9500</v>
      </c>
      <c r="Q61" s="396">
        <v>148</v>
      </c>
      <c r="R61" s="393">
        <f t="shared" ref="R61:R70" si="4">ROUND(P61*Q61,2)</f>
        <v>1406000</v>
      </c>
      <c r="S61" s="378">
        <v>202310</v>
      </c>
      <c r="T61" s="394" t="s">
        <v>4712</v>
      </c>
      <c r="U61" s="394"/>
      <c r="V61" s="398">
        <v>146.241970533</v>
      </c>
      <c r="W61" s="395">
        <v>149.69999999999999</v>
      </c>
      <c r="X61" s="383"/>
      <c r="Y61" s="383"/>
      <c r="Z61" s="382" t="s">
        <v>1209</v>
      </c>
      <c r="AA61" s="384">
        <v>0.3</v>
      </c>
      <c r="AB61" s="384">
        <v>400</v>
      </c>
      <c r="AC61" s="384">
        <f>AA61*AB61</f>
        <v>120</v>
      </c>
    </row>
    <row r="62" spans="1:29" s="577" customFormat="1" ht="15" customHeight="1">
      <c r="A62" s="561" t="s">
        <v>260</v>
      </c>
      <c r="B62" s="562" t="s">
        <v>46</v>
      </c>
      <c r="C62" s="563" t="s">
        <v>188</v>
      </c>
      <c r="D62" s="563" t="s">
        <v>48</v>
      </c>
      <c r="E62" s="561" t="s">
        <v>919</v>
      </c>
      <c r="F62" s="561" t="s">
        <v>1305</v>
      </c>
      <c r="G62" s="561" t="s">
        <v>165</v>
      </c>
      <c r="H62" s="564" t="s">
        <v>1306</v>
      </c>
      <c r="I62" s="565" t="e">
        <f>VLOOKUP(H62,'合同高级查询数据-10月新返回合同'!A:A,1,0)</f>
        <v>#N/A</v>
      </c>
      <c r="J62" s="566" t="s">
        <v>3724</v>
      </c>
      <c r="K62" s="561" t="s">
        <v>1307</v>
      </c>
      <c r="L62" s="564" t="s">
        <v>1308</v>
      </c>
      <c r="M62" s="561" t="s">
        <v>1309</v>
      </c>
      <c r="N62" s="567">
        <v>44971</v>
      </c>
      <c r="O62" s="561" t="s">
        <v>4066</v>
      </c>
      <c r="P62" s="568">
        <v>9500</v>
      </c>
      <c r="Q62" s="579">
        <v>18.425000000000001</v>
      </c>
      <c r="R62" s="569">
        <f t="shared" si="4"/>
        <v>175037.5</v>
      </c>
      <c r="S62" s="570">
        <v>202310</v>
      </c>
      <c r="T62" s="571" t="s">
        <v>4067</v>
      </c>
      <c r="U62" s="571"/>
      <c r="V62" s="584">
        <v>18.424951322999998</v>
      </c>
      <c r="W62" s="573">
        <v>18.45</v>
      </c>
      <c r="X62" s="574">
        <v>44972</v>
      </c>
      <c r="Y62" s="574">
        <v>45336</v>
      </c>
      <c r="Z62" s="575" t="s">
        <v>4068</v>
      </c>
      <c r="AA62" s="576">
        <v>0.3</v>
      </c>
      <c r="AB62" s="589">
        <v>50</v>
      </c>
      <c r="AC62" s="576">
        <f>AA62*AB62</f>
        <v>15</v>
      </c>
    </row>
    <row r="63" spans="1:29" s="385" customFormat="1" ht="15" customHeight="1">
      <c r="A63" s="386" t="s">
        <v>260</v>
      </c>
      <c r="B63" s="387" t="s">
        <v>46</v>
      </c>
      <c r="C63" s="388" t="s">
        <v>887</v>
      </c>
      <c r="D63" s="387" t="s">
        <v>888</v>
      </c>
      <c r="E63" s="386" t="s">
        <v>1538</v>
      </c>
      <c r="F63" s="386" t="s">
        <v>1539</v>
      </c>
      <c r="G63" s="386" t="s">
        <v>165</v>
      </c>
      <c r="H63" s="389" t="s">
        <v>1548</v>
      </c>
      <c r="I63" s="369" t="e">
        <f>VLOOKUP(H63,'合同高级查询数据-10月新返回合同'!A:A,1,0)</f>
        <v>#N/A</v>
      </c>
      <c r="J63" s="390" t="s">
        <v>3724</v>
      </c>
      <c r="K63" s="386" t="s">
        <v>4070</v>
      </c>
      <c r="L63" s="389" t="s">
        <v>1539</v>
      </c>
      <c r="M63" s="386"/>
      <c r="N63" s="391" t="s">
        <v>4071</v>
      </c>
      <c r="O63" s="386" t="s">
        <v>4072</v>
      </c>
      <c r="P63" s="392">
        <v>7000</v>
      </c>
      <c r="Q63" s="396">
        <v>116</v>
      </c>
      <c r="R63" s="393">
        <f t="shared" si="4"/>
        <v>812000</v>
      </c>
      <c r="S63" s="378">
        <v>202310</v>
      </c>
      <c r="T63" s="394" t="s">
        <v>4073</v>
      </c>
      <c r="U63" s="394"/>
      <c r="V63" s="398">
        <v>115.951011658</v>
      </c>
      <c r="W63" s="410"/>
      <c r="X63" s="383"/>
      <c r="Y63" s="383"/>
      <c r="Z63" s="382" t="s">
        <v>4074</v>
      </c>
      <c r="AA63" s="384">
        <v>0.3</v>
      </c>
      <c r="AB63" s="384">
        <v>280</v>
      </c>
      <c r="AC63" s="384">
        <v>84</v>
      </c>
    </row>
    <row r="64" spans="1:29" s="385" customFormat="1" ht="15" customHeight="1">
      <c r="A64" s="386" t="s">
        <v>260</v>
      </c>
      <c r="B64" s="387" t="s">
        <v>46</v>
      </c>
      <c r="C64" s="388" t="s">
        <v>887</v>
      </c>
      <c r="D64" s="387" t="s">
        <v>888</v>
      </c>
      <c r="E64" s="386" t="s">
        <v>1538</v>
      </c>
      <c r="F64" s="386" t="s">
        <v>1539</v>
      </c>
      <c r="G64" s="386" t="s">
        <v>165</v>
      </c>
      <c r="H64" s="389" t="s">
        <v>1548</v>
      </c>
      <c r="I64" s="369" t="e">
        <f>VLOOKUP(H64,'合同高级查询数据-10月新返回合同'!A:A,1,0)</f>
        <v>#N/A</v>
      </c>
      <c r="J64" s="390" t="s">
        <v>3724</v>
      </c>
      <c r="K64" s="386" t="s">
        <v>4076</v>
      </c>
      <c r="L64" s="389" t="s">
        <v>1574</v>
      </c>
      <c r="M64" s="386"/>
      <c r="N64" s="391" t="s">
        <v>4077</v>
      </c>
      <c r="O64" s="386" t="s">
        <v>4078</v>
      </c>
      <c r="P64" s="392">
        <v>7000</v>
      </c>
      <c r="Q64" s="396"/>
      <c r="R64" s="393">
        <f t="shared" si="4"/>
        <v>0</v>
      </c>
      <c r="S64" s="378">
        <v>202310</v>
      </c>
      <c r="T64" s="394" t="s">
        <v>4079</v>
      </c>
      <c r="U64" s="394"/>
      <c r="V64" s="381">
        <v>0</v>
      </c>
      <c r="W64" s="395"/>
      <c r="X64" s="383"/>
      <c r="Y64" s="383"/>
      <c r="Z64" s="382" t="s">
        <v>4080</v>
      </c>
      <c r="AA64" s="384" t="s">
        <v>3807</v>
      </c>
      <c r="AB64" s="384">
        <v>0</v>
      </c>
      <c r="AC64" s="384">
        <v>0</v>
      </c>
    </row>
    <row r="65" spans="1:29" s="385" customFormat="1" ht="15" customHeight="1">
      <c r="A65" s="386" t="s">
        <v>260</v>
      </c>
      <c r="B65" s="387" t="s">
        <v>46</v>
      </c>
      <c r="C65" s="388" t="s">
        <v>887</v>
      </c>
      <c r="D65" s="387" t="s">
        <v>888</v>
      </c>
      <c r="E65" s="386" t="s">
        <v>1538</v>
      </c>
      <c r="F65" s="386" t="s">
        <v>1539</v>
      </c>
      <c r="G65" s="386" t="s">
        <v>165</v>
      </c>
      <c r="H65" s="389" t="s">
        <v>1548</v>
      </c>
      <c r="I65" s="369" t="e">
        <f>VLOOKUP(H65,'合同高级查询数据-10月新返回合同'!A:A,1,0)</f>
        <v>#N/A</v>
      </c>
      <c r="J65" s="390" t="s">
        <v>3858</v>
      </c>
      <c r="K65" s="386" t="s">
        <v>4081</v>
      </c>
      <c r="L65" s="389" t="s">
        <v>1591</v>
      </c>
      <c r="M65" s="386"/>
      <c r="N65" s="391" t="s">
        <v>4082</v>
      </c>
      <c r="O65" s="386" t="s">
        <v>4083</v>
      </c>
      <c r="P65" s="392">
        <v>7000</v>
      </c>
      <c r="Q65" s="396">
        <v>93</v>
      </c>
      <c r="R65" s="393">
        <f t="shared" si="4"/>
        <v>651000</v>
      </c>
      <c r="S65" s="378">
        <v>202310</v>
      </c>
      <c r="T65" s="394" t="s">
        <v>4084</v>
      </c>
      <c r="U65" s="394"/>
      <c r="V65" s="398">
        <v>92.994910163805002</v>
      </c>
      <c r="W65" s="395"/>
      <c r="X65" s="383"/>
      <c r="Y65" s="383"/>
      <c r="Z65" s="382" t="s">
        <v>4085</v>
      </c>
      <c r="AA65" s="384">
        <v>0.3</v>
      </c>
      <c r="AB65" s="384">
        <v>240</v>
      </c>
      <c r="AC65" s="384">
        <v>72</v>
      </c>
    </row>
    <row r="66" spans="1:29" s="385" customFormat="1" ht="15" customHeight="1">
      <c r="A66" s="386" t="s">
        <v>260</v>
      </c>
      <c r="B66" s="387" t="s">
        <v>46</v>
      </c>
      <c r="C66" s="388" t="s">
        <v>887</v>
      </c>
      <c r="D66" s="387" t="s">
        <v>888</v>
      </c>
      <c r="E66" s="386" t="s">
        <v>1538</v>
      </c>
      <c r="F66" s="386" t="s">
        <v>1539</v>
      </c>
      <c r="G66" s="386" t="s">
        <v>165</v>
      </c>
      <c r="H66" s="389" t="s">
        <v>1548</v>
      </c>
      <c r="I66" s="369" t="e">
        <f>VLOOKUP(H66,'合同高级查询数据-10月新返回合同'!A:A,1,0)</f>
        <v>#N/A</v>
      </c>
      <c r="J66" s="390" t="s">
        <v>3724</v>
      </c>
      <c r="K66" s="386" t="s">
        <v>4086</v>
      </c>
      <c r="L66" s="389" t="s">
        <v>1565</v>
      </c>
      <c r="M66" s="386"/>
      <c r="N66" s="399" t="s">
        <v>4087</v>
      </c>
      <c r="O66" s="400" t="s">
        <v>4088</v>
      </c>
      <c r="P66" s="392">
        <v>7000</v>
      </c>
      <c r="Q66" s="396">
        <v>40.200000000000003</v>
      </c>
      <c r="R66" s="393">
        <f t="shared" si="4"/>
        <v>281400</v>
      </c>
      <c r="S66" s="378">
        <v>202310</v>
      </c>
      <c r="T66" s="394" t="s">
        <v>4089</v>
      </c>
      <c r="U66" s="394"/>
      <c r="V66" s="398">
        <v>40.198181151999997</v>
      </c>
      <c r="W66" s="395"/>
      <c r="X66" s="383"/>
      <c r="Y66" s="383"/>
      <c r="Z66" s="382" t="s">
        <v>4090</v>
      </c>
      <c r="AA66" s="384">
        <v>0.3</v>
      </c>
      <c r="AB66" s="384">
        <v>120</v>
      </c>
      <c r="AC66" s="384">
        <f>AA66*AB66</f>
        <v>36</v>
      </c>
    </row>
    <row r="67" spans="1:29" s="385" customFormat="1" ht="15" customHeight="1">
      <c r="A67" s="386" t="s">
        <v>260</v>
      </c>
      <c r="B67" s="387" t="s">
        <v>46</v>
      </c>
      <c r="C67" s="388" t="s">
        <v>887</v>
      </c>
      <c r="D67" s="387" t="s">
        <v>888</v>
      </c>
      <c r="E67" s="386" t="s">
        <v>1538</v>
      </c>
      <c r="F67" s="386" t="s">
        <v>1539</v>
      </c>
      <c r="G67" s="386" t="s">
        <v>165</v>
      </c>
      <c r="H67" s="389" t="s">
        <v>1548</v>
      </c>
      <c r="I67" s="369" t="e">
        <f>VLOOKUP(H67,'合同高级查询数据-10月新返回合同'!A:A,1,0)</f>
        <v>#N/A</v>
      </c>
      <c r="J67" s="390" t="s">
        <v>4013</v>
      </c>
      <c r="K67" s="386" t="s">
        <v>4091</v>
      </c>
      <c r="L67" s="389" t="s">
        <v>1553</v>
      </c>
      <c r="M67" s="386"/>
      <c r="N67" s="412" t="s">
        <v>4092</v>
      </c>
      <c r="O67" s="400" t="s">
        <v>4093</v>
      </c>
      <c r="P67" s="392">
        <v>7000</v>
      </c>
      <c r="Q67" s="396"/>
      <c r="R67" s="393">
        <f t="shared" si="4"/>
        <v>0</v>
      </c>
      <c r="S67" s="378">
        <v>202310</v>
      </c>
      <c r="T67" s="394" t="s">
        <v>4094</v>
      </c>
      <c r="U67" s="394"/>
      <c r="V67" s="381">
        <v>0</v>
      </c>
      <c r="W67" s="395"/>
      <c r="X67" s="383"/>
      <c r="Y67" s="383"/>
      <c r="Z67" s="382" t="s">
        <v>4095</v>
      </c>
      <c r="AA67" s="384" t="s">
        <v>3807</v>
      </c>
      <c r="AB67" s="384">
        <v>0</v>
      </c>
      <c r="AC67" s="384">
        <v>0</v>
      </c>
    </row>
    <row r="68" spans="1:29" s="385" customFormat="1" ht="15" customHeight="1">
      <c r="A68" s="386" t="s">
        <v>260</v>
      </c>
      <c r="B68" s="387" t="s">
        <v>46</v>
      </c>
      <c r="C68" s="388" t="s">
        <v>47</v>
      </c>
      <c r="D68" s="388" t="s">
        <v>48</v>
      </c>
      <c r="E68" s="386" t="s">
        <v>1594</v>
      </c>
      <c r="F68" s="388" t="s">
        <v>1595</v>
      </c>
      <c r="G68" s="386" t="s">
        <v>165</v>
      </c>
      <c r="H68" s="389" t="s">
        <v>1611</v>
      </c>
      <c r="I68" s="369" t="e">
        <f>VLOOKUP(H68,'合同高级查询数据-10月新返回合同'!A:A,1,0)</f>
        <v>#N/A</v>
      </c>
      <c r="J68" s="390" t="s">
        <v>3724</v>
      </c>
      <c r="K68" s="386" t="s">
        <v>4096</v>
      </c>
      <c r="L68" s="389" t="s">
        <v>1595</v>
      </c>
      <c r="M68" s="386"/>
      <c r="N68" s="399" t="s">
        <v>4097</v>
      </c>
      <c r="O68" s="400" t="s">
        <v>4098</v>
      </c>
      <c r="P68" s="392">
        <v>9833</v>
      </c>
      <c r="Q68" s="396"/>
      <c r="R68" s="393">
        <f t="shared" si="4"/>
        <v>0</v>
      </c>
      <c r="S68" s="378">
        <v>202310</v>
      </c>
      <c r="T68" s="394" t="s">
        <v>4099</v>
      </c>
      <c r="U68" s="394"/>
      <c r="V68" s="381">
        <v>0</v>
      </c>
      <c r="W68" s="395"/>
      <c r="X68" s="383"/>
      <c r="Y68" s="383"/>
      <c r="Z68" s="382" t="s">
        <v>4100</v>
      </c>
      <c r="AA68" s="384" t="s">
        <v>3807</v>
      </c>
      <c r="AB68" s="384">
        <v>0</v>
      </c>
      <c r="AC68" s="384">
        <v>0</v>
      </c>
    </row>
    <row r="69" spans="1:29" s="385" customFormat="1" ht="15" customHeight="1">
      <c r="A69" s="386" t="s">
        <v>260</v>
      </c>
      <c r="B69" s="387" t="s">
        <v>46</v>
      </c>
      <c r="C69" s="388" t="s">
        <v>47</v>
      </c>
      <c r="D69" s="388" t="s">
        <v>48</v>
      </c>
      <c r="E69" s="386" t="s">
        <v>1594</v>
      </c>
      <c r="F69" s="388" t="s">
        <v>1595</v>
      </c>
      <c r="G69" s="386" t="s">
        <v>165</v>
      </c>
      <c r="H69" s="389" t="s">
        <v>1611</v>
      </c>
      <c r="I69" s="369" t="e">
        <f>VLOOKUP(H69,'合同高级查询数据-10月新返回合同'!A:A,1,0)</f>
        <v>#N/A</v>
      </c>
      <c r="J69" s="390" t="s">
        <v>3724</v>
      </c>
      <c r="K69" s="386" t="s">
        <v>4102</v>
      </c>
      <c r="L69" s="389" t="s">
        <v>1619</v>
      </c>
      <c r="M69" s="386"/>
      <c r="N69" s="399" t="s">
        <v>4103</v>
      </c>
      <c r="O69" s="400" t="s">
        <v>4690</v>
      </c>
      <c r="P69" s="392">
        <v>11500</v>
      </c>
      <c r="Q69" s="396">
        <v>8.9</v>
      </c>
      <c r="R69" s="393">
        <f t="shared" si="4"/>
        <v>102350</v>
      </c>
      <c r="S69" s="378">
        <v>202310</v>
      </c>
      <c r="T69" s="394" t="s">
        <v>4105</v>
      </c>
      <c r="U69" s="394"/>
      <c r="V69" s="398">
        <v>8.8157372850000009</v>
      </c>
      <c r="W69" s="395"/>
      <c r="X69" s="383"/>
      <c r="Y69" s="383"/>
      <c r="Z69" s="382" t="s">
        <v>4106</v>
      </c>
      <c r="AA69" s="384">
        <v>0.4</v>
      </c>
      <c r="AB69" s="384">
        <v>60</v>
      </c>
      <c r="AC69" s="384">
        <f>AA69*AB69</f>
        <v>24</v>
      </c>
    </row>
    <row r="70" spans="1:29" s="577" customFormat="1" ht="15" customHeight="1">
      <c r="A70" s="561" t="s">
        <v>260</v>
      </c>
      <c r="B70" s="562" t="s">
        <v>46</v>
      </c>
      <c r="C70" s="563" t="s">
        <v>188</v>
      </c>
      <c r="D70" s="563" t="s">
        <v>48</v>
      </c>
      <c r="E70" s="561" t="s">
        <v>1636</v>
      </c>
      <c r="F70" s="561" t="s">
        <v>920</v>
      </c>
      <c r="G70" s="561" t="s">
        <v>165</v>
      </c>
      <c r="H70" s="564" t="s">
        <v>1796</v>
      </c>
      <c r="I70" s="565" t="e">
        <f>VLOOKUP(H70,'合同高级查询数据-10月新返回合同'!A:A,1,0)</f>
        <v>#N/A</v>
      </c>
      <c r="J70" s="566" t="s">
        <v>3724</v>
      </c>
      <c r="K70" s="561" t="s">
        <v>649</v>
      </c>
      <c r="L70" s="564" t="s">
        <v>1797</v>
      </c>
      <c r="M70" s="561"/>
      <c r="N70" s="586">
        <v>43889</v>
      </c>
      <c r="O70" s="561" t="s">
        <v>2187</v>
      </c>
      <c r="P70" s="568">
        <v>0</v>
      </c>
      <c r="Q70" s="579"/>
      <c r="R70" s="569">
        <f t="shared" si="4"/>
        <v>0</v>
      </c>
      <c r="S70" s="570">
        <v>202310</v>
      </c>
      <c r="T70" s="571" t="s">
        <v>4107</v>
      </c>
      <c r="U70" s="571"/>
      <c r="V70" s="572">
        <v>0</v>
      </c>
      <c r="W70" s="573"/>
      <c r="X70" s="574">
        <v>43825</v>
      </c>
      <c r="Y70" s="574">
        <v>45549</v>
      </c>
      <c r="Z70" s="575" t="s">
        <v>4108</v>
      </c>
      <c r="AA70" s="576" t="s">
        <v>4109</v>
      </c>
      <c r="AB70" s="576">
        <v>100</v>
      </c>
      <c r="AC70" s="576">
        <v>0</v>
      </c>
    </row>
    <row r="71" spans="1:29" s="577" customFormat="1" ht="15" customHeight="1">
      <c r="A71" s="561" t="s">
        <v>260</v>
      </c>
      <c r="B71" s="562" t="s">
        <v>46</v>
      </c>
      <c r="C71" s="563" t="s">
        <v>887</v>
      </c>
      <c r="D71" s="562" t="s">
        <v>888</v>
      </c>
      <c r="E71" s="561" t="s">
        <v>4110</v>
      </c>
      <c r="F71" s="561" t="s">
        <v>890</v>
      </c>
      <c r="G71" s="561" t="s">
        <v>165</v>
      </c>
      <c r="H71" s="564" t="s">
        <v>4111</v>
      </c>
      <c r="I71" s="565" t="e">
        <f>VLOOKUP(H71,'合同高级查询数据-10月新返回合同'!A:A,1,0)</f>
        <v>#N/A</v>
      </c>
      <c r="J71" s="566" t="s">
        <v>3776</v>
      </c>
      <c r="K71" s="561" t="s">
        <v>4112</v>
      </c>
      <c r="L71" s="564" t="s">
        <v>4113</v>
      </c>
      <c r="M71" s="561"/>
      <c r="N71" s="567"/>
      <c r="O71" s="561" t="s">
        <v>3847</v>
      </c>
      <c r="P71" s="580" t="s">
        <v>4114</v>
      </c>
      <c r="Q71" s="579">
        <v>2</v>
      </c>
      <c r="R71" s="569">
        <f>ROUND(Q71*50000,2)</f>
        <v>100000</v>
      </c>
      <c r="S71" s="570">
        <v>202310</v>
      </c>
      <c r="T71" s="571" t="s">
        <v>4115</v>
      </c>
      <c r="U71" s="571"/>
      <c r="V71" s="590">
        <v>1.264094437</v>
      </c>
      <c r="W71" s="573"/>
      <c r="X71" s="574">
        <v>44013</v>
      </c>
      <c r="Y71" s="574">
        <v>45473</v>
      </c>
      <c r="Z71" s="575" t="s">
        <v>4112</v>
      </c>
      <c r="AA71" s="576">
        <v>0.1</v>
      </c>
      <c r="AB71" s="576">
        <v>20</v>
      </c>
      <c r="AC71" s="576">
        <v>2</v>
      </c>
    </row>
    <row r="72" spans="1:29" s="577" customFormat="1" ht="15" customHeight="1">
      <c r="A72" s="561" t="s">
        <v>258</v>
      </c>
      <c r="B72" s="562" t="s">
        <v>46</v>
      </c>
      <c r="C72" s="563" t="s">
        <v>887</v>
      </c>
      <c r="D72" s="562" t="s">
        <v>888</v>
      </c>
      <c r="E72" s="561" t="s">
        <v>2064</v>
      </c>
      <c r="F72" s="561" t="s">
        <v>2068</v>
      </c>
      <c r="G72" s="561" t="s">
        <v>165</v>
      </c>
      <c r="H72" s="564" t="s">
        <v>2066</v>
      </c>
      <c r="I72" s="565" t="e">
        <f>VLOOKUP(H72,'合同高级查询数据-10月新返回合同'!A:A,1,0)</f>
        <v>#N/A</v>
      </c>
      <c r="J72" s="566" t="s">
        <v>3724</v>
      </c>
      <c r="K72" s="561" t="s">
        <v>2069</v>
      </c>
      <c r="L72" s="564" t="s">
        <v>4118</v>
      </c>
      <c r="M72" s="561"/>
      <c r="N72" s="567" t="s">
        <v>4119</v>
      </c>
      <c r="O72" s="583" t="s">
        <v>4120</v>
      </c>
      <c r="P72" s="568">
        <v>9000</v>
      </c>
      <c r="Q72" s="579">
        <v>35.6</v>
      </c>
      <c r="R72" s="569">
        <f t="shared" ref="R72:R136" si="5">ROUND(P72*Q72,2)</f>
        <v>320400</v>
      </c>
      <c r="S72" s="570">
        <v>202310</v>
      </c>
      <c r="T72" s="571" t="s">
        <v>4681</v>
      </c>
      <c r="U72" s="571"/>
      <c r="V72" s="590">
        <v>33.308508148000001</v>
      </c>
      <c r="W72" s="573">
        <v>37.799999999999997</v>
      </c>
      <c r="X72" s="574">
        <v>44562</v>
      </c>
      <c r="Y72" s="574">
        <v>45291</v>
      </c>
      <c r="Z72" s="575" t="s">
        <v>2111</v>
      </c>
      <c r="AA72" s="576">
        <v>0.3</v>
      </c>
      <c r="AB72" s="576">
        <v>180</v>
      </c>
      <c r="AC72" s="576">
        <f>AA72*AB72-30</f>
        <v>24</v>
      </c>
    </row>
    <row r="73" spans="1:29" s="577" customFormat="1" ht="15" customHeight="1">
      <c r="A73" s="561" t="s">
        <v>258</v>
      </c>
      <c r="B73" s="562" t="s">
        <v>46</v>
      </c>
      <c r="C73" s="563" t="s">
        <v>887</v>
      </c>
      <c r="D73" s="562" t="s">
        <v>888</v>
      </c>
      <c r="E73" s="561" t="s">
        <v>2064</v>
      </c>
      <c r="F73" s="561" t="s">
        <v>2068</v>
      </c>
      <c r="G73" s="561" t="s">
        <v>165</v>
      </c>
      <c r="H73" s="564" t="s">
        <v>2066</v>
      </c>
      <c r="I73" s="565" t="e">
        <f>VLOOKUP(H73,'合同高级查询数据-10月新返回合同'!A:A,1,0)</f>
        <v>#N/A</v>
      </c>
      <c r="J73" s="566" t="s">
        <v>3724</v>
      </c>
      <c r="K73" s="561" t="s">
        <v>2069</v>
      </c>
      <c r="L73" s="564" t="s">
        <v>2079</v>
      </c>
      <c r="M73" s="561"/>
      <c r="N73" s="567">
        <v>44804</v>
      </c>
      <c r="O73" s="561" t="s">
        <v>4123</v>
      </c>
      <c r="P73" s="568">
        <v>9000</v>
      </c>
      <c r="Q73" s="579">
        <v>91.9</v>
      </c>
      <c r="R73" s="569">
        <f t="shared" si="5"/>
        <v>827100</v>
      </c>
      <c r="S73" s="570">
        <v>202310</v>
      </c>
      <c r="T73" s="571" t="s">
        <v>4679</v>
      </c>
      <c r="U73" s="571"/>
      <c r="V73" s="590">
        <v>91.885108642000006</v>
      </c>
      <c r="W73" s="591">
        <v>93.9</v>
      </c>
      <c r="X73" s="574">
        <v>44562</v>
      </c>
      <c r="Y73" s="574">
        <v>45291</v>
      </c>
      <c r="Z73" s="575" t="s">
        <v>4125</v>
      </c>
      <c r="AA73" s="576">
        <v>0.3</v>
      </c>
      <c r="AB73" s="576">
        <v>300</v>
      </c>
      <c r="AC73" s="576">
        <v>90</v>
      </c>
    </row>
    <row r="74" spans="1:29" s="577" customFormat="1" ht="15" customHeight="1">
      <c r="A74" s="561" t="s">
        <v>258</v>
      </c>
      <c r="B74" s="562" t="s">
        <v>46</v>
      </c>
      <c r="C74" s="563" t="s">
        <v>887</v>
      </c>
      <c r="D74" s="562" t="s">
        <v>888</v>
      </c>
      <c r="E74" s="561" t="s">
        <v>2064</v>
      </c>
      <c r="F74" s="561" t="s">
        <v>2068</v>
      </c>
      <c r="G74" s="561" t="s">
        <v>165</v>
      </c>
      <c r="H74" s="564" t="s">
        <v>2066</v>
      </c>
      <c r="I74" s="565" t="e">
        <f>VLOOKUP(H74,'合同高级查询数据-10月新返回合同'!A:A,1,0)</f>
        <v>#N/A</v>
      </c>
      <c r="J74" s="566" t="s">
        <v>4013</v>
      </c>
      <c r="K74" s="561" t="s">
        <v>4126</v>
      </c>
      <c r="L74" s="564" t="s">
        <v>4127</v>
      </c>
      <c r="M74" s="561" t="s">
        <v>4128</v>
      </c>
      <c r="N74" s="567" t="s">
        <v>4129</v>
      </c>
      <c r="O74" s="561" t="s">
        <v>4019</v>
      </c>
      <c r="P74" s="568">
        <v>9000</v>
      </c>
      <c r="Q74" s="579"/>
      <c r="R74" s="569">
        <f t="shared" si="5"/>
        <v>0</v>
      </c>
      <c r="S74" s="570">
        <v>202310</v>
      </c>
      <c r="T74" s="571" t="s">
        <v>4130</v>
      </c>
      <c r="U74" s="571"/>
      <c r="V74" s="572">
        <v>0</v>
      </c>
      <c r="W74" s="573"/>
      <c r="X74" s="574">
        <v>44562</v>
      </c>
      <c r="Y74" s="574">
        <v>45291</v>
      </c>
      <c r="Z74" s="575" t="s">
        <v>4131</v>
      </c>
      <c r="AA74" s="576" t="s">
        <v>3807</v>
      </c>
      <c r="AB74" s="576">
        <v>0</v>
      </c>
      <c r="AC74" s="576">
        <v>0</v>
      </c>
    </row>
    <row r="75" spans="1:29" s="577" customFormat="1" ht="15" customHeight="1">
      <c r="A75" s="561" t="s">
        <v>258</v>
      </c>
      <c r="B75" s="562" t="s">
        <v>46</v>
      </c>
      <c r="C75" s="563" t="s">
        <v>887</v>
      </c>
      <c r="D75" s="562" t="s">
        <v>888</v>
      </c>
      <c r="E75" s="561" t="s">
        <v>2064</v>
      </c>
      <c r="F75" s="561" t="s">
        <v>2068</v>
      </c>
      <c r="G75" s="561" t="s">
        <v>165</v>
      </c>
      <c r="H75" s="564" t="s">
        <v>2066</v>
      </c>
      <c r="I75" s="565" t="e">
        <f>VLOOKUP(H75,'合同高级查询数据-10月新返回合同'!A:A,1,0)</f>
        <v>#N/A</v>
      </c>
      <c r="J75" s="566" t="s">
        <v>4000</v>
      </c>
      <c r="K75" s="561" t="s">
        <v>4132</v>
      </c>
      <c r="L75" s="564" t="s">
        <v>4133</v>
      </c>
      <c r="M75" s="561"/>
      <c r="N75" s="567"/>
      <c r="O75" s="561" t="s">
        <v>1542</v>
      </c>
      <c r="P75" s="568">
        <v>9000</v>
      </c>
      <c r="Q75" s="579">
        <v>65.400000000000006</v>
      </c>
      <c r="R75" s="569">
        <f t="shared" si="5"/>
        <v>588600</v>
      </c>
      <c r="S75" s="570">
        <v>202310</v>
      </c>
      <c r="T75" s="571" t="s">
        <v>4134</v>
      </c>
      <c r="U75" s="571"/>
      <c r="V75" s="590">
        <v>66.587335929999995</v>
      </c>
      <c r="W75" s="573">
        <v>65.400000000000006</v>
      </c>
      <c r="X75" s="574">
        <v>44562</v>
      </c>
      <c r="Y75" s="574">
        <v>45291</v>
      </c>
      <c r="Z75" s="575" t="s">
        <v>4135</v>
      </c>
      <c r="AA75" s="576">
        <v>0.24</v>
      </c>
      <c r="AB75" s="576">
        <v>200</v>
      </c>
      <c r="AC75" s="576">
        <v>48</v>
      </c>
    </row>
    <row r="76" spans="1:29" s="385" customFormat="1" ht="15" customHeight="1">
      <c r="A76" s="386" t="s">
        <v>258</v>
      </c>
      <c r="B76" s="387" t="s">
        <v>46</v>
      </c>
      <c r="C76" s="388" t="s">
        <v>887</v>
      </c>
      <c r="D76" s="387" t="s">
        <v>888</v>
      </c>
      <c r="E76" s="386" t="s">
        <v>2064</v>
      </c>
      <c r="F76" s="386" t="s">
        <v>2068</v>
      </c>
      <c r="G76" s="386" t="s">
        <v>165</v>
      </c>
      <c r="H76" s="389" t="s">
        <v>2124</v>
      </c>
      <c r="I76" s="369" t="e">
        <f>VLOOKUP(H76,'合同高级查询数据-10月新返回合同'!A:A,1,0)</f>
        <v>#N/A</v>
      </c>
      <c r="J76" s="390" t="s">
        <v>3724</v>
      </c>
      <c r="K76" s="386" t="s">
        <v>4136</v>
      </c>
      <c r="L76" s="389" t="s">
        <v>2116</v>
      </c>
      <c r="M76" s="386" t="s">
        <v>2071</v>
      </c>
      <c r="N76" s="391" t="s">
        <v>4137</v>
      </c>
      <c r="O76" s="386" t="s">
        <v>4138</v>
      </c>
      <c r="P76" s="392">
        <v>0</v>
      </c>
      <c r="Q76" s="396"/>
      <c r="R76" s="393">
        <f t="shared" si="5"/>
        <v>0</v>
      </c>
      <c r="S76" s="378">
        <v>202310</v>
      </c>
      <c r="T76" s="394" t="s">
        <v>4139</v>
      </c>
      <c r="U76" s="394"/>
      <c r="V76" s="381">
        <v>0</v>
      </c>
      <c r="W76" s="395"/>
      <c r="X76" s="383"/>
      <c r="Y76" s="383"/>
      <c r="Z76" s="382" t="s">
        <v>4136</v>
      </c>
      <c r="AA76" s="384" t="s">
        <v>3807</v>
      </c>
      <c r="AB76" s="384">
        <v>0</v>
      </c>
      <c r="AC76" s="384">
        <v>0</v>
      </c>
    </row>
    <row r="77" spans="1:29" s="385" customFormat="1" ht="15" customHeight="1">
      <c r="A77" s="386" t="s">
        <v>258</v>
      </c>
      <c r="B77" s="387" t="s">
        <v>46</v>
      </c>
      <c r="C77" s="388" t="s">
        <v>887</v>
      </c>
      <c r="D77" s="387" t="s">
        <v>888</v>
      </c>
      <c r="E77" s="386" t="s">
        <v>2064</v>
      </c>
      <c r="F77" s="386" t="s">
        <v>2068</v>
      </c>
      <c r="G77" s="386" t="s">
        <v>165</v>
      </c>
      <c r="H77" s="389" t="s">
        <v>2127</v>
      </c>
      <c r="I77" s="369" t="e">
        <f>VLOOKUP(H77,'合同高级查询数据-10月新返回合同'!A:A,1,0)</f>
        <v>#N/A</v>
      </c>
      <c r="J77" s="390" t="s">
        <v>3724</v>
      </c>
      <c r="K77" s="386" t="s">
        <v>2069</v>
      </c>
      <c r="L77" s="389" t="s">
        <v>2128</v>
      </c>
      <c r="M77" s="386"/>
      <c r="N77" s="399" t="s">
        <v>4140</v>
      </c>
      <c r="O77" s="400" t="s">
        <v>4678</v>
      </c>
      <c r="P77" s="392">
        <v>0</v>
      </c>
      <c r="Q77" s="396"/>
      <c r="R77" s="393">
        <f t="shared" si="5"/>
        <v>0</v>
      </c>
      <c r="S77" s="378">
        <v>202310</v>
      </c>
      <c r="T77" s="394" t="s">
        <v>4141</v>
      </c>
      <c r="U77" s="394"/>
      <c r="V77" s="381">
        <v>0</v>
      </c>
      <c r="W77" s="395"/>
      <c r="X77" s="383"/>
      <c r="Y77" s="383"/>
      <c r="Z77" s="382" t="s">
        <v>4142</v>
      </c>
      <c r="AA77" s="384" t="s">
        <v>4109</v>
      </c>
      <c r="AB77" s="384">
        <v>140</v>
      </c>
      <c r="AC77" s="384">
        <v>0</v>
      </c>
    </row>
    <row r="78" spans="1:29" s="577" customFormat="1" ht="15" customHeight="1">
      <c r="A78" s="561" t="s">
        <v>258</v>
      </c>
      <c r="B78" s="562" t="s">
        <v>46</v>
      </c>
      <c r="C78" s="563" t="s">
        <v>887</v>
      </c>
      <c r="D78" s="562" t="s">
        <v>888</v>
      </c>
      <c r="E78" s="561" t="s">
        <v>2064</v>
      </c>
      <c r="F78" s="561" t="s">
        <v>2068</v>
      </c>
      <c r="G78" s="561" t="s">
        <v>165</v>
      </c>
      <c r="H78" s="564" t="s">
        <v>2066</v>
      </c>
      <c r="I78" s="565" t="e">
        <f>VLOOKUP(H78,'合同高级查询数据-10月新返回合同'!A:A,1,0)</f>
        <v>#N/A</v>
      </c>
      <c r="J78" s="566" t="s">
        <v>3724</v>
      </c>
      <c r="K78" s="561" t="s">
        <v>2069</v>
      </c>
      <c r="L78" s="564" t="s">
        <v>2121</v>
      </c>
      <c r="M78" s="561"/>
      <c r="N78" s="567">
        <v>44866</v>
      </c>
      <c r="O78" s="561" t="s">
        <v>4143</v>
      </c>
      <c r="P78" s="568">
        <v>9000</v>
      </c>
      <c r="Q78" s="579">
        <v>150</v>
      </c>
      <c r="R78" s="569">
        <f t="shared" si="5"/>
        <v>1350000</v>
      </c>
      <c r="S78" s="570">
        <v>202310</v>
      </c>
      <c r="T78" s="571" t="s">
        <v>4680</v>
      </c>
      <c r="U78" s="571"/>
      <c r="V78" s="590">
        <v>151.30237077699999</v>
      </c>
      <c r="W78" s="573">
        <v>150</v>
      </c>
      <c r="X78" s="574">
        <v>44562</v>
      </c>
      <c r="Y78" s="574">
        <v>45291</v>
      </c>
      <c r="Z78" s="575" t="s">
        <v>4145</v>
      </c>
      <c r="AA78" s="576">
        <v>0.3</v>
      </c>
      <c r="AB78" s="576">
        <v>500</v>
      </c>
      <c r="AC78" s="576">
        <v>150</v>
      </c>
    </row>
    <row r="79" spans="1:29" s="577" customFormat="1" ht="15" customHeight="1">
      <c r="A79" s="561" t="s">
        <v>258</v>
      </c>
      <c r="B79" s="562" t="s">
        <v>46</v>
      </c>
      <c r="C79" s="563" t="s">
        <v>188</v>
      </c>
      <c r="D79" s="563" t="s">
        <v>48</v>
      </c>
      <c r="E79" s="561" t="s">
        <v>431</v>
      </c>
      <c r="F79" s="561" t="s">
        <v>2163</v>
      </c>
      <c r="G79" s="561" t="s">
        <v>165</v>
      </c>
      <c r="H79" s="564" t="s">
        <v>2164</v>
      </c>
      <c r="I79" s="565" t="str">
        <f>VLOOKUP(H79,'合同高级查询数据-10月新返回合同'!A:A,1,0)</f>
        <v>182315IDC00478</v>
      </c>
      <c r="J79" s="566" t="s">
        <v>3724</v>
      </c>
      <c r="K79" s="561" t="s">
        <v>1307</v>
      </c>
      <c r="L79" s="564" t="s">
        <v>2165</v>
      </c>
      <c r="M79" s="561" t="s">
        <v>1309</v>
      </c>
      <c r="N79" s="567">
        <v>44958</v>
      </c>
      <c r="O79" s="561" t="s">
        <v>3779</v>
      </c>
      <c r="P79" s="568">
        <v>9000</v>
      </c>
      <c r="Q79" s="579">
        <v>13.33</v>
      </c>
      <c r="R79" s="569">
        <f t="shared" si="5"/>
        <v>119970</v>
      </c>
      <c r="S79" s="570">
        <v>202310</v>
      </c>
      <c r="T79" s="571" t="s">
        <v>4146</v>
      </c>
      <c r="U79" s="571"/>
      <c r="V79" s="590">
        <v>13.330008593000001</v>
      </c>
      <c r="W79" s="573"/>
      <c r="X79" s="574">
        <v>44958</v>
      </c>
      <c r="Y79" s="574">
        <v>45322</v>
      </c>
      <c r="Z79" s="575" t="s">
        <v>4147</v>
      </c>
      <c r="AA79" s="576">
        <v>0.3</v>
      </c>
      <c r="AB79" s="589">
        <v>30</v>
      </c>
      <c r="AC79" s="576">
        <f>AA79*AB79</f>
        <v>9</v>
      </c>
    </row>
    <row r="80" spans="1:29" s="577" customFormat="1" ht="15" customHeight="1">
      <c r="A80" s="561" t="s">
        <v>258</v>
      </c>
      <c r="B80" s="562" t="s">
        <v>46</v>
      </c>
      <c r="C80" s="563" t="s">
        <v>887</v>
      </c>
      <c r="D80" s="562" t="s">
        <v>888</v>
      </c>
      <c r="E80" s="561" t="s">
        <v>2183</v>
      </c>
      <c r="F80" s="561" t="s">
        <v>2184</v>
      </c>
      <c r="G80" s="561" t="s">
        <v>165</v>
      </c>
      <c r="H80" s="564" t="s">
        <v>2213</v>
      </c>
      <c r="I80" s="565" t="e">
        <f>VLOOKUP(H80,'合同高级查询数据-10月新返回合同'!A:A,1,0)</f>
        <v>#N/A</v>
      </c>
      <c r="J80" s="566" t="s">
        <v>3858</v>
      </c>
      <c r="K80" s="561" t="s">
        <v>4149</v>
      </c>
      <c r="L80" s="564" t="s">
        <v>2202</v>
      </c>
      <c r="M80" s="561" t="s">
        <v>1592</v>
      </c>
      <c r="N80" s="567">
        <v>43132</v>
      </c>
      <c r="O80" s="561" t="s">
        <v>3862</v>
      </c>
      <c r="P80" s="568">
        <v>9000</v>
      </c>
      <c r="Q80" s="579">
        <v>143.16800000000001</v>
      </c>
      <c r="R80" s="569">
        <f t="shared" si="5"/>
        <v>1288512</v>
      </c>
      <c r="S80" s="570">
        <v>202310</v>
      </c>
      <c r="T80" s="571" t="s">
        <v>4150</v>
      </c>
      <c r="U80" s="571"/>
      <c r="V80" s="572">
        <v>143.30809549700001</v>
      </c>
      <c r="W80" s="573">
        <v>143.16800000000001</v>
      </c>
      <c r="X80" s="574">
        <v>44986</v>
      </c>
      <c r="Y80" s="574">
        <v>45351</v>
      </c>
      <c r="Z80" s="575" t="s">
        <v>4151</v>
      </c>
      <c r="AA80" s="576">
        <v>0.3</v>
      </c>
      <c r="AB80" s="576">
        <v>240</v>
      </c>
      <c r="AC80" s="576">
        <v>72</v>
      </c>
    </row>
    <row r="81" spans="1:29" s="577" customFormat="1" ht="15" customHeight="1">
      <c r="A81" s="561" t="s">
        <v>258</v>
      </c>
      <c r="B81" s="562" t="s">
        <v>46</v>
      </c>
      <c r="C81" s="563" t="s">
        <v>887</v>
      </c>
      <c r="D81" s="562" t="s">
        <v>888</v>
      </c>
      <c r="E81" s="561" t="s">
        <v>2183</v>
      </c>
      <c r="F81" s="561" t="s">
        <v>2184</v>
      </c>
      <c r="G81" s="561" t="s">
        <v>165</v>
      </c>
      <c r="H81" s="564" t="s">
        <v>2265</v>
      </c>
      <c r="I81" s="565" t="e">
        <f>VLOOKUP(H81,'合同高级查询数据-10月新返回合同'!A:A,1,0)</f>
        <v>#N/A</v>
      </c>
      <c r="J81" s="566" t="s">
        <v>3724</v>
      </c>
      <c r="K81" s="561" t="s">
        <v>4153</v>
      </c>
      <c r="L81" s="564" t="s">
        <v>2285</v>
      </c>
      <c r="M81" s="561"/>
      <c r="N81" s="586" t="s">
        <v>4154</v>
      </c>
      <c r="O81" s="583" t="s">
        <v>4155</v>
      </c>
      <c r="P81" s="568">
        <v>9000</v>
      </c>
      <c r="Q81" s="579">
        <v>53.654000000000003</v>
      </c>
      <c r="R81" s="569">
        <f t="shared" si="5"/>
        <v>482886</v>
      </c>
      <c r="S81" s="570">
        <v>202310</v>
      </c>
      <c r="T81" s="571" t="s">
        <v>4710</v>
      </c>
      <c r="U81" s="571"/>
      <c r="V81" s="572">
        <v>52.835164413000001</v>
      </c>
      <c r="W81" s="592">
        <v>54.472999999999999</v>
      </c>
      <c r="X81" s="574">
        <v>45017</v>
      </c>
      <c r="Y81" s="574">
        <v>45382</v>
      </c>
      <c r="Z81" s="575" t="s">
        <v>4157</v>
      </c>
      <c r="AA81" s="576">
        <v>0.3</v>
      </c>
      <c r="AB81" s="576">
        <v>160</v>
      </c>
      <c r="AC81" s="576">
        <f>AA81*AB81</f>
        <v>48</v>
      </c>
    </row>
    <row r="82" spans="1:29" s="577" customFormat="1" ht="15" customHeight="1">
      <c r="A82" s="561" t="s">
        <v>258</v>
      </c>
      <c r="B82" s="562" t="s">
        <v>46</v>
      </c>
      <c r="C82" s="563" t="s">
        <v>887</v>
      </c>
      <c r="D82" s="562" t="s">
        <v>888</v>
      </c>
      <c r="E82" s="561" t="s">
        <v>2183</v>
      </c>
      <c r="F82" s="561" t="s">
        <v>2184</v>
      </c>
      <c r="G82" s="561" t="s">
        <v>165</v>
      </c>
      <c r="H82" s="564" t="s">
        <v>2265</v>
      </c>
      <c r="I82" s="565" t="e">
        <f>VLOOKUP(H82,'合同高级查询数据-10月新返回合同'!A:A,1,0)</f>
        <v>#N/A</v>
      </c>
      <c r="J82" s="566" t="s">
        <v>3724</v>
      </c>
      <c r="K82" s="561" t="s">
        <v>4158</v>
      </c>
      <c r="L82" s="564" t="s">
        <v>4159</v>
      </c>
      <c r="M82" s="561"/>
      <c r="N82" s="586" t="s">
        <v>4160</v>
      </c>
      <c r="O82" s="583" t="s">
        <v>4161</v>
      </c>
      <c r="P82" s="568">
        <v>9000</v>
      </c>
      <c r="Q82" s="579"/>
      <c r="R82" s="569">
        <f t="shared" si="5"/>
        <v>0</v>
      </c>
      <c r="S82" s="570">
        <v>202310</v>
      </c>
      <c r="T82" s="571" t="s">
        <v>4162</v>
      </c>
      <c r="U82" s="571"/>
      <c r="V82" s="572"/>
      <c r="W82" s="573"/>
      <c r="X82" s="574">
        <v>45017</v>
      </c>
      <c r="Y82" s="574">
        <v>45382</v>
      </c>
      <c r="Z82" s="575" t="s">
        <v>4163</v>
      </c>
      <c r="AA82" s="576" t="s">
        <v>3807</v>
      </c>
      <c r="AB82" s="576">
        <v>0</v>
      </c>
      <c r="AC82" s="576">
        <v>0</v>
      </c>
    </row>
    <row r="83" spans="1:29" s="577" customFormat="1" ht="15" customHeight="1">
      <c r="A83" s="561" t="s">
        <v>258</v>
      </c>
      <c r="B83" s="562" t="s">
        <v>46</v>
      </c>
      <c r="C83" s="563" t="s">
        <v>887</v>
      </c>
      <c r="D83" s="562" t="s">
        <v>888</v>
      </c>
      <c r="E83" s="561" t="s">
        <v>2183</v>
      </c>
      <c r="F83" s="561" t="s">
        <v>2184</v>
      </c>
      <c r="G83" s="561" t="s">
        <v>165</v>
      </c>
      <c r="H83" s="564" t="s">
        <v>2265</v>
      </c>
      <c r="I83" s="565" t="e">
        <f>VLOOKUP(H83,'合同高级查询数据-10月新返回合同'!A:A,1,0)</f>
        <v>#N/A</v>
      </c>
      <c r="J83" s="566" t="s">
        <v>3724</v>
      </c>
      <c r="K83" s="561" t="s">
        <v>4164</v>
      </c>
      <c r="L83" s="564" t="s">
        <v>2184</v>
      </c>
      <c r="M83" s="561"/>
      <c r="N83" s="567">
        <v>44774</v>
      </c>
      <c r="O83" s="561" t="s">
        <v>3874</v>
      </c>
      <c r="P83" s="568">
        <v>9000</v>
      </c>
      <c r="Q83" s="579">
        <v>76.626000000000005</v>
      </c>
      <c r="R83" s="569">
        <f t="shared" si="5"/>
        <v>689634</v>
      </c>
      <c r="S83" s="570">
        <v>202310</v>
      </c>
      <c r="T83" s="571" t="s">
        <v>4711</v>
      </c>
      <c r="U83" s="571"/>
      <c r="V83" s="572">
        <v>75.716200255999993</v>
      </c>
      <c r="W83" s="592">
        <v>76.626000000000005</v>
      </c>
      <c r="X83" s="574">
        <v>45017</v>
      </c>
      <c r="Y83" s="574">
        <v>45382</v>
      </c>
      <c r="Z83" s="575" t="s">
        <v>4166</v>
      </c>
      <c r="AA83" s="576">
        <v>0.3</v>
      </c>
      <c r="AB83" s="576">
        <v>180</v>
      </c>
      <c r="AC83" s="576">
        <v>54</v>
      </c>
    </row>
    <row r="84" spans="1:29" s="577" customFormat="1" ht="15" customHeight="1">
      <c r="A84" s="561" t="s">
        <v>258</v>
      </c>
      <c r="B84" s="562" t="s">
        <v>46</v>
      </c>
      <c r="C84" s="563" t="s">
        <v>887</v>
      </c>
      <c r="D84" s="562" t="s">
        <v>888</v>
      </c>
      <c r="E84" s="561" t="s">
        <v>2183</v>
      </c>
      <c r="F84" s="561" t="s">
        <v>2184</v>
      </c>
      <c r="G84" s="561" t="s">
        <v>165</v>
      </c>
      <c r="H84" s="564" t="s">
        <v>2265</v>
      </c>
      <c r="I84" s="565" t="e">
        <f>VLOOKUP(H84,'合同高级查询数据-10月新返回合同'!A:A,1,0)</f>
        <v>#N/A</v>
      </c>
      <c r="J84" s="566" t="s">
        <v>4013</v>
      </c>
      <c r="K84" s="561" t="s">
        <v>4167</v>
      </c>
      <c r="L84" s="564" t="s">
        <v>2280</v>
      </c>
      <c r="M84" s="561" t="s">
        <v>4168</v>
      </c>
      <c r="N84" s="567" t="s">
        <v>4169</v>
      </c>
      <c r="O84" s="561" t="s">
        <v>4170</v>
      </c>
      <c r="P84" s="568">
        <v>9000</v>
      </c>
      <c r="Q84" s="579"/>
      <c r="R84" s="569">
        <f t="shared" si="5"/>
        <v>0</v>
      </c>
      <c r="S84" s="570">
        <v>202310</v>
      </c>
      <c r="T84" s="571" t="s">
        <v>4171</v>
      </c>
      <c r="U84" s="571"/>
      <c r="V84" s="572">
        <v>0</v>
      </c>
      <c r="W84" s="573"/>
      <c r="X84" s="574">
        <v>45017</v>
      </c>
      <c r="Y84" s="574">
        <v>45382</v>
      </c>
      <c r="Z84" s="575" t="s">
        <v>4172</v>
      </c>
      <c r="AA84" s="576" t="s">
        <v>3807</v>
      </c>
      <c r="AB84" s="576">
        <v>0</v>
      </c>
      <c r="AC84" s="576">
        <v>0</v>
      </c>
    </row>
    <row r="85" spans="1:29" s="577" customFormat="1" ht="15" customHeight="1">
      <c r="A85" s="561" t="s">
        <v>258</v>
      </c>
      <c r="B85" s="562" t="s">
        <v>46</v>
      </c>
      <c r="C85" s="563" t="s">
        <v>887</v>
      </c>
      <c r="D85" s="562" t="s">
        <v>888</v>
      </c>
      <c r="E85" s="561" t="s">
        <v>2183</v>
      </c>
      <c r="F85" s="561" t="s">
        <v>2184</v>
      </c>
      <c r="G85" s="561" t="s">
        <v>165</v>
      </c>
      <c r="H85" s="564" t="s">
        <v>2265</v>
      </c>
      <c r="I85" s="565" t="e">
        <f>VLOOKUP(H85,'合同高级查询数据-10月新返回合同'!A:A,1,0)</f>
        <v>#N/A</v>
      </c>
      <c r="J85" s="566" t="s">
        <v>3724</v>
      </c>
      <c r="K85" s="561"/>
      <c r="L85" s="564" t="s">
        <v>4173</v>
      </c>
      <c r="M85" s="561" t="s">
        <v>4174</v>
      </c>
      <c r="N85" s="567" t="s">
        <v>4175</v>
      </c>
      <c r="O85" s="561" t="s">
        <v>4176</v>
      </c>
      <c r="P85" s="568">
        <v>9000</v>
      </c>
      <c r="Q85" s="579"/>
      <c r="R85" s="569">
        <f t="shared" si="5"/>
        <v>0</v>
      </c>
      <c r="S85" s="570">
        <v>202310</v>
      </c>
      <c r="T85" s="571" t="s">
        <v>4177</v>
      </c>
      <c r="U85" s="571"/>
      <c r="V85" s="572"/>
      <c r="W85" s="573"/>
      <c r="X85" s="574">
        <v>45017</v>
      </c>
      <c r="Y85" s="574">
        <v>45382</v>
      </c>
      <c r="Z85" s="575" t="s">
        <v>4178</v>
      </c>
      <c r="AA85" s="576" t="s">
        <v>3807</v>
      </c>
      <c r="AB85" s="576">
        <v>0</v>
      </c>
      <c r="AC85" s="576">
        <v>0</v>
      </c>
    </row>
    <row r="86" spans="1:29" s="577" customFormat="1" ht="15" customHeight="1">
      <c r="A86" s="561" t="s">
        <v>258</v>
      </c>
      <c r="B86" s="562" t="s">
        <v>46</v>
      </c>
      <c r="C86" s="563" t="s">
        <v>887</v>
      </c>
      <c r="D86" s="562" t="s">
        <v>888</v>
      </c>
      <c r="E86" s="561" t="s">
        <v>2183</v>
      </c>
      <c r="F86" s="561" t="s">
        <v>2184</v>
      </c>
      <c r="G86" s="561" t="s">
        <v>165</v>
      </c>
      <c r="H86" s="564" t="s">
        <v>2265</v>
      </c>
      <c r="I86" s="565" t="e">
        <f>VLOOKUP(H86,'合同高级查询数据-10月新返回合同'!A:A,1,0)</f>
        <v>#N/A</v>
      </c>
      <c r="J86" s="566" t="s">
        <v>3724</v>
      </c>
      <c r="K86" s="561"/>
      <c r="L86" s="564" t="s">
        <v>4179</v>
      </c>
      <c r="M86" s="561" t="s">
        <v>4180</v>
      </c>
      <c r="N86" s="567" t="s">
        <v>4181</v>
      </c>
      <c r="O86" s="561" t="s">
        <v>4182</v>
      </c>
      <c r="P86" s="568">
        <v>9000</v>
      </c>
      <c r="Q86" s="579"/>
      <c r="R86" s="569">
        <f t="shared" si="5"/>
        <v>0</v>
      </c>
      <c r="S86" s="570">
        <v>202310</v>
      </c>
      <c r="T86" s="571" t="s">
        <v>4183</v>
      </c>
      <c r="U86" s="571"/>
      <c r="V86" s="572"/>
      <c r="W86" s="573"/>
      <c r="X86" s="574">
        <v>45017</v>
      </c>
      <c r="Y86" s="574">
        <v>45382</v>
      </c>
      <c r="Z86" s="575" t="s">
        <v>4184</v>
      </c>
      <c r="AA86" s="576" t="s">
        <v>3807</v>
      </c>
      <c r="AB86" s="576">
        <v>0</v>
      </c>
      <c r="AC86" s="576">
        <v>0</v>
      </c>
    </row>
    <row r="87" spans="1:29" s="385" customFormat="1" ht="15" customHeight="1">
      <c r="A87" s="386" t="s">
        <v>258</v>
      </c>
      <c r="B87" s="387" t="s">
        <v>46</v>
      </c>
      <c r="C87" s="388" t="s">
        <v>887</v>
      </c>
      <c r="D87" s="387" t="s">
        <v>888</v>
      </c>
      <c r="E87" s="386" t="s">
        <v>2183</v>
      </c>
      <c r="F87" s="386" t="s">
        <v>2184</v>
      </c>
      <c r="G87" s="386" t="s">
        <v>165</v>
      </c>
      <c r="H87" s="389" t="s">
        <v>2191</v>
      </c>
      <c r="I87" s="369" t="e">
        <f>VLOOKUP(H87,'合同高级查询数据-10月新返回合同'!A:A,1,0)</f>
        <v>#N/A</v>
      </c>
      <c r="J87" s="390" t="s">
        <v>3724</v>
      </c>
      <c r="K87" s="386" t="s">
        <v>2269</v>
      </c>
      <c r="L87" s="389" t="s">
        <v>2192</v>
      </c>
      <c r="M87" s="386"/>
      <c r="N87" s="391" t="s">
        <v>4185</v>
      </c>
      <c r="O87" s="400" t="s">
        <v>4186</v>
      </c>
      <c r="P87" s="392">
        <v>9000</v>
      </c>
      <c r="Q87" s="396"/>
      <c r="R87" s="393">
        <f t="shared" si="5"/>
        <v>0</v>
      </c>
      <c r="S87" s="378">
        <v>202310</v>
      </c>
      <c r="T87" s="394" t="s">
        <v>4187</v>
      </c>
      <c r="U87" s="394"/>
      <c r="V87" s="381">
        <v>0</v>
      </c>
      <c r="W87" s="395"/>
      <c r="X87" s="383"/>
      <c r="Y87" s="383"/>
      <c r="Z87" s="382" t="s">
        <v>4188</v>
      </c>
      <c r="AA87" s="384" t="s">
        <v>4109</v>
      </c>
      <c r="AB87" s="384">
        <v>100</v>
      </c>
      <c r="AC87" s="384">
        <v>0</v>
      </c>
    </row>
    <row r="88" spans="1:29" s="385" customFormat="1" ht="15" customHeight="1">
      <c r="A88" s="386" t="s">
        <v>258</v>
      </c>
      <c r="B88" s="387" t="s">
        <v>46</v>
      </c>
      <c r="C88" s="388" t="s">
        <v>887</v>
      </c>
      <c r="D88" s="387" t="s">
        <v>888</v>
      </c>
      <c r="E88" s="386" t="s">
        <v>2183</v>
      </c>
      <c r="F88" s="386" t="s">
        <v>2184</v>
      </c>
      <c r="G88" s="386" t="s">
        <v>165</v>
      </c>
      <c r="H88" s="389" t="s">
        <v>2204</v>
      </c>
      <c r="I88" s="369" t="e">
        <f>VLOOKUP(H88,'合同高级查询数据-10月新返回合同'!A:A,1,0)</f>
        <v>#N/A</v>
      </c>
      <c r="J88" s="390" t="s">
        <v>3724</v>
      </c>
      <c r="K88" s="386"/>
      <c r="L88" s="389" t="s">
        <v>2205</v>
      </c>
      <c r="M88" s="386" t="s">
        <v>2206</v>
      </c>
      <c r="N88" s="399" t="s">
        <v>4189</v>
      </c>
      <c r="O88" s="400" t="s">
        <v>4190</v>
      </c>
      <c r="P88" s="392">
        <v>0</v>
      </c>
      <c r="Q88" s="396"/>
      <c r="R88" s="393">
        <f t="shared" si="5"/>
        <v>0</v>
      </c>
      <c r="S88" s="378">
        <v>202310</v>
      </c>
      <c r="T88" s="394" t="s">
        <v>4191</v>
      </c>
      <c r="U88" s="394"/>
      <c r="V88" s="381">
        <v>0</v>
      </c>
      <c r="W88" s="395"/>
      <c r="X88" s="383"/>
      <c r="Y88" s="383"/>
      <c r="Z88" s="382" t="s">
        <v>4192</v>
      </c>
      <c r="AA88" s="384" t="s">
        <v>4109</v>
      </c>
      <c r="AB88" s="384">
        <v>120</v>
      </c>
      <c r="AC88" s="384">
        <v>0</v>
      </c>
    </row>
    <row r="89" spans="1:29" s="385" customFormat="1" ht="15" customHeight="1">
      <c r="A89" s="386" t="s">
        <v>258</v>
      </c>
      <c r="B89" s="387" t="s">
        <v>46</v>
      </c>
      <c r="C89" s="388" t="s">
        <v>47</v>
      </c>
      <c r="D89" s="388" t="s">
        <v>48</v>
      </c>
      <c r="E89" s="386" t="s">
        <v>2300</v>
      </c>
      <c r="F89" s="386" t="s">
        <v>2309</v>
      </c>
      <c r="G89" s="386" t="s">
        <v>165</v>
      </c>
      <c r="H89" s="389" t="s">
        <v>2310</v>
      </c>
      <c r="I89" s="369" t="e">
        <f>VLOOKUP(H89,'合同高级查询数据-10月新返回合同'!A:A,1,0)</f>
        <v>#N/A</v>
      </c>
      <c r="J89" s="390" t="s">
        <v>3724</v>
      </c>
      <c r="K89" s="386" t="s">
        <v>4193</v>
      </c>
      <c r="L89" s="389" t="s">
        <v>2309</v>
      </c>
      <c r="M89" s="386"/>
      <c r="N89" s="391" t="s">
        <v>4194</v>
      </c>
      <c r="O89" s="386" t="s">
        <v>4195</v>
      </c>
      <c r="P89" s="392">
        <v>10000</v>
      </c>
      <c r="Q89" s="396">
        <v>30</v>
      </c>
      <c r="R89" s="393">
        <f t="shared" si="5"/>
        <v>300000</v>
      </c>
      <c r="S89" s="378">
        <v>202310</v>
      </c>
      <c r="T89" s="394" t="s">
        <v>4196</v>
      </c>
      <c r="U89" s="394"/>
      <c r="V89" s="398">
        <v>29.982822684999999</v>
      </c>
      <c r="W89" s="395"/>
      <c r="X89" s="383"/>
      <c r="Y89" s="383"/>
      <c r="Z89" s="382" t="s">
        <v>4197</v>
      </c>
      <c r="AA89" s="384">
        <v>0.3</v>
      </c>
      <c r="AB89" s="384">
        <v>100</v>
      </c>
      <c r="AC89" s="384">
        <v>30</v>
      </c>
    </row>
    <row r="90" spans="1:29" s="385" customFormat="1" ht="15" customHeight="1">
      <c r="A90" s="386" t="s">
        <v>258</v>
      </c>
      <c r="B90" s="387" t="s">
        <v>46</v>
      </c>
      <c r="C90" s="388" t="s">
        <v>887</v>
      </c>
      <c r="D90" s="387" t="s">
        <v>888</v>
      </c>
      <c r="E90" s="386" t="s">
        <v>2405</v>
      </c>
      <c r="F90" s="386" t="s">
        <v>2406</v>
      </c>
      <c r="G90" s="386" t="s">
        <v>165</v>
      </c>
      <c r="H90" s="389" t="s">
        <v>2407</v>
      </c>
      <c r="I90" s="369" t="e">
        <f>VLOOKUP(H90,'合同高级查询数据-10月新返回合同'!A:A,1,0)</f>
        <v>#N/A</v>
      </c>
      <c r="J90" s="390" t="s">
        <v>3724</v>
      </c>
      <c r="K90" s="386" t="s">
        <v>4199</v>
      </c>
      <c r="L90" s="389" t="s">
        <v>2406</v>
      </c>
      <c r="M90" s="386"/>
      <c r="N90" s="391" t="s">
        <v>4200</v>
      </c>
      <c r="O90" s="400" t="s">
        <v>4201</v>
      </c>
      <c r="P90" s="392">
        <v>9000</v>
      </c>
      <c r="Q90" s="396">
        <v>20.399999999999999</v>
      </c>
      <c r="R90" s="393">
        <f t="shared" si="5"/>
        <v>183600</v>
      </c>
      <c r="S90" s="378">
        <v>202310</v>
      </c>
      <c r="T90" s="394" t="s">
        <v>4202</v>
      </c>
      <c r="U90" s="394"/>
      <c r="V90" s="398">
        <v>20.373191528</v>
      </c>
      <c r="W90" s="413">
        <v>20.399999999999999</v>
      </c>
      <c r="X90" s="383"/>
      <c r="Y90" s="383"/>
      <c r="Z90" s="382" t="s">
        <v>4203</v>
      </c>
      <c r="AA90" s="384">
        <v>0.3</v>
      </c>
      <c r="AB90" s="384">
        <v>60</v>
      </c>
      <c r="AC90" s="384">
        <v>18</v>
      </c>
    </row>
    <row r="91" spans="1:29" s="385" customFormat="1" ht="15" customHeight="1">
      <c r="A91" s="386" t="s">
        <v>45</v>
      </c>
      <c r="B91" s="387" t="s">
        <v>46</v>
      </c>
      <c r="C91" s="388" t="s">
        <v>188</v>
      </c>
      <c r="D91" s="388" t="s">
        <v>48</v>
      </c>
      <c r="E91" s="386" t="s">
        <v>2489</v>
      </c>
      <c r="F91" s="386" t="s">
        <v>2490</v>
      </c>
      <c r="G91" s="386" t="s">
        <v>165</v>
      </c>
      <c r="H91" s="389" t="s">
        <v>2491</v>
      </c>
      <c r="I91" s="369" t="e">
        <f>VLOOKUP(H91,'合同高级查询数据-10月新返回合同'!A:A,1,0)</f>
        <v>#N/A</v>
      </c>
      <c r="J91" s="390" t="s">
        <v>3724</v>
      </c>
      <c r="K91" s="386" t="s">
        <v>1307</v>
      </c>
      <c r="L91" s="389" t="s">
        <v>2492</v>
      </c>
      <c r="M91" s="386" t="s">
        <v>1309</v>
      </c>
      <c r="N91" s="391">
        <v>44958</v>
      </c>
      <c r="O91" s="386" t="s">
        <v>4205</v>
      </c>
      <c r="P91" s="392">
        <v>6740</v>
      </c>
      <c r="Q91" s="396">
        <v>28</v>
      </c>
      <c r="R91" s="393">
        <f t="shared" si="5"/>
        <v>188720</v>
      </c>
      <c r="S91" s="378">
        <v>202310</v>
      </c>
      <c r="T91" s="394" t="s">
        <v>4206</v>
      </c>
      <c r="U91" s="394"/>
      <c r="V91" s="398">
        <v>25.984639992999998</v>
      </c>
      <c r="W91" s="395"/>
      <c r="X91" s="383"/>
      <c r="Y91" s="383"/>
      <c r="Z91" s="382" t="s">
        <v>4207</v>
      </c>
      <c r="AA91" s="384">
        <v>0.4</v>
      </c>
      <c r="AB91" s="409">
        <v>70</v>
      </c>
      <c r="AC91" s="384">
        <f>AA91*AB91</f>
        <v>28</v>
      </c>
    </row>
    <row r="92" spans="1:29" s="385" customFormat="1" ht="15" customHeight="1">
      <c r="A92" s="386" t="s">
        <v>45</v>
      </c>
      <c r="B92" s="387" t="s">
        <v>46</v>
      </c>
      <c r="C92" s="388" t="s">
        <v>188</v>
      </c>
      <c r="D92" s="387" t="s">
        <v>48</v>
      </c>
      <c r="E92" s="386" t="s">
        <v>2495</v>
      </c>
      <c r="F92" s="386" t="s">
        <v>2496</v>
      </c>
      <c r="G92" s="386" t="s">
        <v>165</v>
      </c>
      <c r="H92" s="389" t="s">
        <v>4209</v>
      </c>
      <c r="I92" s="369" t="e">
        <f>VLOOKUP(H92,'合同高级查询数据-10月新返回合同'!A:A,1,0)</f>
        <v>#N/A</v>
      </c>
      <c r="J92" s="390" t="s">
        <v>3776</v>
      </c>
      <c r="K92" s="386" t="s">
        <v>4210</v>
      </c>
      <c r="L92" s="389" t="s">
        <v>4211</v>
      </c>
      <c r="M92" s="386"/>
      <c r="N92" s="391" t="s">
        <v>4212</v>
      </c>
      <c r="O92" s="386" t="s">
        <v>4213</v>
      </c>
      <c r="P92" s="392">
        <v>120000</v>
      </c>
      <c r="Q92" s="396">
        <v>4</v>
      </c>
      <c r="R92" s="393">
        <f t="shared" si="5"/>
        <v>480000</v>
      </c>
      <c r="S92" s="378">
        <v>202310</v>
      </c>
      <c r="T92" s="394" t="s">
        <v>4214</v>
      </c>
      <c r="U92" s="394"/>
      <c r="V92" s="398">
        <v>3.0788674079999998</v>
      </c>
      <c r="W92" s="395"/>
      <c r="X92" s="383"/>
      <c r="Y92" s="383"/>
      <c r="Z92" s="382" t="s">
        <v>4215</v>
      </c>
      <c r="AA92" s="384">
        <v>0.2</v>
      </c>
      <c r="AB92" s="384">
        <v>20</v>
      </c>
      <c r="AC92" s="384">
        <v>4</v>
      </c>
    </row>
    <row r="93" spans="1:29" s="385" customFormat="1" ht="15" customHeight="1">
      <c r="A93" s="386" t="s">
        <v>45</v>
      </c>
      <c r="B93" s="387" t="s">
        <v>46</v>
      </c>
      <c r="C93" s="388" t="s">
        <v>188</v>
      </c>
      <c r="D93" s="387" t="s">
        <v>48</v>
      </c>
      <c r="E93" s="386" t="s">
        <v>2495</v>
      </c>
      <c r="F93" s="386" t="s">
        <v>2496</v>
      </c>
      <c r="G93" s="386" t="s">
        <v>165</v>
      </c>
      <c r="H93" s="389" t="s">
        <v>2497</v>
      </c>
      <c r="I93" s="369" t="e">
        <f>VLOOKUP(H93,'合同高级查询数据-10月新返回合同'!A:A,1,0)</f>
        <v>#N/A</v>
      </c>
      <c r="J93" s="390" t="s">
        <v>3858</v>
      </c>
      <c r="K93" s="386" t="s">
        <v>4217</v>
      </c>
      <c r="L93" s="389" t="s">
        <v>2496</v>
      </c>
      <c r="M93" s="386"/>
      <c r="N93" s="399" t="s">
        <v>4686</v>
      </c>
      <c r="O93" s="400" t="s">
        <v>4700</v>
      </c>
      <c r="P93" s="392">
        <v>15000</v>
      </c>
      <c r="Q93" s="396">
        <v>90.92</v>
      </c>
      <c r="R93" s="393">
        <f t="shared" si="5"/>
        <v>1363800</v>
      </c>
      <c r="S93" s="378">
        <v>202310</v>
      </c>
      <c r="T93" s="401" t="s">
        <v>4687</v>
      </c>
      <c r="U93" s="394"/>
      <c r="V93" s="398">
        <v>90.92</v>
      </c>
      <c r="W93" s="395"/>
      <c r="X93" s="383"/>
      <c r="Y93" s="383"/>
      <c r="Z93" s="382" t="s">
        <v>4221</v>
      </c>
      <c r="AA93" s="384">
        <v>0.1</v>
      </c>
      <c r="AB93" s="384">
        <v>200</v>
      </c>
      <c r="AC93" s="384">
        <v>20</v>
      </c>
    </row>
    <row r="94" spans="1:29" s="385" customFormat="1" ht="15" customHeight="1">
      <c r="A94" s="386" t="s">
        <v>45</v>
      </c>
      <c r="B94" s="387" t="s">
        <v>46</v>
      </c>
      <c r="C94" s="388" t="s">
        <v>188</v>
      </c>
      <c r="D94" s="387" t="s">
        <v>48</v>
      </c>
      <c r="E94" s="386" t="s">
        <v>2495</v>
      </c>
      <c r="F94" s="386" t="s">
        <v>2496</v>
      </c>
      <c r="G94" s="386" t="s">
        <v>165</v>
      </c>
      <c r="H94" s="389" t="s">
        <v>2497</v>
      </c>
      <c r="I94" s="369" t="e">
        <f>VLOOKUP(H94,'合同高级查询数据-10月新返回合同'!A:A,1,0)</f>
        <v>#N/A</v>
      </c>
      <c r="J94" s="390" t="s">
        <v>3858</v>
      </c>
      <c r="K94" s="386"/>
      <c r="L94" s="389" t="s">
        <v>4683</v>
      </c>
      <c r="M94" s="386"/>
      <c r="N94" s="391">
        <v>45223</v>
      </c>
      <c r="O94" s="400" t="s">
        <v>4701</v>
      </c>
      <c r="P94" s="392">
        <v>15000</v>
      </c>
      <c r="Q94" s="396">
        <v>26.53</v>
      </c>
      <c r="R94" s="393">
        <f>ROUND(P94*Q94,2)</f>
        <v>397950</v>
      </c>
      <c r="S94" s="378">
        <v>202310</v>
      </c>
      <c r="T94" s="401" t="s">
        <v>4702</v>
      </c>
      <c r="U94" s="394"/>
      <c r="V94" s="398">
        <v>26.53</v>
      </c>
      <c r="W94" s="395"/>
      <c r="X94" s="383"/>
      <c r="Y94" s="383"/>
      <c r="Z94" s="382" t="s">
        <v>4685</v>
      </c>
      <c r="AA94" s="384">
        <v>0.15</v>
      </c>
      <c r="AB94" s="384">
        <v>400</v>
      </c>
      <c r="AC94" s="384">
        <f>AA94*AB94</f>
        <v>60</v>
      </c>
    </row>
    <row r="95" spans="1:29" s="385" customFormat="1" ht="15" customHeight="1">
      <c r="A95" s="386" t="s">
        <v>45</v>
      </c>
      <c r="B95" s="387" t="s">
        <v>46</v>
      </c>
      <c r="C95" s="388" t="s">
        <v>188</v>
      </c>
      <c r="D95" s="387" t="s">
        <v>48</v>
      </c>
      <c r="E95" s="386" t="s">
        <v>2505</v>
      </c>
      <c r="F95" s="386" t="s">
        <v>2512</v>
      </c>
      <c r="G95" s="386" t="s">
        <v>165</v>
      </c>
      <c r="H95" s="389" t="s">
        <v>2513</v>
      </c>
      <c r="I95" s="369" t="e">
        <f>VLOOKUP(H95,'合同高级查询数据-10月新返回合同'!A:A,1,0)</f>
        <v>#N/A</v>
      </c>
      <c r="J95" s="390" t="s">
        <v>3858</v>
      </c>
      <c r="K95" s="386" t="s">
        <v>4222</v>
      </c>
      <c r="L95" s="389" t="s">
        <v>4223</v>
      </c>
      <c r="M95" s="386"/>
      <c r="N95" s="399" t="s">
        <v>4224</v>
      </c>
      <c r="O95" s="400" t="s">
        <v>4225</v>
      </c>
      <c r="P95" s="392">
        <v>6740</v>
      </c>
      <c r="Q95" s="396">
        <v>188.3</v>
      </c>
      <c r="R95" s="393">
        <f t="shared" si="5"/>
        <v>1269142</v>
      </c>
      <c r="S95" s="378">
        <v>202310</v>
      </c>
      <c r="T95" s="394" t="s">
        <v>4226</v>
      </c>
      <c r="U95" s="394"/>
      <c r="V95" s="398">
        <v>188.30196382198</v>
      </c>
      <c r="W95" s="395"/>
      <c r="X95" s="383"/>
      <c r="Y95" s="383"/>
      <c r="Z95" s="382" t="s">
        <v>2518</v>
      </c>
      <c r="AA95" s="384">
        <v>0.4</v>
      </c>
      <c r="AB95" s="384">
        <v>400</v>
      </c>
      <c r="AC95" s="384">
        <f>AA95*AB95</f>
        <v>160</v>
      </c>
    </row>
    <row r="96" spans="1:29" s="385" customFormat="1" ht="15" customHeight="1">
      <c r="A96" s="386" t="s">
        <v>45</v>
      </c>
      <c r="B96" s="387" t="s">
        <v>46</v>
      </c>
      <c r="C96" s="388" t="s">
        <v>188</v>
      </c>
      <c r="D96" s="388" t="s">
        <v>48</v>
      </c>
      <c r="E96" s="386" t="s">
        <v>2526</v>
      </c>
      <c r="F96" s="386" t="s">
        <v>2527</v>
      </c>
      <c r="G96" s="386" t="s">
        <v>165</v>
      </c>
      <c r="H96" s="389" t="s">
        <v>2528</v>
      </c>
      <c r="I96" s="369" t="e">
        <f>VLOOKUP(H96,'合同高级查询数据-10月新返回合同'!A:A,1,0)</f>
        <v>#N/A</v>
      </c>
      <c r="J96" s="390" t="s">
        <v>3724</v>
      </c>
      <c r="K96" s="386" t="s">
        <v>1259</v>
      </c>
      <c r="L96" s="389" t="s">
        <v>2529</v>
      </c>
      <c r="M96" s="386" t="s">
        <v>2530</v>
      </c>
      <c r="N96" s="399" t="s">
        <v>4684</v>
      </c>
      <c r="O96" s="400" t="s">
        <v>4161</v>
      </c>
      <c r="P96" s="392">
        <v>6740</v>
      </c>
      <c r="Q96" s="396"/>
      <c r="R96" s="393">
        <f t="shared" si="5"/>
        <v>0</v>
      </c>
      <c r="S96" s="378">
        <v>202310</v>
      </c>
      <c r="T96" s="394" t="s">
        <v>4229</v>
      </c>
      <c r="U96" s="394"/>
      <c r="V96" s="381">
        <v>0</v>
      </c>
      <c r="W96" s="395"/>
      <c r="X96" s="383"/>
      <c r="Y96" s="383"/>
      <c r="Z96" s="382" t="s">
        <v>4230</v>
      </c>
      <c r="AA96" s="384" t="s">
        <v>3807</v>
      </c>
      <c r="AB96" s="384">
        <v>0</v>
      </c>
      <c r="AC96" s="384">
        <v>0</v>
      </c>
    </row>
    <row r="97" spans="1:29" s="577" customFormat="1" ht="15" customHeight="1">
      <c r="A97" s="561" t="s">
        <v>45</v>
      </c>
      <c r="B97" s="562" t="s">
        <v>46</v>
      </c>
      <c r="C97" s="563" t="s">
        <v>188</v>
      </c>
      <c r="D97" s="563" t="s">
        <v>48</v>
      </c>
      <c r="E97" s="561" t="s">
        <v>2543</v>
      </c>
      <c r="F97" s="561" t="s">
        <v>2544</v>
      </c>
      <c r="G97" s="561" t="s">
        <v>165</v>
      </c>
      <c r="H97" s="564" t="s">
        <v>2545</v>
      </c>
      <c r="I97" s="565" t="e">
        <f>VLOOKUP(H97,'合同高级查询数据-10月新返回合同'!A:A,1,0)</f>
        <v>#N/A</v>
      </c>
      <c r="J97" s="566" t="s">
        <v>3724</v>
      </c>
      <c r="K97" s="561" t="s">
        <v>2546</v>
      </c>
      <c r="L97" s="564" t="s">
        <v>2544</v>
      </c>
      <c r="M97" s="561" t="s">
        <v>2547</v>
      </c>
      <c r="N97" s="567">
        <v>44927</v>
      </c>
      <c r="O97" s="561" t="s">
        <v>4231</v>
      </c>
      <c r="P97" s="568">
        <v>6740</v>
      </c>
      <c r="Q97" s="579">
        <v>125.38</v>
      </c>
      <c r="R97" s="569">
        <f t="shared" si="5"/>
        <v>845061.2</v>
      </c>
      <c r="S97" s="570">
        <v>202310</v>
      </c>
      <c r="T97" s="571" t="s">
        <v>4232</v>
      </c>
      <c r="U97" s="571"/>
      <c r="V97" s="590">
        <v>125.37711754</v>
      </c>
      <c r="W97" s="573"/>
      <c r="X97" s="574">
        <v>44905</v>
      </c>
      <c r="Y97" s="574">
        <v>45269</v>
      </c>
      <c r="Z97" s="575" t="s">
        <v>4233</v>
      </c>
      <c r="AA97" s="576">
        <v>0.4</v>
      </c>
      <c r="AB97" s="576">
        <v>220</v>
      </c>
      <c r="AC97" s="576">
        <v>88</v>
      </c>
    </row>
    <row r="98" spans="1:29" s="385" customFormat="1" ht="15" customHeight="1">
      <c r="A98" s="386" t="s">
        <v>45</v>
      </c>
      <c r="B98" s="387" t="s">
        <v>46</v>
      </c>
      <c r="C98" s="388" t="s">
        <v>188</v>
      </c>
      <c r="D98" s="388" t="s">
        <v>48</v>
      </c>
      <c r="E98" s="386" t="s">
        <v>2550</v>
      </c>
      <c r="F98" s="386" t="s">
        <v>2551</v>
      </c>
      <c r="G98" s="386" t="s">
        <v>165</v>
      </c>
      <c r="H98" s="389" t="s">
        <v>2659</v>
      </c>
      <c r="I98" s="369" t="e">
        <f>VLOOKUP(H98,'合同高级查询数据-10月新返回合同'!A:A,1,0)</f>
        <v>#N/A</v>
      </c>
      <c r="J98" s="390" t="s">
        <v>3724</v>
      </c>
      <c r="K98" s="386" t="s">
        <v>2678</v>
      </c>
      <c r="L98" s="389" t="s">
        <v>2551</v>
      </c>
      <c r="M98" s="386"/>
      <c r="N98" s="391" t="s">
        <v>4234</v>
      </c>
      <c r="O98" s="386" t="s">
        <v>4235</v>
      </c>
      <c r="P98" s="392">
        <v>6740</v>
      </c>
      <c r="Q98" s="396"/>
      <c r="R98" s="393">
        <f t="shared" si="5"/>
        <v>0</v>
      </c>
      <c r="S98" s="378">
        <v>202310</v>
      </c>
      <c r="T98" s="394" t="s">
        <v>4236</v>
      </c>
      <c r="U98" s="394"/>
      <c r="V98" s="381">
        <v>0</v>
      </c>
      <c r="W98" s="395"/>
      <c r="X98" s="383"/>
      <c r="Y98" s="383"/>
      <c r="Z98" s="382" t="s">
        <v>4237</v>
      </c>
      <c r="AA98" s="384" t="s">
        <v>3807</v>
      </c>
      <c r="AB98" s="384">
        <v>0</v>
      </c>
      <c r="AC98" s="384">
        <v>0</v>
      </c>
    </row>
    <row r="99" spans="1:29" s="385" customFormat="1" ht="15" customHeight="1">
      <c r="A99" s="386" t="s">
        <v>45</v>
      </c>
      <c r="B99" s="387" t="s">
        <v>46</v>
      </c>
      <c r="C99" s="388" t="s">
        <v>188</v>
      </c>
      <c r="D99" s="388" t="s">
        <v>48</v>
      </c>
      <c r="E99" s="386" t="s">
        <v>2550</v>
      </c>
      <c r="F99" s="386" t="s">
        <v>2551</v>
      </c>
      <c r="G99" s="386" t="s">
        <v>165</v>
      </c>
      <c r="H99" s="389" t="s">
        <v>2659</v>
      </c>
      <c r="I99" s="369" t="e">
        <f>VLOOKUP(H99,'合同高级查询数据-10月新返回合同'!A:A,1,0)</f>
        <v>#N/A</v>
      </c>
      <c r="J99" s="390" t="s">
        <v>4013</v>
      </c>
      <c r="K99" s="386" t="s">
        <v>2660</v>
      </c>
      <c r="L99" s="389" t="s">
        <v>2664</v>
      </c>
      <c r="M99" s="386"/>
      <c r="N99" s="391" t="s">
        <v>4238</v>
      </c>
      <c r="O99" s="400" t="s">
        <v>4239</v>
      </c>
      <c r="P99" s="392">
        <v>6740</v>
      </c>
      <c r="Q99" s="396">
        <v>0.69</v>
      </c>
      <c r="R99" s="393">
        <f t="shared" si="5"/>
        <v>4650.6000000000004</v>
      </c>
      <c r="S99" s="378">
        <v>202310</v>
      </c>
      <c r="T99" s="394" t="s">
        <v>4697</v>
      </c>
      <c r="U99" s="394"/>
      <c r="V99" s="398">
        <v>0.69</v>
      </c>
      <c r="W99" s="395"/>
      <c r="X99" s="383"/>
      <c r="Y99" s="383"/>
      <c r="Z99" s="382" t="s">
        <v>4241</v>
      </c>
      <c r="AA99" s="384">
        <v>0.4</v>
      </c>
      <c r="AB99" s="384">
        <v>10</v>
      </c>
      <c r="AC99" s="384">
        <v>4</v>
      </c>
    </row>
    <row r="100" spans="1:29" s="385" customFormat="1" ht="15" customHeight="1">
      <c r="A100" s="386" t="s">
        <v>45</v>
      </c>
      <c r="B100" s="387" t="s">
        <v>46</v>
      </c>
      <c r="C100" s="388" t="s">
        <v>188</v>
      </c>
      <c r="D100" s="388" t="s">
        <v>48</v>
      </c>
      <c r="E100" s="386" t="s">
        <v>2550</v>
      </c>
      <c r="F100" s="386" t="s">
        <v>2551</v>
      </c>
      <c r="G100" s="386" t="s">
        <v>165</v>
      </c>
      <c r="H100" s="389" t="s">
        <v>2659</v>
      </c>
      <c r="I100" s="369" t="e">
        <f>VLOOKUP(H100,'合同高级查询数据-10月新返回合同'!A:A,1,0)</f>
        <v>#N/A</v>
      </c>
      <c r="J100" s="390" t="s">
        <v>3724</v>
      </c>
      <c r="K100" s="386" t="s">
        <v>4242</v>
      </c>
      <c r="L100" s="389" t="s">
        <v>4243</v>
      </c>
      <c r="M100" s="386"/>
      <c r="N100" s="391" t="s">
        <v>4244</v>
      </c>
      <c r="O100" s="386" t="s">
        <v>4245</v>
      </c>
      <c r="P100" s="392">
        <v>0</v>
      </c>
      <c r="Q100" s="396"/>
      <c r="R100" s="393">
        <f t="shared" si="5"/>
        <v>0</v>
      </c>
      <c r="S100" s="378">
        <v>202310</v>
      </c>
      <c r="T100" s="394" t="s">
        <v>4246</v>
      </c>
      <c r="U100" s="394"/>
      <c r="V100" s="381">
        <v>0</v>
      </c>
      <c r="W100" s="395"/>
      <c r="X100" s="383"/>
      <c r="Y100" s="383"/>
      <c r="Z100" s="382" t="s">
        <v>4247</v>
      </c>
      <c r="AA100" s="384" t="s">
        <v>3807</v>
      </c>
      <c r="AB100" s="384">
        <v>0</v>
      </c>
      <c r="AC100" s="384">
        <v>0</v>
      </c>
    </row>
    <row r="101" spans="1:29" s="385" customFormat="1" ht="15" customHeight="1">
      <c r="A101" s="386" t="s">
        <v>45</v>
      </c>
      <c r="B101" s="387" t="s">
        <v>46</v>
      </c>
      <c r="C101" s="388" t="s">
        <v>188</v>
      </c>
      <c r="D101" s="388" t="s">
        <v>48</v>
      </c>
      <c r="E101" s="386" t="s">
        <v>2550</v>
      </c>
      <c r="F101" s="386" t="s">
        <v>2551</v>
      </c>
      <c r="G101" s="386" t="s">
        <v>165</v>
      </c>
      <c r="H101" s="389" t="s">
        <v>2659</v>
      </c>
      <c r="I101" s="369" t="e">
        <f>VLOOKUP(H101,'合同高级查询数据-10月新返回合同'!A:A,1,0)</f>
        <v>#N/A</v>
      </c>
      <c r="J101" s="390" t="s">
        <v>3724</v>
      </c>
      <c r="K101" s="386" t="s">
        <v>2668</v>
      </c>
      <c r="L101" s="389" t="s">
        <v>2669</v>
      </c>
      <c r="M101" s="386"/>
      <c r="N101" s="391" t="s">
        <v>4248</v>
      </c>
      <c r="O101" s="386" t="s">
        <v>4249</v>
      </c>
      <c r="P101" s="392">
        <v>6740</v>
      </c>
      <c r="Q101" s="396">
        <v>16.97</v>
      </c>
      <c r="R101" s="393">
        <f t="shared" si="5"/>
        <v>114377.8</v>
      </c>
      <c r="S101" s="378">
        <v>202310</v>
      </c>
      <c r="T101" s="394" t="s">
        <v>4250</v>
      </c>
      <c r="U101" s="394"/>
      <c r="V101" s="398">
        <v>16.967969893999999</v>
      </c>
      <c r="W101" s="395"/>
      <c r="X101" s="383"/>
      <c r="Y101" s="383"/>
      <c r="Z101" s="382" t="s">
        <v>4251</v>
      </c>
      <c r="AA101" s="384">
        <v>0.4</v>
      </c>
      <c r="AB101" s="384">
        <v>30</v>
      </c>
      <c r="AC101" s="384">
        <v>12</v>
      </c>
    </row>
    <row r="102" spans="1:29" s="385" customFormat="1" ht="15" customHeight="1">
      <c r="A102" s="386" t="s">
        <v>45</v>
      </c>
      <c r="B102" s="387" t="s">
        <v>46</v>
      </c>
      <c r="C102" s="388" t="s">
        <v>188</v>
      </c>
      <c r="D102" s="388" t="s">
        <v>48</v>
      </c>
      <c r="E102" s="386" t="s">
        <v>2681</v>
      </c>
      <c r="F102" s="386" t="s">
        <v>2682</v>
      </c>
      <c r="G102" s="386" t="s">
        <v>165</v>
      </c>
      <c r="H102" s="389" t="s">
        <v>2687</v>
      </c>
      <c r="I102" s="369" t="e">
        <f>VLOOKUP(H102,'合同高级查询数据-10月新返回合同'!A:A,1,0)</f>
        <v>#N/A</v>
      </c>
      <c r="J102" s="390" t="s">
        <v>3724</v>
      </c>
      <c r="K102" s="386" t="s">
        <v>4252</v>
      </c>
      <c r="L102" s="389" t="s">
        <v>2682</v>
      </c>
      <c r="M102" s="386"/>
      <c r="N102" s="391" t="s">
        <v>4253</v>
      </c>
      <c r="O102" s="400" t="s">
        <v>4254</v>
      </c>
      <c r="P102" s="392">
        <v>6740</v>
      </c>
      <c r="Q102" s="396">
        <v>82.7</v>
      </c>
      <c r="R102" s="393">
        <f t="shared" si="5"/>
        <v>557398</v>
      </c>
      <c r="S102" s="378">
        <v>202310</v>
      </c>
      <c r="T102" s="394" t="s">
        <v>4255</v>
      </c>
      <c r="U102" s="394"/>
      <c r="V102" s="398">
        <v>82.696428045999994</v>
      </c>
      <c r="W102" s="395"/>
      <c r="X102" s="383"/>
      <c r="Y102" s="383"/>
      <c r="Z102" s="382" t="s">
        <v>4256</v>
      </c>
      <c r="AA102" s="384">
        <v>0.4</v>
      </c>
      <c r="AB102" s="384">
        <v>200</v>
      </c>
      <c r="AC102" s="384">
        <v>80</v>
      </c>
    </row>
    <row r="103" spans="1:29" s="385" customFormat="1" ht="15" customHeight="1">
      <c r="A103" s="386" t="s">
        <v>45</v>
      </c>
      <c r="B103" s="387" t="s">
        <v>46</v>
      </c>
      <c r="C103" s="388" t="s">
        <v>188</v>
      </c>
      <c r="D103" s="388" t="s">
        <v>48</v>
      </c>
      <c r="E103" s="386" t="s">
        <v>2681</v>
      </c>
      <c r="F103" s="386" t="s">
        <v>2682</v>
      </c>
      <c r="G103" s="386" t="s">
        <v>165</v>
      </c>
      <c r="H103" s="389" t="s">
        <v>2683</v>
      </c>
      <c r="I103" s="369" t="e">
        <f>VLOOKUP(H103,'合同高级查询数据-10月新返回合同'!A:A,1,0)</f>
        <v>#N/A</v>
      </c>
      <c r="J103" s="390" t="s">
        <v>3724</v>
      </c>
      <c r="K103" s="386" t="s">
        <v>4252</v>
      </c>
      <c r="L103" s="389" t="s">
        <v>2684</v>
      </c>
      <c r="M103" s="386" t="s">
        <v>2688</v>
      </c>
      <c r="N103" s="391">
        <v>44835</v>
      </c>
      <c r="O103" s="386" t="s">
        <v>4123</v>
      </c>
      <c r="P103" s="392">
        <v>6740</v>
      </c>
      <c r="Q103" s="396">
        <v>123.97</v>
      </c>
      <c r="R103" s="393">
        <f t="shared" si="5"/>
        <v>835557.8</v>
      </c>
      <c r="S103" s="378">
        <v>202310</v>
      </c>
      <c r="T103" s="394" t="s">
        <v>4257</v>
      </c>
      <c r="U103" s="394"/>
      <c r="V103" s="398">
        <v>123.973567962</v>
      </c>
      <c r="W103" s="395"/>
      <c r="X103" s="383"/>
      <c r="Y103" s="383"/>
      <c r="Z103" s="382" t="s">
        <v>4258</v>
      </c>
      <c r="AA103" s="384">
        <v>0.4</v>
      </c>
      <c r="AB103" s="384">
        <v>300</v>
      </c>
      <c r="AC103" s="384">
        <v>120</v>
      </c>
    </row>
    <row r="104" spans="1:29" s="385" customFormat="1" ht="15" customHeight="1">
      <c r="A104" s="386" t="s">
        <v>45</v>
      </c>
      <c r="B104" s="387" t="s">
        <v>46</v>
      </c>
      <c r="C104" s="388" t="s">
        <v>188</v>
      </c>
      <c r="D104" s="388" t="s">
        <v>48</v>
      </c>
      <c r="E104" s="386" t="s">
        <v>2698</v>
      </c>
      <c r="F104" s="386" t="s">
        <v>2699</v>
      </c>
      <c r="G104" s="386" t="s">
        <v>165</v>
      </c>
      <c r="H104" s="389" t="s">
        <v>2700</v>
      </c>
      <c r="I104" s="369" t="e">
        <f>VLOOKUP(H104,'合同高级查询数据-10月新返回合同'!A:A,1,0)</f>
        <v>#N/A</v>
      </c>
      <c r="J104" s="390" t="s">
        <v>3724</v>
      </c>
      <c r="K104" s="386" t="s">
        <v>2706</v>
      </c>
      <c r="L104" s="389" t="s">
        <v>2699</v>
      </c>
      <c r="M104" s="386"/>
      <c r="N104" s="391" t="s">
        <v>4259</v>
      </c>
      <c r="O104" s="386" t="s">
        <v>4260</v>
      </c>
      <c r="P104" s="392">
        <v>6740</v>
      </c>
      <c r="Q104" s="396"/>
      <c r="R104" s="393">
        <f t="shared" si="5"/>
        <v>0</v>
      </c>
      <c r="S104" s="378">
        <v>202310</v>
      </c>
      <c r="T104" s="394" t="s">
        <v>4261</v>
      </c>
      <c r="U104" s="394"/>
      <c r="V104" s="381">
        <v>0</v>
      </c>
      <c r="W104" s="395"/>
      <c r="X104" s="383"/>
      <c r="Y104" s="383"/>
      <c r="Z104" s="382" t="s">
        <v>2707</v>
      </c>
      <c r="AA104" s="384" t="s">
        <v>3807</v>
      </c>
      <c r="AB104" s="384">
        <v>0</v>
      </c>
      <c r="AC104" s="384">
        <v>0</v>
      </c>
    </row>
    <row r="105" spans="1:29" s="385" customFormat="1" ht="15" customHeight="1">
      <c r="A105" s="386" t="s">
        <v>45</v>
      </c>
      <c r="B105" s="387" t="s">
        <v>46</v>
      </c>
      <c r="C105" s="388" t="s">
        <v>188</v>
      </c>
      <c r="D105" s="388" t="s">
        <v>48</v>
      </c>
      <c r="E105" s="386" t="s">
        <v>2698</v>
      </c>
      <c r="F105" s="386" t="s">
        <v>2699</v>
      </c>
      <c r="G105" s="386" t="s">
        <v>165</v>
      </c>
      <c r="H105" s="389" t="s">
        <v>2700</v>
      </c>
      <c r="I105" s="369" t="e">
        <f>VLOOKUP(H105,'合同高级查询数据-10月新返回合同'!A:A,1,0)</f>
        <v>#N/A</v>
      </c>
      <c r="J105" s="390" t="s">
        <v>3724</v>
      </c>
      <c r="K105" s="386" t="s">
        <v>2701</v>
      </c>
      <c r="L105" s="389" t="s">
        <v>2702</v>
      </c>
      <c r="M105" s="386"/>
      <c r="N105" s="391" t="s">
        <v>4263</v>
      </c>
      <c r="O105" s="400" t="s">
        <v>4264</v>
      </c>
      <c r="P105" s="392">
        <v>6740</v>
      </c>
      <c r="Q105" s="396">
        <v>145.03</v>
      </c>
      <c r="R105" s="393">
        <f t="shared" si="5"/>
        <v>977502.2</v>
      </c>
      <c r="S105" s="378">
        <v>202310</v>
      </c>
      <c r="T105" s="394" t="s">
        <v>4265</v>
      </c>
      <c r="U105" s="394"/>
      <c r="V105" s="398">
        <v>145.03158569300001</v>
      </c>
      <c r="W105" s="395"/>
      <c r="X105" s="383"/>
      <c r="Y105" s="383"/>
      <c r="Z105" s="382" t="s">
        <v>2711</v>
      </c>
      <c r="AA105" s="384">
        <v>0.4</v>
      </c>
      <c r="AB105" s="384">
        <v>340</v>
      </c>
      <c r="AC105" s="384">
        <v>136</v>
      </c>
    </row>
    <row r="106" spans="1:29" s="385" customFormat="1" ht="15" customHeight="1">
      <c r="A106" s="386" t="s">
        <v>45</v>
      </c>
      <c r="B106" s="387" t="s">
        <v>46</v>
      </c>
      <c r="C106" s="388" t="s">
        <v>188</v>
      </c>
      <c r="D106" s="388" t="s">
        <v>48</v>
      </c>
      <c r="E106" s="386" t="s">
        <v>2698</v>
      </c>
      <c r="F106" s="386" t="s">
        <v>2699</v>
      </c>
      <c r="G106" s="386" t="s">
        <v>165</v>
      </c>
      <c r="H106" s="389" t="s">
        <v>2700</v>
      </c>
      <c r="I106" s="369" t="e">
        <f>VLOOKUP(H106,'合同高级查询数据-10月新返回合同'!A:A,1,0)</f>
        <v>#N/A</v>
      </c>
      <c r="J106" s="390" t="s">
        <v>3724</v>
      </c>
      <c r="K106" s="386" t="s">
        <v>2713</v>
      </c>
      <c r="L106" s="389" t="s">
        <v>2714</v>
      </c>
      <c r="M106" s="386"/>
      <c r="N106" s="391" t="s">
        <v>4266</v>
      </c>
      <c r="O106" s="400" t="s">
        <v>4267</v>
      </c>
      <c r="P106" s="392">
        <v>6740</v>
      </c>
      <c r="Q106" s="396">
        <v>11.41</v>
      </c>
      <c r="R106" s="393">
        <f t="shared" si="5"/>
        <v>76903.399999999994</v>
      </c>
      <c r="S106" s="378">
        <v>202310</v>
      </c>
      <c r="T106" s="394" t="s">
        <v>4268</v>
      </c>
      <c r="U106" s="394"/>
      <c r="V106" s="398">
        <v>11.409752846</v>
      </c>
      <c r="W106" s="395"/>
      <c r="X106" s="383"/>
      <c r="Y106" s="383"/>
      <c r="Z106" s="382" t="s">
        <v>2722</v>
      </c>
      <c r="AA106" s="384">
        <v>0.4</v>
      </c>
      <c r="AB106" s="409">
        <v>20</v>
      </c>
      <c r="AC106" s="384">
        <v>8</v>
      </c>
    </row>
    <row r="107" spans="1:29" s="385" customFormat="1" ht="15" customHeight="1">
      <c r="A107" s="386" t="s">
        <v>45</v>
      </c>
      <c r="B107" s="387" t="s">
        <v>46</v>
      </c>
      <c r="C107" s="388" t="s">
        <v>887</v>
      </c>
      <c r="D107" s="387" t="s">
        <v>888</v>
      </c>
      <c r="E107" s="386" t="s">
        <v>2741</v>
      </c>
      <c r="F107" s="386" t="s">
        <v>2742</v>
      </c>
      <c r="G107" s="386" t="s">
        <v>165</v>
      </c>
      <c r="H107" s="389" t="s">
        <v>2743</v>
      </c>
      <c r="I107" s="369" t="e">
        <f>VLOOKUP(H107,'合同高级查询数据-10月新返回合同'!A:A,1,0)</f>
        <v>#N/A</v>
      </c>
      <c r="J107" s="390" t="s">
        <v>3724</v>
      </c>
      <c r="K107" s="386" t="s">
        <v>4269</v>
      </c>
      <c r="L107" s="389" t="s">
        <v>2754</v>
      </c>
      <c r="M107" s="386"/>
      <c r="N107" s="391" t="s">
        <v>4270</v>
      </c>
      <c r="O107" s="400" t="s">
        <v>4271</v>
      </c>
      <c r="P107" s="392">
        <v>6740</v>
      </c>
      <c r="Q107" s="396">
        <v>215.81</v>
      </c>
      <c r="R107" s="393">
        <f t="shared" si="5"/>
        <v>1454559.4</v>
      </c>
      <c r="S107" s="378">
        <v>202310</v>
      </c>
      <c r="T107" s="394" t="s">
        <v>4272</v>
      </c>
      <c r="U107" s="394"/>
      <c r="V107" s="398">
        <v>215.80586242699999</v>
      </c>
      <c r="W107" s="395"/>
      <c r="X107" s="383"/>
      <c r="Y107" s="383"/>
      <c r="Z107" s="382" t="s">
        <v>4273</v>
      </c>
      <c r="AA107" s="384">
        <v>0.4</v>
      </c>
      <c r="AB107" s="384">
        <v>500</v>
      </c>
      <c r="AC107" s="384">
        <v>200</v>
      </c>
    </row>
    <row r="108" spans="1:29" s="577" customFormat="1" ht="15" customHeight="1">
      <c r="A108" s="561" t="s">
        <v>45</v>
      </c>
      <c r="B108" s="562" t="s">
        <v>46</v>
      </c>
      <c r="C108" s="563" t="s">
        <v>887</v>
      </c>
      <c r="D108" s="562" t="s">
        <v>888</v>
      </c>
      <c r="E108" s="561" t="s">
        <v>2741</v>
      </c>
      <c r="F108" s="561" t="s">
        <v>2742</v>
      </c>
      <c r="G108" s="561" t="s">
        <v>165</v>
      </c>
      <c r="H108" s="564" t="s">
        <v>4275</v>
      </c>
      <c r="I108" s="565" t="e">
        <f>VLOOKUP(H108,'合同高级查询数据-10月新返回合同'!A:A,1,0)</f>
        <v>#N/A</v>
      </c>
      <c r="J108" s="566" t="s">
        <v>3776</v>
      </c>
      <c r="K108" s="561" t="s">
        <v>4276</v>
      </c>
      <c r="L108" s="564" t="s">
        <v>4277</v>
      </c>
      <c r="M108" s="561"/>
      <c r="N108" s="567">
        <v>42522</v>
      </c>
      <c r="O108" s="561" t="s">
        <v>3847</v>
      </c>
      <c r="P108" s="568">
        <v>20000</v>
      </c>
      <c r="Q108" s="579">
        <v>4</v>
      </c>
      <c r="R108" s="569">
        <f t="shared" si="5"/>
        <v>80000</v>
      </c>
      <c r="S108" s="570">
        <v>202310</v>
      </c>
      <c r="T108" s="571" t="s">
        <v>4278</v>
      </c>
      <c r="U108" s="571"/>
      <c r="V108" s="590">
        <v>0.72580798622220999</v>
      </c>
      <c r="W108" s="573"/>
      <c r="X108" s="574">
        <v>44378</v>
      </c>
      <c r="Y108" s="574">
        <v>45473</v>
      </c>
      <c r="Z108" s="575" t="s">
        <v>4279</v>
      </c>
      <c r="AA108" s="576">
        <v>0.2</v>
      </c>
      <c r="AB108" s="576">
        <v>20</v>
      </c>
      <c r="AC108" s="576">
        <v>4</v>
      </c>
    </row>
    <row r="109" spans="1:29" s="385" customFormat="1" ht="15" customHeight="1">
      <c r="A109" s="386" t="s">
        <v>45</v>
      </c>
      <c r="B109" s="387" t="s">
        <v>46</v>
      </c>
      <c r="C109" s="388" t="s">
        <v>887</v>
      </c>
      <c r="D109" s="387" t="s">
        <v>888</v>
      </c>
      <c r="E109" s="386" t="s">
        <v>2741</v>
      </c>
      <c r="F109" s="386" t="s">
        <v>2742</v>
      </c>
      <c r="G109" s="386" t="s">
        <v>165</v>
      </c>
      <c r="H109" s="389" t="s">
        <v>2743</v>
      </c>
      <c r="I109" s="369" t="e">
        <f>VLOOKUP(H109,'合同高级查询数据-10月新返回合同'!A:A,1,0)</f>
        <v>#N/A</v>
      </c>
      <c r="J109" s="390" t="s">
        <v>3724</v>
      </c>
      <c r="K109" s="386" t="s">
        <v>2765</v>
      </c>
      <c r="L109" s="389" t="s">
        <v>2765</v>
      </c>
      <c r="M109" s="386" t="s">
        <v>2766</v>
      </c>
      <c r="N109" s="391">
        <v>44839</v>
      </c>
      <c r="O109" s="386" t="s">
        <v>1542</v>
      </c>
      <c r="P109" s="392">
        <v>6740</v>
      </c>
      <c r="Q109" s="396">
        <v>80</v>
      </c>
      <c r="R109" s="393">
        <f t="shared" si="5"/>
        <v>539200</v>
      </c>
      <c r="S109" s="378">
        <v>202310</v>
      </c>
      <c r="T109" s="394" t="s">
        <v>4281</v>
      </c>
      <c r="U109" s="394"/>
      <c r="V109" s="398">
        <v>73.838530880999997</v>
      </c>
      <c r="W109" s="395"/>
      <c r="X109" s="383"/>
      <c r="Y109" s="383"/>
      <c r="Z109" s="382" t="s">
        <v>4282</v>
      </c>
      <c r="AA109" s="384">
        <v>0.4</v>
      </c>
      <c r="AB109" s="384">
        <v>200</v>
      </c>
      <c r="AC109" s="384">
        <v>80</v>
      </c>
    </row>
    <row r="110" spans="1:29" s="385" customFormat="1" ht="15" customHeight="1">
      <c r="A110" s="386" t="s">
        <v>45</v>
      </c>
      <c r="B110" s="387" t="s">
        <v>46</v>
      </c>
      <c r="C110" s="388" t="s">
        <v>887</v>
      </c>
      <c r="D110" s="387" t="s">
        <v>888</v>
      </c>
      <c r="E110" s="386" t="s">
        <v>2774</v>
      </c>
      <c r="F110" s="386" t="s">
        <v>2775</v>
      </c>
      <c r="G110" s="386" t="s">
        <v>165</v>
      </c>
      <c r="H110" s="389" t="s">
        <v>2776</v>
      </c>
      <c r="I110" s="369" t="e">
        <f>VLOOKUP(H110,'合同高级查询数据-10月新返回合同'!A:A,1,0)</f>
        <v>#N/A</v>
      </c>
      <c r="J110" s="390" t="s">
        <v>3724</v>
      </c>
      <c r="K110" s="389" t="s">
        <v>2777</v>
      </c>
      <c r="L110" s="389" t="s">
        <v>2777</v>
      </c>
      <c r="M110" s="386"/>
      <c r="N110" s="399" t="s">
        <v>4283</v>
      </c>
      <c r="O110" s="400" t="s">
        <v>4284</v>
      </c>
      <c r="P110" s="392">
        <v>6740</v>
      </c>
      <c r="Q110" s="396">
        <v>70.13</v>
      </c>
      <c r="R110" s="393">
        <f t="shared" si="5"/>
        <v>472676.2</v>
      </c>
      <c r="S110" s="378">
        <v>202310</v>
      </c>
      <c r="T110" s="394" t="s">
        <v>4285</v>
      </c>
      <c r="U110" s="394"/>
      <c r="V110" s="398">
        <v>70.130844116000006</v>
      </c>
      <c r="W110" s="395"/>
      <c r="X110" s="383"/>
      <c r="Y110" s="383"/>
      <c r="Z110" s="382" t="s">
        <v>4286</v>
      </c>
      <c r="AA110" s="384">
        <v>0.4</v>
      </c>
      <c r="AB110" s="384">
        <v>150</v>
      </c>
      <c r="AC110" s="384">
        <f>AA110*AB110</f>
        <v>60</v>
      </c>
    </row>
    <row r="111" spans="1:29" s="385" customFormat="1" ht="15" customHeight="1">
      <c r="A111" s="386" t="s">
        <v>45</v>
      </c>
      <c r="B111" s="387" t="s">
        <v>46</v>
      </c>
      <c r="C111" s="388" t="s">
        <v>887</v>
      </c>
      <c r="D111" s="387" t="s">
        <v>888</v>
      </c>
      <c r="E111" s="386" t="s">
        <v>2774</v>
      </c>
      <c r="F111" s="386" t="s">
        <v>2775</v>
      </c>
      <c r="G111" s="386" t="s">
        <v>165</v>
      </c>
      <c r="H111" s="389" t="s">
        <v>2784</v>
      </c>
      <c r="I111" s="369" t="e">
        <f>VLOOKUP(H111,'合同高级查询数据-10月新返回合同'!A:A,1,0)</f>
        <v>#N/A</v>
      </c>
      <c r="J111" s="390" t="s">
        <v>3724</v>
      </c>
      <c r="K111" s="389" t="s">
        <v>2785</v>
      </c>
      <c r="L111" s="389" t="s">
        <v>2785</v>
      </c>
      <c r="M111" s="386"/>
      <c r="N111" s="391">
        <v>45121</v>
      </c>
      <c r="O111" s="400" t="s">
        <v>4288</v>
      </c>
      <c r="P111" s="392">
        <v>6740</v>
      </c>
      <c r="Q111" s="396">
        <v>67.22</v>
      </c>
      <c r="R111" s="393">
        <f t="shared" si="5"/>
        <v>453062.8</v>
      </c>
      <c r="S111" s="378">
        <v>202310</v>
      </c>
      <c r="T111" s="394" t="s">
        <v>4289</v>
      </c>
      <c r="U111" s="394"/>
      <c r="V111" s="398">
        <v>67.218872070000003</v>
      </c>
      <c r="W111" s="395"/>
      <c r="X111" s="383"/>
      <c r="Y111" s="383"/>
      <c r="Z111" s="382" t="s">
        <v>4290</v>
      </c>
      <c r="AA111" s="384">
        <v>0.4</v>
      </c>
      <c r="AB111" s="384">
        <v>150</v>
      </c>
      <c r="AC111" s="384">
        <f>AA111*AB111</f>
        <v>60</v>
      </c>
    </row>
    <row r="112" spans="1:29" s="385" customFormat="1" ht="15" customHeight="1">
      <c r="A112" s="386" t="s">
        <v>45</v>
      </c>
      <c r="B112" s="387" t="s">
        <v>46</v>
      </c>
      <c r="C112" s="388" t="s">
        <v>887</v>
      </c>
      <c r="D112" s="387" t="s">
        <v>888</v>
      </c>
      <c r="E112" s="386" t="s">
        <v>2774</v>
      </c>
      <c r="F112" s="386" t="s">
        <v>2775</v>
      </c>
      <c r="G112" s="386" t="s">
        <v>165</v>
      </c>
      <c r="H112" s="389" t="s">
        <v>2776</v>
      </c>
      <c r="I112" s="369" t="e">
        <f>VLOOKUP(H112,'合同高级查询数据-10月新返回合同'!A:A,1,0)</f>
        <v>#N/A</v>
      </c>
      <c r="J112" s="390" t="s">
        <v>3724</v>
      </c>
      <c r="K112" s="386" t="s">
        <v>2788</v>
      </c>
      <c r="L112" s="389" t="s">
        <v>2797</v>
      </c>
      <c r="M112" s="386"/>
      <c r="N112" s="391">
        <v>44228</v>
      </c>
      <c r="O112" s="386" t="s">
        <v>1542</v>
      </c>
      <c r="P112" s="392">
        <v>6740</v>
      </c>
      <c r="Q112" s="396">
        <v>84.64</v>
      </c>
      <c r="R112" s="393">
        <f t="shared" si="5"/>
        <v>570473.6</v>
      </c>
      <c r="S112" s="378">
        <v>202310</v>
      </c>
      <c r="T112" s="394" t="s">
        <v>4291</v>
      </c>
      <c r="U112" s="394"/>
      <c r="V112" s="398">
        <v>84.642929077000005</v>
      </c>
      <c r="W112" s="395"/>
      <c r="X112" s="383"/>
      <c r="Y112" s="383"/>
      <c r="Z112" s="382" t="s">
        <v>4292</v>
      </c>
      <c r="AA112" s="384">
        <v>0.4</v>
      </c>
      <c r="AB112" s="384">
        <v>200</v>
      </c>
      <c r="AC112" s="384">
        <v>80</v>
      </c>
    </row>
    <row r="113" spans="1:29" s="385" customFormat="1" ht="15" customHeight="1">
      <c r="A113" s="386" t="s">
        <v>45</v>
      </c>
      <c r="B113" s="387" t="s">
        <v>46</v>
      </c>
      <c r="C113" s="388" t="s">
        <v>887</v>
      </c>
      <c r="D113" s="387" t="s">
        <v>888</v>
      </c>
      <c r="E113" s="386" t="s">
        <v>2802</v>
      </c>
      <c r="F113" s="386" t="s">
        <v>2803</v>
      </c>
      <c r="G113" s="386" t="s">
        <v>165</v>
      </c>
      <c r="H113" s="389" t="s">
        <v>2804</v>
      </c>
      <c r="I113" s="369" t="e">
        <f>VLOOKUP(H113,'合同高级查询数据-10月新返回合同'!A:A,1,0)</f>
        <v>#N/A</v>
      </c>
      <c r="J113" s="390" t="s">
        <v>3724</v>
      </c>
      <c r="K113" s="386" t="s">
        <v>2805</v>
      </c>
      <c r="L113" s="389" t="s">
        <v>2806</v>
      </c>
      <c r="M113" s="386" t="s">
        <v>2807</v>
      </c>
      <c r="N113" s="391">
        <v>44967</v>
      </c>
      <c r="O113" s="386" t="s">
        <v>4293</v>
      </c>
      <c r="P113" s="392">
        <v>6740</v>
      </c>
      <c r="Q113" s="396">
        <v>260.05</v>
      </c>
      <c r="R113" s="393">
        <f t="shared" si="5"/>
        <v>1752737</v>
      </c>
      <c r="S113" s="378">
        <v>202310</v>
      </c>
      <c r="T113" s="394" t="s">
        <v>4294</v>
      </c>
      <c r="U113" s="394"/>
      <c r="V113" s="398">
        <v>260.04926629800002</v>
      </c>
      <c r="W113" s="395"/>
      <c r="X113" s="383"/>
      <c r="Y113" s="383"/>
      <c r="Z113" s="382" t="s">
        <v>4295</v>
      </c>
      <c r="AA113" s="384">
        <v>0.4</v>
      </c>
      <c r="AB113" s="384">
        <v>600</v>
      </c>
      <c r="AC113" s="384">
        <f>AA113*AB113</f>
        <v>240</v>
      </c>
    </row>
    <row r="114" spans="1:29" s="385" customFormat="1" ht="15" customHeight="1">
      <c r="A114" s="387" t="s">
        <v>45</v>
      </c>
      <c r="B114" s="388" t="s">
        <v>46</v>
      </c>
      <c r="C114" s="387" t="s">
        <v>887</v>
      </c>
      <c r="D114" s="387" t="s">
        <v>888</v>
      </c>
      <c r="E114" s="387" t="s">
        <v>2818</v>
      </c>
      <c r="F114" s="387" t="s">
        <v>2819</v>
      </c>
      <c r="G114" s="415" t="s">
        <v>165</v>
      </c>
      <c r="H114" s="389" t="s">
        <v>2820</v>
      </c>
      <c r="I114" s="369" t="e">
        <f>VLOOKUP(H114,'合同高级查询数据-10月新返回合同'!A:A,1,0)</f>
        <v>#N/A</v>
      </c>
      <c r="J114" s="416" t="s">
        <v>3724</v>
      </c>
      <c r="K114" s="416" t="s">
        <v>2821</v>
      </c>
      <c r="L114" s="389" t="s">
        <v>2822</v>
      </c>
      <c r="M114" s="403" t="s">
        <v>2823</v>
      </c>
      <c r="N114" s="417">
        <v>45022</v>
      </c>
      <c r="O114" s="418" t="s">
        <v>1542</v>
      </c>
      <c r="P114" s="419">
        <v>6740</v>
      </c>
      <c r="Q114" s="419">
        <v>86.3</v>
      </c>
      <c r="R114" s="405">
        <f t="shared" si="5"/>
        <v>581662</v>
      </c>
      <c r="S114" s="378">
        <v>202310</v>
      </c>
      <c r="T114" s="420" t="s">
        <v>4297</v>
      </c>
      <c r="U114" s="420"/>
      <c r="V114" s="398">
        <v>86.295242310000006</v>
      </c>
      <c r="W114" s="408"/>
      <c r="X114" s="383"/>
      <c r="Y114" s="383"/>
      <c r="Z114" s="382" t="s">
        <v>4298</v>
      </c>
      <c r="AA114" s="421">
        <v>0.4</v>
      </c>
      <c r="AB114" s="421">
        <v>200</v>
      </c>
      <c r="AC114" s="421">
        <f>AA114*AB114</f>
        <v>80</v>
      </c>
    </row>
    <row r="115" spans="1:29" s="385" customFormat="1" ht="15" customHeight="1">
      <c r="A115" s="386" t="s">
        <v>45</v>
      </c>
      <c r="B115" s="387" t="s">
        <v>46</v>
      </c>
      <c r="C115" s="388" t="s">
        <v>47</v>
      </c>
      <c r="D115" s="388" t="s">
        <v>48</v>
      </c>
      <c r="E115" s="386" t="s">
        <v>49</v>
      </c>
      <c r="F115" s="386" t="s">
        <v>50</v>
      </c>
      <c r="G115" s="386" t="s">
        <v>165</v>
      </c>
      <c r="H115" s="389" t="s">
        <v>2827</v>
      </c>
      <c r="I115" s="369" t="e">
        <f>VLOOKUP(H115,'合同高级查询数据-10月新返回合同'!A:A,1,0)</f>
        <v>#N/A</v>
      </c>
      <c r="J115" s="390" t="s">
        <v>3724</v>
      </c>
      <c r="K115" s="386" t="s">
        <v>47</v>
      </c>
      <c r="L115" s="389" t="s">
        <v>2828</v>
      </c>
      <c r="M115" s="386" t="s">
        <v>2829</v>
      </c>
      <c r="N115" s="391" t="s">
        <v>4299</v>
      </c>
      <c r="O115" s="386" t="s">
        <v>4300</v>
      </c>
      <c r="P115" s="392">
        <v>15000</v>
      </c>
      <c r="Q115" s="396">
        <v>8</v>
      </c>
      <c r="R115" s="393">
        <f t="shared" si="5"/>
        <v>120000</v>
      </c>
      <c r="S115" s="378">
        <v>202310</v>
      </c>
      <c r="T115" s="394" t="s">
        <v>4691</v>
      </c>
      <c r="U115" s="394"/>
      <c r="V115" s="398">
        <v>7.9780778879999996</v>
      </c>
      <c r="W115" s="395">
        <v>8</v>
      </c>
      <c r="X115" s="383"/>
      <c r="Y115" s="383"/>
      <c r="Z115" s="382" t="s">
        <v>4302</v>
      </c>
      <c r="AA115" s="384">
        <v>0.4</v>
      </c>
      <c r="AB115" s="384">
        <v>20</v>
      </c>
      <c r="AC115" s="384">
        <v>8</v>
      </c>
    </row>
    <row r="116" spans="1:29" s="577" customFormat="1" ht="15" customHeight="1">
      <c r="A116" s="593" t="s">
        <v>829</v>
      </c>
      <c r="B116" s="562" t="s">
        <v>46</v>
      </c>
      <c r="C116" s="594" t="s">
        <v>814</v>
      </c>
      <c r="D116" s="563" t="s">
        <v>48</v>
      </c>
      <c r="E116" s="593" t="s">
        <v>815</v>
      </c>
      <c r="F116" s="593" t="s">
        <v>830</v>
      </c>
      <c r="G116" s="564" t="s">
        <v>165</v>
      </c>
      <c r="H116" s="564" t="s">
        <v>831</v>
      </c>
      <c r="I116" s="565" t="e">
        <f>VLOOKUP(H116,'合同高级查询数据-10月新返回合同'!A:A,1,0)</f>
        <v>#N/A</v>
      </c>
      <c r="J116" s="566" t="s">
        <v>3724</v>
      </c>
      <c r="K116" s="593" t="s">
        <v>818</v>
      </c>
      <c r="L116" s="595" t="s">
        <v>832</v>
      </c>
      <c r="M116" s="596" t="s">
        <v>820</v>
      </c>
      <c r="N116" s="597" t="s">
        <v>4303</v>
      </c>
      <c r="O116" s="597" t="s">
        <v>4304</v>
      </c>
      <c r="P116" s="598">
        <v>6600</v>
      </c>
      <c r="Q116" s="599">
        <v>122</v>
      </c>
      <c r="R116" s="600">
        <f t="shared" si="5"/>
        <v>805200</v>
      </c>
      <c r="S116" s="570">
        <v>202310</v>
      </c>
      <c r="T116" s="601" t="s">
        <v>4717</v>
      </c>
      <c r="U116" s="601"/>
      <c r="V116" s="590">
        <v>120.832473755</v>
      </c>
      <c r="W116" s="602">
        <v>123.16</v>
      </c>
      <c r="X116" s="574">
        <v>45078</v>
      </c>
      <c r="Y116" s="574">
        <v>45443</v>
      </c>
      <c r="Z116" s="575" t="s">
        <v>4306</v>
      </c>
      <c r="AA116" s="576">
        <v>0.3</v>
      </c>
      <c r="AB116" s="576">
        <v>280</v>
      </c>
      <c r="AC116" s="576">
        <f t="shared" ref="AC116:AC121" si="6">AA116*AB116</f>
        <v>84</v>
      </c>
    </row>
    <row r="117" spans="1:29" s="577" customFormat="1" ht="15" customHeight="1">
      <c r="A117" s="593" t="s">
        <v>813</v>
      </c>
      <c r="B117" s="562" t="s">
        <v>46</v>
      </c>
      <c r="C117" s="594" t="s">
        <v>814</v>
      </c>
      <c r="D117" s="563" t="s">
        <v>48</v>
      </c>
      <c r="E117" s="593" t="s">
        <v>815</v>
      </c>
      <c r="F117" s="593" t="s">
        <v>816</v>
      </c>
      <c r="G117" s="564" t="s">
        <v>165</v>
      </c>
      <c r="H117" s="564" t="s">
        <v>817</v>
      </c>
      <c r="I117" s="565" t="e">
        <f>VLOOKUP(H117,'合同高级查询数据-10月新返回合同'!A:A,1,0)</f>
        <v>#N/A</v>
      </c>
      <c r="J117" s="566" t="s">
        <v>3724</v>
      </c>
      <c r="K117" s="593" t="s">
        <v>818</v>
      </c>
      <c r="L117" s="595" t="s">
        <v>819</v>
      </c>
      <c r="M117" s="596" t="s">
        <v>820</v>
      </c>
      <c r="N117" s="597" t="s">
        <v>4303</v>
      </c>
      <c r="O117" s="603" t="s">
        <v>4307</v>
      </c>
      <c r="P117" s="598">
        <v>7650</v>
      </c>
      <c r="Q117" s="599">
        <v>77.3</v>
      </c>
      <c r="R117" s="600">
        <f t="shared" si="5"/>
        <v>591345</v>
      </c>
      <c r="S117" s="570">
        <v>202310</v>
      </c>
      <c r="T117" s="601" t="s">
        <v>4719</v>
      </c>
      <c r="U117" s="601"/>
      <c r="V117" s="590">
        <v>76.633583068999997</v>
      </c>
      <c r="W117" s="602">
        <v>77.849999999999994</v>
      </c>
      <c r="X117" s="574">
        <v>45078</v>
      </c>
      <c r="Y117" s="574">
        <v>45443</v>
      </c>
      <c r="Z117" s="575" t="s">
        <v>4309</v>
      </c>
      <c r="AA117" s="576">
        <v>0.3</v>
      </c>
      <c r="AB117" s="576">
        <v>180</v>
      </c>
      <c r="AC117" s="576">
        <f t="shared" si="6"/>
        <v>54</v>
      </c>
    </row>
    <row r="118" spans="1:29" s="577" customFormat="1" ht="15" customHeight="1">
      <c r="A118" s="593" t="s">
        <v>823</v>
      </c>
      <c r="B118" s="562" t="s">
        <v>46</v>
      </c>
      <c r="C118" s="594" t="s">
        <v>814</v>
      </c>
      <c r="D118" s="563" t="s">
        <v>48</v>
      </c>
      <c r="E118" s="593" t="s">
        <v>815</v>
      </c>
      <c r="F118" s="593" t="s">
        <v>824</v>
      </c>
      <c r="G118" s="564" t="s">
        <v>165</v>
      </c>
      <c r="H118" s="564" t="s">
        <v>825</v>
      </c>
      <c r="I118" s="565" t="e">
        <f>VLOOKUP(H118,'合同高级查询数据-10月新返回合同'!A:A,1,0)</f>
        <v>#N/A</v>
      </c>
      <c r="J118" s="566" t="s">
        <v>3724</v>
      </c>
      <c r="K118" s="593" t="s">
        <v>818</v>
      </c>
      <c r="L118" s="595" t="s">
        <v>826</v>
      </c>
      <c r="M118" s="596" t="s">
        <v>820</v>
      </c>
      <c r="N118" s="597" t="s">
        <v>4303</v>
      </c>
      <c r="O118" s="603" t="s">
        <v>4310</v>
      </c>
      <c r="P118" s="598">
        <v>5041.67</v>
      </c>
      <c r="Q118" s="599">
        <v>136.5</v>
      </c>
      <c r="R118" s="600">
        <f t="shared" si="5"/>
        <v>688187.96</v>
      </c>
      <c r="S118" s="570">
        <v>202310</v>
      </c>
      <c r="T118" s="601" t="s">
        <v>4718</v>
      </c>
      <c r="U118" s="601"/>
      <c r="V118" s="590">
        <v>135.27265930199999</v>
      </c>
      <c r="W118" s="602">
        <v>137.58000000000001</v>
      </c>
      <c r="X118" s="574">
        <v>45078</v>
      </c>
      <c r="Y118" s="574">
        <v>45443</v>
      </c>
      <c r="Z118" s="575" t="s">
        <v>4312</v>
      </c>
      <c r="AA118" s="576">
        <v>0.4</v>
      </c>
      <c r="AB118" s="576">
        <v>260</v>
      </c>
      <c r="AC118" s="576">
        <f t="shared" si="6"/>
        <v>104</v>
      </c>
    </row>
    <row r="119" spans="1:29" s="577" customFormat="1" ht="15" customHeight="1">
      <c r="A119" s="593" t="s">
        <v>260</v>
      </c>
      <c r="B119" s="562" t="s">
        <v>46</v>
      </c>
      <c r="C119" s="594" t="s">
        <v>814</v>
      </c>
      <c r="D119" s="563" t="s">
        <v>48</v>
      </c>
      <c r="E119" s="593" t="s">
        <v>878</v>
      </c>
      <c r="F119" s="593" t="s">
        <v>879</v>
      </c>
      <c r="G119" s="564" t="s">
        <v>165</v>
      </c>
      <c r="H119" s="564" t="s">
        <v>880</v>
      </c>
      <c r="I119" s="565" t="e">
        <f>VLOOKUP(H119,'合同高级查询数据-10月新返回合同'!A:A,1,0)</f>
        <v>#N/A</v>
      </c>
      <c r="J119" s="566" t="s">
        <v>3724</v>
      </c>
      <c r="K119" s="593" t="s">
        <v>881</v>
      </c>
      <c r="L119" s="595" t="s">
        <v>882</v>
      </c>
      <c r="M119" s="596" t="s">
        <v>883</v>
      </c>
      <c r="N119" s="597">
        <v>44934</v>
      </c>
      <c r="O119" s="597" t="s">
        <v>4123</v>
      </c>
      <c r="P119" s="598">
        <v>9500</v>
      </c>
      <c r="Q119" s="599">
        <v>90</v>
      </c>
      <c r="R119" s="600">
        <f t="shared" si="5"/>
        <v>855000</v>
      </c>
      <c r="S119" s="570">
        <v>202310</v>
      </c>
      <c r="T119" s="601" t="s">
        <v>4313</v>
      </c>
      <c r="U119" s="601"/>
      <c r="V119" s="584">
        <v>80.708959226999994</v>
      </c>
      <c r="W119" s="602"/>
      <c r="X119" s="574">
        <v>44927</v>
      </c>
      <c r="Y119" s="574">
        <v>45291</v>
      </c>
      <c r="Z119" s="575" t="s">
        <v>4314</v>
      </c>
      <c r="AA119" s="576">
        <v>0.3</v>
      </c>
      <c r="AB119" s="576">
        <v>300</v>
      </c>
      <c r="AC119" s="576">
        <f t="shared" si="6"/>
        <v>90</v>
      </c>
    </row>
    <row r="120" spans="1:29" s="577" customFormat="1" ht="15" customHeight="1">
      <c r="A120" s="593" t="s">
        <v>260</v>
      </c>
      <c r="B120" s="562" t="s">
        <v>46</v>
      </c>
      <c r="C120" s="594" t="s">
        <v>814</v>
      </c>
      <c r="D120" s="563" t="s">
        <v>48</v>
      </c>
      <c r="E120" s="593" t="s">
        <v>1488</v>
      </c>
      <c r="F120" s="593" t="s">
        <v>1489</v>
      </c>
      <c r="G120" s="564" t="s">
        <v>165</v>
      </c>
      <c r="H120" s="564" t="s">
        <v>1495</v>
      </c>
      <c r="I120" s="565" t="e">
        <f>VLOOKUP(H120,'合同高级查询数据-10月新返回合同'!A:A,1,0)</f>
        <v>#N/A</v>
      </c>
      <c r="J120" s="566" t="s">
        <v>3724</v>
      </c>
      <c r="K120" s="604" t="s">
        <v>4316</v>
      </c>
      <c r="L120" s="595" t="s">
        <v>1506</v>
      </c>
      <c r="M120" s="596"/>
      <c r="N120" s="603" t="s">
        <v>4317</v>
      </c>
      <c r="O120" s="603" t="s">
        <v>4318</v>
      </c>
      <c r="P120" s="598">
        <v>6750</v>
      </c>
      <c r="Q120" s="599">
        <v>148.69999999999999</v>
      </c>
      <c r="R120" s="600">
        <f t="shared" si="5"/>
        <v>1003725</v>
      </c>
      <c r="S120" s="570">
        <v>202310</v>
      </c>
      <c r="T120" s="601" t="s">
        <v>4319</v>
      </c>
      <c r="U120" s="601"/>
      <c r="V120" s="590">
        <v>148.67498779300001</v>
      </c>
      <c r="W120" s="602"/>
      <c r="X120" s="574">
        <v>45017</v>
      </c>
      <c r="Y120" s="574">
        <v>45382</v>
      </c>
      <c r="Z120" s="575" t="s">
        <v>4320</v>
      </c>
      <c r="AA120" s="576">
        <v>0.3</v>
      </c>
      <c r="AB120" s="589">
        <v>440</v>
      </c>
      <c r="AC120" s="576">
        <f t="shared" si="6"/>
        <v>132</v>
      </c>
    </row>
    <row r="121" spans="1:29" s="577" customFormat="1" ht="15" customHeight="1">
      <c r="A121" s="593" t="s">
        <v>260</v>
      </c>
      <c r="B121" s="562" t="s">
        <v>46</v>
      </c>
      <c r="C121" s="594" t="s">
        <v>814</v>
      </c>
      <c r="D121" s="563" t="s">
        <v>48</v>
      </c>
      <c r="E121" s="593" t="s">
        <v>1488</v>
      </c>
      <c r="F121" s="593" t="s">
        <v>1489</v>
      </c>
      <c r="G121" s="564" t="s">
        <v>165</v>
      </c>
      <c r="H121" s="564" t="s">
        <v>1495</v>
      </c>
      <c r="I121" s="565" t="e">
        <f>VLOOKUP(H121,'合同高级查询数据-10月新返回合同'!A:A,1,0)</f>
        <v>#N/A</v>
      </c>
      <c r="J121" s="566" t="s">
        <v>3724</v>
      </c>
      <c r="K121" s="604" t="s">
        <v>4322</v>
      </c>
      <c r="L121" s="595" t="s">
        <v>1499</v>
      </c>
      <c r="M121" s="596"/>
      <c r="N121" s="603" t="s">
        <v>4323</v>
      </c>
      <c r="O121" s="603" t="s">
        <v>4324</v>
      </c>
      <c r="P121" s="598">
        <v>6750</v>
      </c>
      <c r="Q121" s="599"/>
      <c r="R121" s="600">
        <f t="shared" si="5"/>
        <v>0</v>
      </c>
      <c r="S121" s="570">
        <v>202310</v>
      </c>
      <c r="T121" s="605" t="s">
        <v>4689</v>
      </c>
      <c r="U121" s="601"/>
      <c r="V121" s="572">
        <v>0</v>
      </c>
      <c r="W121" s="602"/>
      <c r="X121" s="574">
        <v>45017</v>
      </c>
      <c r="Y121" s="574">
        <v>45382</v>
      </c>
      <c r="Z121" s="575"/>
      <c r="AA121" s="576">
        <v>0.3</v>
      </c>
      <c r="AB121" s="576">
        <v>0</v>
      </c>
      <c r="AC121" s="576">
        <f t="shared" si="6"/>
        <v>0</v>
      </c>
    </row>
    <row r="122" spans="1:29" s="577" customFormat="1" ht="15" customHeight="1">
      <c r="A122" s="593" t="s">
        <v>260</v>
      </c>
      <c r="B122" s="562" t="s">
        <v>46</v>
      </c>
      <c r="C122" s="594" t="s">
        <v>814</v>
      </c>
      <c r="D122" s="563" t="s">
        <v>48</v>
      </c>
      <c r="E122" s="593" t="s">
        <v>1488</v>
      </c>
      <c r="F122" s="593" t="s">
        <v>1489</v>
      </c>
      <c r="G122" s="564" t="s">
        <v>165</v>
      </c>
      <c r="H122" s="564" t="s">
        <v>1495</v>
      </c>
      <c r="I122" s="565" t="e">
        <f>VLOOKUP(H122,'合同高级查询数据-10月新返回合同'!A:A,1,0)</f>
        <v>#N/A</v>
      </c>
      <c r="J122" s="564" t="s">
        <v>4013</v>
      </c>
      <c r="K122" s="593" t="s">
        <v>1496</v>
      </c>
      <c r="L122" s="595" t="s">
        <v>1496</v>
      </c>
      <c r="M122" s="596" t="s">
        <v>1497</v>
      </c>
      <c r="N122" s="597"/>
      <c r="O122" s="597" t="s">
        <v>3779</v>
      </c>
      <c r="P122" s="598">
        <v>6750</v>
      </c>
      <c r="Q122" s="599">
        <v>3</v>
      </c>
      <c r="R122" s="600">
        <f t="shared" si="5"/>
        <v>20250</v>
      </c>
      <c r="S122" s="570">
        <v>202310</v>
      </c>
      <c r="T122" s="601" t="s">
        <v>4326</v>
      </c>
      <c r="U122" s="601"/>
      <c r="V122" s="590">
        <v>0.59</v>
      </c>
      <c r="W122" s="602"/>
      <c r="X122" s="574">
        <v>45017</v>
      </c>
      <c r="Y122" s="574">
        <v>45382</v>
      </c>
      <c r="Z122" s="575" t="s">
        <v>4327</v>
      </c>
      <c r="AA122" s="576">
        <v>10</v>
      </c>
      <c r="AB122" s="576">
        <v>30</v>
      </c>
      <c r="AC122" s="576">
        <v>3</v>
      </c>
    </row>
    <row r="123" spans="1:29" s="385" customFormat="1" ht="15" customHeight="1">
      <c r="A123" s="422" t="s">
        <v>260</v>
      </c>
      <c r="B123" s="387" t="s">
        <v>46</v>
      </c>
      <c r="C123" s="423" t="s">
        <v>814</v>
      </c>
      <c r="D123" s="388" t="s">
        <v>48</v>
      </c>
      <c r="E123" s="422" t="s">
        <v>1990</v>
      </c>
      <c r="F123" s="422" t="s">
        <v>1991</v>
      </c>
      <c r="G123" s="389" t="s">
        <v>165</v>
      </c>
      <c r="H123" s="389" t="s">
        <v>1992</v>
      </c>
      <c r="I123" s="369" t="e">
        <f>VLOOKUP(H123,'合同高级查询数据-10月新返回合同'!A:A,1,0)</f>
        <v>#N/A</v>
      </c>
      <c r="J123" s="390" t="s">
        <v>3724</v>
      </c>
      <c r="K123" s="422" t="s">
        <v>4328</v>
      </c>
      <c r="L123" s="424" t="s">
        <v>4328</v>
      </c>
      <c r="M123" s="403" t="s">
        <v>1994</v>
      </c>
      <c r="N123" s="425" t="s">
        <v>4329</v>
      </c>
      <c r="O123" s="373" t="s">
        <v>4330</v>
      </c>
      <c r="P123" s="426">
        <v>9500</v>
      </c>
      <c r="Q123" s="427">
        <v>6.9</v>
      </c>
      <c r="R123" s="405">
        <f t="shared" si="5"/>
        <v>65550</v>
      </c>
      <c r="S123" s="378">
        <v>202310</v>
      </c>
      <c r="T123" s="428" t="s">
        <v>4331</v>
      </c>
      <c r="U123" s="428"/>
      <c r="V123" s="398">
        <v>6.8205690380000004</v>
      </c>
      <c r="W123" s="429"/>
      <c r="X123" s="383"/>
      <c r="Y123" s="383"/>
      <c r="Z123" s="382" t="s">
        <v>4332</v>
      </c>
      <c r="AA123" s="384">
        <v>0.3</v>
      </c>
      <c r="AB123" s="384">
        <v>20</v>
      </c>
      <c r="AC123" s="384">
        <f>AA123*AB123</f>
        <v>6</v>
      </c>
    </row>
    <row r="124" spans="1:29" s="385" customFormat="1" ht="15" customHeight="1">
      <c r="A124" s="422" t="s">
        <v>260</v>
      </c>
      <c r="B124" s="387" t="s">
        <v>46</v>
      </c>
      <c r="C124" s="423" t="s">
        <v>814</v>
      </c>
      <c r="D124" s="388" t="s">
        <v>48</v>
      </c>
      <c r="E124" s="422" t="s">
        <v>1990</v>
      </c>
      <c r="F124" s="422" t="s">
        <v>1991</v>
      </c>
      <c r="G124" s="389" t="s">
        <v>165</v>
      </c>
      <c r="H124" s="389" t="s">
        <v>4334</v>
      </c>
      <c r="I124" s="369" t="e">
        <f>VLOOKUP(H124,'合同高级查询数据-10月新返回合同'!A:A,1,0)</f>
        <v>#N/A</v>
      </c>
      <c r="J124" s="390" t="s">
        <v>3724</v>
      </c>
      <c r="K124" s="422" t="s">
        <v>4335</v>
      </c>
      <c r="L124" s="424" t="s">
        <v>4335</v>
      </c>
      <c r="M124" s="403" t="s">
        <v>1994</v>
      </c>
      <c r="N124" s="425" t="s">
        <v>4336</v>
      </c>
      <c r="O124" s="425" t="s">
        <v>4260</v>
      </c>
      <c r="P124" s="426">
        <v>9833.33</v>
      </c>
      <c r="Q124" s="427"/>
      <c r="R124" s="405">
        <f t="shared" si="5"/>
        <v>0</v>
      </c>
      <c r="S124" s="378">
        <v>202310</v>
      </c>
      <c r="T124" s="428" t="s">
        <v>4337</v>
      </c>
      <c r="U124" s="428"/>
      <c r="V124" s="381">
        <v>0</v>
      </c>
      <c r="W124" s="429"/>
      <c r="X124" s="383"/>
      <c r="Y124" s="383"/>
      <c r="Z124" s="382"/>
      <c r="AA124" s="384" t="s">
        <v>3807</v>
      </c>
      <c r="AB124" s="384">
        <v>0</v>
      </c>
      <c r="AC124" s="384">
        <v>0</v>
      </c>
    </row>
    <row r="125" spans="1:29" s="385" customFormat="1" ht="15" customHeight="1">
      <c r="A125" s="422" t="s">
        <v>260</v>
      </c>
      <c r="B125" s="387" t="s">
        <v>46</v>
      </c>
      <c r="C125" s="423" t="s">
        <v>814</v>
      </c>
      <c r="D125" s="388" t="s">
        <v>48</v>
      </c>
      <c r="E125" s="422" t="s">
        <v>1990</v>
      </c>
      <c r="F125" s="422" t="s">
        <v>1991</v>
      </c>
      <c r="G125" s="389" t="s">
        <v>165</v>
      </c>
      <c r="H125" s="389" t="s">
        <v>4334</v>
      </c>
      <c r="I125" s="369" t="e">
        <f>VLOOKUP(H125,'合同高级查询数据-10月新返回合同'!A:A,1,0)</f>
        <v>#N/A</v>
      </c>
      <c r="J125" s="390" t="s">
        <v>3724</v>
      </c>
      <c r="K125" s="422" t="s">
        <v>2001</v>
      </c>
      <c r="L125" s="424" t="s">
        <v>4338</v>
      </c>
      <c r="M125" s="403" t="s">
        <v>1994</v>
      </c>
      <c r="N125" s="425" t="s">
        <v>4339</v>
      </c>
      <c r="O125" s="425" t="s">
        <v>4340</v>
      </c>
      <c r="P125" s="426">
        <v>9833.33</v>
      </c>
      <c r="Q125" s="427"/>
      <c r="R125" s="405">
        <f t="shared" si="5"/>
        <v>0</v>
      </c>
      <c r="S125" s="378">
        <v>202310</v>
      </c>
      <c r="T125" s="428" t="s">
        <v>4341</v>
      </c>
      <c r="U125" s="428"/>
      <c r="V125" s="381">
        <v>0</v>
      </c>
      <c r="W125" s="429"/>
      <c r="X125" s="383"/>
      <c r="Y125" s="383"/>
      <c r="Z125" s="382"/>
      <c r="AA125" s="384" t="s">
        <v>3807</v>
      </c>
      <c r="AB125" s="384">
        <v>0</v>
      </c>
      <c r="AC125" s="384">
        <v>0</v>
      </c>
    </row>
    <row r="126" spans="1:29" s="385" customFormat="1" ht="15" customHeight="1">
      <c r="A126" s="422" t="s">
        <v>260</v>
      </c>
      <c r="B126" s="387" t="s">
        <v>46</v>
      </c>
      <c r="C126" s="423" t="s">
        <v>814</v>
      </c>
      <c r="D126" s="388" t="s">
        <v>48</v>
      </c>
      <c r="E126" s="422" t="s">
        <v>1990</v>
      </c>
      <c r="F126" s="422" t="s">
        <v>1991</v>
      </c>
      <c r="G126" s="389" t="s">
        <v>165</v>
      </c>
      <c r="H126" s="389" t="s">
        <v>4342</v>
      </c>
      <c r="I126" s="369" t="e">
        <f>VLOOKUP(H126,'合同高级查询数据-10月新返回合同'!A:A,1,0)</f>
        <v>#N/A</v>
      </c>
      <c r="J126" s="390" t="s">
        <v>3724</v>
      </c>
      <c r="K126" s="422" t="s">
        <v>1997</v>
      </c>
      <c r="L126" s="424" t="s">
        <v>1997</v>
      </c>
      <c r="M126" s="403" t="s">
        <v>1998</v>
      </c>
      <c r="N126" s="425" t="s">
        <v>4343</v>
      </c>
      <c r="O126" s="373" t="s">
        <v>4340</v>
      </c>
      <c r="P126" s="426">
        <v>0</v>
      </c>
      <c r="Q126" s="427"/>
      <c r="R126" s="405">
        <f t="shared" si="5"/>
        <v>0</v>
      </c>
      <c r="S126" s="378">
        <v>202310</v>
      </c>
      <c r="T126" s="428" t="s">
        <v>4344</v>
      </c>
      <c r="U126" s="428"/>
      <c r="V126" s="381">
        <v>0</v>
      </c>
      <c r="W126" s="429"/>
      <c r="X126" s="383"/>
      <c r="Y126" s="383"/>
      <c r="Z126" s="382"/>
      <c r="AA126" s="384" t="s">
        <v>3807</v>
      </c>
      <c r="AB126" s="384">
        <v>0</v>
      </c>
      <c r="AC126" s="384">
        <v>0</v>
      </c>
    </row>
    <row r="127" spans="1:29" s="577" customFormat="1" ht="15" customHeight="1">
      <c r="A127" s="593" t="s">
        <v>258</v>
      </c>
      <c r="B127" s="562" t="s">
        <v>46</v>
      </c>
      <c r="C127" s="594" t="s">
        <v>814</v>
      </c>
      <c r="D127" s="563" t="s">
        <v>48</v>
      </c>
      <c r="E127" s="593" t="s">
        <v>2048</v>
      </c>
      <c r="F127" s="593" t="s">
        <v>2049</v>
      </c>
      <c r="G127" s="564" t="s">
        <v>165</v>
      </c>
      <c r="H127" s="564" t="s">
        <v>2050</v>
      </c>
      <c r="I127" s="565" t="e">
        <f>VLOOKUP(H127,'合同高级查询数据-10月新返回合同'!A:A,1,0)</f>
        <v>#N/A</v>
      </c>
      <c r="J127" s="566" t="s">
        <v>3724</v>
      </c>
      <c r="K127" s="593" t="s">
        <v>2049</v>
      </c>
      <c r="L127" s="595" t="s">
        <v>2051</v>
      </c>
      <c r="M127" s="596" t="s">
        <v>2052</v>
      </c>
      <c r="N127" s="597" t="s">
        <v>4345</v>
      </c>
      <c r="O127" s="597" t="s">
        <v>4346</v>
      </c>
      <c r="P127" s="598">
        <v>9000</v>
      </c>
      <c r="Q127" s="599">
        <v>24</v>
      </c>
      <c r="R127" s="600">
        <f t="shared" si="5"/>
        <v>216000</v>
      </c>
      <c r="S127" s="570">
        <v>202310</v>
      </c>
      <c r="T127" s="601" t="s">
        <v>4692</v>
      </c>
      <c r="U127" s="601"/>
      <c r="V127" s="590">
        <v>18.872093967000001</v>
      </c>
      <c r="W127" s="602"/>
      <c r="X127" s="574">
        <v>44652</v>
      </c>
      <c r="Y127" s="574">
        <v>45382</v>
      </c>
      <c r="Z127" s="575" t="s">
        <v>4348</v>
      </c>
      <c r="AA127" s="576">
        <v>0.3</v>
      </c>
      <c r="AB127" s="576">
        <v>80</v>
      </c>
      <c r="AC127" s="576">
        <f>AA127*AB127</f>
        <v>24</v>
      </c>
    </row>
    <row r="128" spans="1:29" s="385" customFormat="1" ht="15" customHeight="1">
      <c r="A128" s="422" t="s">
        <v>258</v>
      </c>
      <c r="B128" s="387" t="s">
        <v>46</v>
      </c>
      <c r="C128" s="423" t="s">
        <v>814</v>
      </c>
      <c r="D128" s="388" t="s">
        <v>48</v>
      </c>
      <c r="E128" s="422" t="s">
        <v>2139</v>
      </c>
      <c r="F128" s="422" t="s">
        <v>2140</v>
      </c>
      <c r="G128" s="389" t="s">
        <v>165</v>
      </c>
      <c r="H128" s="389" t="s">
        <v>2141</v>
      </c>
      <c r="I128" s="369" t="e">
        <f>VLOOKUP(H128,'合同高级查询数据-10月新返回合同'!A:A,1,0)</f>
        <v>#N/A</v>
      </c>
      <c r="J128" s="390" t="s">
        <v>3724</v>
      </c>
      <c r="K128" s="422" t="s">
        <v>2140</v>
      </c>
      <c r="L128" s="424" t="s">
        <v>2140</v>
      </c>
      <c r="M128" s="403" t="s">
        <v>2142</v>
      </c>
      <c r="N128" s="373" t="s">
        <v>4350</v>
      </c>
      <c r="O128" s="425" t="s">
        <v>4351</v>
      </c>
      <c r="P128" s="426">
        <v>9000</v>
      </c>
      <c r="Q128" s="396">
        <v>81.2</v>
      </c>
      <c r="R128" s="405">
        <f t="shared" si="5"/>
        <v>730800</v>
      </c>
      <c r="S128" s="378">
        <v>202310</v>
      </c>
      <c r="T128" s="428" t="s">
        <v>4352</v>
      </c>
      <c r="U128" s="428"/>
      <c r="V128" s="398">
        <v>81.122486472999995</v>
      </c>
      <c r="W128" s="429"/>
      <c r="X128" s="383"/>
      <c r="Y128" s="383"/>
      <c r="Z128" s="382" t="s">
        <v>4353</v>
      </c>
      <c r="AA128" s="384">
        <v>0.3</v>
      </c>
      <c r="AB128" s="384">
        <v>200</v>
      </c>
      <c r="AC128" s="384">
        <f t="shared" ref="AC128:AC149" si="7">AA128*AB128</f>
        <v>60</v>
      </c>
    </row>
    <row r="129" spans="1:29" s="385" customFormat="1" ht="15" customHeight="1">
      <c r="A129" s="422" t="s">
        <v>258</v>
      </c>
      <c r="B129" s="387" t="s">
        <v>46</v>
      </c>
      <c r="C129" s="423" t="s">
        <v>814</v>
      </c>
      <c r="D129" s="388" t="s">
        <v>48</v>
      </c>
      <c r="E129" s="422" t="s">
        <v>2153</v>
      </c>
      <c r="F129" s="422" t="s">
        <v>2154</v>
      </c>
      <c r="G129" s="389" t="s">
        <v>165</v>
      </c>
      <c r="H129" s="389" t="s">
        <v>2155</v>
      </c>
      <c r="I129" s="369" t="e">
        <f>VLOOKUP(H129,'合同高级查询数据-10月新返回合同'!A:A,1,0)</f>
        <v>#N/A</v>
      </c>
      <c r="J129" s="390" t="s">
        <v>3724</v>
      </c>
      <c r="K129" s="422" t="s">
        <v>2154</v>
      </c>
      <c r="L129" s="424" t="s">
        <v>2154</v>
      </c>
      <c r="M129" s="403" t="s">
        <v>2156</v>
      </c>
      <c r="N129" s="373" t="s">
        <v>4355</v>
      </c>
      <c r="O129" s="425" t="s">
        <v>4356</v>
      </c>
      <c r="P129" s="426">
        <v>9000</v>
      </c>
      <c r="Q129" s="427">
        <v>90</v>
      </c>
      <c r="R129" s="405">
        <f t="shared" si="5"/>
        <v>810000</v>
      </c>
      <c r="S129" s="378">
        <v>202310</v>
      </c>
      <c r="T129" s="428" t="s">
        <v>4693</v>
      </c>
      <c r="U129" s="428"/>
      <c r="V129" s="398">
        <v>76.718559725999995</v>
      </c>
      <c r="W129" s="429"/>
      <c r="X129" s="383"/>
      <c r="Y129" s="383"/>
      <c r="Z129" s="382" t="s">
        <v>4358</v>
      </c>
      <c r="AA129" s="384">
        <v>0.3</v>
      </c>
      <c r="AB129" s="384">
        <v>300</v>
      </c>
      <c r="AC129" s="384">
        <f t="shared" si="7"/>
        <v>90</v>
      </c>
    </row>
    <row r="130" spans="1:29" s="385" customFormat="1" ht="15" customHeight="1">
      <c r="A130" s="422" t="s">
        <v>258</v>
      </c>
      <c r="B130" s="387" t="s">
        <v>46</v>
      </c>
      <c r="C130" s="423" t="s">
        <v>814</v>
      </c>
      <c r="D130" s="388" t="s">
        <v>48</v>
      </c>
      <c r="E130" s="422" t="s">
        <v>2328</v>
      </c>
      <c r="F130" s="422" t="s">
        <v>2329</v>
      </c>
      <c r="G130" s="389" t="s">
        <v>165</v>
      </c>
      <c r="H130" s="389" t="s">
        <v>2338</v>
      </c>
      <c r="I130" s="369" t="e">
        <f>VLOOKUP(H130,'合同高级查询数据-10月新返回合同'!A:A,1,0)</f>
        <v>#N/A</v>
      </c>
      <c r="J130" s="390" t="s">
        <v>3724</v>
      </c>
      <c r="K130" s="422" t="s">
        <v>2339</v>
      </c>
      <c r="L130" s="424" t="s">
        <v>2339</v>
      </c>
      <c r="M130" s="403" t="s">
        <v>2332</v>
      </c>
      <c r="N130" s="373" t="s">
        <v>4359</v>
      </c>
      <c r="O130" s="373" t="s">
        <v>4360</v>
      </c>
      <c r="P130" s="426">
        <v>9000</v>
      </c>
      <c r="Q130" s="427">
        <v>13.3</v>
      </c>
      <c r="R130" s="405">
        <f t="shared" si="5"/>
        <v>119700</v>
      </c>
      <c r="S130" s="378">
        <v>202310</v>
      </c>
      <c r="T130" s="428" t="s">
        <v>4361</v>
      </c>
      <c r="U130" s="428"/>
      <c r="V130" s="398">
        <v>13.250248126000001</v>
      </c>
      <c r="W130" s="429"/>
      <c r="X130" s="383"/>
      <c r="Y130" s="383"/>
      <c r="Z130" s="382" t="s">
        <v>4362</v>
      </c>
      <c r="AA130" s="384">
        <v>0.3</v>
      </c>
      <c r="AB130" s="384">
        <v>40</v>
      </c>
      <c r="AC130" s="384">
        <f t="shared" si="7"/>
        <v>12</v>
      </c>
    </row>
    <row r="131" spans="1:29" s="385" customFormat="1" ht="15" customHeight="1">
      <c r="A131" s="422" t="s">
        <v>258</v>
      </c>
      <c r="B131" s="387" t="s">
        <v>46</v>
      </c>
      <c r="C131" s="423" t="s">
        <v>814</v>
      </c>
      <c r="D131" s="388" t="s">
        <v>48</v>
      </c>
      <c r="E131" s="422" t="s">
        <v>2328</v>
      </c>
      <c r="F131" s="422" t="s">
        <v>2329</v>
      </c>
      <c r="G131" s="389" t="s">
        <v>165</v>
      </c>
      <c r="H131" s="389" t="s">
        <v>2330</v>
      </c>
      <c r="I131" s="369" t="e">
        <f>VLOOKUP(H131,'合同高级查询数据-10月新返回合同'!A:A,1,0)</f>
        <v>#N/A</v>
      </c>
      <c r="J131" s="390" t="s">
        <v>3724</v>
      </c>
      <c r="K131" s="422" t="s">
        <v>2331</v>
      </c>
      <c r="L131" s="424" t="s">
        <v>2331</v>
      </c>
      <c r="M131" s="403" t="s">
        <v>2332</v>
      </c>
      <c r="N131" s="425">
        <v>45001</v>
      </c>
      <c r="O131" s="425" t="s">
        <v>2187</v>
      </c>
      <c r="P131" s="426">
        <v>9000</v>
      </c>
      <c r="Q131" s="427">
        <v>50.7</v>
      </c>
      <c r="R131" s="405">
        <f t="shared" si="5"/>
        <v>456300</v>
      </c>
      <c r="S131" s="378">
        <v>202310</v>
      </c>
      <c r="T131" s="428" t="s">
        <v>4364</v>
      </c>
      <c r="U131" s="428"/>
      <c r="V131" s="398">
        <v>50.606692981999998</v>
      </c>
      <c r="W131" s="429"/>
      <c r="X131" s="383"/>
      <c r="Y131" s="383"/>
      <c r="Z131" s="382" t="s">
        <v>4365</v>
      </c>
      <c r="AA131" s="384">
        <v>0.3</v>
      </c>
      <c r="AB131" s="384">
        <v>100</v>
      </c>
      <c r="AC131" s="384">
        <f t="shared" si="7"/>
        <v>30</v>
      </c>
    </row>
    <row r="132" spans="1:29" s="385" customFormat="1" ht="15" customHeight="1">
      <c r="A132" s="422" t="s">
        <v>258</v>
      </c>
      <c r="B132" s="387" t="s">
        <v>46</v>
      </c>
      <c r="C132" s="423" t="s">
        <v>814</v>
      </c>
      <c r="D132" s="388" t="s">
        <v>48</v>
      </c>
      <c r="E132" s="422" t="s">
        <v>2352</v>
      </c>
      <c r="F132" s="422" t="s">
        <v>2353</v>
      </c>
      <c r="G132" s="389" t="s">
        <v>165</v>
      </c>
      <c r="H132" s="389" t="s">
        <v>2354</v>
      </c>
      <c r="I132" s="369" t="e">
        <f>VLOOKUP(H132,'合同高级查询数据-10月新返回合同'!A:A,1,0)</f>
        <v>#N/A</v>
      </c>
      <c r="J132" s="390" t="s">
        <v>3724</v>
      </c>
      <c r="K132" s="422" t="s">
        <v>2353</v>
      </c>
      <c r="L132" s="424" t="s">
        <v>2353</v>
      </c>
      <c r="M132" s="403" t="s">
        <v>2355</v>
      </c>
      <c r="N132" s="373" t="s">
        <v>4367</v>
      </c>
      <c r="O132" s="373" t="s">
        <v>4368</v>
      </c>
      <c r="P132" s="426">
        <v>9000</v>
      </c>
      <c r="Q132" s="427">
        <v>62.52</v>
      </c>
      <c r="R132" s="405">
        <f t="shared" si="5"/>
        <v>562680</v>
      </c>
      <c r="S132" s="378">
        <v>202310</v>
      </c>
      <c r="T132" s="428" t="s">
        <v>4369</v>
      </c>
      <c r="U132" s="428"/>
      <c r="V132" s="398">
        <v>62.515362230000001</v>
      </c>
      <c r="W132" s="398"/>
      <c r="X132" s="383"/>
      <c r="Y132" s="383"/>
      <c r="Z132" s="382" t="s">
        <v>4370</v>
      </c>
      <c r="AA132" s="384">
        <v>0.3</v>
      </c>
      <c r="AB132" s="384">
        <v>200</v>
      </c>
      <c r="AC132" s="384">
        <f t="shared" si="7"/>
        <v>60</v>
      </c>
    </row>
    <row r="133" spans="1:29" s="577" customFormat="1" ht="15" customHeight="1">
      <c r="A133" s="593" t="s">
        <v>258</v>
      </c>
      <c r="B133" s="562" t="s">
        <v>46</v>
      </c>
      <c r="C133" s="594" t="s">
        <v>814</v>
      </c>
      <c r="D133" s="563" t="s">
        <v>48</v>
      </c>
      <c r="E133" s="593" t="s">
        <v>2359</v>
      </c>
      <c r="F133" s="593" t="s">
        <v>2360</v>
      </c>
      <c r="G133" s="564" t="s">
        <v>165</v>
      </c>
      <c r="H133" s="564" t="s">
        <v>2361</v>
      </c>
      <c r="I133" s="565" t="e">
        <f>VLOOKUP(H133,'合同高级查询数据-10月新返回合同'!A:A,1,0)</f>
        <v>#N/A</v>
      </c>
      <c r="J133" s="566" t="s">
        <v>3724</v>
      </c>
      <c r="K133" s="593" t="s">
        <v>2360</v>
      </c>
      <c r="L133" s="595" t="s">
        <v>2360</v>
      </c>
      <c r="M133" s="596" t="s">
        <v>2362</v>
      </c>
      <c r="N133" s="603" t="s">
        <v>4372</v>
      </c>
      <c r="O133" s="603" t="s">
        <v>4373</v>
      </c>
      <c r="P133" s="598">
        <v>9000</v>
      </c>
      <c r="Q133" s="599">
        <v>152.9</v>
      </c>
      <c r="R133" s="600">
        <f t="shared" si="5"/>
        <v>1376100</v>
      </c>
      <c r="S133" s="570">
        <v>202310</v>
      </c>
      <c r="T133" s="605" t="s">
        <v>9187</v>
      </c>
      <c r="U133" s="601"/>
      <c r="V133" s="590">
        <v>149.537190232</v>
      </c>
      <c r="W133" s="599">
        <v>152.9</v>
      </c>
      <c r="X133" s="574">
        <v>44652</v>
      </c>
      <c r="Y133" s="574">
        <v>45382</v>
      </c>
      <c r="Z133" s="575" t="s">
        <v>4375</v>
      </c>
      <c r="AA133" s="576">
        <v>0.3</v>
      </c>
      <c r="AB133" s="576">
        <v>400</v>
      </c>
      <c r="AC133" s="576">
        <f t="shared" si="7"/>
        <v>120</v>
      </c>
    </row>
    <row r="134" spans="1:29" s="385" customFormat="1" ht="15" customHeight="1">
      <c r="A134" s="422" t="s">
        <v>258</v>
      </c>
      <c r="B134" s="387" t="s">
        <v>46</v>
      </c>
      <c r="C134" s="423" t="s">
        <v>814</v>
      </c>
      <c r="D134" s="388" t="s">
        <v>48</v>
      </c>
      <c r="E134" s="422" t="s">
        <v>2413</v>
      </c>
      <c r="F134" s="422" t="s">
        <v>2414</v>
      </c>
      <c r="G134" s="389" t="s">
        <v>165</v>
      </c>
      <c r="H134" s="389" t="s">
        <v>2415</v>
      </c>
      <c r="I134" s="369" t="e">
        <f>VLOOKUP(H134,'合同高级查询数据-10月新返回合同'!A:A,1,0)</f>
        <v>#N/A</v>
      </c>
      <c r="J134" s="390" t="s">
        <v>3724</v>
      </c>
      <c r="K134" s="422" t="s">
        <v>2414</v>
      </c>
      <c r="L134" s="424" t="s">
        <v>2414</v>
      </c>
      <c r="M134" s="403" t="s">
        <v>2416</v>
      </c>
      <c r="N134" s="425">
        <v>44789</v>
      </c>
      <c r="O134" s="425" t="s">
        <v>2187</v>
      </c>
      <c r="P134" s="426">
        <v>9000</v>
      </c>
      <c r="Q134" s="427">
        <v>30</v>
      </c>
      <c r="R134" s="405">
        <f t="shared" si="5"/>
        <v>270000</v>
      </c>
      <c r="S134" s="378">
        <v>202310</v>
      </c>
      <c r="T134" s="428" t="s">
        <v>4694</v>
      </c>
      <c r="U134" s="428"/>
      <c r="V134" s="398">
        <v>20.943933493999999</v>
      </c>
      <c r="W134" s="429"/>
      <c r="X134" s="383"/>
      <c r="Y134" s="383"/>
      <c r="Z134" s="382" t="s">
        <v>4377</v>
      </c>
      <c r="AA134" s="384">
        <v>0.3</v>
      </c>
      <c r="AB134" s="384">
        <v>100</v>
      </c>
      <c r="AC134" s="384">
        <f t="shared" si="7"/>
        <v>30</v>
      </c>
    </row>
    <row r="135" spans="1:29" s="385" customFormat="1" ht="15" customHeight="1">
      <c r="A135" s="422" t="s">
        <v>45</v>
      </c>
      <c r="B135" s="387" t="s">
        <v>46</v>
      </c>
      <c r="C135" s="423" t="s">
        <v>814</v>
      </c>
      <c r="D135" s="388" t="s">
        <v>48</v>
      </c>
      <c r="E135" s="422" t="s">
        <v>2841</v>
      </c>
      <c r="F135" s="422" t="s">
        <v>2837</v>
      </c>
      <c r="G135" s="389" t="s">
        <v>165</v>
      </c>
      <c r="H135" s="389" t="s">
        <v>2838</v>
      </c>
      <c r="I135" s="369" t="e">
        <f>VLOOKUP(H135,'合同高级查询数据-10月新返回合同'!A:A,1,0)</f>
        <v>#N/A</v>
      </c>
      <c r="J135" s="390" t="s">
        <v>3724</v>
      </c>
      <c r="K135" s="424" t="s">
        <v>2837</v>
      </c>
      <c r="L135" s="424" t="s">
        <v>2837</v>
      </c>
      <c r="M135" s="403" t="s">
        <v>2839</v>
      </c>
      <c r="N135" s="373" t="s">
        <v>4378</v>
      </c>
      <c r="O135" s="373" t="s">
        <v>4379</v>
      </c>
      <c r="P135" s="426">
        <v>6740</v>
      </c>
      <c r="Q135" s="427">
        <v>45.61</v>
      </c>
      <c r="R135" s="405">
        <f t="shared" si="5"/>
        <v>307411.40000000002</v>
      </c>
      <c r="S135" s="378">
        <v>202310</v>
      </c>
      <c r="T135" s="428" t="s">
        <v>4380</v>
      </c>
      <c r="U135" s="428"/>
      <c r="V135" s="398">
        <v>45.612636565999999</v>
      </c>
      <c r="W135" s="429"/>
      <c r="X135" s="383"/>
      <c r="Y135" s="383"/>
      <c r="Z135" s="382" t="s">
        <v>4381</v>
      </c>
      <c r="AA135" s="384">
        <v>0.4</v>
      </c>
      <c r="AB135" s="384">
        <v>110</v>
      </c>
      <c r="AC135" s="384">
        <f t="shared" si="7"/>
        <v>44</v>
      </c>
    </row>
    <row r="136" spans="1:29" s="385" customFormat="1" ht="15" customHeight="1">
      <c r="A136" s="422" t="s">
        <v>45</v>
      </c>
      <c r="B136" s="387" t="s">
        <v>46</v>
      </c>
      <c r="C136" s="423" t="s">
        <v>814</v>
      </c>
      <c r="D136" s="388" t="s">
        <v>48</v>
      </c>
      <c r="E136" s="422" t="s">
        <v>2841</v>
      </c>
      <c r="F136" s="422" t="s">
        <v>2837</v>
      </c>
      <c r="G136" s="389" t="s">
        <v>165</v>
      </c>
      <c r="H136" s="389" t="s">
        <v>2838</v>
      </c>
      <c r="I136" s="369" t="e">
        <f>VLOOKUP(H136,'合同高级查询数据-10月新返回合同'!A:A,1,0)</f>
        <v>#N/A</v>
      </c>
      <c r="J136" s="390" t="s">
        <v>3724</v>
      </c>
      <c r="K136" s="424" t="s">
        <v>2855</v>
      </c>
      <c r="L136" s="424" t="s">
        <v>2855</v>
      </c>
      <c r="M136" s="403" t="s">
        <v>2856</v>
      </c>
      <c r="N136" s="373" t="s">
        <v>4382</v>
      </c>
      <c r="O136" s="373" t="s">
        <v>4383</v>
      </c>
      <c r="P136" s="426">
        <v>6740</v>
      </c>
      <c r="Q136" s="427">
        <v>200</v>
      </c>
      <c r="R136" s="405">
        <f t="shared" si="5"/>
        <v>1348000</v>
      </c>
      <c r="S136" s="378">
        <v>202310</v>
      </c>
      <c r="T136" s="428" t="s">
        <v>4695</v>
      </c>
      <c r="U136" s="428"/>
      <c r="V136" s="398">
        <v>199.94807055499999</v>
      </c>
      <c r="W136" s="429"/>
      <c r="X136" s="383"/>
      <c r="Y136" s="383"/>
      <c r="Z136" s="382" t="s">
        <v>4385</v>
      </c>
      <c r="AA136" s="384">
        <v>0.4</v>
      </c>
      <c r="AB136" s="384">
        <v>500</v>
      </c>
      <c r="AC136" s="384">
        <f t="shared" si="7"/>
        <v>200</v>
      </c>
    </row>
    <row r="137" spans="1:29" s="577" customFormat="1" ht="15" customHeight="1">
      <c r="A137" s="593" t="s">
        <v>45</v>
      </c>
      <c r="B137" s="562" t="s">
        <v>46</v>
      </c>
      <c r="C137" s="594" t="s">
        <v>814</v>
      </c>
      <c r="D137" s="563" t="s">
        <v>48</v>
      </c>
      <c r="E137" s="593" t="s">
        <v>2862</v>
      </c>
      <c r="F137" s="593" t="s">
        <v>2863</v>
      </c>
      <c r="G137" s="564" t="s">
        <v>165</v>
      </c>
      <c r="H137" s="564" t="s">
        <v>2864</v>
      </c>
      <c r="I137" s="565" t="e">
        <f>VLOOKUP(H137,'合同高级查询数据-10月新返回合同'!A:A,1,0)</f>
        <v>#N/A</v>
      </c>
      <c r="J137" s="566" t="s">
        <v>3724</v>
      </c>
      <c r="K137" s="593" t="s">
        <v>2865</v>
      </c>
      <c r="L137" s="595" t="s">
        <v>2863</v>
      </c>
      <c r="M137" s="596" t="s">
        <v>2866</v>
      </c>
      <c r="N137" s="597" t="s">
        <v>4386</v>
      </c>
      <c r="O137" s="597" t="s">
        <v>4387</v>
      </c>
      <c r="P137" s="598">
        <v>6740</v>
      </c>
      <c r="Q137" s="599"/>
      <c r="R137" s="600">
        <f t="shared" ref="R137:R181" si="8">ROUND(P137*Q137,2)</f>
        <v>0</v>
      </c>
      <c r="S137" s="570">
        <v>202310</v>
      </c>
      <c r="T137" s="601" t="s">
        <v>4388</v>
      </c>
      <c r="U137" s="601"/>
      <c r="V137" s="572">
        <v>0</v>
      </c>
      <c r="W137" s="602"/>
      <c r="X137" s="574">
        <v>44197</v>
      </c>
      <c r="Y137" s="574">
        <v>44926</v>
      </c>
      <c r="Z137" s="575"/>
      <c r="AA137" s="576" t="s">
        <v>3807</v>
      </c>
      <c r="AB137" s="576">
        <v>0</v>
      </c>
      <c r="AC137" s="576">
        <v>0</v>
      </c>
    </row>
    <row r="138" spans="1:29" s="577" customFormat="1" ht="15" customHeight="1">
      <c r="A138" s="593" t="s">
        <v>45</v>
      </c>
      <c r="B138" s="562" t="s">
        <v>46</v>
      </c>
      <c r="C138" s="594" t="s">
        <v>814</v>
      </c>
      <c r="D138" s="563" t="s">
        <v>48</v>
      </c>
      <c r="E138" s="593" t="s">
        <v>2872</v>
      </c>
      <c r="F138" s="593" t="s">
        <v>2873</v>
      </c>
      <c r="G138" s="564" t="s">
        <v>165</v>
      </c>
      <c r="H138" s="564" t="s">
        <v>2874</v>
      </c>
      <c r="I138" s="565" t="str">
        <f>VLOOKUP(H138,'合同高级查询数据-10月新返回合同'!A:A,1,0)</f>
        <v>182315IDC00484</v>
      </c>
      <c r="J138" s="566" t="s">
        <v>3724</v>
      </c>
      <c r="K138" s="593" t="s">
        <v>2873</v>
      </c>
      <c r="L138" s="595" t="s">
        <v>2873</v>
      </c>
      <c r="M138" s="596" t="s">
        <v>2876</v>
      </c>
      <c r="N138" s="597" t="s">
        <v>4389</v>
      </c>
      <c r="O138" s="597" t="s">
        <v>4390</v>
      </c>
      <c r="P138" s="598">
        <v>6740</v>
      </c>
      <c r="Q138" s="599"/>
      <c r="R138" s="600">
        <f t="shared" si="8"/>
        <v>0</v>
      </c>
      <c r="S138" s="570">
        <v>202310</v>
      </c>
      <c r="T138" s="601" t="s">
        <v>4391</v>
      </c>
      <c r="U138" s="601"/>
      <c r="V138" s="572">
        <v>0</v>
      </c>
      <c r="W138" s="602"/>
      <c r="X138" s="574">
        <v>45108</v>
      </c>
      <c r="Y138" s="574">
        <v>45473</v>
      </c>
      <c r="Z138" s="575"/>
      <c r="AA138" s="576" t="s">
        <v>3807</v>
      </c>
      <c r="AB138" s="576">
        <v>0</v>
      </c>
      <c r="AC138" s="576">
        <v>0</v>
      </c>
    </row>
    <row r="139" spans="1:29" s="577" customFormat="1" ht="15" customHeight="1">
      <c r="A139" s="593" t="s">
        <v>45</v>
      </c>
      <c r="B139" s="562" t="s">
        <v>46</v>
      </c>
      <c r="C139" s="594" t="s">
        <v>814</v>
      </c>
      <c r="D139" s="563" t="s">
        <v>48</v>
      </c>
      <c r="E139" s="593" t="s">
        <v>2872</v>
      </c>
      <c r="F139" s="593" t="s">
        <v>2873</v>
      </c>
      <c r="G139" s="564" t="s">
        <v>165</v>
      </c>
      <c r="H139" s="564" t="s">
        <v>2874</v>
      </c>
      <c r="I139" s="565" t="str">
        <f>VLOOKUP(H139,'合同高级查询数据-10月新返回合同'!A:A,1,0)</f>
        <v>182315IDC00484</v>
      </c>
      <c r="J139" s="566" t="s">
        <v>3724</v>
      </c>
      <c r="K139" s="593" t="s">
        <v>2879</v>
      </c>
      <c r="L139" s="595" t="s">
        <v>2879</v>
      </c>
      <c r="M139" s="596" t="s">
        <v>2880</v>
      </c>
      <c r="N139" s="597" t="s">
        <v>4392</v>
      </c>
      <c r="O139" s="603" t="s">
        <v>4393</v>
      </c>
      <c r="P139" s="598">
        <v>6740</v>
      </c>
      <c r="Q139" s="599">
        <v>33.04</v>
      </c>
      <c r="R139" s="600">
        <f t="shared" si="8"/>
        <v>222689.6</v>
      </c>
      <c r="S139" s="570">
        <v>202310</v>
      </c>
      <c r="T139" s="601" t="s">
        <v>4394</v>
      </c>
      <c r="U139" s="601"/>
      <c r="V139" s="590">
        <v>33.035190581999998</v>
      </c>
      <c r="W139" s="602"/>
      <c r="X139" s="574">
        <v>45108</v>
      </c>
      <c r="Y139" s="574">
        <v>45473</v>
      </c>
      <c r="Z139" s="575" t="s">
        <v>4395</v>
      </c>
      <c r="AA139" s="576">
        <v>0.4</v>
      </c>
      <c r="AB139" s="576">
        <v>80</v>
      </c>
      <c r="AC139" s="576">
        <f t="shared" si="7"/>
        <v>32</v>
      </c>
    </row>
    <row r="140" spans="1:29" s="577" customFormat="1" ht="15" customHeight="1">
      <c r="A140" s="593" t="s">
        <v>45</v>
      </c>
      <c r="B140" s="562" t="s">
        <v>46</v>
      </c>
      <c r="C140" s="594" t="s">
        <v>814</v>
      </c>
      <c r="D140" s="563" t="s">
        <v>48</v>
      </c>
      <c r="E140" s="593" t="s">
        <v>2872</v>
      </c>
      <c r="F140" s="593" t="s">
        <v>2873</v>
      </c>
      <c r="G140" s="564" t="s">
        <v>165</v>
      </c>
      <c r="H140" s="564" t="s">
        <v>2874</v>
      </c>
      <c r="I140" s="565" t="str">
        <f>VLOOKUP(H140,'合同高级查询数据-10月新返回合同'!A:A,1,0)</f>
        <v>182315IDC00484</v>
      </c>
      <c r="J140" s="564" t="s">
        <v>4013</v>
      </c>
      <c r="K140" s="593" t="s">
        <v>2882</v>
      </c>
      <c r="L140" s="595" t="s">
        <v>2882</v>
      </c>
      <c r="M140" s="596" t="s">
        <v>2883</v>
      </c>
      <c r="N140" s="597" t="s">
        <v>4396</v>
      </c>
      <c r="O140" s="597" t="s">
        <v>4397</v>
      </c>
      <c r="P140" s="598">
        <v>6740</v>
      </c>
      <c r="Q140" s="599"/>
      <c r="R140" s="600">
        <f t="shared" si="8"/>
        <v>0</v>
      </c>
      <c r="S140" s="570">
        <v>202310</v>
      </c>
      <c r="T140" s="601" t="s">
        <v>4398</v>
      </c>
      <c r="U140" s="601"/>
      <c r="V140" s="572">
        <v>0</v>
      </c>
      <c r="W140" s="602"/>
      <c r="X140" s="574">
        <v>45108</v>
      </c>
      <c r="Y140" s="574">
        <v>45473</v>
      </c>
      <c r="Z140" s="575"/>
      <c r="AA140" s="576" t="s">
        <v>3807</v>
      </c>
      <c r="AB140" s="576">
        <v>0</v>
      </c>
      <c r="AC140" s="576">
        <v>0</v>
      </c>
    </row>
    <row r="141" spans="1:29" s="577" customFormat="1" ht="15" customHeight="1">
      <c r="A141" s="593" t="s">
        <v>45</v>
      </c>
      <c r="B141" s="562" t="s">
        <v>46</v>
      </c>
      <c r="C141" s="594" t="s">
        <v>814</v>
      </c>
      <c r="D141" s="563" t="s">
        <v>48</v>
      </c>
      <c r="E141" s="593" t="s">
        <v>2896</v>
      </c>
      <c r="F141" s="593" t="s">
        <v>2897</v>
      </c>
      <c r="G141" s="564" t="s">
        <v>165</v>
      </c>
      <c r="H141" s="564" t="s">
        <v>2898</v>
      </c>
      <c r="I141" s="565" t="e">
        <f>VLOOKUP(H141,'合同高级查询数据-10月新返回合同'!A:A,1,0)</f>
        <v>#N/A</v>
      </c>
      <c r="J141" s="566" t="s">
        <v>3724</v>
      </c>
      <c r="K141" s="593" t="s">
        <v>2899</v>
      </c>
      <c r="L141" s="595" t="s">
        <v>2899</v>
      </c>
      <c r="M141" s="596" t="s">
        <v>2900</v>
      </c>
      <c r="N141" s="597" t="s">
        <v>4399</v>
      </c>
      <c r="O141" s="597" t="s">
        <v>4400</v>
      </c>
      <c r="P141" s="598">
        <v>6740</v>
      </c>
      <c r="Q141" s="599"/>
      <c r="R141" s="600">
        <f t="shared" si="8"/>
        <v>0</v>
      </c>
      <c r="S141" s="570">
        <v>202310</v>
      </c>
      <c r="T141" s="601" t="s">
        <v>4401</v>
      </c>
      <c r="U141" s="601"/>
      <c r="V141" s="572">
        <v>0</v>
      </c>
      <c r="W141" s="602"/>
      <c r="X141" s="574">
        <v>44197</v>
      </c>
      <c r="Y141" s="574">
        <v>44926</v>
      </c>
      <c r="Z141" s="575"/>
      <c r="AA141" s="576" t="s">
        <v>3807</v>
      </c>
      <c r="AB141" s="576">
        <v>0</v>
      </c>
      <c r="AC141" s="576">
        <v>0</v>
      </c>
    </row>
    <row r="142" spans="1:29" s="577" customFormat="1" ht="15" customHeight="1">
      <c r="A142" s="593" t="s">
        <v>45</v>
      </c>
      <c r="B142" s="562" t="s">
        <v>46</v>
      </c>
      <c r="C142" s="594" t="s">
        <v>814</v>
      </c>
      <c r="D142" s="563" t="s">
        <v>48</v>
      </c>
      <c r="E142" s="593" t="s">
        <v>2906</v>
      </c>
      <c r="F142" s="593" t="s">
        <v>2907</v>
      </c>
      <c r="G142" s="564" t="s">
        <v>165</v>
      </c>
      <c r="H142" s="564" t="s">
        <v>2908</v>
      </c>
      <c r="I142" s="565" t="e">
        <f>VLOOKUP(H142,'合同高级查询数据-10月新返回合同'!A:A,1,0)</f>
        <v>#N/A</v>
      </c>
      <c r="J142" s="566" t="s">
        <v>3724</v>
      </c>
      <c r="K142" s="593" t="s">
        <v>2909</v>
      </c>
      <c r="L142" s="595" t="s">
        <v>2907</v>
      </c>
      <c r="M142" s="596" t="s">
        <v>2910</v>
      </c>
      <c r="N142" s="597" t="s">
        <v>4402</v>
      </c>
      <c r="O142" s="597" t="s">
        <v>4403</v>
      </c>
      <c r="P142" s="598">
        <v>6740</v>
      </c>
      <c r="Q142" s="599"/>
      <c r="R142" s="600">
        <f t="shared" si="8"/>
        <v>0</v>
      </c>
      <c r="S142" s="570">
        <v>202310</v>
      </c>
      <c r="T142" s="601" t="s">
        <v>4404</v>
      </c>
      <c r="U142" s="601"/>
      <c r="V142" s="572">
        <v>0</v>
      </c>
      <c r="W142" s="602"/>
      <c r="X142" s="574">
        <v>44197</v>
      </c>
      <c r="Y142" s="574">
        <v>44926</v>
      </c>
      <c r="Z142" s="575"/>
      <c r="AA142" s="576" t="s">
        <v>3807</v>
      </c>
      <c r="AB142" s="576">
        <v>0</v>
      </c>
      <c r="AC142" s="576">
        <v>0</v>
      </c>
    </row>
    <row r="143" spans="1:29" s="577" customFormat="1" ht="15" customHeight="1">
      <c r="A143" s="593" t="s">
        <v>45</v>
      </c>
      <c r="B143" s="562" t="s">
        <v>46</v>
      </c>
      <c r="C143" s="594" t="s">
        <v>814</v>
      </c>
      <c r="D143" s="563" t="s">
        <v>48</v>
      </c>
      <c r="E143" s="593" t="s">
        <v>2906</v>
      </c>
      <c r="F143" s="593" t="s">
        <v>2907</v>
      </c>
      <c r="G143" s="564" t="s">
        <v>165</v>
      </c>
      <c r="H143" s="564" t="s">
        <v>2908</v>
      </c>
      <c r="I143" s="565" t="e">
        <f>VLOOKUP(H143,'合同高级查询数据-10月新返回合同'!A:A,1,0)</f>
        <v>#N/A</v>
      </c>
      <c r="J143" s="566" t="s">
        <v>3724</v>
      </c>
      <c r="K143" s="593" t="s">
        <v>2914</v>
      </c>
      <c r="L143" s="595" t="s">
        <v>2915</v>
      </c>
      <c r="M143" s="596" t="s">
        <v>2916</v>
      </c>
      <c r="N143" s="597" t="s">
        <v>4405</v>
      </c>
      <c r="O143" s="597" t="s">
        <v>4260</v>
      </c>
      <c r="P143" s="598">
        <v>6740</v>
      </c>
      <c r="Q143" s="599"/>
      <c r="R143" s="600">
        <f t="shared" si="8"/>
        <v>0</v>
      </c>
      <c r="S143" s="570">
        <v>202310</v>
      </c>
      <c r="T143" s="601" t="s">
        <v>4406</v>
      </c>
      <c r="U143" s="601"/>
      <c r="V143" s="572">
        <v>0</v>
      </c>
      <c r="W143" s="602"/>
      <c r="X143" s="574">
        <v>44197</v>
      </c>
      <c r="Y143" s="574">
        <v>44926</v>
      </c>
      <c r="Z143" s="575"/>
      <c r="AA143" s="576" t="s">
        <v>3807</v>
      </c>
      <c r="AB143" s="576">
        <v>0</v>
      </c>
      <c r="AC143" s="576">
        <v>0</v>
      </c>
    </row>
    <row r="144" spans="1:29" s="577" customFormat="1" ht="15" customHeight="1">
      <c r="A144" s="593" t="s">
        <v>45</v>
      </c>
      <c r="B144" s="562" t="s">
        <v>46</v>
      </c>
      <c r="C144" s="594" t="s">
        <v>814</v>
      </c>
      <c r="D144" s="563" t="s">
        <v>48</v>
      </c>
      <c r="E144" s="593" t="s">
        <v>2923</v>
      </c>
      <c r="F144" s="593" t="s">
        <v>2924</v>
      </c>
      <c r="G144" s="564" t="s">
        <v>165</v>
      </c>
      <c r="H144" s="564" t="s">
        <v>2925</v>
      </c>
      <c r="I144" s="565" t="str">
        <f>VLOOKUP(H144,'合同高级查询数据-10月新返回合同'!A:A,1,0)</f>
        <v>182315IDC00488</v>
      </c>
      <c r="J144" s="566" t="s">
        <v>3724</v>
      </c>
      <c r="K144" s="593" t="s">
        <v>2926</v>
      </c>
      <c r="L144" s="595" t="s">
        <v>2924</v>
      </c>
      <c r="M144" s="596" t="s">
        <v>2927</v>
      </c>
      <c r="N144" s="597">
        <v>45017</v>
      </c>
      <c r="O144" s="597" t="s">
        <v>1542</v>
      </c>
      <c r="P144" s="598">
        <v>6740</v>
      </c>
      <c r="Q144" s="599">
        <v>81.19</v>
      </c>
      <c r="R144" s="600">
        <f t="shared" si="8"/>
        <v>547220.6</v>
      </c>
      <c r="S144" s="570">
        <v>202310</v>
      </c>
      <c r="T144" s="601" t="s">
        <v>4407</v>
      </c>
      <c r="U144" s="601"/>
      <c r="V144" s="590">
        <v>81.186541874</v>
      </c>
      <c r="W144" s="602"/>
      <c r="X144" s="574">
        <v>45108</v>
      </c>
      <c r="Y144" s="574">
        <v>45382</v>
      </c>
      <c r="Z144" s="575" t="s">
        <v>4408</v>
      </c>
      <c r="AA144" s="576">
        <v>0.4</v>
      </c>
      <c r="AB144" s="576">
        <v>200</v>
      </c>
      <c r="AC144" s="576">
        <f t="shared" si="7"/>
        <v>80</v>
      </c>
    </row>
    <row r="145" spans="1:29" s="385" customFormat="1" ht="15" customHeight="1">
      <c r="A145" s="422" t="s">
        <v>45</v>
      </c>
      <c r="B145" s="387" t="s">
        <v>46</v>
      </c>
      <c r="C145" s="423" t="s">
        <v>814</v>
      </c>
      <c r="D145" s="388" t="s">
        <v>48</v>
      </c>
      <c r="E145" s="422" t="s">
        <v>2934</v>
      </c>
      <c r="F145" s="422" t="s">
        <v>2935</v>
      </c>
      <c r="G145" s="389" t="s">
        <v>165</v>
      </c>
      <c r="H145" s="371" t="s">
        <v>2936</v>
      </c>
      <c r="I145" s="369" t="e">
        <f>VLOOKUP(H145,'合同高级查询数据-10月新返回合同'!A:A,1,0)</f>
        <v>#N/A</v>
      </c>
      <c r="J145" s="390" t="s">
        <v>3724</v>
      </c>
      <c r="K145" s="422" t="s">
        <v>2937</v>
      </c>
      <c r="L145" s="424" t="s">
        <v>2938</v>
      </c>
      <c r="M145" s="403" t="s">
        <v>2939</v>
      </c>
      <c r="N145" s="425">
        <v>44816</v>
      </c>
      <c r="O145" s="425" t="s">
        <v>1542</v>
      </c>
      <c r="P145" s="426">
        <v>6740</v>
      </c>
      <c r="Q145" s="427">
        <v>82.11</v>
      </c>
      <c r="R145" s="405">
        <f t="shared" si="8"/>
        <v>553421.4</v>
      </c>
      <c r="S145" s="378">
        <v>202310</v>
      </c>
      <c r="T145" s="428" t="s">
        <v>4409</v>
      </c>
      <c r="U145" s="428"/>
      <c r="V145" s="398">
        <v>82.112811933000003</v>
      </c>
      <c r="W145" s="398"/>
      <c r="X145" s="383"/>
      <c r="Y145" s="383"/>
      <c r="Z145" s="382" t="s">
        <v>4410</v>
      </c>
      <c r="AA145" s="384">
        <v>0.4</v>
      </c>
      <c r="AB145" s="384">
        <v>200</v>
      </c>
      <c r="AC145" s="384">
        <f t="shared" si="7"/>
        <v>80</v>
      </c>
    </row>
    <row r="146" spans="1:29" s="577" customFormat="1" ht="15" customHeight="1">
      <c r="A146" s="593" t="s">
        <v>45</v>
      </c>
      <c r="B146" s="562" t="s">
        <v>46</v>
      </c>
      <c r="C146" s="594" t="s">
        <v>814</v>
      </c>
      <c r="D146" s="563" t="s">
        <v>48</v>
      </c>
      <c r="E146" s="593" t="s">
        <v>2944</v>
      </c>
      <c r="F146" s="593" t="s">
        <v>2945</v>
      </c>
      <c r="G146" s="564" t="s">
        <v>165</v>
      </c>
      <c r="H146" s="564" t="s">
        <v>2946</v>
      </c>
      <c r="I146" s="565" t="str">
        <f>VLOOKUP(H146,'合同高级查询数据-10月新返回合同'!A:A,1,0)</f>
        <v>182315IDC00549</v>
      </c>
      <c r="J146" s="566" t="s">
        <v>3724</v>
      </c>
      <c r="K146" s="593" t="s">
        <v>2948</v>
      </c>
      <c r="L146" s="595" t="s">
        <v>2948</v>
      </c>
      <c r="M146" s="596" t="s">
        <v>2949</v>
      </c>
      <c r="N146" s="597" t="s">
        <v>4411</v>
      </c>
      <c r="O146" s="603" t="s">
        <v>4412</v>
      </c>
      <c r="P146" s="598">
        <v>6740</v>
      </c>
      <c r="Q146" s="599">
        <v>50.89</v>
      </c>
      <c r="R146" s="600">
        <f t="shared" si="8"/>
        <v>342998.6</v>
      </c>
      <c r="S146" s="570">
        <v>202310</v>
      </c>
      <c r="T146" s="601" t="s">
        <v>4413</v>
      </c>
      <c r="U146" s="601"/>
      <c r="V146" s="590">
        <v>50.887870788999997</v>
      </c>
      <c r="W146" s="602"/>
      <c r="X146" s="574">
        <v>45108</v>
      </c>
      <c r="Y146" s="574">
        <v>45473</v>
      </c>
      <c r="Z146" s="575" t="s">
        <v>4414</v>
      </c>
      <c r="AA146" s="576">
        <v>0.4</v>
      </c>
      <c r="AB146" s="576">
        <v>120</v>
      </c>
      <c r="AC146" s="576">
        <f t="shared" si="7"/>
        <v>48</v>
      </c>
    </row>
    <row r="147" spans="1:29" s="385" customFormat="1" ht="15" customHeight="1">
      <c r="A147" s="422" t="s">
        <v>45</v>
      </c>
      <c r="B147" s="387" t="s">
        <v>46</v>
      </c>
      <c r="C147" s="423" t="s">
        <v>814</v>
      </c>
      <c r="D147" s="388" t="s">
        <v>48</v>
      </c>
      <c r="E147" s="422" t="s">
        <v>2944</v>
      </c>
      <c r="F147" s="422" t="s">
        <v>2945</v>
      </c>
      <c r="G147" s="389" t="s">
        <v>165</v>
      </c>
      <c r="H147" s="389" t="s">
        <v>2957</v>
      </c>
      <c r="I147" s="369" t="e">
        <f>VLOOKUP(H147,'合同高级查询数据-10月新返回合同'!A:A,1,0)</f>
        <v>#N/A</v>
      </c>
      <c r="J147" s="390" t="s">
        <v>3724</v>
      </c>
      <c r="K147" s="422" t="s">
        <v>2947</v>
      </c>
      <c r="L147" s="424" t="s">
        <v>2958</v>
      </c>
      <c r="M147" s="403" t="s">
        <v>2949</v>
      </c>
      <c r="N147" s="425">
        <v>44812</v>
      </c>
      <c r="O147" s="425" t="s">
        <v>4415</v>
      </c>
      <c r="P147" s="426">
        <v>6740</v>
      </c>
      <c r="Q147" s="427">
        <v>139.91</v>
      </c>
      <c r="R147" s="405">
        <f t="shared" si="8"/>
        <v>942993.4</v>
      </c>
      <c r="S147" s="378">
        <v>202310</v>
      </c>
      <c r="T147" s="428" t="s">
        <v>4416</v>
      </c>
      <c r="U147" s="428"/>
      <c r="V147" s="398">
        <v>139.91195925</v>
      </c>
      <c r="W147" s="429"/>
      <c r="X147" s="383"/>
      <c r="Y147" s="383"/>
      <c r="Z147" s="382" t="s">
        <v>4417</v>
      </c>
      <c r="AA147" s="384">
        <v>0.4</v>
      </c>
      <c r="AB147" s="384">
        <v>260</v>
      </c>
      <c r="AC147" s="384">
        <f t="shared" si="7"/>
        <v>104</v>
      </c>
    </row>
    <row r="148" spans="1:29" s="577" customFormat="1" ht="15" customHeight="1">
      <c r="A148" s="593" t="s">
        <v>45</v>
      </c>
      <c r="B148" s="562" t="s">
        <v>46</v>
      </c>
      <c r="C148" s="594" t="s">
        <v>814</v>
      </c>
      <c r="D148" s="563" t="s">
        <v>48</v>
      </c>
      <c r="E148" s="593" t="s">
        <v>2965</v>
      </c>
      <c r="F148" s="593" t="s">
        <v>2966</v>
      </c>
      <c r="G148" s="564" t="s">
        <v>165</v>
      </c>
      <c r="H148" s="564" t="s">
        <v>2967</v>
      </c>
      <c r="I148" s="565" t="str">
        <f>VLOOKUP(H148,'合同高级查询数据-10月新返回合同'!A:A,1,0)</f>
        <v>182315IDC00485</v>
      </c>
      <c r="J148" s="566" t="s">
        <v>3724</v>
      </c>
      <c r="K148" s="593" t="s">
        <v>2968</v>
      </c>
      <c r="L148" s="595" t="s">
        <v>2968</v>
      </c>
      <c r="M148" s="596" t="s">
        <v>2969</v>
      </c>
      <c r="N148" s="597" t="s">
        <v>4418</v>
      </c>
      <c r="O148" s="597" t="s">
        <v>4419</v>
      </c>
      <c r="P148" s="598">
        <v>6740</v>
      </c>
      <c r="Q148" s="599">
        <v>34.83</v>
      </c>
      <c r="R148" s="600">
        <f t="shared" si="8"/>
        <v>234754.2</v>
      </c>
      <c r="S148" s="570">
        <v>202310</v>
      </c>
      <c r="T148" s="601" t="s">
        <v>4420</v>
      </c>
      <c r="U148" s="601"/>
      <c r="V148" s="590">
        <v>34.830600738999998</v>
      </c>
      <c r="W148" s="602"/>
      <c r="X148" s="574">
        <v>45108</v>
      </c>
      <c r="Y148" s="574">
        <v>45473</v>
      </c>
      <c r="Z148" s="575" t="s">
        <v>4421</v>
      </c>
      <c r="AA148" s="576">
        <v>0.4</v>
      </c>
      <c r="AB148" s="576">
        <v>80</v>
      </c>
      <c r="AC148" s="576">
        <f t="shared" si="7"/>
        <v>32</v>
      </c>
    </row>
    <row r="149" spans="1:29" s="385" customFormat="1" ht="15" customHeight="1">
      <c r="A149" s="422" t="s">
        <v>45</v>
      </c>
      <c r="B149" s="387" t="s">
        <v>46</v>
      </c>
      <c r="C149" s="423" t="s">
        <v>814</v>
      </c>
      <c r="D149" s="388" t="s">
        <v>48</v>
      </c>
      <c r="E149" s="422" t="s">
        <v>2977</v>
      </c>
      <c r="F149" s="422" t="s">
        <v>2978</v>
      </c>
      <c r="G149" s="389" t="s">
        <v>165</v>
      </c>
      <c r="H149" s="371" t="s">
        <v>3563</v>
      </c>
      <c r="I149" s="369" t="e">
        <f>VLOOKUP(H149,'合同高级查询数据-10月新返回合同'!A:A,1,0)</f>
        <v>#N/A</v>
      </c>
      <c r="J149" s="390" t="s">
        <v>3724</v>
      </c>
      <c r="K149" s="422" t="s">
        <v>2980</v>
      </c>
      <c r="L149" s="424" t="s">
        <v>2978</v>
      </c>
      <c r="M149" s="403" t="s">
        <v>2981</v>
      </c>
      <c r="N149" s="373" t="s">
        <v>4422</v>
      </c>
      <c r="O149" s="373" t="s">
        <v>4423</v>
      </c>
      <c r="P149" s="426">
        <v>6740</v>
      </c>
      <c r="Q149" s="427">
        <v>369.53</v>
      </c>
      <c r="R149" s="405">
        <f t="shared" si="8"/>
        <v>2490632.2000000002</v>
      </c>
      <c r="S149" s="378">
        <v>202310</v>
      </c>
      <c r="T149" s="428" t="s">
        <v>4424</v>
      </c>
      <c r="U149" s="428"/>
      <c r="V149" s="398">
        <v>369.52669711099998</v>
      </c>
      <c r="W149" s="429"/>
      <c r="X149" s="383"/>
      <c r="Y149" s="383"/>
      <c r="Z149" s="382" t="s">
        <v>4425</v>
      </c>
      <c r="AA149" s="384">
        <v>0.4</v>
      </c>
      <c r="AB149" s="384">
        <v>700</v>
      </c>
      <c r="AC149" s="384">
        <f t="shared" si="7"/>
        <v>280</v>
      </c>
    </row>
    <row r="150" spans="1:29" s="385" customFormat="1" ht="15" customHeight="1">
      <c r="A150" s="368" t="s">
        <v>260</v>
      </c>
      <c r="B150" s="369" t="s">
        <v>837</v>
      </c>
      <c r="C150" s="369" t="s">
        <v>838</v>
      </c>
      <c r="D150" s="369" t="s">
        <v>48</v>
      </c>
      <c r="E150" s="369" t="s">
        <v>839</v>
      </c>
      <c r="F150" s="370" t="s">
        <v>840</v>
      </c>
      <c r="G150" s="371" t="s">
        <v>165</v>
      </c>
      <c r="H150" s="371" t="s">
        <v>841</v>
      </c>
      <c r="I150" s="369" t="e">
        <f>VLOOKUP(H150,'合同高级查询数据-10月新返回合同'!A:A,1,0)</f>
        <v>#N/A</v>
      </c>
      <c r="J150" s="370" t="s">
        <v>4013</v>
      </c>
      <c r="K150" s="370" t="s">
        <v>860</v>
      </c>
      <c r="L150" s="430" t="s">
        <v>850</v>
      </c>
      <c r="M150" s="372" t="s">
        <v>844</v>
      </c>
      <c r="N150" s="370" t="s">
        <v>4426</v>
      </c>
      <c r="O150" s="374" t="s">
        <v>4397</v>
      </c>
      <c r="P150" s="375">
        <v>9500</v>
      </c>
      <c r="Q150" s="376"/>
      <c r="R150" s="377">
        <f t="shared" si="8"/>
        <v>0</v>
      </c>
      <c r="S150" s="378">
        <v>202310</v>
      </c>
      <c r="T150" s="431" t="s">
        <v>4427</v>
      </c>
      <c r="U150" s="432"/>
      <c r="V150" s="381">
        <v>0</v>
      </c>
      <c r="W150" s="433"/>
      <c r="X150" s="383"/>
      <c r="Y150" s="383"/>
      <c r="Z150" s="434" t="s">
        <v>4428</v>
      </c>
      <c r="AA150" s="384" t="s">
        <v>3807</v>
      </c>
      <c r="AB150" s="435">
        <v>0</v>
      </c>
      <c r="AC150" s="436">
        <v>0</v>
      </c>
    </row>
    <row r="151" spans="1:29" s="385" customFormat="1" ht="15" customHeight="1">
      <c r="A151" s="368" t="s">
        <v>260</v>
      </c>
      <c r="B151" s="369" t="s">
        <v>837</v>
      </c>
      <c r="C151" s="369" t="s">
        <v>838</v>
      </c>
      <c r="D151" s="369" t="s">
        <v>48</v>
      </c>
      <c r="E151" s="369" t="s">
        <v>839</v>
      </c>
      <c r="F151" s="370" t="s">
        <v>840</v>
      </c>
      <c r="G151" s="371" t="s">
        <v>165</v>
      </c>
      <c r="H151" s="371" t="s">
        <v>841</v>
      </c>
      <c r="I151" s="369" t="e">
        <f>VLOOKUP(H151,'合同高级查询数据-10月新返回合同'!A:A,1,0)</f>
        <v>#N/A</v>
      </c>
      <c r="J151" s="390" t="s">
        <v>3724</v>
      </c>
      <c r="K151" s="370" t="s">
        <v>865</v>
      </c>
      <c r="L151" s="430" t="s">
        <v>843</v>
      </c>
      <c r="M151" s="372" t="s">
        <v>844</v>
      </c>
      <c r="N151" s="370" t="s">
        <v>4429</v>
      </c>
      <c r="O151" s="374" t="s">
        <v>4430</v>
      </c>
      <c r="P151" s="375">
        <v>9500</v>
      </c>
      <c r="Q151" s="376">
        <v>34.299999999999997</v>
      </c>
      <c r="R151" s="377">
        <f t="shared" si="8"/>
        <v>325850</v>
      </c>
      <c r="S151" s="378">
        <v>202310</v>
      </c>
      <c r="T151" s="431" t="s">
        <v>4431</v>
      </c>
      <c r="U151" s="438"/>
      <c r="V151" s="398">
        <v>34.212490082000002</v>
      </c>
      <c r="W151" s="437"/>
      <c r="X151" s="383"/>
      <c r="Y151" s="383"/>
      <c r="Z151" s="382" t="s">
        <v>4432</v>
      </c>
      <c r="AA151" s="414">
        <v>0.3</v>
      </c>
      <c r="AB151" s="414">
        <v>100</v>
      </c>
      <c r="AC151" s="382">
        <v>30</v>
      </c>
    </row>
    <row r="152" spans="1:29" s="385" customFormat="1" ht="15" customHeight="1">
      <c r="A152" s="368" t="s">
        <v>260</v>
      </c>
      <c r="B152" s="369" t="s">
        <v>837</v>
      </c>
      <c r="C152" s="369" t="s">
        <v>838</v>
      </c>
      <c r="D152" s="369" t="s">
        <v>48</v>
      </c>
      <c r="E152" s="369" t="s">
        <v>839</v>
      </c>
      <c r="F152" s="370" t="s">
        <v>840</v>
      </c>
      <c r="G152" s="371" t="s">
        <v>165</v>
      </c>
      <c r="H152" s="371" t="s">
        <v>841</v>
      </c>
      <c r="I152" s="369" t="e">
        <f>VLOOKUP(H152,'合同高级查询数据-10月新返回合同'!A:A,1,0)</f>
        <v>#N/A</v>
      </c>
      <c r="J152" s="390" t="s">
        <v>3724</v>
      </c>
      <c r="K152" s="370" t="s">
        <v>855</v>
      </c>
      <c r="L152" s="430" t="s">
        <v>856</v>
      </c>
      <c r="M152" s="372" t="s">
        <v>857</v>
      </c>
      <c r="N152" s="370" t="s">
        <v>4433</v>
      </c>
      <c r="O152" s="374" t="s">
        <v>4434</v>
      </c>
      <c r="P152" s="375">
        <v>9500</v>
      </c>
      <c r="Q152" s="376">
        <v>11.1</v>
      </c>
      <c r="R152" s="377">
        <f t="shared" si="8"/>
        <v>105450</v>
      </c>
      <c r="S152" s="378">
        <v>202310</v>
      </c>
      <c r="T152" s="431" t="s">
        <v>4435</v>
      </c>
      <c r="U152" s="432"/>
      <c r="V152" s="398">
        <v>11.044474601999999</v>
      </c>
      <c r="W152" s="433"/>
      <c r="X152" s="383"/>
      <c r="Y152" s="383"/>
      <c r="Z152" s="434" t="s">
        <v>4436</v>
      </c>
      <c r="AA152" s="414">
        <v>0.3</v>
      </c>
      <c r="AB152" s="414">
        <v>30</v>
      </c>
      <c r="AC152" s="382">
        <v>9</v>
      </c>
    </row>
    <row r="153" spans="1:29" s="577" customFormat="1" ht="15" customHeight="1">
      <c r="A153" s="606" t="s">
        <v>258</v>
      </c>
      <c r="B153" s="565" t="s">
        <v>837</v>
      </c>
      <c r="C153" s="565" t="s">
        <v>838</v>
      </c>
      <c r="D153" s="565" t="s">
        <v>48</v>
      </c>
      <c r="E153" s="606" t="s">
        <v>2024</v>
      </c>
      <c r="F153" s="607" t="s">
        <v>2025</v>
      </c>
      <c r="G153" s="585" t="s">
        <v>165</v>
      </c>
      <c r="H153" s="564" t="s">
        <v>2026</v>
      </c>
      <c r="I153" s="565" t="e">
        <f>VLOOKUP(H153,'合同高级查询数据-10月新返回合同'!A:A,1,0)</f>
        <v>#N/A</v>
      </c>
      <c r="J153" s="566" t="s">
        <v>3724</v>
      </c>
      <c r="K153" s="607" t="s">
        <v>865</v>
      </c>
      <c r="L153" s="608" t="s">
        <v>2027</v>
      </c>
      <c r="M153" s="609" t="s">
        <v>2032</v>
      </c>
      <c r="N153" s="607" t="s">
        <v>4437</v>
      </c>
      <c r="O153" s="610" t="s">
        <v>4438</v>
      </c>
      <c r="P153" s="611">
        <v>9000</v>
      </c>
      <c r="Q153" s="612">
        <v>8.3000000000000007</v>
      </c>
      <c r="R153" s="613">
        <f t="shared" si="8"/>
        <v>74700</v>
      </c>
      <c r="S153" s="570">
        <v>202310</v>
      </c>
      <c r="T153" s="614" t="s">
        <v>4439</v>
      </c>
      <c r="U153" s="615"/>
      <c r="V153" s="590">
        <v>8.2351922220000002</v>
      </c>
      <c r="W153" s="616"/>
      <c r="X153" s="574">
        <v>43915</v>
      </c>
      <c r="Y153" s="574">
        <v>45382</v>
      </c>
      <c r="Z153" s="617" t="s">
        <v>4440</v>
      </c>
      <c r="AA153" s="618">
        <v>0.3</v>
      </c>
      <c r="AB153" s="619">
        <v>20</v>
      </c>
      <c r="AC153" s="590">
        <v>6</v>
      </c>
    </row>
    <row r="154" spans="1:29" s="385" customFormat="1" ht="15" customHeight="1">
      <c r="A154" s="368" t="s">
        <v>45</v>
      </c>
      <c r="B154" s="369" t="s">
        <v>837</v>
      </c>
      <c r="C154" s="369" t="s">
        <v>838</v>
      </c>
      <c r="D154" s="369" t="s">
        <v>48</v>
      </c>
      <c r="E154" s="369" t="s">
        <v>2430</v>
      </c>
      <c r="F154" s="370" t="s">
        <v>2424</v>
      </c>
      <c r="G154" s="371" t="s">
        <v>165</v>
      </c>
      <c r="H154" s="389" t="s">
        <v>2425</v>
      </c>
      <c r="I154" s="369" t="e">
        <f>VLOOKUP(H154,'合同高级查询数据-10月新返回合同'!A:A,1,0)</f>
        <v>#N/A</v>
      </c>
      <c r="J154" s="390" t="s">
        <v>3724</v>
      </c>
      <c r="K154" s="370" t="s">
        <v>865</v>
      </c>
      <c r="L154" s="430" t="s">
        <v>2424</v>
      </c>
      <c r="M154" s="372" t="s">
        <v>2427</v>
      </c>
      <c r="N154" s="370" t="s">
        <v>4442</v>
      </c>
      <c r="O154" s="374" t="s">
        <v>4443</v>
      </c>
      <c r="P154" s="375">
        <v>6740</v>
      </c>
      <c r="Q154" s="376"/>
      <c r="R154" s="377">
        <f t="shared" si="8"/>
        <v>0</v>
      </c>
      <c r="S154" s="378">
        <v>202310</v>
      </c>
      <c r="T154" s="431" t="s">
        <v>4444</v>
      </c>
      <c r="U154" s="432"/>
      <c r="V154" s="381">
        <v>0</v>
      </c>
      <c r="W154" s="433"/>
      <c r="X154" s="383"/>
      <c r="Y154" s="383"/>
      <c r="Z154" s="434" t="s">
        <v>4445</v>
      </c>
      <c r="AA154" s="384" t="s">
        <v>3807</v>
      </c>
      <c r="AB154" s="435">
        <v>0</v>
      </c>
      <c r="AC154" s="436">
        <v>0</v>
      </c>
    </row>
    <row r="155" spans="1:29" s="385" customFormat="1" ht="15" customHeight="1">
      <c r="A155" s="368" t="s">
        <v>45</v>
      </c>
      <c r="B155" s="369" t="s">
        <v>837</v>
      </c>
      <c r="C155" s="369" t="s">
        <v>838</v>
      </c>
      <c r="D155" s="369" t="s">
        <v>48</v>
      </c>
      <c r="E155" s="369" t="s">
        <v>2430</v>
      </c>
      <c r="F155" s="370" t="s">
        <v>2424</v>
      </c>
      <c r="G155" s="371" t="s">
        <v>165</v>
      </c>
      <c r="H155" s="389" t="s">
        <v>2425</v>
      </c>
      <c r="I155" s="369" t="e">
        <f>VLOOKUP(H155,'合同高级查询数据-10月新返回合同'!A:A,1,0)</f>
        <v>#N/A</v>
      </c>
      <c r="J155" s="390" t="s">
        <v>3724</v>
      </c>
      <c r="K155" s="368" t="s">
        <v>2426</v>
      </c>
      <c r="L155" s="430" t="s">
        <v>2432</v>
      </c>
      <c r="M155" s="372" t="s">
        <v>2433</v>
      </c>
      <c r="N155" s="370" t="s">
        <v>4446</v>
      </c>
      <c r="O155" s="374" t="s">
        <v>4447</v>
      </c>
      <c r="P155" s="375">
        <v>6740</v>
      </c>
      <c r="Q155" s="376">
        <v>8</v>
      </c>
      <c r="R155" s="377">
        <f t="shared" si="8"/>
        <v>53920</v>
      </c>
      <c r="S155" s="378">
        <v>202310</v>
      </c>
      <c r="T155" s="431" t="s">
        <v>4448</v>
      </c>
      <c r="U155" s="432"/>
      <c r="V155" s="398">
        <v>7.3917970659999996</v>
      </c>
      <c r="W155" s="433"/>
      <c r="X155" s="383"/>
      <c r="Y155" s="383"/>
      <c r="Z155" s="434" t="s">
        <v>4449</v>
      </c>
      <c r="AA155" s="439">
        <v>0.4</v>
      </c>
      <c r="AB155" s="435">
        <v>20</v>
      </c>
      <c r="AC155" s="436">
        <v>8</v>
      </c>
    </row>
    <row r="156" spans="1:29" s="385" customFormat="1" ht="15" customHeight="1">
      <c r="A156" s="368" t="s">
        <v>45</v>
      </c>
      <c r="B156" s="369" t="s">
        <v>837</v>
      </c>
      <c r="C156" s="369" t="s">
        <v>838</v>
      </c>
      <c r="D156" s="369" t="s">
        <v>48</v>
      </c>
      <c r="E156" s="369" t="s">
        <v>2430</v>
      </c>
      <c r="F156" s="370" t="s">
        <v>2424</v>
      </c>
      <c r="G156" s="371" t="s">
        <v>165</v>
      </c>
      <c r="H156" s="389" t="s">
        <v>2425</v>
      </c>
      <c r="I156" s="369" t="e">
        <f>VLOOKUP(H156,'合同高级查询数据-10月新返回合同'!A:A,1,0)</f>
        <v>#N/A</v>
      </c>
      <c r="J156" s="390" t="s">
        <v>3724</v>
      </c>
      <c r="K156" s="370" t="s">
        <v>4450</v>
      </c>
      <c r="L156" s="430" t="s">
        <v>2439</v>
      </c>
      <c r="M156" s="372" t="s">
        <v>2433</v>
      </c>
      <c r="N156" s="370" t="s">
        <v>4451</v>
      </c>
      <c r="O156" s="374" t="s">
        <v>4452</v>
      </c>
      <c r="P156" s="375">
        <v>6740</v>
      </c>
      <c r="Q156" s="376"/>
      <c r="R156" s="377">
        <f t="shared" si="8"/>
        <v>0</v>
      </c>
      <c r="S156" s="378">
        <v>202310</v>
      </c>
      <c r="T156" s="431" t="s">
        <v>4453</v>
      </c>
      <c r="U156" s="432"/>
      <c r="V156" s="381">
        <v>0</v>
      </c>
      <c r="W156" s="433"/>
      <c r="X156" s="383"/>
      <c r="Y156" s="383"/>
      <c r="Z156" s="434" t="s">
        <v>4454</v>
      </c>
      <c r="AA156" s="384" t="s">
        <v>3807</v>
      </c>
      <c r="AB156" s="435">
        <v>0</v>
      </c>
      <c r="AC156" s="436">
        <v>0</v>
      </c>
    </row>
    <row r="157" spans="1:29" s="385" customFormat="1" ht="15" customHeight="1">
      <c r="A157" s="368" t="s">
        <v>45</v>
      </c>
      <c r="B157" s="369" t="s">
        <v>837</v>
      </c>
      <c r="C157" s="369" t="s">
        <v>838</v>
      </c>
      <c r="D157" s="369" t="s">
        <v>48</v>
      </c>
      <c r="E157" s="369" t="s">
        <v>2463</v>
      </c>
      <c r="F157" s="370" t="s">
        <v>2464</v>
      </c>
      <c r="G157" s="371" t="s">
        <v>165</v>
      </c>
      <c r="H157" s="369" t="s">
        <v>2470</v>
      </c>
      <c r="I157" s="369" t="e">
        <f>VLOOKUP(H157,'合同高级查询数据-10月新返回合同'!A:A,1,0)</f>
        <v>#N/A</v>
      </c>
      <c r="J157" s="390" t="s">
        <v>3724</v>
      </c>
      <c r="K157" s="370" t="s">
        <v>2466</v>
      </c>
      <c r="L157" s="430" t="s">
        <v>2467</v>
      </c>
      <c r="M157" s="372" t="s">
        <v>4455</v>
      </c>
      <c r="N157" s="373" t="s">
        <v>4456</v>
      </c>
      <c r="O157" s="374" t="s">
        <v>4457</v>
      </c>
      <c r="P157" s="440">
        <v>6740</v>
      </c>
      <c r="Q157" s="376">
        <v>323.73</v>
      </c>
      <c r="R157" s="377">
        <f t="shared" si="8"/>
        <v>2181940.2000000002</v>
      </c>
      <c r="S157" s="378">
        <v>202310</v>
      </c>
      <c r="T157" s="379" t="s">
        <v>4458</v>
      </c>
      <c r="U157" s="441"/>
      <c r="V157" s="398">
        <v>323.72662770599999</v>
      </c>
      <c r="W157" s="433"/>
      <c r="X157" s="383"/>
      <c r="Y157" s="383"/>
      <c r="Z157" s="434" t="s">
        <v>4460</v>
      </c>
      <c r="AA157" s="439">
        <v>0.4</v>
      </c>
      <c r="AB157" s="435">
        <v>800</v>
      </c>
      <c r="AC157" s="436">
        <f>AA157*AB157</f>
        <v>320</v>
      </c>
    </row>
    <row r="158" spans="1:29" s="385" customFormat="1" ht="15" customHeight="1">
      <c r="A158" s="368" t="s">
        <v>45</v>
      </c>
      <c r="B158" s="369" t="s">
        <v>837</v>
      </c>
      <c r="C158" s="369" t="s">
        <v>838</v>
      </c>
      <c r="D158" s="369" t="s">
        <v>48</v>
      </c>
      <c r="E158" s="369" t="s">
        <v>2463</v>
      </c>
      <c r="F158" s="370" t="s">
        <v>2464</v>
      </c>
      <c r="G158" s="371" t="s">
        <v>165</v>
      </c>
      <c r="H158" s="369" t="s">
        <v>2470</v>
      </c>
      <c r="I158" s="369" t="e">
        <f>VLOOKUP(H158,'合同高级查询数据-10月新返回合同'!A:A,1,0)</f>
        <v>#N/A</v>
      </c>
      <c r="J158" s="390" t="s">
        <v>3724</v>
      </c>
      <c r="K158" s="370" t="s">
        <v>4461</v>
      </c>
      <c r="L158" s="430" t="s">
        <v>4462</v>
      </c>
      <c r="M158" s="372" t="s">
        <v>2468</v>
      </c>
      <c r="N158" s="373" t="s">
        <v>4463</v>
      </c>
      <c r="O158" s="374" t="s">
        <v>4464</v>
      </c>
      <c r="P158" s="440">
        <v>6740</v>
      </c>
      <c r="Q158" s="376">
        <v>163.59</v>
      </c>
      <c r="R158" s="377">
        <f t="shared" si="8"/>
        <v>1102596.6000000001</v>
      </c>
      <c r="S158" s="378">
        <v>202310</v>
      </c>
      <c r="T158" s="379" t="s">
        <v>4465</v>
      </c>
      <c r="U158" s="441"/>
      <c r="V158" s="398">
        <v>163.58856785699999</v>
      </c>
      <c r="W158" s="433"/>
      <c r="X158" s="383"/>
      <c r="Y158" s="383"/>
      <c r="Z158" s="434" t="s">
        <v>4466</v>
      </c>
      <c r="AA158" s="439">
        <v>0.4</v>
      </c>
      <c r="AB158" s="435">
        <v>400</v>
      </c>
      <c r="AC158" s="436">
        <f>AA158*AB158</f>
        <v>160</v>
      </c>
    </row>
    <row r="159" spans="1:29" s="385" customFormat="1" ht="15" customHeight="1">
      <c r="A159" s="386" t="s">
        <v>45</v>
      </c>
      <c r="B159" s="387" t="s">
        <v>46</v>
      </c>
      <c r="C159" s="386" t="s">
        <v>188</v>
      </c>
      <c r="D159" s="388" t="s">
        <v>48</v>
      </c>
      <c r="E159" s="386" t="s">
        <v>2526</v>
      </c>
      <c r="F159" s="386" t="s">
        <v>2527</v>
      </c>
      <c r="G159" s="402" t="s">
        <v>165</v>
      </c>
      <c r="H159" s="389" t="s">
        <v>2539</v>
      </c>
      <c r="I159" s="369" t="e">
        <f>VLOOKUP(H159,'合同高级查询数据-10月新返回合同'!A:A,1,0)</f>
        <v>#N/A</v>
      </c>
      <c r="J159" s="390" t="s">
        <v>3724</v>
      </c>
      <c r="K159" s="402" t="s">
        <v>1259</v>
      </c>
      <c r="L159" s="389" t="s">
        <v>2540</v>
      </c>
      <c r="M159" s="403" t="s">
        <v>2530</v>
      </c>
      <c r="N159" s="417">
        <v>45047</v>
      </c>
      <c r="O159" s="402" t="s">
        <v>1542</v>
      </c>
      <c r="P159" s="404">
        <v>6740</v>
      </c>
      <c r="Q159" s="404">
        <v>97.63</v>
      </c>
      <c r="R159" s="405">
        <f t="shared" si="8"/>
        <v>658026.19999999995</v>
      </c>
      <c r="S159" s="442">
        <v>202310</v>
      </c>
      <c r="T159" s="394" t="s">
        <v>4229</v>
      </c>
      <c r="U159" s="443"/>
      <c r="V159" s="398">
        <v>97.634300232000001</v>
      </c>
      <c r="W159" s="408"/>
      <c r="X159" s="383"/>
      <c r="Y159" s="383"/>
      <c r="Z159" s="382" t="s">
        <v>4467</v>
      </c>
      <c r="AA159" s="384">
        <v>0.4</v>
      </c>
      <c r="AB159" s="384">
        <v>200</v>
      </c>
      <c r="AC159" s="384">
        <f>AB159*AA159</f>
        <v>80</v>
      </c>
    </row>
    <row r="160" spans="1:29" s="385" customFormat="1" ht="15" customHeight="1">
      <c r="A160" s="368" t="s">
        <v>45</v>
      </c>
      <c r="B160" s="369" t="s">
        <v>837</v>
      </c>
      <c r="C160" s="369" t="s">
        <v>838</v>
      </c>
      <c r="D160" s="369" t="s">
        <v>48</v>
      </c>
      <c r="E160" s="369" t="s">
        <v>2430</v>
      </c>
      <c r="F160" s="370" t="s">
        <v>2424</v>
      </c>
      <c r="G160" s="371" t="s">
        <v>165</v>
      </c>
      <c r="H160" s="369" t="s">
        <v>2455</v>
      </c>
      <c r="I160" s="369" t="e">
        <f>VLOOKUP(H160,'合同高级查询数据-10月新返回合同'!A:A,1,0)</f>
        <v>#N/A</v>
      </c>
      <c r="J160" s="390" t="s">
        <v>3724</v>
      </c>
      <c r="K160" s="430" t="s">
        <v>2456</v>
      </c>
      <c r="L160" s="430" t="s">
        <v>2457</v>
      </c>
      <c r="M160" s="372" t="s">
        <v>2458</v>
      </c>
      <c r="N160" s="373" t="s">
        <v>4468</v>
      </c>
      <c r="O160" s="374" t="s">
        <v>4469</v>
      </c>
      <c r="P160" s="440">
        <v>6740</v>
      </c>
      <c r="Q160" s="376">
        <v>356.57</v>
      </c>
      <c r="R160" s="377">
        <f t="shared" si="8"/>
        <v>2403281.7999999998</v>
      </c>
      <c r="S160" s="378">
        <v>202310</v>
      </c>
      <c r="T160" s="379" t="s">
        <v>4470</v>
      </c>
      <c r="U160" s="432"/>
      <c r="V160" s="398">
        <v>356.57192813900002</v>
      </c>
      <c r="W160" s="433"/>
      <c r="X160" s="383"/>
      <c r="Y160" s="383"/>
      <c r="Z160" s="434" t="s">
        <v>4471</v>
      </c>
      <c r="AA160" s="439">
        <v>0.4</v>
      </c>
      <c r="AB160" s="384">
        <v>600</v>
      </c>
      <c r="AC160" s="384">
        <f>AA160*AB160</f>
        <v>240</v>
      </c>
    </row>
    <row r="161" spans="1:29" s="385" customFormat="1" ht="15" customHeight="1">
      <c r="A161" s="386" t="s">
        <v>45</v>
      </c>
      <c r="B161" s="387" t="s">
        <v>46</v>
      </c>
      <c r="C161" s="388" t="s">
        <v>887</v>
      </c>
      <c r="D161" s="387" t="s">
        <v>888</v>
      </c>
      <c r="E161" s="386" t="s">
        <v>2802</v>
      </c>
      <c r="F161" s="386" t="s">
        <v>2803</v>
      </c>
      <c r="G161" s="386" t="s">
        <v>165</v>
      </c>
      <c r="H161" s="389" t="s">
        <v>2815</v>
      </c>
      <c r="I161" s="369" t="e">
        <f>VLOOKUP(H161,'合同高级查询数据-10月新返回合同'!A:A,1,0)</f>
        <v>#N/A</v>
      </c>
      <c r="J161" s="390" t="s">
        <v>3724</v>
      </c>
      <c r="K161" s="386" t="s">
        <v>2805</v>
      </c>
      <c r="L161" s="389" t="s">
        <v>2816</v>
      </c>
      <c r="M161" s="386" t="s">
        <v>2807</v>
      </c>
      <c r="N161" s="391">
        <v>45057</v>
      </c>
      <c r="O161" s="386" t="s">
        <v>1542</v>
      </c>
      <c r="P161" s="392">
        <v>6740</v>
      </c>
      <c r="Q161" s="396">
        <v>102.18</v>
      </c>
      <c r="R161" s="393">
        <f t="shared" si="8"/>
        <v>688693.2</v>
      </c>
      <c r="S161" s="378">
        <v>202310</v>
      </c>
      <c r="T161" s="394" t="s">
        <v>4472</v>
      </c>
      <c r="U161" s="394"/>
      <c r="V161" s="398">
        <v>102.17752319100001</v>
      </c>
      <c r="W161" s="395"/>
      <c r="X161" s="383"/>
      <c r="Y161" s="383"/>
      <c r="Z161" s="382" t="s">
        <v>4473</v>
      </c>
      <c r="AA161" s="384">
        <v>0.4</v>
      </c>
      <c r="AB161" s="384">
        <v>200</v>
      </c>
      <c r="AC161" s="384">
        <f>AA161*AB161</f>
        <v>80</v>
      </c>
    </row>
    <row r="162" spans="1:29" s="577" customFormat="1" ht="15" customHeight="1">
      <c r="A162" s="561" t="s">
        <v>57</v>
      </c>
      <c r="B162" s="562" t="s">
        <v>3728</v>
      </c>
      <c r="C162" s="563" t="s">
        <v>84</v>
      </c>
      <c r="D162" s="563" t="s">
        <v>3729</v>
      </c>
      <c r="E162" s="561" t="s">
        <v>3922</v>
      </c>
      <c r="F162" s="561" t="s">
        <v>3923</v>
      </c>
      <c r="G162" s="561" t="s">
        <v>165</v>
      </c>
      <c r="H162" s="564" t="s">
        <v>3928</v>
      </c>
      <c r="I162" s="565" t="e">
        <f>VLOOKUP(H162,'合同高级查询数据-10月新返回合同'!A:A,1,0)</f>
        <v>#N/A</v>
      </c>
      <c r="J162" s="566" t="s">
        <v>3724</v>
      </c>
      <c r="K162" s="564" t="s">
        <v>4474</v>
      </c>
      <c r="L162" s="564" t="s">
        <v>4475</v>
      </c>
      <c r="M162" s="561"/>
      <c r="N162" s="567">
        <v>45047</v>
      </c>
      <c r="O162" s="561"/>
      <c r="P162" s="568">
        <v>4800</v>
      </c>
      <c r="Q162" s="579">
        <v>145.15899999999999</v>
      </c>
      <c r="R162" s="569">
        <f t="shared" si="8"/>
        <v>696763.2</v>
      </c>
      <c r="S162" s="570">
        <v>202310</v>
      </c>
      <c r="T162" s="571" t="s">
        <v>4476</v>
      </c>
      <c r="U162" s="571"/>
      <c r="V162" s="572">
        <v>145.15859985399999</v>
      </c>
      <c r="W162" s="573"/>
      <c r="X162" s="574">
        <v>45047</v>
      </c>
      <c r="Y162" s="574">
        <v>45412</v>
      </c>
      <c r="Z162" s="575" t="s">
        <v>4477</v>
      </c>
      <c r="AA162" s="576">
        <v>0</v>
      </c>
      <c r="AB162" s="576"/>
      <c r="AC162" s="576">
        <v>0</v>
      </c>
    </row>
    <row r="163" spans="1:29" s="577" customFormat="1" ht="15" customHeight="1">
      <c r="A163" s="561" t="s">
        <v>57</v>
      </c>
      <c r="B163" s="562" t="s">
        <v>3728</v>
      </c>
      <c r="C163" s="563" t="s">
        <v>84</v>
      </c>
      <c r="D163" s="563" t="s">
        <v>3729</v>
      </c>
      <c r="E163" s="561" t="s">
        <v>3922</v>
      </c>
      <c r="F163" s="561" t="s">
        <v>3923</v>
      </c>
      <c r="G163" s="561" t="s">
        <v>165</v>
      </c>
      <c r="H163" s="564" t="s">
        <v>4478</v>
      </c>
      <c r="I163" s="565" t="e">
        <f>VLOOKUP(H163,'合同高级查询数据-10月新返回合同'!A:A,1,0)</f>
        <v>#N/A</v>
      </c>
      <c r="J163" s="566" t="s">
        <v>3724</v>
      </c>
      <c r="K163" s="561"/>
      <c r="L163" s="564" t="s">
        <v>4479</v>
      </c>
      <c r="M163" s="561"/>
      <c r="N163" s="567">
        <v>45078</v>
      </c>
      <c r="O163" s="561"/>
      <c r="P163" s="568">
        <v>5040</v>
      </c>
      <c r="Q163" s="579"/>
      <c r="R163" s="569">
        <f t="shared" si="8"/>
        <v>0</v>
      </c>
      <c r="S163" s="570">
        <v>202310</v>
      </c>
      <c r="T163" s="571" t="s">
        <v>4480</v>
      </c>
      <c r="U163" s="571"/>
      <c r="V163" s="572">
        <v>0</v>
      </c>
      <c r="W163" s="573"/>
      <c r="X163" s="574">
        <v>45047</v>
      </c>
      <c r="Y163" s="574">
        <v>45412</v>
      </c>
      <c r="Z163" s="575" t="s">
        <v>4481</v>
      </c>
      <c r="AA163" s="576">
        <v>0</v>
      </c>
      <c r="AB163" s="576"/>
      <c r="AC163" s="576">
        <v>0</v>
      </c>
    </row>
    <row r="164" spans="1:29" s="577" customFormat="1" ht="15" customHeight="1">
      <c r="A164" s="561" t="s">
        <v>57</v>
      </c>
      <c r="B164" s="562" t="s">
        <v>3728</v>
      </c>
      <c r="C164" s="563" t="s">
        <v>84</v>
      </c>
      <c r="D164" s="563" t="s">
        <v>3729</v>
      </c>
      <c r="E164" s="561" t="s">
        <v>3965</v>
      </c>
      <c r="F164" s="561" t="s">
        <v>3966</v>
      </c>
      <c r="G164" s="561" t="s">
        <v>165</v>
      </c>
      <c r="H164" s="564" t="s">
        <v>4483</v>
      </c>
      <c r="I164" s="565" t="e">
        <f>VLOOKUP(H164,'合同高级查询数据-10月新返回合同'!A:A,1,0)</f>
        <v>#N/A</v>
      </c>
      <c r="J164" s="566" t="s">
        <v>3724</v>
      </c>
      <c r="K164" s="564" t="s">
        <v>4484</v>
      </c>
      <c r="L164" s="564" t="s">
        <v>4484</v>
      </c>
      <c r="M164" s="561"/>
      <c r="N164" s="567">
        <v>45047</v>
      </c>
      <c r="O164" s="561"/>
      <c r="P164" s="568">
        <v>5500</v>
      </c>
      <c r="Q164" s="579"/>
      <c r="R164" s="569">
        <f t="shared" si="8"/>
        <v>0</v>
      </c>
      <c r="S164" s="570">
        <v>202310</v>
      </c>
      <c r="T164" s="571" t="s">
        <v>4476</v>
      </c>
      <c r="U164" s="571"/>
      <c r="V164" s="572">
        <v>0</v>
      </c>
      <c r="W164" s="573"/>
      <c r="X164" s="574">
        <v>45047</v>
      </c>
      <c r="Y164" s="574">
        <v>45412</v>
      </c>
      <c r="Z164" s="575" t="s">
        <v>4485</v>
      </c>
      <c r="AA164" s="576">
        <v>0</v>
      </c>
      <c r="AB164" s="576"/>
      <c r="AC164" s="576">
        <v>0</v>
      </c>
    </row>
    <row r="165" spans="1:29" s="577" customFormat="1" ht="15" customHeight="1">
      <c r="A165" s="561" t="s">
        <v>57</v>
      </c>
      <c r="B165" s="562" t="s">
        <v>3728</v>
      </c>
      <c r="C165" s="563" t="s">
        <v>84</v>
      </c>
      <c r="D165" s="563" t="s">
        <v>3729</v>
      </c>
      <c r="E165" s="561" t="s">
        <v>4486</v>
      </c>
      <c r="F165" s="561" t="s">
        <v>4487</v>
      </c>
      <c r="G165" s="561" t="s">
        <v>165</v>
      </c>
      <c r="H165" s="564" t="s">
        <v>4488</v>
      </c>
      <c r="I165" s="565" t="e">
        <f>VLOOKUP(H165,'合同高级查询数据-10月新返回合同'!A:A,1,0)</f>
        <v>#N/A</v>
      </c>
      <c r="J165" s="566" t="s">
        <v>3724</v>
      </c>
      <c r="K165" s="564" t="s">
        <v>4489</v>
      </c>
      <c r="L165" s="564" t="s">
        <v>4489</v>
      </c>
      <c r="M165" s="561"/>
      <c r="N165" s="567">
        <v>45047</v>
      </c>
      <c r="O165" s="561"/>
      <c r="P165" s="568">
        <v>5200</v>
      </c>
      <c r="Q165" s="579">
        <v>193.089</v>
      </c>
      <c r="R165" s="569">
        <f t="shared" si="8"/>
        <v>1004062.8</v>
      </c>
      <c r="S165" s="570">
        <v>202310</v>
      </c>
      <c r="T165" s="571" t="s">
        <v>4476</v>
      </c>
      <c r="U165" s="571"/>
      <c r="V165" s="572">
        <v>193.088256836</v>
      </c>
      <c r="W165" s="573"/>
      <c r="X165" s="574">
        <v>45047</v>
      </c>
      <c r="Y165" s="574">
        <v>45412</v>
      </c>
      <c r="Z165" s="575" t="s">
        <v>4490</v>
      </c>
      <c r="AA165" s="576">
        <v>0</v>
      </c>
      <c r="AB165" s="576"/>
      <c r="AC165" s="576">
        <v>0</v>
      </c>
    </row>
    <row r="166" spans="1:29" s="577" customFormat="1" ht="15" customHeight="1">
      <c r="A166" s="561" t="s">
        <v>57</v>
      </c>
      <c r="B166" s="562" t="s">
        <v>3728</v>
      </c>
      <c r="C166" s="563" t="s">
        <v>84</v>
      </c>
      <c r="D166" s="563" t="s">
        <v>3729</v>
      </c>
      <c r="E166" s="561" t="s">
        <v>3832</v>
      </c>
      <c r="F166" s="561" t="s">
        <v>3833</v>
      </c>
      <c r="G166" s="561" t="s">
        <v>165</v>
      </c>
      <c r="H166" s="564" t="s">
        <v>4491</v>
      </c>
      <c r="I166" s="565" t="e">
        <f>VLOOKUP(H166,'合同高级查询数据-10月新返回合同'!A:A,1,0)</f>
        <v>#N/A</v>
      </c>
      <c r="J166" s="566" t="s">
        <v>3724</v>
      </c>
      <c r="K166" s="564" t="s">
        <v>4492</v>
      </c>
      <c r="L166" s="564" t="s">
        <v>4492</v>
      </c>
      <c r="M166" s="561"/>
      <c r="N166" s="567">
        <v>45047</v>
      </c>
      <c r="O166" s="561"/>
      <c r="P166" s="568">
        <v>5200</v>
      </c>
      <c r="Q166" s="579"/>
      <c r="R166" s="569">
        <f t="shared" si="8"/>
        <v>0</v>
      </c>
      <c r="S166" s="570">
        <v>202310</v>
      </c>
      <c r="T166" s="571" t="s">
        <v>4476</v>
      </c>
      <c r="U166" s="571"/>
      <c r="V166" s="572">
        <v>0</v>
      </c>
      <c r="W166" s="573"/>
      <c r="X166" s="574">
        <v>45047</v>
      </c>
      <c r="Y166" s="574">
        <v>45412</v>
      </c>
      <c r="Z166" s="575" t="s">
        <v>4493</v>
      </c>
      <c r="AA166" s="576">
        <v>0</v>
      </c>
      <c r="AB166" s="576"/>
      <c r="AC166" s="576">
        <v>0</v>
      </c>
    </row>
    <row r="167" spans="1:29" s="385" customFormat="1" ht="15" customHeight="1">
      <c r="A167" s="422" t="s">
        <v>45</v>
      </c>
      <c r="B167" s="387" t="s">
        <v>46</v>
      </c>
      <c r="C167" s="423" t="s">
        <v>814</v>
      </c>
      <c r="D167" s="388" t="s">
        <v>48</v>
      </c>
      <c r="E167" s="422" t="s">
        <v>2896</v>
      </c>
      <c r="F167" s="422" t="s">
        <v>2897</v>
      </c>
      <c r="G167" s="389" t="s">
        <v>165</v>
      </c>
      <c r="H167" s="389" t="s">
        <v>3532</v>
      </c>
      <c r="I167" s="369" t="e">
        <f>VLOOKUP(H167,'合同高级查询数据-10月新返回合同'!A:A,1,0)</f>
        <v>#N/A</v>
      </c>
      <c r="J167" s="390" t="s">
        <v>3724</v>
      </c>
      <c r="K167" s="422" t="s">
        <v>3533</v>
      </c>
      <c r="L167" s="422" t="s">
        <v>3533</v>
      </c>
      <c r="M167" s="403" t="s">
        <v>3534</v>
      </c>
      <c r="N167" s="425">
        <v>45085</v>
      </c>
      <c r="O167" s="425" t="s">
        <v>2151</v>
      </c>
      <c r="P167" s="426">
        <v>6740</v>
      </c>
      <c r="Q167" s="396">
        <v>176.41</v>
      </c>
      <c r="R167" s="405">
        <f t="shared" si="8"/>
        <v>1189003.3999999999</v>
      </c>
      <c r="S167" s="378">
        <v>202310</v>
      </c>
      <c r="T167" s="428" t="s">
        <v>4494</v>
      </c>
      <c r="U167" s="428"/>
      <c r="V167" s="398">
        <v>176.40682039500001</v>
      </c>
      <c r="W167" s="429"/>
      <c r="X167" s="383"/>
      <c r="Y167" s="383"/>
      <c r="Z167" s="382" t="s">
        <v>4495</v>
      </c>
      <c r="AA167" s="384">
        <v>0.4</v>
      </c>
      <c r="AB167" s="384">
        <v>400</v>
      </c>
      <c r="AC167" s="384">
        <f>AA167*AB167</f>
        <v>160</v>
      </c>
    </row>
    <row r="168" spans="1:29" s="577" customFormat="1" ht="15" customHeight="1">
      <c r="A168" s="606" t="s">
        <v>45</v>
      </c>
      <c r="B168" s="565" t="s">
        <v>837</v>
      </c>
      <c r="C168" s="565" t="s">
        <v>838</v>
      </c>
      <c r="D168" s="565" t="s">
        <v>48</v>
      </c>
      <c r="E168" s="565" t="s">
        <v>3540</v>
      </c>
      <c r="F168" s="607" t="s">
        <v>3541</v>
      </c>
      <c r="G168" s="585" t="s">
        <v>165</v>
      </c>
      <c r="H168" s="565" t="s">
        <v>3542</v>
      </c>
      <c r="I168" s="565" t="str">
        <f>VLOOKUP(H168,'合同高级查询数据-10月新返回合同'!A:A,1,0)</f>
        <v>182315IDC00483</v>
      </c>
      <c r="J168" s="566" t="s">
        <v>3724</v>
      </c>
      <c r="K168" s="607" t="s">
        <v>3541</v>
      </c>
      <c r="L168" s="607" t="s">
        <v>3541</v>
      </c>
      <c r="M168" s="609" t="s">
        <v>3543</v>
      </c>
      <c r="N168" s="603" t="s">
        <v>4496</v>
      </c>
      <c r="O168" s="610" t="s">
        <v>4497</v>
      </c>
      <c r="P168" s="611">
        <v>6740</v>
      </c>
      <c r="Q168" s="612">
        <v>240</v>
      </c>
      <c r="R168" s="613">
        <f t="shared" si="8"/>
        <v>1617600</v>
      </c>
      <c r="S168" s="570">
        <v>202310</v>
      </c>
      <c r="T168" s="620" t="s">
        <v>4498</v>
      </c>
      <c r="U168" s="621"/>
      <c r="V168" s="590">
        <v>231.557348303</v>
      </c>
      <c r="W168" s="575"/>
      <c r="X168" s="574">
        <v>45108</v>
      </c>
      <c r="Y168" s="574">
        <v>45443</v>
      </c>
      <c r="Z168" s="575" t="s">
        <v>4499</v>
      </c>
      <c r="AA168" s="576">
        <v>0.4</v>
      </c>
      <c r="AB168" s="576">
        <v>600</v>
      </c>
      <c r="AC168" s="576">
        <f>AA168*AB168</f>
        <v>240</v>
      </c>
    </row>
    <row r="169" spans="1:29" s="385" customFormat="1" ht="15" customHeight="1">
      <c r="A169" s="386" t="s">
        <v>45</v>
      </c>
      <c r="B169" s="387" t="s">
        <v>46</v>
      </c>
      <c r="C169" s="386" t="s">
        <v>188</v>
      </c>
      <c r="D169" s="388" t="s">
        <v>48</v>
      </c>
      <c r="E169" s="386" t="s">
        <v>3555</v>
      </c>
      <c r="F169" s="386" t="s">
        <v>3556</v>
      </c>
      <c r="G169" s="402" t="s">
        <v>165</v>
      </c>
      <c r="H169" s="389" t="s">
        <v>3557</v>
      </c>
      <c r="I169" s="369" t="e">
        <f>VLOOKUP(H169,'合同高级查询数据-10月新返回合同'!A:A,1,0)</f>
        <v>#N/A</v>
      </c>
      <c r="J169" s="390" t="s">
        <v>3724</v>
      </c>
      <c r="K169" s="389" t="s">
        <v>3558</v>
      </c>
      <c r="L169" s="389" t="s">
        <v>3558</v>
      </c>
      <c r="M169" s="403" t="s">
        <v>3559</v>
      </c>
      <c r="N169" s="412" t="s">
        <v>4496</v>
      </c>
      <c r="O169" s="370" t="s">
        <v>4500</v>
      </c>
      <c r="P169" s="404">
        <v>6740</v>
      </c>
      <c r="Q169" s="404">
        <v>160</v>
      </c>
      <c r="R169" s="405">
        <f t="shared" si="8"/>
        <v>1078400</v>
      </c>
      <c r="S169" s="442">
        <v>202310</v>
      </c>
      <c r="T169" s="428" t="s">
        <v>4501</v>
      </c>
      <c r="U169" s="380"/>
      <c r="V169" s="398">
        <v>157.237923636</v>
      </c>
      <c r="W169" s="382"/>
      <c r="X169" s="383"/>
      <c r="Y169" s="383"/>
      <c r="Z169" s="382" t="s">
        <v>4502</v>
      </c>
      <c r="AA169" s="384">
        <v>0.4</v>
      </c>
      <c r="AB169" s="384">
        <v>400</v>
      </c>
      <c r="AC169" s="384">
        <f>AB169*AA169</f>
        <v>160</v>
      </c>
    </row>
    <row r="170" spans="1:29" s="385" customFormat="1" ht="15" customHeight="1">
      <c r="A170" s="422" t="s">
        <v>45</v>
      </c>
      <c r="B170" s="387" t="s">
        <v>46</v>
      </c>
      <c r="C170" s="423" t="s">
        <v>814</v>
      </c>
      <c r="D170" s="388" t="s">
        <v>48</v>
      </c>
      <c r="E170" s="422" t="s">
        <v>2841</v>
      </c>
      <c r="F170" s="422" t="s">
        <v>2837</v>
      </c>
      <c r="G170" s="389" t="s">
        <v>165</v>
      </c>
      <c r="H170" s="389" t="s">
        <v>3566</v>
      </c>
      <c r="I170" s="369" t="e">
        <f>VLOOKUP(H170,'合同高级查询数据-10月新返回合同'!A:A,1,0)</f>
        <v>#N/A</v>
      </c>
      <c r="J170" s="390" t="s">
        <v>3724</v>
      </c>
      <c r="K170" s="424" t="s">
        <v>3567</v>
      </c>
      <c r="L170" s="424" t="s">
        <v>3567</v>
      </c>
      <c r="M170" s="403" t="s">
        <v>3568</v>
      </c>
      <c r="N170" s="425">
        <v>45085</v>
      </c>
      <c r="O170" s="425" t="s">
        <v>2151</v>
      </c>
      <c r="P170" s="426">
        <v>6740</v>
      </c>
      <c r="Q170" s="427">
        <v>299.77</v>
      </c>
      <c r="R170" s="405">
        <f t="shared" si="8"/>
        <v>2020449.8</v>
      </c>
      <c r="S170" s="378">
        <v>202310</v>
      </c>
      <c r="T170" s="428" t="s">
        <v>4503</v>
      </c>
      <c r="U170" s="428"/>
      <c r="V170" s="398">
        <v>299.77291017200002</v>
      </c>
      <c r="W170" s="429"/>
      <c r="X170" s="383"/>
      <c r="Y170" s="383"/>
      <c r="Z170" s="382" t="s">
        <v>4504</v>
      </c>
      <c r="AA170" s="384">
        <v>0.4</v>
      </c>
      <c r="AB170" s="384">
        <v>400</v>
      </c>
      <c r="AC170" s="384">
        <f>AA170*AB170</f>
        <v>160</v>
      </c>
    </row>
    <row r="171" spans="1:29" s="385" customFormat="1" ht="15" customHeight="1">
      <c r="A171" s="386" t="s">
        <v>45</v>
      </c>
      <c r="B171" s="387" t="s">
        <v>46</v>
      </c>
      <c r="C171" s="388" t="s">
        <v>887</v>
      </c>
      <c r="D171" s="387" t="s">
        <v>888</v>
      </c>
      <c r="E171" s="386" t="s">
        <v>2741</v>
      </c>
      <c r="F171" s="386" t="s">
        <v>2742</v>
      </c>
      <c r="G171" s="386" t="s">
        <v>165</v>
      </c>
      <c r="H171" s="389" t="s">
        <v>3572</v>
      </c>
      <c r="I171" s="369" t="e">
        <f>VLOOKUP(H171,'合同高级查询数据-10月新返回合同'!A:A,1,0)</f>
        <v>#N/A</v>
      </c>
      <c r="J171" s="390" t="s">
        <v>3724</v>
      </c>
      <c r="K171" s="386" t="s">
        <v>3573</v>
      </c>
      <c r="L171" s="389" t="s">
        <v>3573</v>
      </c>
      <c r="M171" s="386" t="s">
        <v>2746</v>
      </c>
      <c r="N171" s="391">
        <v>45088</v>
      </c>
      <c r="O171" s="386" t="s">
        <v>2187</v>
      </c>
      <c r="P171" s="392">
        <v>6740</v>
      </c>
      <c r="Q171" s="396">
        <v>40</v>
      </c>
      <c r="R171" s="393">
        <f t="shared" si="8"/>
        <v>269600</v>
      </c>
      <c r="S171" s="378">
        <v>202310</v>
      </c>
      <c r="T171" s="394" t="s">
        <v>4505</v>
      </c>
      <c r="U171" s="394"/>
      <c r="V171" s="398">
        <v>36.893470323999999</v>
      </c>
      <c r="W171" s="395"/>
      <c r="X171" s="383"/>
      <c r="Y171" s="383"/>
      <c r="Z171" s="382" t="s">
        <v>4506</v>
      </c>
      <c r="AA171" s="384">
        <v>0.4</v>
      </c>
      <c r="AB171" s="384">
        <v>100</v>
      </c>
      <c r="AC171" s="384">
        <f>AA171*AB171</f>
        <v>40</v>
      </c>
    </row>
    <row r="172" spans="1:29" s="385" customFormat="1" ht="15" customHeight="1">
      <c r="A172" s="386" t="s">
        <v>258</v>
      </c>
      <c r="B172" s="387" t="s">
        <v>46</v>
      </c>
      <c r="C172" s="388" t="s">
        <v>887</v>
      </c>
      <c r="D172" s="387" t="s">
        <v>888</v>
      </c>
      <c r="E172" s="386" t="s">
        <v>2405</v>
      </c>
      <c r="F172" s="386" t="s">
        <v>2406</v>
      </c>
      <c r="G172" s="386" t="s">
        <v>165</v>
      </c>
      <c r="H172" s="389" t="s">
        <v>3577</v>
      </c>
      <c r="I172" s="369" t="e">
        <f>VLOOKUP(H172,'合同高级查询数据-10月新返回合同'!A:A,1,0)</f>
        <v>#N/A</v>
      </c>
      <c r="J172" s="390" t="s">
        <v>3724</v>
      </c>
      <c r="K172" s="386" t="s">
        <v>3578</v>
      </c>
      <c r="L172" s="386" t="s">
        <v>3578</v>
      </c>
      <c r="M172" s="386" t="s">
        <v>3579</v>
      </c>
      <c r="N172" s="412" t="s">
        <v>4507</v>
      </c>
      <c r="O172" s="400" t="s">
        <v>4508</v>
      </c>
      <c r="P172" s="392">
        <v>9000</v>
      </c>
      <c r="Q172" s="396"/>
      <c r="R172" s="393">
        <f t="shared" si="8"/>
        <v>0</v>
      </c>
      <c r="S172" s="378">
        <v>202310</v>
      </c>
      <c r="T172" s="394" t="s">
        <v>4509</v>
      </c>
      <c r="U172" s="394"/>
      <c r="V172" s="381">
        <v>0</v>
      </c>
      <c r="W172" s="413"/>
      <c r="X172" s="383"/>
      <c r="Y172" s="383"/>
      <c r="Z172" s="382" t="s">
        <v>4510</v>
      </c>
      <c r="AA172" s="384" t="s">
        <v>4109</v>
      </c>
      <c r="AB172" s="384">
        <v>60</v>
      </c>
      <c r="AC172" s="384" t="s">
        <v>4109</v>
      </c>
    </row>
    <row r="173" spans="1:29" s="577" customFormat="1" ht="15" customHeight="1">
      <c r="A173" s="561" t="s">
        <v>258</v>
      </c>
      <c r="B173" s="562" t="s">
        <v>46</v>
      </c>
      <c r="C173" s="563" t="s">
        <v>887</v>
      </c>
      <c r="D173" s="562" t="s">
        <v>888</v>
      </c>
      <c r="E173" s="561" t="s">
        <v>2183</v>
      </c>
      <c r="F173" s="561" t="s">
        <v>2184</v>
      </c>
      <c r="G173" s="561" t="s">
        <v>165</v>
      </c>
      <c r="H173" s="564" t="s">
        <v>3589</v>
      </c>
      <c r="I173" s="565" t="e">
        <f>VLOOKUP(H173,'合同高级查询数据-10月新返回合同'!A:A,1,0)</f>
        <v>#N/A</v>
      </c>
      <c r="J173" s="566" t="s">
        <v>3724</v>
      </c>
      <c r="K173" s="622" t="s">
        <v>3590</v>
      </c>
      <c r="L173" s="622" t="s">
        <v>3590</v>
      </c>
      <c r="M173" s="596" t="s">
        <v>3591</v>
      </c>
      <c r="N173" s="623">
        <v>45108</v>
      </c>
      <c r="O173" s="561" t="s">
        <v>1542</v>
      </c>
      <c r="P173" s="568">
        <v>9000</v>
      </c>
      <c r="Q173" s="579">
        <v>60</v>
      </c>
      <c r="R173" s="600">
        <f t="shared" si="8"/>
        <v>540000</v>
      </c>
      <c r="S173" s="570">
        <v>202310</v>
      </c>
      <c r="T173" s="571" t="s">
        <v>4511</v>
      </c>
      <c r="U173" s="571"/>
      <c r="V173" s="572">
        <v>37.412237185999999</v>
      </c>
      <c r="W173" s="573"/>
      <c r="X173" s="574">
        <v>45108</v>
      </c>
      <c r="Y173" s="574">
        <v>45473</v>
      </c>
      <c r="Z173" s="575" t="s">
        <v>4512</v>
      </c>
      <c r="AA173" s="576">
        <v>0.3</v>
      </c>
      <c r="AB173" s="576">
        <v>200</v>
      </c>
      <c r="AC173" s="576">
        <f>AA173*AB173</f>
        <v>60</v>
      </c>
    </row>
    <row r="174" spans="1:29" s="385" customFormat="1" ht="15" customHeight="1">
      <c r="A174" s="386" t="s">
        <v>45</v>
      </c>
      <c r="B174" s="387" t="s">
        <v>46</v>
      </c>
      <c r="C174" s="388" t="s">
        <v>887</v>
      </c>
      <c r="D174" s="387" t="s">
        <v>888</v>
      </c>
      <c r="E174" s="386" t="s">
        <v>3595</v>
      </c>
      <c r="F174" s="386" t="s">
        <v>3596</v>
      </c>
      <c r="G174" s="386" t="s">
        <v>165</v>
      </c>
      <c r="H174" s="389" t="s">
        <v>3597</v>
      </c>
      <c r="I174" s="369" t="e">
        <f>VLOOKUP(H174,'合同高级查询数据-10月新返回合同'!A:A,1,0)</f>
        <v>#N/A</v>
      </c>
      <c r="J174" s="390" t="s">
        <v>3724</v>
      </c>
      <c r="K174" s="389" t="s">
        <v>3598</v>
      </c>
      <c r="L174" s="389" t="s">
        <v>3598</v>
      </c>
      <c r="M174" s="386" t="s">
        <v>3599</v>
      </c>
      <c r="N174" s="391">
        <v>45119</v>
      </c>
      <c r="O174" s="386" t="s">
        <v>1542</v>
      </c>
      <c r="P174" s="392">
        <v>6740</v>
      </c>
      <c r="Q174" s="392">
        <v>83.13</v>
      </c>
      <c r="R174" s="393">
        <f t="shared" si="8"/>
        <v>560296.19999999995</v>
      </c>
      <c r="S174" s="378">
        <v>202310</v>
      </c>
      <c r="T174" s="394" t="s">
        <v>4682</v>
      </c>
      <c r="U174" s="394"/>
      <c r="V174" s="398">
        <v>83.126290394999998</v>
      </c>
      <c r="W174" s="395"/>
      <c r="X174" s="383"/>
      <c r="Y174" s="383"/>
      <c r="Z174" s="382" t="s">
        <v>4514</v>
      </c>
      <c r="AA174" s="384">
        <v>0.4</v>
      </c>
      <c r="AB174" s="384">
        <v>200</v>
      </c>
      <c r="AC174" s="384">
        <f>AA174*AB174</f>
        <v>80</v>
      </c>
    </row>
    <row r="175" spans="1:29" s="385" customFormat="1" ht="15" customHeight="1">
      <c r="A175" s="386" t="s">
        <v>260</v>
      </c>
      <c r="B175" s="387" t="s">
        <v>46</v>
      </c>
      <c r="C175" s="388" t="s">
        <v>188</v>
      </c>
      <c r="D175" s="387" t="s">
        <v>48</v>
      </c>
      <c r="E175" s="386" t="s">
        <v>919</v>
      </c>
      <c r="F175" s="386" t="s">
        <v>3603</v>
      </c>
      <c r="G175" s="386" t="s">
        <v>165</v>
      </c>
      <c r="H175" s="389" t="s">
        <v>3604</v>
      </c>
      <c r="I175" s="369" t="e">
        <f>VLOOKUP(H175,'合同高级查询数据-10月新返回合同'!A:A,1,0)</f>
        <v>#N/A</v>
      </c>
      <c r="J175" s="390" t="s">
        <v>3724</v>
      </c>
      <c r="K175" s="389" t="s">
        <v>3605</v>
      </c>
      <c r="L175" s="389" t="s">
        <v>3605</v>
      </c>
      <c r="M175" s="386" t="s">
        <v>3606</v>
      </c>
      <c r="N175" s="391">
        <v>45108</v>
      </c>
      <c r="O175" s="386" t="s">
        <v>1542</v>
      </c>
      <c r="P175" s="375">
        <v>9500</v>
      </c>
      <c r="Q175" s="396">
        <v>137.21100000000001</v>
      </c>
      <c r="R175" s="377">
        <f t="shared" si="8"/>
        <v>1303504.5</v>
      </c>
      <c r="S175" s="378">
        <v>202310</v>
      </c>
      <c r="T175" s="394" t="s">
        <v>4515</v>
      </c>
      <c r="U175" s="394"/>
      <c r="V175" s="444">
        <v>137.21052333099999</v>
      </c>
      <c r="W175" s="395"/>
      <c r="X175" s="383"/>
      <c r="Y175" s="383"/>
      <c r="Z175" s="382" t="s">
        <v>4516</v>
      </c>
      <c r="AA175" s="384">
        <v>0.3</v>
      </c>
      <c r="AB175" s="384">
        <v>200</v>
      </c>
      <c r="AC175" s="384">
        <f>AA175*AB175</f>
        <v>60</v>
      </c>
    </row>
    <row r="176" spans="1:29" s="385" customFormat="1" ht="15" customHeight="1">
      <c r="A176" s="386" t="s">
        <v>45</v>
      </c>
      <c r="B176" s="387" t="s">
        <v>46</v>
      </c>
      <c r="C176" s="386" t="s">
        <v>188</v>
      </c>
      <c r="D176" s="388" t="s">
        <v>48</v>
      </c>
      <c r="E176" s="386" t="s">
        <v>2526</v>
      </c>
      <c r="F176" s="386" t="s">
        <v>2527</v>
      </c>
      <c r="G176" s="402" t="s">
        <v>165</v>
      </c>
      <c r="H176" s="389" t="s">
        <v>3610</v>
      </c>
      <c r="I176" s="369" t="e">
        <f>VLOOKUP(H176,'合同高级查询数据-10月新返回合同'!A:A,1,0)</f>
        <v>#N/A</v>
      </c>
      <c r="J176" s="390" t="s">
        <v>3724</v>
      </c>
      <c r="K176" s="389" t="s">
        <v>3611</v>
      </c>
      <c r="L176" s="389" t="s">
        <v>3611</v>
      </c>
      <c r="M176" s="403" t="s">
        <v>2530</v>
      </c>
      <c r="N176" s="417">
        <v>45108</v>
      </c>
      <c r="O176" s="402" t="s">
        <v>1542</v>
      </c>
      <c r="P176" s="404">
        <v>6740</v>
      </c>
      <c r="Q176" s="404">
        <v>80</v>
      </c>
      <c r="R176" s="405">
        <f t="shared" si="8"/>
        <v>539200</v>
      </c>
      <c r="S176" s="378">
        <v>202310</v>
      </c>
      <c r="T176" s="420" t="s">
        <v>4517</v>
      </c>
      <c r="U176" s="443"/>
      <c r="V176" s="398">
        <v>76.687505463999997</v>
      </c>
      <c r="W176" s="408"/>
      <c r="X176" s="383"/>
      <c r="Y176" s="383"/>
      <c r="Z176" s="382" t="s">
        <v>4518</v>
      </c>
      <c r="AA176" s="384">
        <v>0.4</v>
      </c>
      <c r="AB176" s="384">
        <v>200</v>
      </c>
      <c r="AC176" s="384">
        <f>AB176*AA176</f>
        <v>80</v>
      </c>
    </row>
    <row r="177" spans="1:29" s="385" customFormat="1" ht="15" customHeight="1">
      <c r="A177" s="386" t="s">
        <v>57</v>
      </c>
      <c r="B177" s="387" t="s">
        <v>3728</v>
      </c>
      <c r="C177" s="388" t="s">
        <v>84</v>
      </c>
      <c r="D177" s="388" t="s">
        <v>3729</v>
      </c>
      <c r="E177" s="386" t="s">
        <v>4519</v>
      </c>
      <c r="F177" s="386" t="s">
        <v>4520</v>
      </c>
      <c r="G177" s="386" t="s">
        <v>165</v>
      </c>
      <c r="H177" s="389" t="s">
        <v>4521</v>
      </c>
      <c r="I177" s="369" t="e">
        <f>VLOOKUP(H177,'合同高级查询数据-10月新返回合同'!A:A,1,0)</f>
        <v>#N/A</v>
      </c>
      <c r="J177" s="390" t="s">
        <v>3724</v>
      </c>
      <c r="K177" s="386"/>
      <c r="L177" s="389" t="s">
        <v>4522</v>
      </c>
      <c r="M177" s="386"/>
      <c r="N177" s="391">
        <v>45108</v>
      </c>
      <c r="O177" s="386"/>
      <c r="P177" s="392">
        <v>4800</v>
      </c>
      <c r="Q177" s="392"/>
      <c r="R177" s="405">
        <f t="shared" si="8"/>
        <v>0</v>
      </c>
      <c r="S177" s="378">
        <v>202310</v>
      </c>
      <c r="T177" s="394" t="s">
        <v>4523</v>
      </c>
      <c r="U177" s="394"/>
      <c r="V177" s="381">
        <v>0</v>
      </c>
      <c r="W177" s="395"/>
      <c r="X177" s="383"/>
      <c r="Y177" s="383"/>
      <c r="Z177" s="382" t="s">
        <v>4524</v>
      </c>
      <c r="AA177" s="384">
        <v>0</v>
      </c>
      <c r="AB177" s="384"/>
      <c r="AC177" s="384">
        <v>0</v>
      </c>
    </row>
    <row r="178" spans="1:29" s="385" customFormat="1" ht="15" customHeight="1">
      <c r="A178" s="386" t="s">
        <v>57</v>
      </c>
      <c r="B178" s="387" t="s">
        <v>3728</v>
      </c>
      <c r="C178" s="388" t="s">
        <v>84</v>
      </c>
      <c r="D178" s="388" t="s">
        <v>3729</v>
      </c>
      <c r="E178" s="386" t="s">
        <v>3932</v>
      </c>
      <c r="F178" s="386" t="s">
        <v>3933</v>
      </c>
      <c r="G178" s="386" t="s">
        <v>165</v>
      </c>
      <c r="H178" s="389" t="s">
        <v>4526</v>
      </c>
      <c r="I178" s="369" t="e">
        <f>VLOOKUP(H178,'合同高级查询数据-10月新返回合同'!A:A,1,0)</f>
        <v>#N/A</v>
      </c>
      <c r="J178" s="390" t="s">
        <v>3724</v>
      </c>
      <c r="K178" s="386"/>
      <c r="L178" s="389" t="s">
        <v>4527</v>
      </c>
      <c r="M178" s="386"/>
      <c r="N178" s="391">
        <v>45108</v>
      </c>
      <c r="O178" s="386"/>
      <c r="P178" s="392">
        <v>5800</v>
      </c>
      <c r="Q178" s="396">
        <v>535.28830000000005</v>
      </c>
      <c r="R178" s="405">
        <f t="shared" si="8"/>
        <v>3104672.14</v>
      </c>
      <c r="S178" s="378">
        <v>202310</v>
      </c>
      <c r="T178" s="394" t="s">
        <v>4528</v>
      </c>
      <c r="U178" s="395"/>
      <c r="V178" s="381">
        <v>535.28735351600005</v>
      </c>
      <c r="W178" s="410"/>
      <c r="X178" s="383"/>
      <c r="Y178" s="383"/>
      <c r="Z178" s="384" t="s">
        <v>4529</v>
      </c>
      <c r="AA178" s="384">
        <v>0</v>
      </c>
      <c r="AB178" s="384"/>
      <c r="AC178" s="384">
        <v>0</v>
      </c>
    </row>
    <row r="179" spans="1:29" s="385" customFormat="1" ht="15" customHeight="1">
      <c r="A179" s="386" t="s">
        <v>57</v>
      </c>
      <c r="B179" s="387" t="s">
        <v>3728</v>
      </c>
      <c r="C179" s="388" t="s">
        <v>84</v>
      </c>
      <c r="D179" s="388" t="s">
        <v>3729</v>
      </c>
      <c r="E179" s="386" t="s">
        <v>3755</v>
      </c>
      <c r="F179" s="386" t="s">
        <v>3756</v>
      </c>
      <c r="G179" s="386" t="s">
        <v>165</v>
      </c>
      <c r="H179" s="389" t="s">
        <v>4530</v>
      </c>
      <c r="I179" s="369" t="e">
        <f>VLOOKUP(H179,'合同高级查询数据-10月新返回合同'!A:A,1,0)</f>
        <v>#N/A</v>
      </c>
      <c r="J179" s="390" t="s">
        <v>3724</v>
      </c>
      <c r="K179" s="386"/>
      <c r="L179" s="389" t="s">
        <v>4531</v>
      </c>
      <c r="M179" s="386"/>
      <c r="N179" s="391">
        <v>45139</v>
      </c>
      <c r="O179" s="386"/>
      <c r="P179" s="392">
        <v>4850</v>
      </c>
      <c r="Q179" s="392">
        <v>186.48400000000001</v>
      </c>
      <c r="R179" s="405">
        <f t="shared" si="8"/>
        <v>904447.4</v>
      </c>
      <c r="S179" s="378">
        <v>202310</v>
      </c>
      <c r="T179" s="394" t="s">
        <v>4528</v>
      </c>
      <c r="U179" s="394"/>
      <c r="V179" s="381">
        <v>186.48387</v>
      </c>
      <c r="W179" s="395"/>
      <c r="X179" s="383"/>
      <c r="Y179" s="383"/>
      <c r="Z179" s="382" t="s">
        <v>4532</v>
      </c>
      <c r="AA179" s="384">
        <v>0</v>
      </c>
      <c r="AB179" s="384"/>
      <c r="AC179" s="384">
        <v>0</v>
      </c>
    </row>
    <row r="180" spans="1:29" s="385" customFormat="1" ht="15" customHeight="1">
      <c r="A180" s="368" t="s">
        <v>45</v>
      </c>
      <c r="B180" s="369" t="s">
        <v>837</v>
      </c>
      <c r="C180" s="369" t="s">
        <v>838</v>
      </c>
      <c r="D180" s="369" t="s">
        <v>48</v>
      </c>
      <c r="E180" s="369" t="s">
        <v>2463</v>
      </c>
      <c r="F180" s="370" t="s">
        <v>2464</v>
      </c>
      <c r="G180" s="371" t="s">
        <v>165</v>
      </c>
      <c r="H180" s="369" t="s">
        <v>2470</v>
      </c>
      <c r="I180" s="369" t="e">
        <f>VLOOKUP(H180,'合同高级查询数据-10月新返回合同'!A:A,1,0)</f>
        <v>#N/A</v>
      </c>
      <c r="J180" s="390" t="s">
        <v>3724</v>
      </c>
      <c r="K180" s="370" t="s">
        <v>4533</v>
      </c>
      <c r="L180" s="430" t="s">
        <v>4534</v>
      </c>
      <c r="M180" s="372" t="s">
        <v>2468</v>
      </c>
      <c r="N180" s="373">
        <v>45141</v>
      </c>
      <c r="O180" s="374" t="s">
        <v>1542</v>
      </c>
      <c r="P180" s="440">
        <v>6740</v>
      </c>
      <c r="Q180" s="376">
        <v>107.88</v>
      </c>
      <c r="R180" s="377">
        <f t="shared" si="8"/>
        <v>727111.2</v>
      </c>
      <c r="S180" s="378">
        <v>202310</v>
      </c>
      <c r="T180" s="431" t="s">
        <v>4535</v>
      </c>
      <c r="U180" s="441"/>
      <c r="V180" s="398">
        <v>107.88375010199999</v>
      </c>
      <c r="W180" s="433"/>
      <c r="X180" s="383"/>
      <c r="Y180" s="383"/>
      <c r="Z180" s="434" t="s">
        <v>4536</v>
      </c>
      <c r="AA180" s="439">
        <v>0.4</v>
      </c>
      <c r="AB180" s="435">
        <v>200</v>
      </c>
      <c r="AC180" s="436">
        <f>AA180*AB180</f>
        <v>80</v>
      </c>
    </row>
    <row r="181" spans="1:29" s="577" customFormat="1" ht="15" customHeight="1">
      <c r="A181" s="561" t="s">
        <v>258</v>
      </c>
      <c r="B181" s="562" t="s">
        <v>46</v>
      </c>
      <c r="C181" s="563" t="s">
        <v>887</v>
      </c>
      <c r="D181" s="562" t="s">
        <v>888</v>
      </c>
      <c r="E181" s="561" t="s">
        <v>2183</v>
      </c>
      <c r="F181" s="561" t="s">
        <v>2184</v>
      </c>
      <c r="G181" s="561" t="s">
        <v>165</v>
      </c>
      <c r="H181" s="564" t="s">
        <v>3589</v>
      </c>
      <c r="I181" s="565" t="e">
        <f>VLOOKUP(H181,'合同高级查询数据-10月新返回合同'!A:A,1,0)</f>
        <v>#N/A</v>
      </c>
      <c r="J181" s="566" t="s">
        <v>3724</v>
      </c>
      <c r="K181" s="622" t="s">
        <v>4487</v>
      </c>
      <c r="L181" s="622" t="s">
        <v>4537</v>
      </c>
      <c r="M181" s="596"/>
      <c r="N181" s="623">
        <v>45139</v>
      </c>
      <c r="O181" s="561"/>
      <c r="P181" s="568">
        <v>4784</v>
      </c>
      <c r="Q181" s="579">
        <v>259.154</v>
      </c>
      <c r="R181" s="600">
        <f t="shared" si="8"/>
        <v>1239792.74</v>
      </c>
      <c r="S181" s="570">
        <v>202310</v>
      </c>
      <c r="T181" s="571" t="s">
        <v>4538</v>
      </c>
      <c r="U181" s="571"/>
      <c r="V181" s="572">
        <v>259.15332031299999</v>
      </c>
      <c r="W181" s="573"/>
      <c r="X181" s="574">
        <v>45108</v>
      </c>
      <c r="Y181" s="574">
        <v>45473</v>
      </c>
      <c r="Z181" s="575" t="s">
        <v>4539</v>
      </c>
      <c r="AA181" s="576">
        <v>0</v>
      </c>
      <c r="AB181" s="576"/>
      <c r="AC181" s="576">
        <f>AA181*AB181</f>
        <v>0</v>
      </c>
    </row>
    <row r="182" spans="1:29" s="577" customFormat="1" ht="15" customHeight="1">
      <c r="A182" s="606" t="s">
        <v>57</v>
      </c>
      <c r="B182" s="565" t="s">
        <v>3728</v>
      </c>
      <c r="C182" s="565" t="s">
        <v>84</v>
      </c>
      <c r="D182" s="563" t="s">
        <v>3729</v>
      </c>
      <c r="E182" s="565" t="s">
        <v>4540</v>
      </c>
      <c r="F182" s="624" t="s">
        <v>4541</v>
      </c>
      <c r="G182" s="564" t="s">
        <v>165</v>
      </c>
      <c r="H182" s="564" t="s">
        <v>4542</v>
      </c>
      <c r="I182" s="565" t="str">
        <f>VLOOKUP(H182,'合同高级查询数据-10月新返回合同'!A:A,1,0)</f>
        <v>182315IDC00548</v>
      </c>
      <c r="J182" s="566" t="s">
        <v>3724</v>
      </c>
      <c r="K182" s="624"/>
      <c r="L182" s="596" t="s">
        <v>4543</v>
      </c>
      <c r="M182" s="625"/>
      <c r="N182" s="597">
        <v>45170</v>
      </c>
      <c r="O182" s="626"/>
      <c r="P182" s="627">
        <v>5500</v>
      </c>
      <c r="Q182" s="612">
        <v>2343.145</v>
      </c>
      <c r="R182" s="613">
        <f>ROUND(P182*Q182,2)</f>
        <v>12887297.5</v>
      </c>
      <c r="S182" s="570">
        <v>202310</v>
      </c>
      <c r="T182" s="614" t="s">
        <v>4544</v>
      </c>
      <c r="U182" s="628"/>
      <c r="V182" s="572">
        <v>2343.1447753910002</v>
      </c>
      <c r="W182" s="616"/>
      <c r="X182" s="574">
        <v>45170</v>
      </c>
      <c r="Y182" s="574">
        <v>45291</v>
      </c>
      <c r="Z182" s="575" t="s">
        <v>4545</v>
      </c>
      <c r="AA182" s="576">
        <v>0</v>
      </c>
      <c r="AB182" s="576"/>
      <c r="AC182" s="576">
        <v>0</v>
      </c>
    </row>
    <row r="183" spans="1:29" s="385" customFormat="1" ht="15" customHeight="1">
      <c r="A183" s="386" t="s">
        <v>57</v>
      </c>
      <c r="B183" s="387" t="s">
        <v>3728</v>
      </c>
      <c r="C183" s="388" t="s">
        <v>84</v>
      </c>
      <c r="D183" s="388" t="s">
        <v>3729</v>
      </c>
      <c r="E183" s="386" t="s">
        <v>3909</v>
      </c>
      <c r="F183" s="386" t="s">
        <v>3910</v>
      </c>
      <c r="G183" s="386" t="s">
        <v>165</v>
      </c>
      <c r="H183" s="389" t="s">
        <v>4656</v>
      </c>
      <c r="I183" s="369" t="e">
        <f>VLOOKUP(H183,'合同高级查询数据-10月新返回合同'!A:A,1,0)</f>
        <v>#N/A</v>
      </c>
      <c r="J183" s="390" t="s">
        <v>3724</v>
      </c>
      <c r="K183" s="386"/>
      <c r="L183" s="389" t="s">
        <v>4649</v>
      </c>
      <c r="M183" s="386"/>
      <c r="N183" s="391">
        <v>45200</v>
      </c>
      <c r="O183" s="386"/>
      <c r="P183" s="392">
        <v>3500</v>
      </c>
      <c r="Q183" s="396">
        <v>189.88800000000001</v>
      </c>
      <c r="R183" s="393">
        <f>ROUND(P183*Q183,2)</f>
        <v>664608</v>
      </c>
      <c r="S183" s="378">
        <v>202310</v>
      </c>
      <c r="T183" s="394" t="s">
        <v>4651</v>
      </c>
      <c r="U183" s="394"/>
      <c r="V183" s="381">
        <v>189.887649536</v>
      </c>
      <c r="W183" s="395"/>
      <c r="X183" s="383"/>
      <c r="Y183" s="383"/>
      <c r="Z183" s="382" t="s">
        <v>4650</v>
      </c>
      <c r="AA183" s="384">
        <v>0</v>
      </c>
      <c r="AB183" s="384"/>
      <c r="AC183" s="384">
        <v>0</v>
      </c>
    </row>
    <row r="184" spans="1:29" s="385" customFormat="1" ht="15" customHeight="1">
      <c r="A184" s="386" t="s">
        <v>57</v>
      </c>
      <c r="B184" s="387" t="s">
        <v>3728</v>
      </c>
      <c r="C184" s="388" t="s">
        <v>84</v>
      </c>
      <c r="D184" s="388" t="s">
        <v>3729</v>
      </c>
      <c r="E184" s="386" t="s">
        <v>3832</v>
      </c>
      <c r="F184" s="386" t="s">
        <v>3833</v>
      </c>
      <c r="G184" s="386" t="s">
        <v>165</v>
      </c>
      <c r="H184" s="389" t="s">
        <v>4657</v>
      </c>
      <c r="I184" s="369" t="e">
        <f>VLOOKUP(H184,'合同高级查询数据-10月新返回合同'!A:A,1,0)</f>
        <v>#N/A</v>
      </c>
      <c r="J184" s="390" t="s">
        <v>3724</v>
      </c>
      <c r="K184" s="386"/>
      <c r="L184" s="389" t="s">
        <v>4675</v>
      </c>
      <c r="M184" s="386"/>
      <c r="N184" s="391">
        <v>45200</v>
      </c>
      <c r="O184" s="386"/>
      <c r="P184" s="392">
        <v>5000</v>
      </c>
      <c r="Q184" s="396">
        <v>64.709000000000003</v>
      </c>
      <c r="R184" s="393">
        <f t="shared" ref="R184" si="9">ROUND(P184*Q184,2)</f>
        <v>323545</v>
      </c>
      <c r="S184" s="378">
        <v>202310</v>
      </c>
      <c r="T184" s="394" t="s">
        <v>4676</v>
      </c>
      <c r="U184" s="394"/>
      <c r="V184" s="381">
        <v>64.708068847999996</v>
      </c>
      <c r="W184" s="395"/>
      <c r="X184" s="383"/>
      <c r="Y184" s="383"/>
      <c r="Z184" s="382" t="s">
        <v>4677</v>
      </c>
      <c r="AA184" s="384">
        <v>0</v>
      </c>
      <c r="AB184" s="384"/>
      <c r="AC184" s="384">
        <v>0</v>
      </c>
    </row>
    <row r="185" spans="1:29" s="385" customFormat="1" ht="15" customHeight="1">
      <c r="A185" s="386" t="s">
        <v>57</v>
      </c>
      <c r="B185" s="387" t="s">
        <v>3728</v>
      </c>
      <c r="C185" s="388" t="s">
        <v>84</v>
      </c>
      <c r="D185" s="388" t="s">
        <v>3729</v>
      </c>
      <c r="E185" s="386" t="s">
        <v>3832</v>
      </c>
      <c r="F185" s="386" t="s">
        <v>3833</v>
      </c>
      <c r="G185" s="386" t="s">
        <v>165</v>
      </c>
      <c r="H185" s="389" t="s">
        <v>4657</v>
      </c>
      <c r="I185" s="369" t="e">
        <f>VLOOKUP(H185,'合同高级查询数据-10月新返回合同'!A:A,1,0)</f>
        <v>#N/A</v>
      </c>
      <c r="J185" s="390" t="s">
        <v>3724</v>
      </c>
      <c r="K185" s="386"/>
      <c r="L185" s="389" t="s">
        <v>4652</v>
      </c>
      <c r="M185" s="386"/>
      <c r="N185" s="391">
        <v>45200</v>
      </c>
      <c r="O185" s="386"/>
      <c r="P185" s="392">
        <v>4500</v>
      </c>
      <c r="Q185" s="396">
        <v>388.04</v>
      </c>
      <c r="R185" s="393">
        <f t="shared" ref="R185:R186" si="10">ROUND(P185*Q185,2)</f>
        <v>1746180</v>
      </c>
      <c r="S185" s="378">
        <v>202310</v>
      </c>
      <c r="T185" s="394" t="s">
        <v>4651</v>
      </c>
      <c r="U185" s="394"/>
      <c r="V185" s="381">
        <v>388.03997802700002</v>
      </c>
      <c r="W185" s="395"/>
      <c r="X185" s="383"/>
      <c r="Y185" s="383"/>
      <c r="Z185" s="382" t="s">
        <v>4653</v>
      </c>
      <c r="AA185" s="384">
        <v>0</v>
      </c>
      <c r="AB185" s="384"/>
      <c r="AC185" s="384">
        <v>0</v>
      </c>
    </row>
    <row r="186" spans="1:29" s="385" customFormat="1" ht="15" customHeight="1">
      <c r="A186" s="386" t="s">
        <v>57</v>
      </c>
      <c r="B186" s="387" t="s">
        <v>3728</v>
      </c>
      <c r="C186" s="388" t="s">
        <v>84</v>
      </c>
      <c r="D186" s="388" t="s">
        <v>3729</v>
      </c>
      <c r="E186" s="386" t="s">
        <v>3832</v>
      </c>
      <c r="F186" s="386" t="s">
        <v>3833</v>
      </c>
      <c r="G186" s="386" t="s">
        <v>165</v>
      </c>
      <c r="H186" s="389" t="s">
        <v>4657</v>
      </c>
      <c r="I186" s="369" t="e">
        <f>VLOOKUP(H186,'合同高级查询数据-10月新返回合同'!A:A,1,0)</f>
        <v>#N/A</v>
      </c>
      <c r="J186" s="390" t="s">
        <v>3724</v>
      </c>
      <c r="K186" s="386"/>
      <c r="L186" s="389" t="s">
        <v>4655</v>
      </c>
      <c r="M186" s="386"/>
      <c r="N186" s="391">
        <v>45200</v>
      </c>
      <c r="O186" s="386"/>
      <c r="P186" s="392">
        <v>4000</v>
      </c>
      <c r="Q186" s="396">
        <v>7.8079999999999998</v>
      </c>
      <c r="R186" s="393">
        <f t="shared" si="10"/>
        <v>31232</v>
      </c>
      <c r="S186" s="378">
        <v>202310</v>
      </c>
      <c r="T186" s="394" t="s">
        <v>4651</v>
      </c>
      <c r="U186" s="394"/>
      <c r="V186" s="381">
        <v>7.8072805399999998</v>
      </c>
      <c r="W186" s="395"/>
      <c r="X186" s="383"/>
      <c r="Y186" s="383"/>
      <c r="Z186" s="382" t="s">
        <v>4654</v>
      </c>
      <c r="AA186" s="384">
        <v>0</v>
      </c>
      <c r="AB186" s="384"/>
      <c r="AC186" s="384">
        <v>0</v>
      </c>
    </row>
    <row r="187" spans="1:29" s="577" customFormat="1" ht="15" customHeight="1">
      <c r="A187" s="593" t="s">
        <v>45</v>
      </c>
      <c r="B187" s="562" t="s">
        <v>46</v>
      </c>
      <c r="C187" s="594" t="s">
        <v>814</v>
      </c>
      <c r="D187" s="563" t="s">
        <v>48</v>
      </c>
      <c r="E187" s="593" t="s">
        <v>2965</v>
      </c>
      <c r="F187" s="593" t="s">
        <v>2966</v>
      </c>
      <c r="G187" s="564" t="s">
        <v>165</v>
      </c>
      <c r="H187" s="564" t="s">
        <v>4560</v>
      </c>
      <c r="I187" s="565" t="e">
        <f>VLOOKUP(H187,'合同高级查询数据-10月新返回合同'!A:A,1,0)</f>
        <v>#N/A</v>
      </c>
      <c r="J187" s="564" t="s">
        <v>3724</v>
      </c>
      <c r="K187" s="593" t="s">
        <v>2968</v>
      </c>
      <c r="L187" s="595" t="s">
        <v>2968</v>
      </c>
      <c r="M187" s="596" t="s">
        <v>2969</v>
      </c>
      <c r="N187" s="597" t="s">
        <v>4418</v>
      </c>
      <c r="O187" s="597" t="s">
        <v>4419</v>
      </c>
      <c r="P187" s="629">
        <v>6740</v>
      </c>
      <c r="Q187" s="630">
        <f>32.76-32.5</f>
        <v>0.25999999999999801</v>
      </c>
      <c r="R187" s="631">
        <f t="shared" ref="R187:R194" si="11">ROUND(P187*Q187,2)</f>
        <v>1752.4</v>
      </c>
      <c r="S187" s="570">
        <v>202305</v>
      </c>
      <c r="T187" s="601" t="s">
        <v>4561</v>
      </c>
      <c r="U187" s="621"/>
      <c r="V187" s="582">
        <v>32.501873015999998</v>
      </c>
      <c r="W187" s="602">
        <v>33.020000000000003</v>
      </c>
      <c r="X187" s="632">
        <v>44927</v>
      </c>
      <c r="Y187" s="632">
        <v>45107</v>
      </c>
      <c r="Z187" s="575"/>
      <c r="AA187" s="576"/>
      <c r="AB187" s="576"/>
      <c r="AC187" s="576"/>
    </row>
    <row r="188" spans="1:29" s="577" customFormat="1" ht="15" customHeight="1">
      <c r="A188" s="593" t="s">
        <v>45</v>
      </c>
      <c r="B188" s="562" t="s">
        <v>46</v>
      </c>
      <c r="C188" s="594" t="s">
        <v>814</v>
      </c>
      <c r="D188" s="563" t="s">
        <v>48</v>
      </c>
      <c r="E188" s="593" t="s">
        <v>2965</v>
      </c>
      <c r="F188" s="593" t="s">
        <v>2966</v>
      </c>
      <c r="G188" s="564" t="s">
        <v>165</v>
      </c>
      <c r="H188" s="564" t="s">
        <v>4560</v>
      </c>
      <c r="I188" s="565" t="e">
        <f>VLOOKUP(H188,'合同高级查询数据-10月新返回合同'!A:A,1,0)</f>
        <v>#N/A</v>
      </c>
      <c r="J188" s="566" t="s">
        <v>3724</v>
      </c>
      <c r="K188" s="593" t="s">
        <v>2968</v>
      </c>
      <c r="L188" s="595" t="s">
        <v>2968</v>
      </c>
      <c r="M188" s="596" t="s">
        <v>2969</v>
      </c>
      <c r="N188" s="597" t="s">
        <v>4418</v>
      </c>
      <c r="O188" s="597" t="s">
        <v>4419</v>
      </c>
      <c r="P188" s="629">
        <v>6740</v>
      </c>
      <c r="Q188" s="630">
        <f>32.26-32</f>
        <v>0.25999999999999801</v>
      </c>
      <c r="R188" s="631">
        <f t="shared" si="11"/>
        <v>1752.4</v>
      </c>
      <c r="S188" s="570">
        <v>202306</v>
      </c>
      <c r="T188" s="601" t="s">
        <v>4563</v>
      </c>
      <c r="U188" s="621"/>
      <c r="V188" s="582">
        <v>31.983592987000002</v>
      </c>
      <c r="W188" s="602">
        <v>32.54</v>
      </c>
      <c r="X188" s="632">
        <v>44927</v>
      </c>
      <c r="Y188" s="632">
        <v>45107</v>
      </c>
      <c r="Z188" s="575"/>
      <c r="AA188" s="576"/>
      <c r="AB188" s="576"/>
      <c r="AC188" s="576"/>
    </row>
    <row r="189" spans="1:29" s="577" customFormat="1" ht="15" customHeight="1">
      <c r="A189" s="593" t="s">
        <v>45</v>
      </c>
      <c r="B189" s="562" t="s">
        <v>46</v>
      </c>
      <c r="C189" s="594" t="s">
        <v>814</v>
      </c>
      <c r="D189" s="563" t="s">
        <v>48</v>
      </c>
      <c r="E189" s="593" t="s">
        <v>2965</v>
      </c>
      <c r="F189" s="593" t="s">
        <v>2966</v>
      </c>
      <c r="G189" s="564" t="s">
        <v>165</v>
      </c>
      <c r="H189" s="564" t="s">
        <v>2967</v>
      </c>
      <c r="I189" s="565" t="str">
        <f>VLOOKUP(H189,'合同高级查询数据-10月新返回合同'!A:A,1,0)</f>
        <v>182315IDC00485</v>
      </c>
      <c r="J189" s="566" t="s">
        <v>3724</v>
      </c>
      <c r="K189" s="593" t="s">
        <v>2968</v>
      </c>
      <c r="L189" s="595" t="s">
        <v>2968</v>
      </c>
      <c r="M189" s="596" t="s">
        <v>2969</v>
      </c>
      <c r="N189" s="597" t="s">
        <v>4418</v>
      </c>
      <c r="O189" s="597" t="s">
        <v>4419</v>
      </c>
      <c r="P189" s="629">
        <v>6740</v>
      </c>
      <c r="Q189" s="630">
        <f>32.48-32.16</f>
        <v>0.32000000000000028</v>
      </c>
      <c r="R189" s="631">
        <f t="shared" si="11"/>
        <v>2156.8000000000002</v>
      </c>
      <c r="S189" s="570">
        <v>202307</v>
      </c>
      <c r="T189" s="601" t="s">
        <v>4564</v>
      </c>
      <c r="U189" s="621"/>
      <c r="V189" s="582">
        <v>32.164649963000002</v>
      </c>
      <c r="W189" s="602">
        <v>32.79</v>
      </c>
      <c r="X189" s="632">
        <v>45108</v>
      </c>
      <c r="Y189" s="632">
        <v>45473</v>
      </c>
      <c r="Z189" s="575"/>
      <c r="AA189" s="576"/>
      <c r="AB189" s="576"/>
      <c r="AC189" s="576"/>
    </row>
    <row r="190" spans="1:29" s="577" customFormat="1" ht="15" customHeight="1">
      <c r="A190" s="593" t="s">
        <v>45</v>
      </c>
      <c r="B190" s="562" t="s">
        <v>46</v>
      </c>
      <c r="C190" s="594" t="s">
        <v>814</v>
      </c>
      <c r="D190" s="563" t="s">
        <v>48</v>
      </c>
      <c r="E190" s="593" t="s">
        <v>2965</v>
      </c>
      <c r="F190" s="593" t="s">
        <v>2966</v>
      </c>
      <c r="G190" s="564" t="s">
        <v>165</v>
      </c>
      <c r="H190" s="564" t="s">
        <v>2967</v>
      </c>
      <c r="I190" s="565" t="str">
        <f>VLOOKUP(H190,'合同高级查询数据-10月新返回合同'!A:A,1,0)</f>
        <v>182315IDC00485</v>
      </c>
      <c r="J190" s="566" t="s">
        <v>3724</v>
      </c>
      <c r="K190" s="593" t="s">
        <v>2968</v>
      </c>
      <c r="L190" s="595" t="s">
        <v>2968</v>
      </c>
      <c r="M190" s="596" t="s">
        <v>2969</v>
      </c>
      <c r="N190" s="597" t="s">
        <v>4418</v>
      </c>
      <c r="O190" s="597" t="s">
        <v>4419</v>
      </c>
      <c r="P190" s="629">
        <v>6740</v>
      </c>
      <c r="Q190" s="630">
        <f>33.36-33.12</f>
        <v>0.24000000000000199</v>
      </c>
      <c r="R190" s="631">
        <f t="shared" si="11"/>
        <v>1617.6</v>
      </c>
      <c r="S190" s="570">
        <v>202308</v>
      </c>
      <c r="T190" s="601" t="s">
        <v>4565</v>
      </c>
      <c r="U190" s="621"/>
      <c r="V190" s="582">
        <v>33.116966247999997</v>
      </c>
      <c r="W190" s="602">
        <v>33.590000000000003</v>
      </c>
      <c r="X190" s="632">
        <v>45108</v>
      </c>
      <c r="Y190" s="632">
        <v>45473</v>
      </c>
      <c r="Z190" s="575"/>
      <c r="AA190" s="576"/>
      <c r="AB190" s="576"/>
      <c r="AC190" s="576"/>
    </row>
    <row r="191" spans="1:29" s="385" customFormat="1" ht="15" customHeight="1">
      <c r="A191" s="386" t="s">
        <v>45</v>
      </c>
      <c r="B191" s="387" t="s">
        <v>46</v>
      </c>
      <c r="C191" s="388" t="s">
        <v>47</v>
      </c>
      <c r="D191" s="388" t="s">
        <v>4699</v>
      </c>
      <c r="E191" s="386" t="s">
        <v>49</v>
      </c>
      <c r="F191" s="386" t="s">
        <v>50</v>
      </c>
      <c r="G191" s="386" t="s">
        <v>165</v>
      </c>
      <c r="H191" s="389" t="s">
        <v>2827</v>
      </c>
      <c r="I191" s="369" t="e">
        <f>VLOOKUP(H191,'合同高级查询数据-10月新返回合同'!A:A,1,0)</f>
        <v>#N/A</v>
      </c>
      <c r="J191" s="390" t="s">
        <v>3724</v>
      </c>
      <c r="K191" s="386" t="s">
        <v>47</v>
      </c>
      <c r="L191" s="389" t="s">
        <v>2828</v>
      </c>
      <c r="M191" s="386" t="s">
        <v>2829</v>
      </c>
      <c r="N191" s="391" t="s">
        <v>4299</v>
      </c>
      <c r="O191" s="386" t="s">
        <v>4300</v>
      </c>
      <c r="P191" s="445">
        <v>15000</v>
      </c>
      <c r="Q191" s="446">
        <f>8.83-8.82</f>
        <v>9.9999999999997868E-3</v>
      </c>
      <c r="R191" s="447">
        <f t="shared" si="11"/>
        <v>150</v>
      </c>
      <c r="S191" s="378">
        <v>202302</v>
      </c>
      <c r="T191" s="394" t="s">
        <v>4567</v>
      </c>
      <c r="U191" s="380"/>
      <c r="V191" s="448">
        <v>8.821626663</v>
      </c>
      <c r="W191" s="395">
        <v>8.84</v>
      </c>
      <c r="X191" s="449"/>
      <c r="Y191" s="449"/>
      <c r="Z191" s="382"/>
      <c r="AA191" s="384"/>
      <c r="AB191" s="384"/>
      <c r="AC191" s="384"/>
    </row>
    <row r="192" spans="1:29" s="385" customFormat="1" ht="15" customHeight="1">
      <c r="A192" s="386" t="s">
        <v>45</v>
      </c>
      <c r="B192" s="387" t="s">
        <v>46</v>
      </c>
      <c r="C192" s="388" t="s">
        <v>47</v>
      </c>
      <c r="D192" s="388" t="s">
        <v>48</v>
      </c>
      <c r="E192" s="386" t="s">
        <v>49</v>
      </c>
      <c r="F192" s="386" t="s">
        <v>50</v>
      </c>
      <c r="G192" s="386" t="s">
        <v>165</v>
      </c>
      <c r="H192" s="389" t="s">
        <v>2827</v>
      </c>
      <c r="I192" s="369" t="e">
        <f>VLOOKUP(H192,'合同高级查询数据-10月新返回合同'!A:A,1,0)</f>
        <v>#N/A</v>
      </c>
      <c r="J192" s="390" t="s">
        <v>3724</v>
      </c>
      <c r="K192" s="386" t="s">
        <v>47</v>
      </c>
      <c r="L192" s="389" t="s">
        <v>2828</v>
      </c>
      <c r="M192" s="386" t="s">
        <v>2829</v>
      </c>
      <c r="N192" s="391" t="s">
        <v>4299</v>
      </c>
      <c r="O192" s="386" t="s">
        <v>4300</v>
      </c>
      <c r="P192" s="445">
        <v>15000</v>
      </c>
      <c r="Q192" s="446">
        <f>8.83-8.77</f>
        <v>6.0000000000000497E-2</v>
      </c>
      <c r="R192" s="447">
        <f t="shared" si="11"/>
        <v>900</v>
      </c>
      <c r="S192" s="378">
        <v>202303</v>
      </c>
      <c r="T192" s="394" t="s">
        <v>4568</v>
      </c>
      <c r="U192" s="380"/>
      <c r="V192" s="448">
        <v>8.7749567030000009</v>
      </c>
      <c r="W192" s="395">
        <v>8.89</v>
      </c>
      <c r="X192" s="449"/>
      <c r="Y192" s="449"/>
      <c r="Z192" s="382"/>
      <c r="AA192" s="384"/>
      <c r="AB192" s="384"/>
      <c r="AC192" s="384"/>
    </row>
    <row r="193" spans="1:29" s="385" customFormat="1" ht="15" customHeight="1">
      <c r="A193" s="386" t="s">
        <v>45</v>
      </c>
      <c r="B193" s="387" t="s">
        <v>46</v>
      </c>
      <c r="C193" s="388" t="s">
        <v>47</v>
      </c>
      <c r="D193" s="388" t="s">
        <v>48</v>
      </c>
      <c r="E193" s="386" t="s">
        <v>49</v>
      </c>
      <c r="F193" s="386" t="s">
        <v>50</v>
      </c>
      <c r="G193" s="386" t="s">
        <v>165</v>
      </c>
      <c r="H193" s="389" t="s">
        <v>2827</v>
      </c>
      <c r="I193" s="369" t="e">
        <f>VLOOKUP(H193,'合同高级查询数据-10月新返回合同'!A:A,1,0)</f>
        <v>#N/A</v>
      </c>
      <c r="J193" s="390" t="s">
        <v>3724</v>
      </c>
      <c r="K193" s="386" t="s">
        <v>47</v>
      </c>
      <c r="L193" s="389" t="s">
        <v>2828</v>
      </c>
      <c r="M193" s="386" t="s">
        <v>2829</v>
      </c>
      <c r="N193" s="391" t="s">
        <v>4299</v>
      </c>
      <c r="O193" s="386" t="s">
        <v>4300</v>
      </c>
      <c r="P193" s="445">
        <v>15000</v>
      </c>
      <c r="Q193" s="446">
        <f>8.34-8.3</f>
        <v>3.9999999999999147E-2</v>
      </c>
      <c r="R193" s="447">
        <f t="shared" si="11"/>
        <v>600</v>
      </c>
      <c r="S193" s="378">
        <v>202304</v>
      </c>
      <c r="T193" s="394" t="s">
        <v>4569</v>
      </c>
      <c r="U193" s="380"/>
      <c r="V193" s="448">
        <v>8.2955512999999996</v>
      </c>
      <c r="W193" s="395">
        <v>8.3699999999999992</v>
      </c>
      <c r="X193" s="449"/>
      <c r="Y193" s="449"/>
      <c r="Z193" s="382"/>
      <c r="AA193" s="384"/>
      <c r="AB193" s="384"/>
      <c r="AC193" s="384"/>
    </row>
    <row r="194" spans="1:29" s="385" customFormat="1" ht="15" customHeight="1">
      <c r="A194" s="386" t="s">
        <v>45</v>
      </c>
      <c r="B194" s="387" t="s">
        <v>46</v>
      </c>
      <c r="C194" s="388" t="s">
        <v>47</v>
      </c>
      <c r="D194" s="388" t="s">
        <v>48</v>
      </c>
      <c r="E194" s="386" t="s">
        <v>49</v>
      </c>
      <c r="F194" s="386" t="s">
        <v>50</v>
      </c>
      <c r="G194" s="386" t="s">
        <v>165</v>
      </c>
      <c r="H194" s="389" t="s">
        <v>2827</v>
      </c>
      <c r="I194" s="369" t="e">
        <f>VLOOKUP(H194,'合同高级查询数据-10月新返回合同'!A:A,1,0)</f>
        <v>#N/A</v>
      </c>
      <c r="J194" s="390" t="s">
        <v>3724</v>
      </c>
      <c r="K194" s="386" t="s">
        <v>47</v>
      </c>
      <c r="L194" s="389" t="s">
        <v>2828</v>
      </c>
      <c r="M194" s="386" t="s">
        <v>2829</v>
      </c>
      <c r="N194" s="391" t="s">
        <v>4299</v>
      </c>
      <c r="O194" s="386" t="s">
        <v>4300</v>
      </c>
      <c r="P194" s="445">
        <v>15000</v>
      </c>
      <c r="Q194" s="446">
        <f>8.07-8.06</f>
        <v>9.9999999999997868E-3</v>
      </c>
      <c r="R194" s="447">
        <f t="shared" si="11"/>
        <v>150</v>
      </c>
      <c r="S194" s="378">
        <v>202306</v>
      </c>
      <c r="T194" s="394" t="s">
        <v>4570</v>
      </c>
      <c r="U194" s="380"/>
      <c r="V194" s="448">
        <v>8.0571355820000008</v>
      </c>
      <c r="W194" s="395">
        <v>8.08</v>
      </c>
      <c r="X194" s="449"/>
      <c r="Y194" s="449"/>
      <c r="Z194" s="382"/>
      <c r="AA194" s="384"/>
      <c r="AB194" s="384"/>
      <c r="AC194" s="384"/>
    </row>
    <row r="195" spans="1:29" s="577" customFormat="1" ht="15" customHeight="1">
      <c r="A195" s="561" t="s">
        <v>260</v>
      </c>
      <c r="B195" s="562" t="s">
        <v>46</v>
      </c>
      <c r="C195" s="563" t="s">
        <v>188</v>
      </c>
      <c r="D195" s="562" t="s">
        <v>48</v>
      </c>
      <c r="E195" s="561" t="s">
        <v>919</v>
      </c>
      <c r="F195" s="561" t="s">
        <v>953</v>
      </c>
      <c r="G195" s="561" t="s">
        <v>165</v>
      </c>
      <c r="H195" s="564" t="s">
        <v>1225</v>
      </c>
      <c r="I195" s="565" t="e">
        <f>VLOOKUP(H195,'合同高级查询数据-10月新返回合同'!A:A,1,0)</f>
        <v>#N/A</v>
      </c>
      <c r="J195" s="566" t="s">
        <v>3858</v>
      </c>
      <c r="K195" s="561" t="s">
        <v>4571</v>
      </c>
      <c r="L195" s="564" t="s">
        <v>4043</v>
      </c>
      <c r="M195" s="561"/>
      <c r="N195" s="567">
        <v>41244</v>
      </c>
      <c r="O195" s="561" t="s">
        <v>4044</v>
      </c>
      <c r="P195" s="633" t="s">
        <v>4045</v>
      </c>
      <c r="Q195" s="634">
        <f>93.101-91.2</f>
        <v>1.9009999999999962</v>
      </c>
      <c r="R195" s="635">
        <f>ROUND(14000*Q195,2)</f>
        <v>26614</v>
      </c>
      <c r="S195" s="570">
        <v>202305</v>
      </c>
      <c r="T195" s="571" t="s">
        <v>4572</v>
      </c>
      <c r="U195" s="621"/>
      <c r="V195" s="636">
        <v>91.18215026</v>
      </c>
      <c r="W195" s="637">
        <v>95.021000000000001</v>
      </c>
      <c r="X195" s="632">
        <v>44829</v>
      </c>
      <c r="Y195" s="632">
        <v>45559</v>
      </c>
      <c r="Z195" s="575"/>
      <c r="AA195" s="576"/>
      <c r="AB195" s="576"/>
      <c r="AC195" s="576"/>
    </row>
    <row r="196" spans="1:29" s="577" customFormat="1" ht="15" customHeight="1">
      <c r="A196" s="561" t="s">
        <v>260</v>
      </c>
      <c r="B196" s="562" t="s">
        <v>46</v>
      </c>
      <c r="C196" s="563" t="s">
        <v>188</v>
      </c>
      <c r="D196" s="562" t="s">
        <v>48</v>
      </c>
      <c r="E196" s="561" t="s">
        <v>919</v>
      </c>
      <c r="F196" s="561" t="s">
        <v>953</v>
      </c>
      <c r="G196" s="561" t="s">
        <v>165</v>
      </c>
      <c r="H196" s="564" t="s">
        <v>1225</v>
      </c>
      <c r="I196" s="565" t="e">
        <f>VLOOKUP(H196,'合同高级查询数据-10月新返回合同'!A:A,1,0)</f>
        <v>#N/A</v>
      </c>
      <c r="J196" s="566" t="s">
        <v>3858</v>
      </c>
      <c r="K196" s="561" t="s">
        <v>1226</v>
      </c>
      <c r="L196" s="564" t="s">
        <v>1227</v>
      </c>
      <c r="M196" s="561"/>
      <c r="N196" s="567">
        <v>41244</v>
      </c>
      <c r="O196" s="561" t="s">
        <v>1542</v>
      </c>
      <c r="P196" s="633" t="s">
        <v>4045</v>
      </c>
      <c r="Q196" s="634">
        <f>79.288-77.5</f>
        <v>1.7879999999999967</v>
      </c>
      <c r="R196" s="635">
        <f>ROUND(14000*Q196,2)</f>
        <v>25032</v>
      </c>
      <c r="S196" s="570">
        <v>202305</v>
      </c>
      <c r="T196" s="571" t="s">
        <v>4573</v>
      </c>
      <c r="U196" s="621"/>
      <c r="V196" s="636">
        <v>77.469247163000006</v>
      </c>
      <c r="W196" s="637">
        <v>81.106999999999999</v>
      </c>
      <c r="X196" s="632">
        <v>44829</v>
      </c>
      <c r="Y196" s="632">
        <v>45559</v>
      </c>
      <c r="Z196" s="575"/>
      <c r="AA196" s="576"/>
      <c r="AB196" s="576"/>
      <c r="AC196" s="576"/>
    </row>
    <row r="197" spans="1:29" s="577" customFormat="1" ht="15" customHeight="1">
      <c r="A197" s="561" t="s">
        <v>260</v>
      </c>
      <c r="B197" s="562" t="s">
        <v>46</v>
      </c>
      <c r="C197" s="563" t="s">
        <v>188</v>
      </c>
      <c r="D197" s="562" t="s">
        <v>48</v>
      </c>
      <c r="E197" s="561" t="s">
        <v>919</v>
      </c>
      <c r="F197" s="561" t="s">
        <v>953</v>
      </c>
      <c r="G197" s="561" t="s">
        <v>165</v>
      </c>
      <c r="H197" s="564" t="s">
        <v>1225</v>
      </c>
      <c r="I197" s="565" t="e">
        <f>VLOOKUP(H197,'合同高级查询数据-10月新返回合同'!A:A,1,0)</f>
        <v>#N/A</v>
      </c>
      <c r="J197" s="566" t="s">
        <v>3776</v>
      </c>
      <c r="K197" s="561" t="s">
        <v>4052</v>
      </c>
      <c r="L197" s="564" t="s">
        <v>4053</v>
      </c>
      <c r="M197" s="561"/>
      <c r="N197" s="567">
        <v>42796</v>
      </c>
      <c r="O197" s="561" t="s">
        <v>3847</v>
      </c>
      <c r="P197" s="633">
        <v>120000</v>
      </c>
      <c r="Q197" s="634">
        <f>3.873-3.8</f>
        <v>7.3000000000000398E-2</v>
      </c>
      <c r="R197" s="635">
        <f>ROUND(P197*Q197,2)</f>
        <v>8760</v>
      </c>
      <c r="S197" s="570">
        <v>202305</v>
      </c>
      <c r="T197" s="571" t="s">
        <v>4574</v>
      </c>
      <c r="U197" s="621"/>
      <c r="V197" s="636">
        <v>3.7071726659999999</v>
      </c>
      <c r="W197" s="637">
        <v>4.0380000000000003</v>
      </c>
      <c r="X197" s="632">
        <v>44829</v>
      </c>
      <c r="Y197" s="632">
        <v>45559</v>
      </c>
      <c r="Z197" s="575"/>
      <c r="AA197" s="576"/>
      <c r="AB197" s="576"/>
      <c r="AC197" s="576"/>
    </row>
    <row r="198" spans="1:29" s="577" customFormat="1" ht="15" customHeight="1">
      <c r="A198" s="561" t="s">
        <v>260</v>
      </c>
      <c r="B198" s="562" t="s">
        <v>46</v>
      </c>
      <c r="C198" s="563" t="s">
        <v>188</v>
      </c>
      <c r="D198" s="562" t="s">
        <v>48</v>
      </c>
      <c r="E198" s="561" t="s">
        <v>919</v>
      </c>
      <c r="F198" s="561" t="s">
        <v>953</v>
      </c>
      <c r="G198" s="561" t="s">
        <v>165</v>
      </c>
      <c r="H198" s="564" t="s">
        <v>1225</v>
      </c>
      <c r="I198" s="565" t="e">
        <f>VLOOKUP(H198,'合同高级查询数据-10月新返回合同'!A:A,1,0)</f>
        <v>#N/A</v>
      </c>
      <c r="J198" s="566" t="s">
        <v>3858</v>
      </c>
      <c r="K198" s="561" t="s">
        <v>4571</v>
      </c>
      <c r="L198" s="564" t="s">
        <v>4043</v>
      </c>
      <c r="M198" s="561"/>
      <c r="N198" s="567">
        <v>41244</v>
      </c>
      <c r="O198" s="561" t="s">
        <v>4044</v>
      </c>
      <c r="P198" s="633" t="s">
        <v>4045</v>
      </c>
      <c r="Q198" s="638">
        <f>92.71-90.76</f>
        <v>1.9499999999999886</v>
      </c>
      <c r="R198" s="639">
        <f>ROUND(14000*Q198,2)</f>
        <v>27300</v>
      </c>
      <c r="S198" s="570">
        <v>202306</v>
      </c>
      <c r="T198" s="571" t="s">
        <v>4576</v>
      </c>
      <c r="U198" s="621"/>
      <c r="V198" s="640">
        <v>90.760588088999995</v>
      </c>
      <c r="W198" s="640">
        <v>94.66</v>
      </c>
      <c r="X198" s="632">
        <v>44829</v>
      </c>
      <c r="Y198" s="632">
        <v>45559</v>
      </c>
      <c r="Z198" s="575"/>
      <c r="AA198" s="576"/>
      <c r="AB198" s="576"/>
      <c r="AC198" s="576"/>
    </row>
    <row r="199" spans="1:29" s="577" customFormat="1" ht="15" customHeight="1">
      <c r="A199" s="561" t="s">
        <v>260</v>
      </c>
      <c r="B199" s="562" t="s">
        <v>46</v>
      </c>
      <c r="C199" s="563" t="s">
        <v>188</v>
      </c>
      <c r="D199" s="562" t="s">
        <v>48</v>
      </c>
      <c r="E199" s="561" t="s">
        <v>919</v>
      </c>
      <c r="F199" s="561" t="s">
        <v>953</v>
      </c>
      <c r="G199" s="561" t="s">
        <v>165</v>
      </c>
      <c r="H199" s="564" t="s">
        <v>1225</v>
      </c>
      <c r="I199" s="565" t="e">
        <f>VLOOKUP(H199,'合同高级查询数据-10月新返回合同'!A:A,1,0)</f>
        <v>#N/A</v>
      </c>
      <c r="J199" s="566" t="s">
        <v>3858</v>
      </c>
      <c r="K199" s="561" t="s">
        <v>1226</v>
      </c>
      <c r="L199" s="564" t="s">
        <v>1227</v>
      </c>
      <c r="M199" s="561"/>
      <c r="N199" s="567">
        <v>41244</v>
      </c>
      <c r="O199" s="561" t="s">
        <v>1542</v>
      </c>
      <c r="P199" s="633" t="s">
        <v>4045</v>
      </c>
      <c r="Q199" s="638">
        <f>92.358-90.4</f>
        <v>1.9579999999999984</v>
      </c>
      <c r="R199" s="639">
        <f>ROUND(14000*Q199,2)</f>
        <v>27412</v>
      </c>
      <c r="S199" s="570">
        <v>202306</v>
      </c>
      <c r="T199" s="571" t="s">
        <v>4577</v>
      </c>
      <c r="U199" s="621"/>
      <c r="V199" s="640">
        <v>90.397780862999994</v>
      </c>
      <c r="W199" s="640">
        <v>94.319000000000003</v>
      </c>
      <c r="X199" s="632">
        <v>44829</v>
      </c>
      <c r="Y199" s="632">
        <v>45559</v>
      </c>
      <c r="Z199" s="575"/>
      <c r="AA199" s="576"/>
      <c r="AB199" s="576"/>
      <c r="AC199" s="576"/>
    </row>
    <row r="200" spans="1:29" s="577" customFormat="1" ht="15" customHeight="1">
      <c r="A200" s="561" t="s">
        <v>260</v>
      </c>
      <c r="B200" s="562" t="s">
        <v>46</v>
      </c>
      <c r="C200" s="563" t="s">
        <v>188</v>
      </c>
      <c r="D200" s="562" t="s">
        <v>48</v>
      </c>
      <c r="E200" s="561" t="s">
        <v>919</v>
      </c>
      <c r="F200" s="561" t="s">
        <v>953</v>
      </c>
      <c r="G200" s="561" t="s">
        <v>165</v>
      </c>
      <c r="H200" s="564" t="s">
        <v>1225</v>
      </c>
      <c r="I200" s="565" t="e">
        <f>VLOOKUP(H200,'合同高级查询数据-10月新返回合同'!A:A,1,0)</f>
        <v>#N/A</v>
      </c>
      <c r="J200" s="566" t="s">
        <v>3776</v>
      </c>
      <c r="K200" s="561" t="s">
        <v>4052</v>
      </c>
      <c r="L200" s="564" t="s">
        <v>4053</v>
      </c>
      <c r="M200" s="561"/>
      <c r="N200" s="567">
        <v>42796</v>
      </c>
      <c r="O200" s="561" t="s">
        <v>3847</v>
      </c>
      <c r="P200" s="633">
        <v>120000</v>
      </c>
      <c r="Q200" s="638">
        <f>3.949-3.78</f>
        <v>0.16900000000000004</v>
      </c>
      <c r="R200" s="639">
        <f>ROUND(P200*Q200,2)</f>
        <v>20280</v>
      </c>
      <c r="S200" s="570">
        <v>202306</v>
      </c>
      <c r="T200" s="571" t="s">
        <v>4578</v>
      </c>
      <c r="U200" s="621"/>
      <c r="V200" s="640">
        <v>3.7826549680000001</v>
      </c>
      <c r="W200" s="640">
        <v>4.1150000000000002</v>
      </c>
      <c r="X200" s="632">
        <v>44829</v>
      </c>
      <c r="Y200" s="632">
        <v>45559</v>
      </c>
      <c r="Z200" s="575"/>
      <c r="AA200" s="576"/>
      <c r="AB200" s="576"/>
      <c r="AC200" s="576"/>
    </row>
    <row r="201" spans="1:29" s="577" customFormat="1" ht="15" customHeight="1">
      <c r="A201" s="561" t="s">
        <v>260</v>
      </c>
      <c r="B201" s="562" t="s">
        <v>46</v>
      </c>
      <c r="C201" s="563" t="s">
        <v>188</v>
      </c>
      <c r="D201" s="562" t="s">
        <v>48</v>
      </c>
      <c r="E201" s="561" t="s">
        <v>919</v>
      </c>
      <c r="F201" s="561" t="s">
        <v>953</v>
      </c>
      <c r="G201" s="561" t="s">
        <v>165</v>
      </c>
      <c r="H201" s="564" t="s">
        <v>1225</v>
      </c>
      <c r="I201" s="565" t="e">
        <f>VLOOKUP(H201,'合同高级查询数据-10月新返回合同'!A:A,1,0)</f>
        <v>#N/A</v>
      </c>
      <c r="J201" s="566" t="s">
        <v>3858</v>
      </c>
      <c r="K201" s="561" t="s">
        <v>4571</v>
      </c>
      <c r="L201" s="564" t="s">
        <v>4043</v>
      </c>
      <c r="M201" s="561"/>
      <c r="N201" s="567">
        <v>41244</v>
      </c>
      <c r="O201" s="561" t="s">
        <v>4044</v>
      </c>
      <c r="P201" s="633" t="s">
        <v>4045</v>
      </c>
      <c r="Q201" s="638">
        <f>87.881-86.13</f>
        <v>1.7510000000000048</v>
      </c>
      <c r="R201" s="639">
        <f>ROUND(14000*Q201,2)</f>
        <v>24514</v>
      </c>
      <c r="S201" s="570">
        <v>202307</v>
      </c>
      <c r="T201" s="571" t="s">
        <v>4579</v>
      </c>
      <c r="U201" s="621"/>
      <c r="V201" s="641">
        <v>86.134475975000001</v>
      </c>
      <c r="W201" s="641">
        <f>197.7-W202</f>
        <v>89.627999999999986</v>
      </c>
      <c r="X201" s="632">
        <v>44829</v>
      </c>
      <c r="Y201" s="632">
        <v>45559</v>
      </c>
      <c r="Z201" s="575"/>
      <c r="AA201" s="576"/>
      <c r="AB201" s="576"/>
      <c r="AC201" s="576"/>
    </row>
    <row r="202" spans="1:29" s="577" customFormat="1" ht="15" customHeight="1">
      <c r="A202" s="561" t="s">
        <v>260</v>
      </c>
      <c r="B202" s="562" t="s">
        <v>46</v>
      </c>
      <c r="C202" s="563" t="s">
        <v>188</v>
      </c>
      <c r="D202" s="562" t="s">
        <v>48</v>
      </c>
      <c r="E202" s="561" t="s">
        <v>919</v>
      </c>
      <c r="F202" s="561" t="s">
        <v>953</v>
      </c>
      <c r="G202" s="561" t="s">
        <v>165</v>
      </c>
      <c r="H202" s="564" t="s">
        <v>1225</v>
      </c>
      <c r="I202" s="565" t="e">
        <f>VLOOKUP(H202,'合同高级查询数据-10月新返回合同'!A:A,1,0)</f>
        <v>#N/A</v>
      </c>
      <c r="J202" s="566" t="s">
        <v>3858</v>
      </c>
      <c r="K202" s="561" t="s">
        <v>1226</v>
      </c>
      <c r="L202" s="564" t="s">
        <v>1227</v>
      </c>
      <c r="M202" s="561"/>
      <c r="N202" s="567">
        <v>41244</v>
      </c>
      <c r="O202" s="561" t="s">
        <v>1542</v>
      </c>
      <c r="P202" s="633" t="s">
        <v>4045</v>
      </c>
      <c r="Q202" s="638">
        <f>105.905-103.74</f>
        <v>2.1650000000000063</v>
      </c>
      <c r="R202" s="639">
        <f>ROUND(14000*Q202,2)</f>
        <v>30310</v>
      </c>
      <c r="S202" s="570">
        <v>202307</v>
      </c>
      <c r="T202" s="571" t="s">
        <v>4580</v>
      </c>
      <c r="U202" s="621"/>
      <c r="V202" s="578">
        <v>103.73724788</v>
      </c>
      <c r="W202" s="573">
        <v>108.072</v>
      </c>
      <c r="X202" s="632">
        <v>44829</v>
      </c>
      <c r="Y202" s="632">
        <v>45559</v>
      </c>
      <c r="Z202" s="575"/>
      <c r="AA202" s="576"/>
      <c r="AB202" s="576"/>
      <c r="AC202" s="576"/>
    </row>
    <row r="203" spans="1:29" s="577" customFormat="1" ht="15" customHeight="1">
      <c r="A203" s="561" t="s">
        <v>260</v>
      </c>
      <c r="B203" s="562" t="s">
        <v>46</v>
      </c>
      <c r="C203" s="563" t="s">
        <v>188</v>
      </c>
      <c r="D203" s="562" t="s">
        <v>48</v>
      </c>
      <c r="E203" s="561" t="s">
        <v>919</v>
      </c>
      <c r="F203" s="561" t="s">
        <v>953</v>
      </c>
      <c r="G203" s="561" t="s">
        <v>165</v>
      </c>
      <c r="H203" s="564" t="s">
        <v>1225</v>
      </c>
      <c r="I203" s="565" t="e">
        <f>VLOOKUP(H203,'合同高级查询数据-10月新返回合同'!A:A,1,0)</f>
        <v>#N/A</v>
      </c>
      <c r="J203" s="566" t="s">
        <v>3776</v>
      </c>
      <c r="K203" s="561" t="s">
        <v>4052</v>
      </c>
      <c r="L203" s="564" t="s">
        <v>4053</v>
      </c>
      <c r="M203" s="561"/>
      <c r="N203" s="567">
        <v>42796</v>
      </c>
      <c r="O203" s="561" t="s">
        <v>3847</v>
      </c>
      <c r="P203" s="633">
        <v>120000</v>
      </c>
      <c r="Q203" s="638">
        <f>4.284-4.11</f>
        <v>0.17399999999999949</v>
      </c>
      <c r="R203" s="639">
        <f t="shared" ref="R203" si="12">ROUND(P203*Q203,2)</f>
        <v>20880</v>
      </c>
      <c r="S203" s="570">
        <v>202307</v>
      </c>
      <c r="T203" s="571" t="s">
        <v>4581</v>
      </c>
      <c r="U203" s="621"/>
      <c r="V203" s="641">
        <v>4.1146105979999996</v>
      </c>
      <c r="W203" s="641">
        <v>4.4539999999999997</v>
      </c>
      <c r="X203" s="632">
        <v>44829</v>
      </c>
      <c r="Y203" s="632">
        <v>45559</v>
      </c>
      <c r="Z203" s="575"/>
      <c r="AA203" s="576"/>
      <c r="AB203" s="576"/>
      <c r="AC203" s="576"/>
    </row>
    <row r="204" spans="1:29" s="577" customFormat="1" ht="15" customHeight="1">
      <c r="A204" s="561" t="s">
        <v>260</v>
      </c>
      <c r="B204" s="562" t="s">
        <v>46</v>
      </c>
      <c r="C204" s="563" t="s">
        <v>188</v>
      </c>
      <c r="D204" s="562" t="s">
        <v>48</v>
      </c>
      <c r="E204" s="561" t="s">
        <v>919</v>
      </c>
      <c r="F204" s="561" t="s">
        <v>953</v>
      </c>
      <c r="G204" s="561" t="s">
        <v>165</v>
      </c>
      <c r="H204" s="564" t="s">
        <v>1225</v>
      </c>
      <c r="I204" s="565" t="e">
        <f>VLOOKUP(H204,'合同高级查询数据-10月新返回合同'!A:A,1,0)</f>
        <v>#N/A</v>
      </c>
      <c r="J204" s="566" t="s">
        <v>3858</v>
      </c>
      <c r="K204" s="561" t="s">
        <v>4571</v>
      </c>
      <c r="L204" s="564" t="s">
        <v>4043</v>
      </c>
      <c r="M204" s="561"/>
      <c r="N204" s="567">
        <v>41244</v>
      </c>
      <c r="O204" s="561" t="s">
        <v>4044</v>
      </c>
      <c r="P204" s="633" t="s">
        <v>4045</v>
      </c>
      <c r="Q204" s="638">
        <f>88.892-87.06</f>
        <v>1.8319999999999936</v>
      </c>
      <c r="R204" s="639">
        <f>ROUND(14000*Q204,2)</f>
        <v>25648</v>
      </c>
      <c r="S204" s="570">
        <v>202308</v>
      </c>
      <c r="T204" s="571" t="s">
        <v>4582</v>
      </c>
      <c r="U204" s="621"/>
      <c r="V204" s="642">
        <v>87.063915590999997</v>
      </c>
      <c r="W204" s="592">
        <v>90.721000000000004</v>
      </c>
      <c r="X204" s="632">
        <v>44829</v>
      </c>
      <c r="Y204" s="632">
        <v>45559</v>
      </c>
      <c r="Z204" s="575"/>
      <c r="AA204" s="576"/>
      <c r="AB204" s="576"/>
      <c r="AC204" s="576"/>
    </row>
    <row r="205" spans="1:29" s="577" customFormat="1" ht="15" customHeight="1">
      <c r="A205" s="561" t="s">
        <v>260</v>
      </c>
      <c r="B205" s="562" t="s">
        <v>46</v>
      </c>
      <c r="C205" s="563" t="s">
        <v>188</v>
      </c>
      <c r="D205" s="562" t="s">
        <v>48</v>
      </c>
      <c r="E205" s="561" t="s">
        <v>919</v>
      </c>
      <c r="F205" s="561" t="s">
        <v>953</v>
      </c>
      <c r="G205" s="561" t="s">
        <v>165</v>
      </c>
      <c r="H205" s="564" t="s">
        <v>1225</v>
      </c>
      <c r="I205" s="565" t="e">
        <f>VLOOKUP(H205,'合同高级查询数据-10月新返回合同'!A:A,1,0)</f>
        <v>#N/A</v>
      </c>
      <c r="J205" s="566" t="s">
        <v>3858</v>
      </c>
      <c r="K205" s="561" t="s">
        <v>1226</v>
      </c>
      <c r="L205" s="564" t="s">
        <v>1227</v>
      </c>
      <c r="M205" s="561"/>
      <c r="N205" s="567">
        <v>41244</v>
      </c>
      <c r="O205" s="561" t="s">
        <v>1542</v>
      </c>
      <c r="P205" s="633" t="s">
        <v>4045</v>
      </c>
      <c r="Q205" s="638">
        <f>105.77-103.62</f>
        <v>2.1499999999999915</v>
      </c>
      <c r="R205" s="639">
        <f>ROUND(14000*Q205,2)</f>
        <v>30100</v>
      </c>
      <c r="S205" s="570">
        <v>202308</v>
      </c>
      <c r="T205" s="571" t="s">
        <v>4583</v>
      </c>
      <c r="U205" s="621"/>
      <c r="V205" s="642">
        <v>103.61664197499999</v>
      </c>
      <c r="W205" s="592">
        <v>107.925</v>
      </c>
      <c r="X205" s="632">
        <v>44829</v>
      </c>
      <c r="Y205" s="632">
        <v>45559</v>
      </c>
      <c r="Z205" s="575"/>
      <c r="AA205" s="576"/>
      <c r="AB205" s="576"/>
      <c r="AC205" s="576"/>
    </row>
    <row r="206" spans="1:29" s="577" customFormat="1" ht="15" customHeight="1">
      <c r="A206" s="561" t="s">
        <v>260</v>
      </c>
      <c r="B206" s="562" t="s">
        <v>46</v>
      </c>
      <c r="C206" s="563" t="s">
        <v>188</v>
      </c>
      <c r="D206" s="562" t="s">
        <v>48</v>
      </c>
      <c r="E206" s="561" t="s">
        <v>919</v>
      </c>
      <c r="F206" s="561" t="s">
        <v>953</v>
      </c>
      <c r="G206" s="561" t="s">
        <v>165</v>
      </c>
      <c r="H206" s="564" t="s">
        <v>1225</v>
      </c>
      <c r="I206" s="565" t="e">
        <f>VLOOKUP(H206,'合同高级查询数据-10月新返回合同'!A:A,1,0)</f>
        <v>#N/A</v>
      </c>
      <c r="J206" s="566" t="s">
        <v>3776</v>
      </c>
      <c r="K206" s="561" t="s">
        <v>4052</v>
      </c>
      <c r="L206" s="564" t="s">
        <v>4053</v>
      </c>
      <c r="M206" s="561"/>
      <c r="N206" s="567">
        <v>42796</v>
      </c>
      <c r="O206" s="561" t="s">
        <v>3847</v>
      </c>
      <c r="P206" s="633">
        <v>120000</v>
      </c>
      <c r="Q206" s="638">
        <f>4.092-3.92</f>
        <v>0.17199999999999971</v>
      </c>
      <c r="R206" s="639">
        <f>ROUND(P206*Q206,2)</f>
        <v>20640</v>
      </c>
      <c r="S206" s="570">
        <v>202308</v>
      </c>
      <c r="T206" s="571" t="s">
        <v>4584</v>
      </c>
      <c r="U206" s="621"/>
      <c r="V206" s="642">
        <v>3.9240515870000001</v>
      </c>
      <c r="W206" s="592">
        <v>4.2590000000000003</v>
      </c>
      <c r="X206" s="632">
        <v>44829</v>
      </c>
      <c r="Y206" s="632">
        <v>45559</v>
      </c>
      <c r="Z206" s="575"/>
      <c r="AA206" s="576"/>
      <c r="AB206" s="576"/>
      <c r="AC206" s="576"/>
    </row>
    <row r="207" spans="1:29" s="385" customFormat="1" ht="15" customHeight="1">
      <c r="A207" s="386" t="s">
        <v>258</v>
      </c>
      <c r="B207" s="387" t="s">
        <v>46</v>
      </c>
      <c r="C207" s="388" t="s">
        <v>188</v>
      </c>
      <c r="D207" s="387" t="s">
        <v>48</v>
      </c>
      <c r="E207" s="386" t="s">
        <v>431</v>
      </c>
      <c r="F207" s="386" t="s">
        <v>432</v>
      </c>
      <c r="G207" s="386" t="s">
        <v>165</v>
      </c>
      <c r="H207" s="389" t="s">
        <v>3843</v>
      </c>
      <c r="I207" s="369" t="e">
        <f>VLOOKUP(H207,'合同高级查询数据-10月新返回合同'!A:A,1,0)</f>
        <v>#N/A</v>
      </c>
      <c r="J207" s="390" t="s">
        <v>3776</v>
      </c>
      <c r="K207" s="386" t="s">
        <v>3844</v>
      </c>
      <c r="L207" s="389" t="s">
        <v>3845</v>
      </c>
      <c r="M207" s="386"/>
      <c r="N207" s="391" t="s">
        <v>3846</v>
      </c>
      <c r="O207" s="386" t="s">
        <v>3847</v>
      </c>
      <c r="P207" s="445">
        <v>175000</v>
      </c>
      <c r="Q207" s="446">
        <f>4.5-4.4</f>
        <v>9.9999999999999645E-2</v>
      </c>
      <c r="R207" s="447">
        <f t="shared" ref="R207:R219" si="13">ROUND(P207*Q207,2)</f>
        <v>17500</v>
      </c>
      <c r="S207" s="378">
        <v>202309</v>
      </c>
      <c r="T207" s="394" t="s">
        <v>4585</v>
      </c>
      <c r="U207" s="380"/>
      <c r="V207" s="398">
        <v>4.3360249959999999</v>
      </c>
      <c r="W207" s="395">
        <v>4.67</v>
      </c>
      <c r="X207" s="449"/>
      <c r="Y207" s="449"/>
      <c r="Z207" s="382"/>
      <c r="AA207" s="384"/>
      <c r="AB207" s="384"/>
      <c r="AC207" s="384"/>
    </row>
    <row r="208" spans="1:29" s="385" customFormat="1" ht="15" customHeight="1">
      <c r="A208" s="386" t="s">
        <v>258</v>
      </c>
      <c r="B208" s="387" t="s">
        <v>46</v>
      </c>
      <c r="C208" s="388" t="s">
        <v>188</v>
      </c>
      <c r="D208" s="387" t="s">
        <v>48</v>
      </c>
      <c r="E208" s="386" t="s">
        <v>431</v>
      </c>
      <c r="F208" s="386" t="s">
        <v>432</v>
      </c>
      <c r="G208" s="386" t="s">
        <v>165</v>
      </c>
      <c r="H208" s="389" t="s">
        <v>610</v>
      </c>
      <c r="I208" s="369" t="e">
        <f>VLOOKUP(H208,'合同高级查询数据-10月新返回合同'!A:A,1,0)</f>
        <v>#N/A</v>
      </c>
      <c r="J208" s="390" t="s">
        <v>3858</v>
      </c>
      <c r="K208" s="386" t="s">
        <v>3859</v>
      </c>
      <c r="L208" s="389" t="s">
        <v>3860</v>
      </c>
      <c r="M208" s="386"/>
      <c r="N208" s="391" t="s">
        <v>3861</v>
      </c>
      <c r="O208" s="386" t="s">
        <v>3862</v>
      </c>
      <c r="P208" s="445">
        <v>13333.33</v>
      </c>
      <c r="Q208" s="446">
        <f>58.97-57.8</f>
        <v>1.1700000000000017</v>
      </c>
      <c r="R208" s="447">
        <f t="shared" si="13"/>
        <v>15600</v>
      </c>
      <c r="S208" s="378">
        <v>202309</v>
      </c>
      <c r="T208" s="394" t="s">
        <v>4586</v>
      </c>
      <c r="U208" s="380"/>
      <c r="V208" s="398">
        <v>57.770244050999999</v>
      </c>
      <c r="W208" s="395">
        <v>60.17</v>
      </c>
      <c r="X208" s="449"/>
      <c r="Y208" s="449"/>
      <c r="Z208" s="382"/>
      <c r="AA208" s="384"/>
      <c r="AB208" s="384"/>
      <c r="AC208" s="384"/>
    </row>
    <row r="209" spans="1:29" s="385" customFormat="1" ht="15" customHeight="1">
      <c r="A209" s="386" t="s">
        <v>258</v>
      </c>
      <c r="B209" s="387" t="s">
        <v>46</v>
      </c>
      <c r="C209" s="388" t="s">
        <v>188</v>
      </c>
      <c r="D209" s="387" t="s">
        <v>48</v>
      </c>
      <c r="E209" s="386" t="s">
        <v>431</v>
      </c>
      <c r="F209" s="386" t="s">
        <v>432</v>
      </c>
      <c r="G209" s="386" t="s">
        <v>165</v>
      </c>
      <c r="H209" s="389" t="s">
        <v>610</v>
      </c>
      <c r="I209" s="369" t="e">
        <f>VLOOKUP(H209,'合同高级查询数据-10月新返回合同'!A:A,1,0)</f>
        <v>#N/A</v>
      </c>
      <c r="J209" s="390" t="s">
        <v>3858</v>
      </c>
      <c r="K209" s="386" t="s">
        <v>3866</v>
      </c>
      <c r="L209" s="389" t="s">
        <v>3867</v>
      </c>
      <c r="M209" s="386"/>
      <c r="N209" s="391" t="s">
        <v>3868</v>
      </c>
      <c r="O209" s="386" t="s">
        <v>3869</v>
      </c>
      <c r="P209" s="445">
        <v>13333.33</v>
      </c>
      <c r="Q209" s="446">
        <f>15.88-15.7</f>
        <v>0.18000000000000149</v>
      </c>
      <c r="R209" s="447">
        <f t="shared" si="13"/>
        <v>2400</v>
      </c>
      <c r="S209" s="378">
        <v>202309</v>
      </c>
      <c r="T209" s="394" t="s">
        <v>4587</v>
      </c>
      <c r="U209" s="380"/>
      <c r="V209" s="398">
        <v>15.631328109</v>
      </c>
      <c r="W209" s="395">
        <v>16.12</v>
      </c>
      <c r="X209" s="449"/>
      <c r="Y209" s="449"/>
      <c r="Z209" s="382"/>
      <c r="AA209" s="384"/>
      <c r="AB209" s="384"/>
      <c r="AC209" s="384"/>
    </row>
    <row r="210" spans="1:29" s="385" customFormat="1" ht="15" customHeight="1">
      <c r="A210" s="386" t="s">
        <v>258</v>
      </c>
      <c r="B210" s="387" t="s">
        <v>46</v>
      </c>
      <c r="C210" s="388" t="s">
        <v>188</v>
      </c>
      <c r="D210" s="387" t="s">
        <v>48</v>
      </c>
      <c r="E210" s="386" t="s">
        <v>431</v>
      </c>
      <c r="F210" s="386" t="s">
        <v>547</v>
      </c>
      <c r="G210" s="386" t="s">
        <v>165</v>
      </c>
      <c r="H210" s="390" t="s">
        <v>548</v>
      </c>
      <c r="I210" s="369" t="e">
        <f>VLOOKUP(H210,'合同高级查询数据-10月新返回合同'!A:A,1,0)</f>
        <v>#N/A</v>
      </c>
      <c r="J210" s="390" t="s">
        <v>3858</v>
      </c>
      <c r="K210" s="386" t="s">
        <v>3872</v>
      </c>
      <c r="L210" s="389" t="s">
        <v>3873</v>
      </c>
      <c r="M210" s="386"/>
      <c r="N210" s="391">
        <v>44453</v>
      </c>
      <c r="O210" s="386" t="s">
        <v>3874</v>
      </c>
      <c r="P210" s="445">
        <v>9000</v>
      </c>
      <c r="Q210" s="446">
        <f>77.31-75.6</f>
        <v>1.710000000000008</v>
      </c>
      <c r="R210" s="447">
        <f t="shared" si="13"/>
        <v>15390</v>
      </c>
      <c r="S210" s="378">
        <v>202309</v>
      </c>
      <c r="T210" s="394" t="s">
        <v>4588</v>
      </c>
      <c r="U210" s="380"/>
      <c r="V210" s="398">
        <v>75.573084954999999</v>
      </c>
      <c r="W210" s="395">
        <v>79.05</v>
      </c>
      <c r="X210" s="449"/>
      <c r="Y210" s="449"/>
      <c r="Z210" s="382"/>
      <c r="AA210" s="384"/>
      <c r="AB210" s="384"/>
      <c r="AC210" s="384"/>
    </row>
    <row r="211" spans="1:29" s="577" customFormat="1" ht="15" customHeight="1">
      <c r="A211" s="561" t="s">
        <v>260</v>
      </c>
      <c r="B211" s="562" t="s">
        <v>46</v>
      </c>
      <c r="C211" s="563" t="s">
        <v>188</v>
      </c>
      <c r="D211" s="563" t="s">
        <v>48</v>
      </c>
      <c r="E211" s="561" t="s">
        <v>431</v>
      </c>
      <c r="F211" s="561" t="s">
        <v>432</v>
      </c>
      <c r="G211" s="561" t="s">
        <v>165</v>
      </c>
      <c r="H211" s="564" t="s">
        <v>490</v>
      </c>
      <c r="I211" s="565" t="e">
        <f>VLOOKUP(H211,'合同高级查询数据-10月新返回合同'!A:A,1,0)</f>
        <v>#N/A</v>
      </c>
      <c r="J211" s="566" t="s">
        <v>3724</v>
      </c>
      <c r="K211" s="561" t="s">
        <v>3883</v>
      </c>
      <c r="L211" s="564" t="s">
        <v>3603</v>
      </c>
      <c r="M211" s="561"/>
      <c r="N211" s="567" t="s">
        <v>3884</v>
      </c>
      <c r="O211" s="561" t="s">
        <v>3885</v>
      </c>
      <c r="P211" s="633">
        <v>7794</v>
      </c>
      <c r="Q211" s="638">
        <f>136.8-134.2</f>
        <v>2.6000000000000227</v>
      </c>
      <c r="R211" s="639">
        <f t="shared" si="13"/>
        <v>20264.400000000001</v>
      </c>
      <c r="S211" s="570">
        <v>202309</v>
      </c>
      <c r="T211" s="571" t="s">
        <v>4589</v>
      </c>
      <c r="U211" s="621"/>
      <c r="V211" s="590">
        <v>134.15533966000001</v>
      </c>
      <c r="W211" s="573">
        <v>139.30000000000001</v>
      </c>
      <c r="X211" s="632">
        <v>44044</v>
      </c>
      <c r="Y211" s="632">
        <v>45199</v>
      </c>
      <c r="Z211" s="575"/>
      <c r="AA211" s="576"/>
      <c r="AB211" s="576"/>
      <c r="AC211" s="576"/>
    </row>
    <row r="212" spans="1:29" s="577" customFormat="1" ht="15" customHeight="1">
      <c r="A212" s="561" t="s">
        <v>45</v>
      </c>
      <c r="B212" s="562" t="s">
        <v>46</v>
      </c>
      <c r="C212" s="563" t="s">
        <v>188</v>
      </c>
      <c r="D212" s="563" t="s">
        <v>48</v>
      </c>
      <c r="E212" s="561" t="s">
        <v>431</v>
      </c>
      <c r="F212" s="561" t="s">
        <v>432</v>
      </c>
      <c r="G212" s="561" t="s">
        <v>165</v>
      </c>
      <c r="H212" s="564" t="s">
        <v>490</v>
      </c>
      <c r="I212" s="565" t="e">
        <f>VLOOKUP(H212,'合同高级查询数据-10月新返回合同'!A:A,1,0)</f>
        <v>#N/A</v>
      </c>
      <c r="J212" s="566" t="s">
        <v>3724</v>
      </c>
      <c r="K212" s="561" t="s">
        <v>3888</v>
      </c>
      <c r="L212" s="564" t="s">
        <v>3889</v>
      </c>
      <c r="M212" s="561"/>
      <c r="N212" s="567" t="s">
        <v>3890</v>
      </c>
      <c r="O212" s="561" t="s">
        <v>3891</v>
      </c>
      <c r="P212" s="633">
        <v>5000</v>
      </c>
      <c r="Q212" s="638">
        <f>128.7-123.1</f>
        <v>5.5999999999999943</v>
      </c>
      <c r="R212" s="639">
        <f t="shared" si="13"/>
        <v>28000</v>
      </c>
      <c r="S212" s="570">
        <v>202309</v>
      </c>
      <c r="T212" s="571" t="s">
        <v>4590</v>
      </c>
      <c r="U212" s="621"/>
      <c r="V212" s="590">
        <v>123.023971558</v>
      </c>
      <c r="W212" s="573">
        <v>134.19999999999999</v>
      </c>
      <c r="X212" s="632">
        <v>44044</v>
      </c>
      <c r="Y212" s="632">
        <v>45199</v>
      </c>
      <c r="Z212" s="575"/>
      <c r="AA212" s="576"/>
      <c r="AB212" s="576"/>
      <c r="AC212" s="576"/>
    </row>
    <row r="213" spans="1:29" s="385" customFormat="1" ht="15" customHeight="1">
      <c r="A213" s="386" t="s">
        <v>258</v>
      </c>
      <c r="B213" s="387" t="s">
        <v>46</v>
      </c>
      <c r="C213" s="388" t="s">
        <v>188</v>
      </c>
      <c r="D213" s="388" t="s">
        <v>48</v>
      </c>
      <c r="E213" s="386" t="s">
        <v>431</v>
      </c>
      <c r="F213" s="386" t="s">
        <v>432</v>
      </c>
      <c r="G213" s="386" t="s">
        <v>165</v>
      </c>
      <c r="H213" s="389" t="s">
        <v>632</v>
      </c>
      <c r="I213" s="369" t="e">
        <f>VLOOKUP(H213,'合同高级查询数据-10月新返回合同'!A:A,1,0)</f>
        <v>#N/A</v>
      </c>
      <c r="J213" s="390" t="s">
        <v>3724</v>
      </c>
      <c r="K213" s="386" t="s">
        <v>626</v>
      </c>
      <c r="L213" s="389" t="s">
        <v>627</v>
      </c>
      <c r="M213" s="386" t="s">
        <v>628</v>
      </c>
      <c r="N213" s="391" t="s">
        <v>3894</v>
      </c>
      <c r="O213" s="400" t="s">
        <v>4630</v>
      </c>
      <c r="P213" s="445">
        <f>9000-6000</f>
        <v>3000</v>
      </c>
      <c r="Q213" s="446">
        <v>73.2</v>
      </c>
      <c r="R213" s="447">
        <f>72.6*9000-ROUND(6000*73.2,2)</f>
        <v>214200</v>
      </c>
      <c r="S213" s="378">
        <v>202309</v>
      </c>
      <c r="T213" s="394" t="s">
        <v>4591</v>
      </c>
      <c r="U213" s="380"/>
      <c r="V213" s="398">
        <v>73.162682421</v>
      </c>
      <c r="W213" s="395">
        <v>75.19</v>
      </c>
      <c r="X213" s="449"/>
      <c r="Y213" s="449"/>
      <c r="Z213" s="382"/>
      <c r="AA213" s="384"/>
      <c r="AB213" s="384"/>
      <c r="AC213" s="384"/>
    </row>
    <row r="214" spans="1:29" s="385" customFormat="1" ht="15" customHeight="1">
      <c r="A214" s="386" t="s">
        <v>258</v>
      </c>
      <c r="B214" s="387" t="s">
        <v>46</v>
      </c>
      <c r="C214" s="388" t="s">
        <v>188</v>
      </c>
      <c r="D214" s="388" t="s">
        <v>48</v>
      </c>
      <c r="E214" s="386" t="s">
        <v>431</v>
      </c>
      <c r="F214" s="386" t="s">
        <v>432</v>
      </c>
      <c r="G214" s="402" t="s">
        <v>165</v>
      </c>
      <c r="H214" s="390" t="s">
        <v>648</v>
      </c>
      <c r="I214" s="369" t="e">
        <f>VLOOKUP(H214,'合同高级查询数据-10月新返回合同'!A:A,1,0)</f>
        <v>#N/A</v>
      </c>
      <c r="J214" s="390" t="s">
        <v>3724</v>
      </c>
      <c r="K214" s="402" t="s">
        <v>649</v>
      </c>
      <c r="L214" s="389" t="s">
        <v>650</v>
      </c>
      <c r="M214" s="403" t="s">
        <v>651</v>
      </c>
      <c r="N214" s="425" t="s">
        <v>3898</v>
      </c>
      <c r="O214" s="425" t="s">
        <v>3899</v>
      </c>
      <c r="P214" s="450">
        <v>9000</v>
      </c>
      <c r="Q214" s="451">
        <f>5.82-5.8</f>
        <v>2.0000000000000462E-2</v>
      </c>
      <c r="R214" s="451">
        <f t="shared" si="13"/>
        <v>180</v>
      </c>
      <c r="S214" s="378">
        <v>202309</v>
      </c>
      <c r="T214" s="452" t="s">
        <v>4592</v>
      </c>
      <c r="U214" s="380"/>
      <c r="V214" s="398">
        <v>5.7638020699999997</v>
      </c>
      <c r="W214" s="408">
        <v>5.82</v>
      </c>
      <c r="X214" s="449"/>
      <c r="Y214" s="449"/>
      <c r="Z214" s="382"/>
      <c r="AA214" s="384"/>
      <c r="AB214" s="384"/>
      <c r="AC214" s="384"/>
    </row>
    <row r="215" spans="1:29" s="577" customFormat="1" ht="15" customHeight="1">
      <c r="A215" s="561" t="s">
        <v>57</v>
      </c>
      <c r="B215" s="562" t="s">
        <v>3728</v>
      </c>
      <c r="C215" s="563" t="s">
        <v>84</v>
      </c>
      <c r="D215" s="563" t="s">
        <v>4698</v>
      </c>
      <c r="E215" s="561" t="s">
        <v>3965</v>
      </c>
      <c r="F215" s="561" t="s">
        <v>3966</v>
      </c>
      <c r="G215" s="561" t="s">
        <v>165</v>
      </c>
      <c r="H215" s="564" t="s">
        <v>3972</v>
      </c>
      <c r="I215" s="565" t="e">
        <f>VLOOKUP(H215,'合同高级查询数据-10月新返回合同'!A:A,1,0)</f>
        <v>#N/A</v>
      </c>
      <c r="J215" s="566" t="s">
        <v>3724</v>
      </c>
      <c r="K215" s="561" t="s">
        <v>3733</v>
      </c>
      <c r="L215" s="564" t="s">
        <v>3973</v>
      </c>
      <c r="M215" s="561"/>
      <c r="N215" s="567">
        <v>43556</v>
      </c>
      <c r="O215" s="561"/>
      <c r="P215" s="633">
        <v>8400</v>
      </c>
      <c r="Q215" s="638">
        <f>2276.147255-2257.895</f>
        <v>18.252254999999877</v>
      </c>
      <c r="R215" s="639">
        <f t="shared" si="13"/>
        <v>153318.94</v>
      </c>
      <c r="S215" s="570">
        <v>202309</v>
      </c>
      <c r="T215" s="571" t="s">
        <v>4594</v>
      </c>
      <c r="U215" s="621"/>
      <c r="V215" s="572">
        <v>2257.8940429690001</v>
      </c>
      <c r="W215" s="643">
        <v>2276.1472549999999</v>
      </c>
      <c r="X215" s="632">
        <v>44927</v>
      </c>
      <c r="Y215" s="632">
        <v>45291</v>
      </c>
      <c r="Z215" s="575"/>
      <c r="AA215" s="576"/>
      <c r="AB215" s="576"/>
      <c r="AC215" s="576"/>
    </row>
    <row r="216" spans="1:29" s="577" customFormat="1" ht="15" customHeight="1">
      <c r="A216" s="593" t="s">
        <v>829</v>
      </c>
      <c r="B216" s="562" t="s">
        <v>46</v>
      </c>
      <c r="C216" s="594" t="s">
        <v>814</v>
      </c>
      <c r="D216" s="563" t="s">
        <v>48</v>
      </c>
      <c r="E216" s="593" t="s">
        <v>815</v>
      </c>
      <c r="F216" s="593" t="s">
        <v>830</v>
      </c>
      <c r="G216" s="564" t="s">
        <v>165</v>
      </c>
      <c r="H216" s="564" t="s">
        <v>831</v>
      </c>
      <c r="I216" s="565" t="e">
        <f>VLOOKUP(H216,'合同高级查询数据-10月新返回合同'!A:A,1,0)</f>
        <v>#N/A</v>
      </c>
      <c r="J216" s="566" t="s">
        <v>3724</v>
      </c>
      <c r="K216" s="593" t="s">
        <v>818</v>
      </c>
      <c r="L216" s="595" t="s">
        <v>832</v>
      </c>
      <c r="M216" s="596" t="s">
        <v>820</v>
      </c>
      <c r="N216" s="597" t="s">
        <v>4303</v>
      </c>
      <c r="O216" s="597" t="s">
        <v>4304</v>
      </c>
      <c r="P216" s="629">
        <v>6600</v>
      </c>
      <c r="Q216" s="630">
        <f>121.8-120.7</f>
        <v>1.0999999999999943</v>
      </c>
      <c r="R216" s="631">
        <f t="shared" si="13"/>
        <v>7260</v>
      </c>
      <c r="S216" s="570">
        <v>202309</v>
      </c>
      <c r="T216" s="601" t="s">
        <v>4595</v>
      </c>
      <c r="U216" s="621"/>
      <c r="V216" s="590">
        <v>120.611152649</v>
      </c>
      <c r="W216" s="602">
        <v>122.98</v>
      </c>
      <c r="X216" s="632">
        <v>45078</v>
      </c>
      <c r="Y216" s="632">
        <v>45443</v>
      </c>
      <c r="Z216" s="575"/>
      <c r="AA216" s="576"/>
      <c r="AB216" s="576"/>
      <c r="AC216" s="576"/>
    </row>
    <row r="217" spans="1:29" s="577" customFormat="1" ht="15" customHeight="1">
      <c r="A217" s="593" t="s">
        <v>813</v>
      </c>
      <c r="B217" s="562" t="s">
        <v>46</v>
      </c>
      <c r="C217" s="594" t="s">
        <v>814</v>
      </c>
      <c r="D217" s="563" t="s">
        <v>48</v>
      </c>
      <c r="E217" s="593" t="s">
        <v>815</v>
      </c>
      <c r="F217" s="593" t="s">
        <v>816</v>
      </c>
      <c r="G217" s="564" t="s">
        <v>165</v>
      </c>
      <c r="H217" s="564" t="s">
        <v>817</v>
      </c>
      <c r="I217" s="565" t="e">
        <f>VLOOKUP(H217,'合同高级查询数据-10月新返回合同'!A:A,1,0)</f>
        <v>#N/A</v>
      </c>
      <c r="J217" s="566" t="s">
        <v>3724</v>
      </c>
      <c r="K217" s="593" t="s">
        <v>818</v>
      </c>
      <c r="L217" s="595" t="s">
        <v>819</v>
      </c>
      <c r="M217" s="596" t="s">
        <v>820</v>
      </c>
      <c r="N217" s="597" t="s">
        <v>4303</v>
      </c>
      <c r="O217" s="597" t="s">
        <v>4307</v>
      </c>
      <c r="P217" s="629">
        <v>7650</v>
      </c>
      <c r="Q217" s="630">
        <f>71.52-71</f>
        <v>0.51999999999999602</v>
      </c>
      <c r="R217" s="631">
        <f t="shared" si="13"/>
        <v>3978</v>
      </c>
      <c r="S217" s="570">
        <v>202309</v>
      </c>
      <c r="T217" s="601" t="s">
        <v>4596</v>
      </c>
      <c r="U217" s="621"/>
      <c r="V217" s="590">
        <v>70.921508789000001</v>
      </c>
      <c r="W217" s="602">
        <v>72.11</v>
      </c>
      <c r="X217" s="632">
        <v>45078</v>
      </c>
      <c r="Y217" s="632">
        <v>45443</v>
      </c>
      <c r="Z217" s="575"/>
      <c r="AA217" s="576"/>
      <c r="AB217" s="576"/>
      <c r="AC217" s="576"/>
    </row>
    <row r="218" spans="1:29" s="577" customFormat="1" ht="15" customHeight="1">
      <c r="A218" s="593" t="s">
        <v>823</v>
      </c>
      <c r="B218" s="562" t="s">
        <v>46</v>
      </c>
      <c r="C218" s="594" t="s">
        <v>814</v>
      </c>
      <c r="D218" s="563" t="s">
        <v>48</v>
      </c>
      <c r="E218" s="593" t="s">
        <v>815</v>
      </c>
      <c r="F218" s="593" t="s">
        <v>824</v>
      </c>
      <c r="G218" s="564" t="s">
        <v>165</v>
      </c>
      <c r="H218" s="564" t="s">
        <v>825</v>
      </c>
      <c r="I218" s="565" t="e">
        <f>VLOOKUP(H218,'合同高级查询数据-10月新返回合同'!A:A,1,0)</f>
        <v>#N/A</v>
      </c>
      <c r="J218" s="566" t="s">
        <v>3724</v>
      </c>
      <c r="K218" s="593" t="s">
        <v>818</v>
      </c>
      <c r="L218" s="595" t="s">
        <v>826</v>
      </c>
      <c r="M218" s="596" t="s">
        <v>820</v>
      </c>
      <c r="N218" s="597" t="s">
        <v>4303</v>
      </c>
      <c r="O218" s="597" t="s">
        <v>4310</v>
      </c>
      <c r="P218" s="629">
        <v>5041.67</v>
      </c>
      <c r="Q218" s="630">
        <f>134.91-133.9</f>
        <v>1.0099999999999909</v>
      </c>
      <c r="R218" s="631">
        <f t="shared" si="13"/>
        <v>5092.09</v>
      </c>
      <c r="S218" s="570">
        <v>202309</v>
      </c>
      <c r="T218" s="601" t="s">
        <v>4597</v>
      </c>
      <c r="U218" s="621"/>
      <c r="V218" s="590">
        <v>133.84036254899999</v>
      </c>
      <c r="W218" s="602">
        <v>135.97</v>
      </c>
      <c r="X218" s="632">
        <v>45078</v>
      </c>
      <c r="Y218" s="632">
        <v>45443</v>
      </c>
      <c r="Z218" s="575"/>
      <c r="AA218" s="576"/>
      <c r="AB218" s="576"/>
      <c r="AC218" s="576"/>
    </row>
    <row r="219" spans="1:29" s="385" customFormat="1" ht="15" customHeight="1">
      <c r="A219" s="368" t="s">
        <v>260</v>
      </c>
      <c r="B219" s="369" t="s">
        <v>837</v>
      </c>
      <c r="C219" s="369" t="s">
        <v>838</v>
      </c>
      <c r="D219" s="369" t="s">
        <v>48</v>
      </c>
      <c r="E219" s="369" t="s">
        <v>839</v>
      </c>
      <c r="F219" s="402" t="s">
        <v>840</v>
      </c>
      <c r="G219" s="389" t="s">
        <v>165</v>
      </c>
      <c r="H219" s="389" t="s">
        <v>841</v>
      </c>
      <c r="I219" s="369" t="e">
        <f>VLOOKUP(H219,'合同高级查询数据-10月新返回合同'!A:A,1,0)</f>
        <v>#N/A</v>
      </c>
      <c r="J219" s="390" t="s">
        <v>3724</v>
      </c>
      <c r="K219" s="402" t="s">
        <v>855</v>
      </c>
      <c r="L219" s="403" t="s">
        <v>856</v>
      </c>
      <c r="M219" s="453" t="s">
        <v>857</v>
      </c>
      <c r="N219" s="402" t="s">
        <v>4433</v>
      </c>
      <c r="O219" s="443" t="s">
        <v>4434</v>
      </c>
      <c r="P219" s="454">
        <v>9500</v>
      </c>
      <c r="Q219" s="455">
        <f>9.88-9.8</f>
        <v>8.0000000000000071E-2</v>
      </c>
      <c r="R219" s="456">
        <f t="shared" si="13"/>
        <v>760</v>
      </c>
      <c r="S219" s="378">
        <v>202309</v>
      </c>
      <c r="T219" s="431" t="s">
        <v>4598</v>
      </c>
      <c r="U219" s="380"/>
      <c r="V219" s="398">
        <v>9.7919588090000005</v>
      </c>
      <c r="W219" s="433">
        <v>9.9633421052631608</v>
      </c>
      <c r="X219" s="449"/>
      <c r="Y219" s="449"/>
      <c r="Z219" s="382"/>
      <c r="AA219" s="384"/>
      <c r="AB219" s="384"/>
      <c r="AC219" s="384"/>
    </row>
    <row r="220" spans="1:29" s="577" customFormat="1" ht="15" customHeight="1">
      <c r="A220" s="561" t="s">
        <v>260</v>
      </c>
      <c r="B220" s="562" t="s">
        <v>46</v>
      </c>
      <c r="C220" s="563" t="s">
        <v>188</v>
      </c>
      <c r="D220" s="562" t="s">
        <v>48</v>
      </c>
      <c r="E220" s="561" t="s">
        <v>919</v>
      </c>
      <c r="F220" s="561" t="s">
        <v>953</v>
      </c>
      <c r="G220" s="561" t="s">
        <v>165</v>
      </c>
      <c r="H220" s="564" t="s">
        <v>1225</v>
      </c>
      <c r="I220" s="565" t="e">
        <f>VLOOKUP(H220,'合同高级查询数据-10月新返回合同'!A:A,1,0)</f>
        <v>#N/A</v>
      </c>
      <c r="J220" s="566" t="s">
        <v>3858</v>
      </c>
      <c r="K220" s="561" t="s">
        <v>4571</v>
      </c>
      <c r="L220" s="564" t="s">
        <v>4043</v>
      </c>
      <c r="M220" s="561"/>
      <c r="N220" s="567">
        <v>41244</v>
      </c>
      <c r="O220" s="561" t="s">
        <v>4044</v>
      </c>
      <c r="P220" s="633" t="s">
        <v>4045</v>
      </c>
      <c r="Q220" s="638">
        <f>102.633-100.534</f>
        <v>2.0989999999999895</v>
      </c>
      <c r="R220" s="639">
        <f>ROUND(14000*Q220,2)</f>
        <v>29386</v>
      </c>
      <c r="S220" s="570">
        <v>202309</v>
      </c>
      <c r="T220" s="571" t="s">
        <v>4600</v>
      </c>
      <c r="U220" s="621"/>
      <c r="V220" s="572">
        <v>100.533848179</v>
      </c>
      <c r="W220" s="573">
        <v>104.733</v>
      </c>
      <c r="X220" s="632">
        <v>44829</v>
      </c>
      <c r="Y220" s="632">
        <v>45559</v>
      </c>
      <c r="Z220" s="575"/>
      <c r="AA220" s="576"/>
      <c r="AB220" s="576"/>
      <c r="AC220" s="576"/>
    </row>
    <row r="221" spans="1:29" s="577" customFormat="1" ht="15" customHeight="1">
      <c r="A221" s="561" t="s">
        <v>260</v>
      </c>
      <c r="B221" s="562" t="s">
        <v>46</v>
      </c>
      <c r="C221" s="563" t="s">
        <v>188</v>
      </c>
      <c r="D221" s="562" t="s">
        <v>48</v>
      </c>
      <c r="E221" s="561" t="s">
        <v>919</v>
      </c>
      <c r="F221" s="561" t="s">
        <v>953</v>
      </c>
      <c r="G221" s="561" t="s">
        <v>165</v>
      </c>
      <c r="H221" s="564" t="s">
        <v>1225</v>
      </c>
      <c r="I221" s="565" t="e">
        <f>VLOOKUP(H221,'合同高级查询数据-10月新返回合同'!A:A,1,0)</f>
        <v>#N/A</v>
      </c>
      <c r="J221" s="566" t="s">
        <v>3858</v>
      </c>
      <c r="K221" s="561" t="s">
        <v>1226</v>
      </c>
      <c r="L221" s="564" t="s">
        <v>1227</v>
      </c>
      <c r="M221" s="561"/>
      <c r="N221" s="567">
        <v>41244</v>
      </c>
      <c r="O221" s="561" t="s">
        <v>1542</v>
      </c>
      <c r="P221" s="633" t="s">
        <v>4045</v>
      </c>
      <c r="Q221" s="638">
        <f>110.182-108.079</f>
        <v>2.1030000000000086</v>
      </c>
      <c r="R221" s="639">
        <f>ROUND(14000*Q221,2)</f>
        <v>29442</v>
      </c>
      <c r="S221" s="570">
        <v>202309</v>
      </c>
      <c r="T221" s="571" t="s">
        <v>4601</v>
      </c>
      <c r="U221" s="621"/>
      <c r="V221" s="572">
        <v>108.078279075</v>
      </c>
      <c r="W221" s="592">
        <v>112.285</v>
      </c>
      <c r="X221" s="632">
        <v>44829</v>
      </c>
      <c r="Y221" s="632">
        <v>45559</v>
      </c>
      <c r="Z221" s="575"/>
      <c r="AA221" s="576"/>
      <c r="AB221" s="576"/>
      <c r="AC221" s="576"/>
    </row>
    <row r="222" spans="1:29" s="577" customFormat="1" ht="15" customHeight="1">
      <c r="A222" s="561" t="s">
        <v>260</v>
      </c>
      <c r="B222" s="562" t="s">
        <v>46</v>
      </c>
      <c r="C222" s="563" t="s">
        <v>188</v>
      </c>
      <c r="D222" s="562" t="s">
        <v>48</v>
      </c>
      <c r="E222" s="561" t="s">
        <v>919</v>
      </c>
      <c r="F222" s="561" t="s">
        <v>953</v>
      </c>
      <c r="G222" s="561" t="s">
        <v>165</v>
      </c>
      <c r="H222" s="564" t="s">
        <v>1225</v>
      </c>
      <c r="I222" s="565" t="e">
        <f>VLOOKUP(H222,'合同高级查询数据-10月新返回合同'!A:A,1,0)</f>
        <v>#N/A</v>
      </c>
      <c r="J222" s="566" t="s">
        <v>3776</v>
      </c>
      <c r="K222" s="561" t="s">
        <v>4052</v>
      </c>
      <c r="L222" s="564" t="s">
        <v>4053</v>
      </c>
      <c r="M222" s="561"/>
      <c r="N222" s="567">
        <v>42796</v>
      </c>
      <c r="O222" s="561" t="s">
        <v>3847</v>
      </c>
      <c r="P222" s="633">
        <v>120000</v>
      </c>
      <c r="Q222" s="638">
        <f>4.209-4.064</f>
        <v>0.14499999999999957</v>
      </c>
      <c r="R222" s="639">
        <f>ROUND(P222*Q222,2)</f>
        <v>17400</v>
      </c>
      <c r="S222" s="570">
        <v>202309</v>
      </c>
      <c r="T222" s="571" t="s">
        <v>4602</v>
      </c>
      <c r="U222" s="621"/>
      <c r="V222" s="572">
        <v>4.0634842649999996</v>
      </c>
      <c r="W222" s="592">
        <v>4.3550000000000004</v>
      </c>
      <c r="X222" s="632">
        <v>44829</v>
      </c>
      <c r="Y222" s="632">
        <v>45559</v>
      </c>
      <c r="Z222" s="575"/>
      <c r="AA222" s="576"/>
      <c r="AB222" s="576"/>
      <c r="AC222" s="576"/>
    </row>
    <row r="223" spans="1:29" s="577" customFormat="1" ht="15" customHeight="1">
      <c r="A223" s="561" t="s">
        <v>260</v>
      </c>
      <c r="B223" s="562" t="s">
        <v>46</v>
      </c>
      <c r="C223" s="563" t="s">
        <v>188</v>
      </c>
      <c r="D223" s="562" t="s">
        <v>48</v>
      </c>
      <c r="E223" s="561" t="s">
        <v>919</v>
      </c>
      <c r="F223" s="561" t="s">
        <v>920</v>
      </c>
      <c r="G223" s="561" t="s">
        <v>165</v>
      </c>
      <c r="H223" s="564" t="s">
        <v>1225</v>
      </c>
      <c r="I223" s="565" t="e">
        <f>VLOOKUP(H223,'合同高级查询数据-10月新返回合同'!A:A,1,0)</f>
        <v>#N/A</v>
      </c>
      <c r="J223" s="566" t="s">
        <v>3858</v>
      </c>
      <c r="K223" s="561" t="s">
        <v>1246</v>
      </c>
      <c r="L223" s="564" t="s">
        <v>1247</v>
      </c>
      <c r="M223" s="561"/>
      <c r="N223" s="567">
        <v>42795</v>
      </c>
      <c r="O223" s="561" t="s">
        <v>4056</v>
      </c>
      <c r="P223" s="633" t="s">
        <v>4057</v>
      </c>
      <c r="Q223" s="638">
        <f>30.322-29.992</f>
        <v>0.32999999999999829</v>
      </c>
      <c r="R223" s="639">
        <f>ROUND(14000*Q223,2)</f>
        <v>4620</v>
      </c>
      <c r="S223" s="570">
        <v>202309</v>
      </c>
      <c r="T223" s="571" t="s">
        <v>4603</v>
      </c>
      <c r="U223" s="621"/>
      <c r="V223" s="644">
        <v>29.991536985</v>
      </c>
      <c r="W223" s="592">
        <v>30.652000000000001</v>
      </c>
      <c r="X223" s="632">
        <v>44829</v>
      </c>
      <c r="Y223" s="632">
        <v>45559</v>
      </c>
      <c r="Z223" s="575"/>
      <c r="AA223" s="576"/>
      <c r="AB223" s="576"/>
      <c r="AC223" s="576"/>
    </row>
    <row r="224" spans="1:29" s="577" customFormat="1" ht="15" customHeight="1">
      <c r="A224" s="561" t="s">
        <v>260</v>
      </c>
      <c r="B224" s="562" t="s">
        <v>46</v>
      </c>
      <c r="C224" s="563" t="s">
        <v>188</v>
      </c>
      <c r="D224" s="562" t="s">
        <v>48</v>
      </c>
      <c r="E224" s="561" t="s">
        <v>919</v>
      </c>
      <c r="F224" s="561" t="s">
        <v>1202</v>
      </c>
      <c r="G224" s="561" t="s">
        <v>165</v>
      </c>
      <c r="H224" s="564" t="s">
        <v>4604</v>
      </c>
      <c r="I224" s="565" t="e">
        <f>VLOOKUP(H224,'合同高级查询数据-10月新返回合同'!A:A,1,0)</f>
        <v>#N/A</v>
      </c>
      <c r="J224" s="566" t="s">
        <v>3858</v>
      </c>
      <c r="K224" s="561" t="s">
        <v>4060</v>
      </c>
      <c r="L224" s="564" t="s">
        <v>4061</v>
      </c>
      <c r="M224" s="561"/>
      <c r="N224" s="567" t="s">
        <v>4062</v>
      </c>
      <c r="O224" s="561" t="s">
        <v>4063</v>
      </c>
      <c r="P224" s="633">
        <v>9500</v>
      </c>
      <c r="Q224" s="638">
        <f>142.73-141.1</f>
        <v>1.6299999999999955</v>
      </c>
      <c r="R224" s="639">
        <f t="shared" ref="R224:R240" si="14">ROUND(P224*Q224,2)</f>
        <v>15485</v>
      </c>
      <c r="S224" s="570">
        <v>202309</v>
      </c>
      <c r="T224" s="571" t="s">
        <v>4605</v>
      </c>
      <c r="U224" s="621"/>
      <c r="V224" s="590">
        <v>141.06211798199999</v>
      </c>
      <c r="W224" s="573">
        <v>144.4</v>
      </c>
      <c r="X224" s="632">
        <v>45017</v>
      </c>
      <c r="Y224" s="632">
        <v>45199</v>
      </c>
      <c r="Z224" s="575"/>
      <c r="AA224" s="576"/>
      <c r="AB224" s="576"/>
      <c r="AC224" s="576"/>
    </row>
    <row r="225" spans="1:29" s="385" customFormat="1" ht="15" customHeight="1">
      <c r="A225" s="386" t="s">
        <v>260</v>
      </c>
      <c r="B225" s="387" t="s">
        <v>46</v>
      </c>
      <c r="C225" s="388" t="s">
        <v>47</v>
      </c>
      <c r="D225" s="388" t="s">
        <v>48</v>
      </c>
      <c r="E225" s="386" t="s">
        <v>1594</v>
      </c>
      <c r="F225" s="388" t="s">
        <v>1595</v>
      </c>
      <c r="G225" s="386" t="s">
        <v>165</v>
      </c>
      <c r="H225" s="389" t="s">
        <v>1611</v>
      </c>
      <c r="I225" s="369" t="e">
        <f>VLOOKUP(H225,'合同高级查询数据-10月新返回合同'!A:A,1,0)</f>
        <v>#N/A</v>
      </c>
      <c r="J225" s="390" t="s">
        <v>3724</v>
      </c>
      <c r="K225" s="386" t="s">
        <v>4102</v>
      </c>
      <c r="L225" s="389" t="s">
        <v>1619</v>
      </c>
      <c r="M225" s="386"/>
      <c r="N225" s="391" t="s">
        <v>4103</v>
      </c>
      <c r="O225" s="386" t="s">
        <v>4104</v>
      </c>
      <c r="P225" s="445">
        <v>11500</v>
      </c>
      <c r="Q225" s="446">
        <f>10-9.8</f>
        <v>0.19999999999999929</v>
      </c>
      <c r="R225" s="447">
        <f t="shared" si="14"/>
        <v>2300</v>
      </c>
      <c r="S225" s="378">
        <v>202309</v>
      </c>
      <c r="T225" s="394" t="s">
        <v>4607</v>
      </c>
      <c r="U225" s="380"/>
      <c r="V225" s="398">
        <v>9.7213580129999997</v>
      </c>
      <c r="W225" s="395">
        <v>10</v>
      </c>
      <c r="X225" s="449"/>
      <c r="Y225" s="449"/>
      <c r="Z225" s="382"/>
      <c r="AA225" s="384"/>
      <c r="AB225" s="384"/>
      <c r="AC225" s="384"/>
    </row>
    <row r="226" spans="1:29" s="577" customFormat="1" ht="15" customHeight="1">
      <c r="A226" s="606" t="s">
        <v>258</v>
      </c>
      <c r="B226" s="565" t="s">
        <v>837</v>
      </c>
      <c r="C226" s="565" t="s">
        <v>838</v>
      </c>
      <c r="D226" s="565" t="s">
        <v>48</v>
      </c>
      <c r="E226" s="606" t="s">
        <v>2024</v>
      </c>
      <c r="F226" s="624" t="s">
        <v>2025</v>
      </c>
      <c r="G226" s="564" t="s">
        <v>165</v>
      </c>
      <c r="H226" s="564" t="s">
        <v>2026</v>
      </c>
      <c r="I226" s="565" t="e">
        <f>VLOOKUP(H226,'合同高级查询数据-10月新返回合同'!A:A,1,0)</f>
        <v>#N/A</v>
      </c>
      <c r="J226" s="566" t="s">
        <v>3724</v>
      </c>
      <c r="K226" s="624" t="s">
        <v>865</v>
      </c>
      <c r="L226" s="596" t="s">
        <v>2027</v>
      </c>
      <c r="M226" s="625" t="s">
        <v>2032</v>
      </c>
      <c r="N226" s="624" t="s">
        <v>4437</v>
      </c>
      <c r="O226" s="626" t="s">
        <v>4438</v>
      </c>
      <c r="P226" s="645">
        <v>9000</v>
      </c>
      <c r="Q226" s="646">
        <f>6.835-6.7</f>
        <v>0.13499999999999979</v>
      </c>
      <c r="R226" s="635">
        <f t="shared" si="14"/>
        <v>1215</v>
      </c>
      <c r="S226" s="570">
        <v>202309</v>
      </c>
      <c r="T226" s="614" t="s">
        <v>4608</v>
      </c>
      <c r="U226" s="621"/>
      <c r="V226" s="590">
        <v>6.6719027039999999</v>
      </c>
      <c r="W226" s="616">
        <v>7</v>
      </c>
      <c r="X226" s="632">
        <v>43915</v>
      </c>
      <c r="Y226" s="632">
        <v>45382</v>
      </c>
      <c r="Z226" s="575"/>
      <c r="AA226" s="576"/>
      <c r="AB226" s="576"/>
      <c r="AC226" s="576"/>
    </row>
    <row r="227" spans="1:29" s="577" customFormat="1" ht="15" customHeight="1">
      <c r="A227" s="561" t="s">
        <v>258</v>
      </c>
      <c r="B227" s="562" t="s">
        <v>46</v>
      </c>
      <c r="C227" s="563" t="s">
        <v>887</v>
      </c>
      <c r="D227" s="562" t="s">
        <v>888</v>
      </c>
      <c r="E227" s="561" t="s">
        <v>2183</v>
      </c>
      <c r="F227" s="561" t="s">
        <v>2184</v>
      </c>
      <c r="G227" s="561" t="s">
        <v>165</v>
      </c>
      <c r="H227" s="564" t="s">
        <v>2265</v>
      </c>
      <c r="I227" s="565" t="e">
        <f>VLOOKUP(H227,'合同高级查询数据-10月新返回合同'!A:A,1,0)</f>
        <v>#N/A</v>
      </c>
      <c r="J227" s="566" t="s">
        <v>3724</v>
      </c>
      <c r="K227" s="561" t="s">
        <v>4153</v>
      </c>
      <c r="L227" s="564" t="s">
        <v>2285</v>
      </c>
      <c r="M227" s="561"/>
      <c r="N227" s="567" t="s">
        <v>4154</v>
      </c>
      <c r="O227" s="561" t="s">
        <v>4155</v>
      </c>
      <c r="P227" s="633">
        <v>9000</v>
      </c>
      <c r="Q227" s="638">
        <f>49.829-48.876</f>
        <v>0.95300000000000296</v>
      </c>
      <c r="R227" s="639">
        <f t="shared" si="14"/>
        <v>8577</v>
      </c>
      <c r="S227" s="570">
        <v>202309</v>
      </c>
      <c r="T227" s="614" t="s">
        <v>4609</v>
      </c>
      <c r="U227" s="621"/>
      <c r="V227" s="647">
        <v>48.875372847999998</v>
      </c>
      <c r="W227" s="592">
        <v>49.829000000000001</v>
      </c>
      <c r="X227" s="632">
        <v>45017</v>
      </c>
      <c r="Y227" s="632">
        <v>45382</v>
      </c>
      <c r="Z227" s="575"/>
      <c r="AA227" s="576"/>
      <c r="AB227" s="576"/>
      <c r="AC227" s="576"/>
    </row>
    <row r="228" spans="1:29" s="577" customFormat="1" ht="15" customHeight="1">
      <c r="A228" s="561" t="s">
        <v>258</v>
      </c>
      <c r="B228" s="562" t="s">
        <v>46</v>
      </c>
      <c r="C228" s="563" t="s">
        <v>887</v>
      </c>
      <c r="D228" s="562" t="s">
        <v>888</v>
      </c>
      <c r="E228" s="561" t="s">
        <v>2183</v>
      </c>
      <c r="F228" s="561" t="s">
        <v>2184</v>
      </c>
      <c r="G228" s="561" t="s">
        <v>165</v>
      </c>
      <c r="H228" s="564" t="s">
        <v>2265</v>
      </c>
      <c r="I228" s="565" t="e">
        <f>VLOOKUP(H228,'合同高级查询数据-10月新返回合同'!A:A,1,0)</f>
        <v>#N/A</v>
      </c>
      <c r="J228" s="566" t="s">
        <v>3724</v>
      </c>
      <c r="K228" s="561" t="s">
        <v>4164</v>
      </c>
      <c r="L228" s="564" t="s">
        <v>2184</v>
      </c>
      <c r="M228" s="561"/>
      <c r="N228" s="567">
        <v>44774</v>
      </c>
      <c r="O228" s="561" t="s">
        <v>3874</v>
      </c>
      <c r="P228" s="633">
        <v>9000</v>
      </c>
      <c r="Q228" s="638">
        <f>71.627-70.334</f>
        <v>1.2929999999999922</v>
      </c>
      <c r="R228" s="639">
        <f t="shared" si="14"/>
        <v>11637</v>
      </c>
      <c r="S228" s="570">
        <v>202309</v>
      </c>
      <c r="T228" s="571" t="s">
        <v>4610</v>
      </c>
      <c r="U228" s="621"/>
      <c r="V228" s="647">
        <v>70.333460235000004</v>
      </c>
      <c r="W228" s="592">
        <v>71.626999999999995</v>
      </c>
      <c r="X228" s="632">
        <v>45017</v>
      </c>
      <c r="Y228" s="632">
        <v>45382</v>
      </c>
      <c r="Z228" s="575"/>
      <c r="AA228" s="576"/>
      <c r="AB228" s="576"/>
      <c r="AC228" s="576"/>
    </row>
    <row r="229" spans="1:29" s="385" customFormat="1" ht="15" customHeight="1">
      <c r="A229" s="386" t="s">
        <v>258</v>
      </c>
      <c r="B229" s="387" t="s">
        <v>46</v>
      </c>
      <c r="C229" s="388" t="s">
        <v>887</v>
      </c>
      <c r="D229" s="387" t="s">
        <v>888</v>
      </c>
      <c r="E229" s="386" t="s">
        <v>2405</v>
      </c>
      <c r="F229" s="386" t="s">
        <v>2406</v>
      </c>
      <c r="G229" s="386" t="s">
        <v>165</v>
      </c>
      <c r="H229" s="389" t="s">
        <v>2407</v>
      </c>
      <c r="I229" s="369" t="e">
        <f>VLOOKUP(H229,'合同高级查询数据-10月新返回合同'!A:A,1,0)</f>
        <v>#N/A</v>
      </c>
      <c r="J229" s="390" t="s">
        <v>3724</v>
      </c>
      <c r="K229" s="386" t="s">
        <v>4199</v>
      </c>
      <c r="L229" s="389" t="s">
        <v>2406</v>
      </c>
      <c r="M229" s="386"/>
      <c r="N229" s="391" t="s">
        <v>4200</v>
      </c>
      <c r="O229" s="386" t="s">
        <v>4611</v>
      </c>
      <c r="P229" s="445">
        <v>9000</v>
      </c>
      <c r="Q229" s="446">
        <f>19.5-19.2</f>
        <v>0.30000000000000071</v>
      </c>
      <c r="R229" s="447">
        <f t="shared" si="14"/>
        <v>2700</v>
      </c>
      <c r="S229" s="378">
        <v>202309</v>
      </c>
      <c r="T229" s="394" t="s">
        <v>4612</v>
      </c>
      <c r="U229" s="380"/>
      <c r="V229" s="457">
        <v>19.144002647000001</v>
      </c>
      <c r="W229" s="413">
        <v>19.5</v>
      </c>
      <c r="X229" s="449"/>
      <c r="Y229" s="449"/>
      <c r="Z229" s="382"/>
      <c r="AA229" s="384"/>
      <c r="AB229" s="384"/>
      <c r="AC229" s="384"/>
    </row>
    <row r="230" spans="1:29" s="385" customFormat="1" ht="15" customHeight="1">
      <c r="A230" s="386" t="s">
        <v>45</v>
      </c>
      <c r="B230" s="387" t="s">
        <v>46</v>
      </c>
      <c r="C230" s="388" t="s">
        <v>188</v>
      </c>
      <c r="D230" s="387" t="s">
        <v>48</v>
      </c>
      <c r="E230" s="386" t="s">
        <v>2505</v>
      </c>
      <c r="F230" s="386" t="s">
        <v>2512</v>
      </c>
      <c r="G230" s="386" t="s">
        <v>165</v>
      </c>
      <c r="H230" s="389" t="s">
        <v>2513</v>
      </c>
      <c r="I230" s="369" t="e">
        <f>VLOOKUP(H230,'合同高级查询数据-10月新返回合同'!A:A,1,0)</f>
        <v>#N/A</v>
      </c>
      <c r="J230" s="390" t="s">
        <v>3858</v>
      </c>
      <c r="K230" s="386" t="s">
        <v>4222</v>
      </c>
      <c r="L230" s="389" t="s">
        <v>4223</v>
      </c>
      <c r="M230" s="386"/>
      <c r="N230" s="391" t="s">
        <v>4224</v>
      </c>
      <c r="O230" s="386" t="s">
        <v>4225</v>
      </c>
      <c r="P230" s="445">
        <v>6740</v>
      </c>
      <c r="Q230" s="446">
        <f>178.53-175.47</f>
        <v>3.0600000000000023</v>
      </c>
      <c r="R230" s="447">
        <f t="shared" si="14"/>
        <v>20624.400000000001</v>
      </c>
      <c r="S230" s="378">
        <v>202309</v>
      </c>
      <c r="T230" s="394" t="s">
        <v>4613</v>
      </c>
      <c r="U230" s="380"/>
      <c r="V230" s="398">
        <v>175.46675080899001</v>
      </c>
      <c r="W230" s="395">
        <v>181.59</v>
      </c>
      <c r="X230" s="449"/>
      <c r="Y230" s="449"/>
      <c r="Z230" s="382"/>
      <c r="AA230" s="384"/>
      <c r="AB230" s="384"/>
      <c r="AC230" s="384"/>
    </row>
    <row r="231" spans="1:29" s="385" customFormat="1" ht="15" customHeight="1">
      <c r="A231" s="386" t="s">
        <v>45</v>
      </c>
      <c r="B231" s="387" t="s">
        <v>46</v>
      </c>
      <c r="C231" s="388" t="s">
        <v>188</v>
      </c>
      <c r="D231" s="388" t="s">
        <v>48</v>
      </c>
      <c r="E231" s="386" t="s">
        <v>2681</v>
      </c>
      <c r="F231" s="386" t="s">
        <v>2682</v>
      </c>
      <c r="G231" s="386" t="s">
        <v>165</v>
      </c>
      <c r="H231" s="389" t="s">
        <v>2687</v>
      </c>
      <c r="I231" s="369" t="e">
        <f>VLOOKUP(H231,'合同高级查询数据-10月新返回合同'!A:A,1,0)</f>
        <v>#N/A</v>
      </c>
      <c r="J231" s="390" t="s">
        <v>3724</v>
      </c>
      <c r="K231" s="386" t="s">
        <v>4252</v>
      </c>
      <c r="L231" s="389" t="s">
        <v>2682</v>
      </c>
      <c r="M231" s="386"/>
      <c r="N231" s="391" t="s">
        <v>4253</v>
      </c>
      <c r="O231" s="386" t="s">
        <v>4254</v>
      </c>
      <c r="P231" s="445">
        <v>6740</v>
      </c>
      <c r="Q231" s="446">
        <f>97.81-96.91</f>
        <v>0.90000000000000568</v>
      </c>
      <c r="R231" s="447">
        <f t="shared" si="14"/>
        <v>6066</v>
      </c>
      <c r="S231" s="378">
        <v>202309</v>
      </c>
      <c r="T231" s="394" t="s">
        <v>4614</v>
      </c>
      <c r="U231" s="380"/>
      <c r="V231" s="398">
        <v>96.906582064000006</v>
      </c>
      <c r="W231" s="395">
        <v>98.71</v>
      </c>
      <c r="X231" s="449"/>
      <c r="Y231" s="449"/>
      <c r="Z231" s="382"/>
      <c r="AA231" s="384"/>
      <c r="AB231" s="384"/>
      <c r="AC231" s="384"/>
    </row>
    <row r="232" spans="1:29" s="385" customFormat="1" ht="15" customHeight="1">
      <c r="A232" s="386" t="s">
        <v>45</v>
      </c>
      <c r="B232" s="387" t="s">
        <v>46</v>
      </c>
      <c r="C232" s="388" t="s">
        <v>188</v>
      </c>
      <c r="D232" s="388" t="s">
        <v>48</v>
      </c>
      <c r="E232" s="386" t="s">
        <v>2681</v>
      </c>
      <c r="F232" s="386" t="s">
        <v>2682</v>
      </c>
      <c r="G232" s="386" t="s">
        <v>165</v>
      </c>
      <c r="H232" s="389" t="s">
        <v>2683</v>
      </c>
      <c r="I232" s="369" t="e">
        <f>VLOOKUP(H232,'合同高级查询数据-10月新返回合同'!A:A,1,0)</f>
        <v>#N/A</v>
      </c>
      <c r="J232" s="390" t="s">
        <v>3724</v>
      </c>
      <c r="K232" s="386" t="s">
        <v>4252</v>
      </c>
      <c r="L232" s="389" t="s">
        <v>2684</v>
      </c>
      <c r="M232" s="386" t="s">
        <v>2688</v>
      </c>
      <c r="N232" s="391">
        <v>44835</v>
      </c>
      <c r="O232" s="386" t="s">
        <v>4123</v>
      </c>
      <c r="P232" s="445">
        <v>6740</v>
      </c>
      <c r="Q232" s="446">
        <f>137.07-120.03</f>
        <v>17.039999999999992</v>
      </c>
      <c r="R232" s="447">
        <f t="shared" si="14"/>
        <v>114849.60000000001</v>
      </c>
      <c r="S232" s="378">
        <v>202309</v>
      </c>
      <c r="T232" s="394" t="s">
        <v>4615</v>
      </c>
      <c r="U232" s="380"/>
      <c r="V232" s="398">
        <f>40.03+80</f>
        <v>120.03</v>
      </c>
      <c r="W232" s="395">
        <v>137.07</v>
      </c>
      <c r="X232" s="449"/>
      <c r="Y232" s="449"/>
      <c r="Z232" s="382"/>
      <c r="AA232" s="384"/>
      <c r="AB232" s="384"/>
      <c r="AC232" s="384"/>
    </row>
    <row r="233" spans="1:29" s="385" customFormat="1" ht="15" customHeight="1">
      <c r="A233" s="386" t="s">
        <v>45</v>
      </c>
      <c r="B233" s="387" t="s">
        <v>46</v>
      </c>
      <c r="C233" s="388" t="s">
        <v>887</v>
      </c>
      <c r="D233" s="387" t="s">
        <v>888</v>
      </c>
      <c r="E233" s="386" t="s">
        <v>2741</v>
      </c>
      <c r="F233" s="386" t="s">
        <v>2742</v>
      </c>
      <c r="G233" s="386" t="s">
        <v>165</v>
      </c>
      <c r="H233" s="389" t="s">
        <v>2743</v>
      </c>
      <c r="I233" s="369" t="e">
        <f>VLOOKUP(H233,'合同高级查询数据-10月新返回合同'!A:A,1,0)</f>
        <v>#N/A</v>
      </c>
      <c r="J233" s="390" t="s">
        <v>3724</v>
      </c>
      <c r="K233" s="386" t="s">
        <v>4269</v>
      </c>
      <c r="L233" s="389" t="s">
        <v>2754</v>
      </c>
      <c r="M233" s="386"/>
      <c r="N233" s="391" t="s">
        <v>4270</v>
      </c>
      <c r="O233" s="386" t="s">
        <v>4271</v>
      </c>
      <c r="P233" s="445">
        <v>6740</v>
      </c>
      <c r="Q233" s="446">
        <f>205.085-203.86</f>
        <v>1.2249999999999943</v>
      </c>
      <c r="R233" s="447">
        <f t="shared" si="14"/>
        <v>8256.5</v>
      </c>
      <c r="S233" s="378">
        <v>202309</v>
      </c>
      <c r="T233" s="394" t="s">
        <v>4616</v>
      </c>
      <c r="U233" s="380"/>
      <c r="V233" s="457">
        <v>203.85841369600001</v>
      </c>
      <c r="W233" s="395">
        <v>206.31</v>
      </c>
      <c r="X233" s="449"/>
      <c r="Y233" s="449"/>
      <c r="Z233" s="382"/>
      <c r="AA233" s="384"/>
      <c r="AB233" s="384"/>
      <c r="AC233" s="384"/>
    </row>
    <row r="234" spans="1:29" s="385" customFormat="1" ht="15" customHeight="1">
      <c r="A234" s="387" t="s">
        <v>45</v>
      </c>
      <c r="B234" s="388" t="s">
        <v>46</v>
      </c>
      <c r="C234" s="387" t="s">
        <v>887</v>
      </c>
      <c r="D234" s="387" t="s">
        <v>888</v>
      </c>
      <c r="E234" s="387" t="s">
        <v>2818</v>
      </c>
      <c r="F234" s="387" t="s">
        <v>2819</v>
      </c>
      <c r="G234" s="415" t="s">
        <v>165</v>
      </c>
      <c r="H234" s="389" t="s">
        <v>2820</v>
      </c>
      <c r="I234" s="369" t="e">
        <f>VLOOKUP(H234,'合同高级查询数据-10月新返回合同'!A:A,1,0)</f>
        <v>#N/A</v>
      </c>
      <c r="J234" s="416" t="s">
        <v>3724</v>
      </c>
      <c r="K234" s="416" t="s">
        <v>2821</v>
      </c>
      <c r="L234" s="389" t="s">
        <v>2822</v>
      </c>
      <c r="M234" s="403" t="s">
        <v>2823</v>
      </c>
      <c r="N234" s="417">
        <v>45022</v>
      </c>
      <c r="O234" s="418" t="s">
        <v>1542</v>
      </c>
      <c r="P234" s="458">
        <v>6740</v>
      </c>
      <c r="Q234" s="458">
        <f>83.3-82.62</f>
        <v>0.67999999999999261</v>
      </c>
      <c r="R234" s="451">
        <f t="shared" si="14"/>
        <v>4583.2</v>
      </c>
      <c r="S234" s="378">
        <v>202309</v>
      </c>
      <c r="T234" s="420" t="s">
        <v>4617</v>
      </c>
      <c r="U234" s="380"/>
      <c r="V234" s="457">
        <v>82.619171143000003</v>
      </c>
      <c r="W234" s="408">
        <v>83.98</v>
      </c>
      <c r="X234" s="449"/>
      <c r="Y234" s="449"/>
      <c r="Z234" s="382"/>
      <c r="AA234" s="384"/>
      <c r="AB234" s="384"/>
      <c r="AC234" s="384"/>
    </row>
    <row r="235" spans="1:29" s="385" customFormat="1" ht="15" customHeight="1">
      <c r="A235" s="422" t="s">
        <v>45</v>
      </c>
      <c r="B235" s="387" t="s">
        <v>46</v>
      </c>
      <c r="C235" s="423" t="s">
        <v>814</v>
      </c>
      <c r="D235" s="388" t="s">
        <v>48</v>
      </c>
      <c r="E235" s="422" t="s">
        <v>2841</v>
      </c>
      <c r="F235" s="422" t="s">
        <v>2837</v>
      </c>
      <c r="G235" s="389" t="s">
        <v>165</v>
      </c>
      <c r="H235" s="389" t="s">
        <v>2838</v>
      </c>
      <c r="I235" s="369" t="e">
        <f>VLOOKUP(H235,'合同高级查询数据-10月新返回合同'!A:A,1,0)</f>
        <v>#N/A</v>
      </c>
      <c r="J235" s="390" t="s">
        <v>3724</v>
      </c>
      <c r="K235" s="424" t="s">
        <v>2855</v>
      </c>
      <c r="L235" s="424" t="s">
        <v>2855</v>
      </c>
      <c r="M235" s="403" t="s">
        <v>2856</v>
      </c>
      <c r="N235" s="425" t="s">
        <v>4618</v>
      </c>
      <c r="O235" s="425" t="s">
        <v>4619</v>
      </c>
      <c r="P235" s="459">
        <v>6740</v>
      </c>
      <c r="Q235" s="460">
        <f>221.72-221.51</f>
        <v>0.21000000000000796</v>
      </c>
      <c r="R235" s="451">
        <f t="shared" si="14"/>
        <v>1415.4</v>
      </c>
      <c r="S235" s="378">
        <v>202309</v>
      </c>
      <c r="T235" s="428" t="s">
        <v>4620</v>
      </c>
      <c r="U235" s="380"/>
      <c r="V235" s="398">
        <v>221.508132636</v>
      </c>
      <c r="W235" s="429">
        <v>222.22</v>
      </c>
      <c r="X235" s="449"/>
      <c r="Y235" s="449"/>
      <c r="Z235" s="382"/>
      <c r="AA235" s="384"/>
      <c r="AB235" s="384"/>
      <c r="AC235" s="384"/>
    </row>
    <row r="236" spans="1:29" s="577" customFormat="1" ht="15" customHeight="1">
      <c r="A236" s="593" t="s">
        <v>45</v>
      </c>
      <c r="B236" s="562" t="s">
        <v>46</v>
      </c>
      <c r="C236" s="594" t="s">
        <v>814</v>
      </c>
      <c r="D236" s="563" t="s">
        <v>48</v>
      </c>
      <c r="E236" s="593" t="s">
        <v>2872</v>
      </c>
      <c r="F236" s="593" t="s">
        <v>2873</v>
      </c>
      <c r="G236" s="564" t="s">
        <v>165</v>
      </c>
      <c r="H236" s="564" t="s">
        <v>2874</v>
      </c>
      <c r="I236" s="565" t="str">
        <f>VLOOKUP(H236,'合同高级查询数据-10月新返回合同'!A:A,1,0)</f>
        <v>182315IDC00484</v>
      </c>
      <c r="J236" s="566" t="s">
        <v>3724</v>
      </c>
      <c r="K236" s="593" t="s">
        <v>2879</v>
      </c>
      <c r="L236" s="595" t="s">
        <v>2879</v>
      </c>
      <c r="M236" s="596" t="s">
        <v>2880</v>
      </c>
      <c r="N236" s="597" t="s">
        <v>4392</v>
      </c>
      <c r="O236" s="597" t="s">
        <v>4393</v>
      </c>
      <c r="P236" s="629">
        <v>6740</v>
      </c>
      <c r="Q236" s="630">
        <f>32.16-32</f>
        <v>0.15999999999999659</v>
      </c>
      <c r="R236" s="631">
        <f t="shared" si="14"/>
        <v>1078.4000000000001</v>
      </c>
      <c r="S236" s="570">
        <v>202309</v>
      </c>
      <c r="T236" s="601" t="s">
        <v>4621</v>
      </c>
      <c r="U236" s="621"/>
      <c r="V236" s="590">
        <v>31.907009124999998</v>
      </c>
      <c r="W236" s="602">
        <v>32.409999999999997</v>
      </c>
      <c r="X236" s="632">
        <v>45108</v>
      </c>
      <c r="Y236" s="632">
        <v>45473</v>
      </c>
      <c r="Z236" s="575"/>
      <c r="AA236" s="576"/>
      <c r="AB236" s="576"/>
      <c r="AC236" s="576"/>
    </row>
    <row r="237" spans="1:29" s="385" customFormat="1" ht="15" customHeight="1">
      <c r="A237" s="422" t="s">
        <v>45</v>
      </c>
      <c r="B237" s="387" t="s">
        <v>46</v>
      </c>
      <c r="C237" s="423" t="s">
        <v>814</v>
      </c>
      <c r="D237" s="388" t="s">
        <v>48</v>
      </c>
      <c r="E237" s="422" t="s">
        <v>2934</v>
      </c>
      <c r="F237" s="422" t="s">
        <v>2935</v>
      </c>
      <c r="G237" s="389" t="s">
        <v>165</v>
      </c>
      <c r="H237" s="389" t="s">
        <v>4622</v>
      </c>
      <c r="I237" s="369" t="e">
        <f>VLOOKUP(H237,'合同高级查询数据-10月新返回合同'!A:A,1,0)</f>
        <v>#N/A</v>
      </c>
      <c r="J237" s="390" t="s">
        <v>3724</v>
      </c>
      <c r="K237" s="422" t="s">
        <v>2937</v>
      </c>
      <c r="L237" s="424" t="s">
        <v>2938</v>
      </c>
      <c r="M237" s="403" t="s">
        <v>2939</v>
      </c>
      <c r="N237" s="425">
        <v>44816</v>
      </c>
      <c r="O237" s="425" t="s">
        <v>1542</v>
      </c>
      <c r="P237" s="459">
        <v>6740</v>
      </c>
      <c r="Q237" s="460">
        <f>86.28-85.57</f>
        <v>0.71000000000000796</v>
      </c>
      <c r="R237" s="451">
        <f t="shared" si="14"/>
        <v>4785.3999999999996</v>
      </c>
      <c r="S237" s="378">
        <v>202309</v>
      </c>
      <c r="T237" s="428" t="s">
        <v>4623</v>
      </c>
      <c r="U237" s="380"/>
      <c r="V237" s="398">
        <v>85.574126871000004</v>
      </c>
      <c r="W237" s="398">
        <v>86.99</v>
      </c>
      <c r="X237" s="449"/>
      <c r="Y237" s="449"/>
      <c r="Z237" s="382"/>
      <c r="AA237" s="384"/>
      <c r="AB237" s="384"/>
      <c r="AC237" s="384"/>
    </row>
    <row r="238" spans="1:29" s="577" customFormat="1" ht="15" customHeight="1">
      <c r="A238" s="593" t="s">
        <v>45</v>
      </c>
      <c r="B238" s="562" t="s">
        <v>46</v>
      </c>
      <c r="C238" s="594" t="s">
        <v>814</v>
      </c>
      <c r="D238" s="563" t="s">
        <v>48</v>
      </c>
      <c r="E238" s="593" t="s">
        <v>2944</v>
      </c>
      <c r="F238" s="593" t="s">
        <v>2945</v>
      </c>
      <c r="G238" s="564" t="s">
        <v>165</v>
      </c>
      <c r="H238" s="564" t="s">
        <v>2946</v>
      </c>
      <c r="I238" s="565" t="str">
        <f>VLOOKUP(H238,'合同高级查询数据-10月新返回合同'!A:A,1,0)</f>
        <v>182315IDC00549</v>
      </c>
      <c r="J238" s="566" t="s">
        <v>3724</v>
      </c>
      <c r="K238" s="593" t="s">
        <v>2948</v>
      </c>
      <c r="L238" s="595" t="s">
        <v>2948</v>
      </c>
      <c r="M238" s="596" t="s">
        <v>2949</v>
      </c>
      <c r="N238" s="597" t="s">
        <v>4411</v>
      </c>
      <c r="O238" s="597" t="s">
        <v>4624</v>
      </c>
      <c r="P238" s="629">
        <v>6740</v>
      </c>
      <c r="Q238" s="630">
        <f>49.49-49.16</f>
        <v>0.3300000000000054</v>
      </c>
      <c r="R238" s="631">
        <f t="shared" si="14"/>
        <v>2224.1999999999998</v>
      </c>
      <c r="S238" s="570">
        <v>202309</v>
      </c>
      <c r="T238" s="601" t="s">
        <v>4625</v>
      </c>
      <c r="U238" s="621"/>
      <c r="V238" s="590">
        <v>49.159290314000003</v>
      </c>
      <c r="W238" s="602">
        <v>49.82</v>
      </c>
      <c r="X238" s="632">
        <v>45108</v>
      </c>
      <c r="Y238" s="632">
        <v>45473</v>
      </c>
      <c r="Z238" s="575"/>
      <c r="AA238" s="576"/>
      <c r="AB238" s="576"/>
      <c r="AC238" s="576"/>
    </row>
    <row r="239" spans="1:29" s="577" customFormat="1" ht="15" customHeight="1">
      <c r="A239" s="593" t="s">
        <v>45</v>
      </c>
      <c r="B239" s="562" t="s">
        <v>46</v>
      </c>
      <c r="C239" s="594" t="s">
        <v>814</v>
      </c>
      <c r="D239" s="563" t="s">
        <v>48</v>
      </c>
      <c r="E239" s="593" t="s">
        <v>2965</v>
      </c>
      <c r="F239" s="593" t="s">
        <v>2966</v>
      </c>
      <c r="G239" s="564" t="s">
        <v>165</v>
      </c>
      <c r="H239" s="564" t="s">
        <v>2967</v>
      </c>
      <c r="I239" s="565" t="str">
        <f>VLOOKUP(H239,'合同高级查询数据-10月新返回合同'!A:A,1,0)</f>
        <v>182315IDC00485</v>
      </c>
      <c r="J239" s="566" t="s">
        <v>3724</v>
      </c>
      <c r="K239" s="593" t="s">
        <v>2968</v>
      </c>
      <c r="L239" s="595" t="s">
        <v>2968</v>
      </c>
      <c r="M239" s="596" t="s">
        <v>2969</v>
      </c>
      <c r="N239" s="597" t="s">
        <v>4418</v>
      </c>
      <c r="O239" s="597" t="s">
        <v>4419</v>
      </c>
      <c r="P239" s="629">
        <v>6740</v>
      </c>
      <c r="Q239" s="630">
        <f>32.43-32.18</f>
        <v>0.25</v>
      </c>
      <c r="R239" s="631">
        <f t="shared" si="14"/>
        <v>1685</v>
      </c>
      <c r="S239" s="570">
        <v>202309</v>
      </c>
      <c r="T239" s="601" t="s">
        <v>4626</v>
      </c>
      <c r="U239" s="621"/>
      <c r="V239" s="590">
        <v>32.181236267000003</v>
      </c>
      <c r="W239" s="602">
        <v>32.68</v>
      </c>
      <c r="X239" s="632">
        <v>45108</v>
      </c>
      <c r="Y239" s="632">
        <v>45473</v>
      </c>
      <c r="Z239" s="575"/>
      <c r="AA239" s="576"/>
      <c r="AB239" s="576"/>
      <c r="AC239" s="576"/>
    </row>
    <row r="240" spans="1:29" s="385" customFormat="1" ht="15" customHeight="1">
      <c r="A240" s="422" t="s">
        <v>45</v>
      </c>
      <c r="B240" s="387" t="s">
        <v>46</v>
      </c>
      <c r="C240" s="423" t="s">
        <v>814</v>
      </c>
      <c r="D240" s="388" t="s">
        <v>48</v>
      </c>
      <c r="E240" s="422" t="s">
        <v>2977</v>
      </c>
      <c r="F240" s="422" t="s">
        <v>2978</v>
      </c>
      <c r="G240" s="389" t="s">
        <v>165</v>
      </c>
      <c r="H240" s="389" t="s">
        <v>3563</v>
      </c>
      <c r="I240" s="369" t="e">
        <f>VLOOKUP(H240,'合同高级查询数据-10月新返回合同'!A:A,1,0)</f>
        <v>#N/A</v>
      </c>
      <c r="J240" s="390" t="s">
        <v>3724</v>
      </c>
      <c r="K240" s="422" t="s">
        <v>2980</v>
      </c>
      <c r="L240" s="424" t="s">
        <v>2978</v>
      </c>
      <c r="M240" s="403" t="s">
        <v>2981</v>
      </c>
      <c r="N240" s="425" t="s">
        <v>4422</v>
      </c>
      <c r="O240" s="425" t="s">
        <v>4423</v>
      </c>
      <c r="P240" s="459">
        <v>6740</v>
      </c>
      <c r="Q240" s="460">
        <f>383.01-377.08</f>
        <v>5.9300000000000068</v>
      </c>
      <c r="R240" s="451">
        <f t="shared" si="14"/>
        <v>39968.199999999997</v>
      </c>
      <c r="S240" s="378">
        <v>202309</v>
      </c>
      <c r="T240" s="428" t="s">
        <v>4627</v>
      </c>
      <c r="U240" s="380"/>
      <c r="V240" s="398">
        <v>377.07925188000002</v>
      </c>
      <c r="W240" s="429">
        <v>388.94</v>
      </c>
      <c r="X240" s="449"/>
      <c r="Y240" s="449"/>
      <c r="Z240" s="382"/>
      <c r="AA240" s="384"/>
      <c r="AB240" s="384"/>
      <c r="AC240" s="384"/>
    </row>
    <row r="241" spans="1:29" s="577" customFormat="1" ht="15" customHeight="1">
      <c r="A241" s="562" t="s">
        <v>258</v>
      </c>
      <c r="B241" s="648" t="s">
        <v>4720</v>
      </c>
      <c r="C241" s="649" t="s">
        <v>4721</v>
      </c>
      <c r="D241" s="561" t="s">
        <v>888</v>
      </c>
      <c r="E241" s="583" t="s">
        <v>4722</v>
      </c>
      <c r="F241" s="562" t="s">
        <v>4723</v>
      </c>
      <c r="G241" s="585" t="s">
        <v>165</v>
      </c>
      <c r="H241" s="585" t="s">
        <v>4724</v>
      </c>
      <c r="I241" s="565" t="e">
        <f>VLOOKUP(H241,'合同高级查询数据-10月新返回合同'!A:A,1,0)</f>
        <v>#N/A</v>
      </c>
      <c r="J241" s="585" t="s">
        <v>3776</v>
      </c>
      <c r="K241" s="650" t="s">
        <v>4725</v>
      </c>
      <c r="L241" s="651" t="s">
        <v>4726</v>
      </c>
      <c r="M241" s="608" t="s">
        <v>4727</v>
      </c>
      <c r="N241" s="603" t="s">
        <v>4728</v>
      </c>
      <c r="O241" s="603" t="s">
        <v>4170</v>
      </c>
      <c r="P241" s="652">
        <v>210000</v>
      </c>
      <c r="Q241" s="653">
        <v>0</v>
      </c>
      <c r="R241" s="639">
        <f t="shared" ref="R241:R272" si="15">ROUND(P241*Q241,2)</f>
        <v>0</v>
      </c>
      <c r="S241" s="654">
        <v>202310</v>
      </c>
      <c r="T241" s="655" t="s">
        <v>4729</v>
      </c>
      <c r="U241" s="656"/>
      <c r="V241" s="615">
        <v>0</v>
      </c>
      <c r="W241" s="615"/>
      <c r="X241" s="657">
        <v>43617</v>
      </c>
      <c r="Y241" s="658">
        <v>45443</v>
      </c>
      <c r="Z241" s="561" t="s">
        <v>4727</v>
      </c>
      <c r="AA241" s="659">
        <v>0</v>
      </c>
      <c r="AB241" s="561">
        <v>0</v>
      </c>
      <c r="AC241" s="561">
        <v>0</v>
      </c>
    </row>
    <row r="242" spans="1:29" s="577" customFormat="1" ht="15" customHeight="1">
      <c r="A242" s="562" t="s">
        <v>260</v>
      </c>
      <c r="B242" s="648" t="s">
        <v>4720</v>
      </c>
      <c r="C242" s="649" t="s">
        <v>4721</v>
      </c>
      <c r="D242" s="563" t="s">
        <v>888</v>
      </c>
      <c r="E242" s="583" t="s">
        <v>4730</v>
      </c>
      <c r="F242" s="562" t="s">
        <v>4731</v>
      </c>
      <c r="G242" s="585" t="s">
        <v>165</v>
      </c>
      <c r="H242" s="585" t="s">
        <v>4732</v>
      </c>
      <c r="I242" s="565" t="str">
        <f>VLOOKUP(H242,'合同高级查询数据-10月新返回合同'!A:A,1,0)</f>
        <v>182315IDC00420</v>
      </c>
      <c r="J242" s="585" t="s">
        <v>3724</v>
      </c>
      <c r="K242" s="650" t="s">
        <v>4733</v>
      </c>
      <c r="L242" s="651" t="s">
        <v>4731</v>
      </c>
      <c r="M242" s="608"/>
      <c r="N242" s="603" t="s">
        <v>4734</v>
      </c>
      <c r="O242" s="603" t="s">
        <v>4735</v>
      </c>
      <c r="P242" s="660">
        <v>6000</v>
      </c>
      <c r="Q242" s="653">
        <v>56.58</v>
      </c>
      <c r="R242" s="639">
        <f t="shared" si="15"/>
        <v>339480</v>
      </c>
      <c r="S242" s="654">
        <v>202310</v>
      </c>
      <c r="T242" s="655" t="s">
        <v>4736</v>
      </c>
      <c r="U242" s="656"/>
      <c r="V242" s="661">
        <v>56.580036163000003</v>
      </c>
      <c r="W242" s="615"/>
      <c r="X242" s="662">
        <v>45017</v>
      </c>
      <c r="Y242" s="657">
        <v>45382</v>
      </c>
      <c r="Z242" s="659" t="s">
        <v>4737</v>
      </c>
      <c r="AA242" s="659">
        <v>0.25</v>
      </c>
      <c r="AB242" s="561">
        <v>200</v>
      </c>
      <c r="AC242" s="561">
        <v>50</v>
      </c>
    </row>
    <row r="243" spans="1:29" s="577" customFormat="1" ht="15" customHeight="1">
      <c r="A243" s="562" t="s">
        <v>260</v>
      </c>
      <c r="B243" s="648" t="s">
        <v>4720</v>
      </c>
      <c r="C243" s="649" t="s">
        <v>4721</v>
      </c>
      <c r="D243" s="563" t="s">
        <v>888</v>
      </c>
      <c r="E243" s="583" t="s">
        <v>4730</v>
      </c>
      <c r="F243" s="562" t="s">
        <v>4731</v>
      </c>
      <c r="G243" s="585" t="s">
        <v>165</v>
      </c>
      <c r="H243" s="585" t="s">
        <v>4732</v>
      </c>
      <c r="I243" s="565" t="str">
        <f>VLOOKUP(H243,'合同高级查询数据-10月新返回合同'!A:A,1,0)</f>
        <v>182315IDC00420</v>
      </c>
      <c r="J243" s="585" t="s">
        <v>4013</v>
      </c>
      <c r="K243" s="650" t="s">
        <v>4738</v>
      </c>
      <c r="L243" s="651" t="s">
        <v>4739</v>
      </c>
      <c r="M243" s="608"/>
      <c r="N243" s="603" t="s">
        <v>4740</v>
      </c>
      <c r="O243" s="603" t="s">
        <v>4741</v>
      </c>
      <c r="P243" s="660">
        <v>6000</v>
      </c>
      <c r="Q243" s="653">
        <v>0.75</v>
      </c>
      <c r="R243" s="639">
        <f t="shared" si="15"/>
        <v>4500</v>
      </c>
      <c r="S243" s="654">
        <v>202310</v>
      </c>
      <c r="T243" s="655" t="s">
        <v>4742</v>
      </c>
      <c r="U243" s="656"/>
      <c r="V243" s="661">
        <v>0.75</v>
      </c>
      <c r="W243" s="615"/>
      <c r="X243" s="662">
        <v>45017</v>
      </c>
      <c r="Y243" s="657">
        <v>45382</v>
      </c>
      <c r="Z243" s="659" t="s">
        <v>4743</v>
      </c>
      <c r="AA243" s="659">
        <v>0.25</v>
      </c>
      <c r="AB243" s="561">
        <v>10</v>
      </c>
      <c r="AC243" s="561">
        <v>2.5</v>
      </c>
    </row>
    <row r="244" spans="1:29" s="577" customFormat="1" ht="15" customHeight="1">
      <c r="A244" s="562" t="s">
        <v>260</v>
      </c>
      <c r="B244" s="648" t="s">
        <v>4720</v>
      </c>
      <c r="C244" s="649" t="s">
        <v>4721</v>
      </c>
      <c r="D244" s="563" t="s">
        <v>888</v>
      </c>
      <c r="E244" s="583" t="s">
        <v>4730</v>
      </c>
      <c r="F244" s="562" t="s">
        <v>4731</v>
      </c>
      <c r="G244" s="585" t="s">
        <v>165</v>
      </c>
      <c r="H244" s="585" t="s">
        <v>4732</v>
      </c>
      <c r="I244" s="565" t="str">
        <f>VLOOKUP(H244,'合同高级查询数据-10月新返回合同'!A:A,1,0)</f>
        <v>182315IDC00420</v>
      </c>
      <c r="J244" s="585" t="s">
        <v>3724</v>
      </c>
      <c r="K244" s="650" t="s">
        <v>4744</v>
      </c>
      <c r="L244" s="651" t="s">
        <v>4745</v>
      </c>
      <c r="M244" s="608"/>
      <c r="N244" s="603" t="s">
        <v>4746</v>
      </c>
      <c r="O244" s="603" t="s">
        <v>4260</v>
      </c>
      <c r="P244" s="660">
        <v>6000</v>
      </c>
      <c r="Q244" s="653">
        <v>0</v>
      </c>
      <c r="R244" s="639">
        <f t="shared" si="15"/>
        <v>0</v>
      </c>
      <c r="S244" s="654">
        <v>202310</v>
      </c>
      <c r="T244" s="655" t="s">
        <v>4747</v>
      </c>
      <c r="U244" s="656"/>
      <c r="V244" s="615">
        <v>0</v>
      </c>
      <c r="W244" s="615"/>
      <c r="X244" s="662">
        <v>45017</v>
      </c>
      <c r="Y244" s="657">
        <v>45382</v>
      </c>
      <c r="Z244" s="659" t="s">
        <v>4748</v>
      </c>
      <c r="AA244" s="659">
        <v>0.25</v>
      </c>
      <c r="AB244" s="561">
        <v>0</v>
      </c>
      <c r="AC244" s="561">
        <v>0</v>
      </c>
    </row>
    <row r="245" spans="1:29" s="577" customFormat="1" ht="15" customHeight="1">
      <c r="A245" s="562" t="s">
        <v>260</v>
      </c>
      <c r="B245" s="648" t="s">
        <v>4720</v>
      </c>
      <c r="C245" s="649" t="s">
        <v>4721</v>
      </c>
      <c r="D245" s="563" t="s">
        <v>888</v>
      </c>
      <c r="E245" s="583" t="s">
        <v>4730</v>
      </c>
      <c r="F245" s="562" t="s">
        <v>4731</v>
      </c>
      <c r="G245" s="585" t="s">
        <v>165</v>
      </c>
      <c r="H245" s="585" t="s">
        <v>4732</v>
      </c>
      <c r="I245" s="565" t="str">
        <f>VLOOKUP(H245,'合同高级查询数据-10月新返回合同'!A:A,1,0)</f>
        <v>182315IDC00420</v>
      </c>
      <c r="J245" s="585" t="s">
        <v>3724</v>
      </c>
      <c r="K245" s="650" t="s">
        <v>4749</v>
      </c>
      <c r="L245" s="651" t="s">
        <v>4750</v>
      </c>
      <c r="M245" s="608"/>
      <c r="N245" s="603" t="s">
        <v>4751</v>
      </c>
      <c r="O245" s="603" t="s">
        <v>4300</v>
      </c>
      <c r="P245" s="660">
        <v>6000</v>
      </c>
      <c r="Q245" s="653">
        <v>6.5949999999999998</v>
      </c>
      <c r="R245" s="639">
        <f t="shared" si="15"/>
        <v>39570</v>
      </c>
      <c r="S245" s="654">
        <v>202310</v>
      </c>
      <c r="T245" s="655" t="s">
        <v>4752</v>
      </c>
      <c r="U245" s="656"/>
      <c r="V245" s="661">
        <v>6.5950002669999996</v>
      </c>
      <c r="W245" s="615"/>
      <c r="X245" s="662">
        <v>45017</v>
      </c>
      <c r="Y245" s="657">
        <v>45382</v>
      </c>
      <c r="Z245" s="659" t="s">
        <v>4753</v>
      </c>
      <c r="AA245" s="659">
        <v>0.25</v>
      </c>
      <c r="AB245" s="561">
        <v>20</v>
      </c>
      <c r="AC245" s="561">
        <v>5</v>
      </c>
    </row>
    <row r="246" spans="1:29" s="577" customFormat="1" ht="15" customHeight="1">
      <c r="A246" s="562" t="s">
        <v>260</v>
      </c>
      <c r="B246" s="648" t="s">
        <v>4720</v>
      </c>
      <c r="C246" s="649" t="s">
        <v>4721</v>
      </c>
      <c r="D246" s="563" t="s">
        <v>888</v>
      </c>
      <c r="E246" s="583" t="s">
        <v>4730</v>
      </c>
      <c r="F246" s="562" t="s">
        <v>4754</v>
      </c>
      <c r="G246" s="585" t="s">
        <v>165</v>
      </c>
      <c r="H246" s="585" t="s">
        <v>4755</v>
      </c>
      <c r="I246" s="565" t="str">
        <f>VLOOKUP(H246,'合同高级查询数据-10月新返回合同'!A:A,1,0)</f>
        <v>182315IDC00421</v>
      </c>
      <c r="J246" s="585" t="s">
        <v>3724</v>
      </c>
      <c r="K246" s="650" t="s">
        <v>4756</v>
      </c>
      <c r="L246" s="651" t="s">
        <v>4757</v>
      </c>
      <c r="M246" s="608"/>
      <c r="N246" s="603" t="s">
        <v>4758</v>
      </c>
      <c r="O246" s="603" t="s">
        <v>4759</v>
      </c>
      <c r="P246" s="660">
        <v>6000</v>
      </c>
      <c r="Q246" s="653">
        <v>85.212000000000003</v>
      </c>
      <c r="R246" s="639">
        <f t="shared" si="15"/>
        <v>511272</v>
      </c>
      <c r="S246" s="654">
        <v>202310</v>
      </c>
      <c r="T246" s="655" t="s">
        <v>4760</v>
      </c>
      <c r="U246" s="656"/>
      <c r="V246" s="661">
        <v>85.212379455999994</v>
      </c>
      <c r="W246" s="615"/>
      <c r="X246" s="662">
        <v>45017</v>
      </c>
      <c r="Y246" s="657">
        <v>45382</v>
      </c>
      <c r="Z246" s="659" t="s">
        <v>4761</v>
      </c>
      <c r="AA246" s="659">
        <v>0.2</v>
      </c>
      <c r="AB246" s="561">
        <v>360</v>
      </c>
      <c r="AC246" s="561">
        <f t="shared" ref="AC246:AC251" si="16">AB246*AA246</f>
        <v>72</v>
      </c>
    </row>
    <row r="247" spans="1:29" s="577" customFormat="1" ht="15" customHeight="1">
      <c r="A247" s="562" t="s">
        <v>260</v>
      </c>
      <c r="B247" s="648" t="s">
        <v>4720</v>
      </c>
      <c r="C247" s="649" t="s">
        <v>4721</v>
      </c>
      <c r="D247" s="563" t="s">
        <v>888</v>
      </c>
      <c r="E247" s="583" t="s">
        <v>4730</v>
      </c>
      <c r="F247" s="562" t="s">
        <v>4754</v>
      </c>
      <c r="G247" s="585" t="s">
        <v>165</v>
      </c>
      <c r="H247" s="585" t="s">
        <v>4755</v>
      </c>
      <c r="I247" s="565" t="str">
        <f>VLOOKUP(H247,'合同高级查询数据-10月新返回合同'!A:A,1,0)</f>
        <v>182315IDC00421</v>
      </c>
      <c r="J247" s="585" t="s">
        <v>3724</v>
      </c>
      <c r="K247" s="650" t="s">
        <v>4762</v>
      </c>
      <c r="L247" s="651" t="s">
        <v>4763</v>
      </c>
      <c r="M247" s="608"/>
      <c r="N247" s="603">
        <v>43245</v>
      </c>
      <c r="O247" s="603" t="s">
        <v>4764</v>
      </c>
      <c r="P247" s="660">
        <v>6000</v>
      </c>
      <c r="Q247" s="653">
        <v>38.886000000000003</v>
      </c>
      <c r="R247" s="639">
        <f t="shared" si="15"/>
        <v>233316</v>
      </c>
      <c r="S247" s="654">
        <v>202310</v>
      </c>
      <c r="T247" s="655" t="s">
        <v>4765</v>
      </c>
      <c r="U247" s="656"/>
      <c r="V247" s="661">
        <v>38.885696410999998</v>
      </c>
      <c r="W247" s="615"/>
      <c r="X247" s="662">
        <v>45017</v>
      </c>
      <c r="Y247" s="657">
        <v>45382</v>
      </c>
      <c r="Z247" s="659" t="s">
        <v>4766</v>
      </c>
      <c r="AA247" s="659">
        <v>0.2</v>
      </c>
      <c r="AB247" s="561">
        <v>160</v>
      </c>
      <c r="AC247" s="561">
        <f t="shared" si="16"/>
        <v>32</v>
      </c>
    </row>
    <row r="248" spans="1:29" s="577" customFormat="1" ht="15" customHeight="1">
      <c r="A248" s="562" t="s">
        <v>260</v>
      </c>
      <c r="B248" s="648" t="s">
        <v>4720</v>
      </c>
      <c r="C248" s="649" t="s">
        <v>4721</v>
      </c>
      <c r="D248" s="563" t="s">
        <v>888</v>
      </c>
      <c r="E248" s="583" t="s">
        <v>4730</v>
      </c>
      <c r="F248" s="562" t="s">
        <v>4754</v>
      </c>
      <c r="G248" s="585" t="s">
        <v>165</v>
      </c>
      <c r="H248" s="585" t="s">
        <v>4755</v>
      </c>
      <c r="I248" s="565" t="str">
        <f>VLOOKUP(H248,'合同高级查询数据-10月新返回合同'!A:A,1,0)</f>
        <v>182315IDC00421</v>
      </c>
      <c r="J248" s="585" t="s">
        <v>3724</v>
      </c>
      <c r="K248" s="650" t="s">
        <v>4767</v>
      </c>
      <c r="L248" s="651" t="s">
        <v>4768</v>
      </c>
      <c r="M248" s="608"/>
      <c r="N248" s="603">
        <v>43671</v>
      </c>
      <c r="O248" s="603" t="s">
        <v>4764</v>
      </c>
      <c r="P248" s="660">
        <v>8000</v>
      </c>
      <c r="Q248" s="653">
        <v>62.784999999999997</v>
      </c>
      <c r="R248" s="639">
        <f t="shared" si="15"/>
        <v>502280</v>
      </c>
      <c r="S248" s="654">
        <v>202310</v>
      </c>
      <c r="T248" s="655" t="s">
        <v>4769</v>
      </c>
      <c r="U248" s="656"/>
      <c r="V248" s="661">
        <v>62.784999999999997</v>
      </c>
      <c r="W248" s="615"/>
      <c r="X248" s="662">
        <v>45017</v>
      </c>
      <c r="Y248" s="657">
        <v>45382</v>
      </c>
      <c r="Z248" s="659" t="s">
        <v>4770</v>
      </c>
      <c r="AA248" s="659">
        <v>0.2</v>
      </c>
      <c r="AB248" s="561">
        <v>160</v>
      </c>
      <c r="AC248" s="561">
        <f t="shared" si="16"/>
        <v>32</v>
      </c>
    </row>
    <row r="249" spans="1:29" s="577" customFormat="1" ht="15" customHeight="1">
      <c r="A249" s="562" t="s">
        <v>260</v>
      </c>
      <c r="B249" s="648" t="s">
        <v>4720</v>
      </c>
      <c r="C249" s="649" t="s">
        <v>4721</v>
      </c>
      <c r="D249" s="563" t="s">
        <v>888</v>
      </c>
      <c r="E249" s="583" t="s">
        <v>4730</v>
      </c>
      <c r="F249" s="562" t="s">
        <v>4754</v>
      </c>
      <c r="G249" s="585" t="s">
        <v>165</v>
      </c>
      <c r="H249" s="585" t="s">
        <v>4755</v>
      </c>
      <c r="I249" s="565" t="str">
        <f>VLOOKUP(H249,'合同高级查询数据-10月新返回合同'!A:A,1,0)</f>
        <v>182315IDC00421</v>
      </c>
      <c r="J249" s="585" t="s">
        <v>3724</v>
      </c>
      <c r="K249" s="650" t="s">
        <v>4767</v>
      </c>
      <c r="L249" s="651" t="s">
        <v>4771</v>
      </c>
      <c r="M249" s="608"/>
      <c r="N249" s="603">
        <v>44812</v>
      </c>
      <c r="O249" s="603" t="s">
        <v>4772</v>
      </c>
      <c r="P249" s="660">
        <v>6000</v>
      </c>
      <c r="Q249" s="653">
        <v>47.15</v>
      </c>
      <c r="R249" s="639">
        <f t="shared" si="15"/>
        <v>282900</v>
      </c>
      <c r="S249" s="654">
        <v>202310</v>
      </c>
      <c r="T249" s="655" t="s">
        <v>4773</v>
      </c>
      <c r="U249" s="656"/>
      <c r="V249" s="661">
        <v>47.15</v>
      </c>
      <c r="W249" s="615"/>
      <c r="X249" s="662">
        <v>45017</v>
      </c>
      <c r="Y249" s="657">
        <v>45382</v>
      </c>
      <c r="Z249" s="659" t="s">
        <v>4774</v>
      </c>
      <c r="AA249" s="659">
        <v>0.2</v>
      </c>
      <c r="AB249" s="561">
        <v>120</v>
      </c>
      <c r="AC249" s="561">
        <f t="shared" si="16"/>
        <v>24</v>
      </c>
    </row>
    <row r="250" spans="1:29" s="385" customFormat="1" ht="15" customHeight="1">
      <c r="A250" s="387" t="s">
        <v>829</v>
      </c>
      <c r="B250" s="461" t="s">
        <v>4720</v>
      </c>
      <c r="C250" s="416" t="s">
        <v>4721</v>
      </c>
      <c r="D250" s="388" t="s">
        <v>888</v>
      </c>
      <c r="E250" s="400" t="s">
        <v>3983</v>
      </c>
      <c r="F250" s="387" t="s">
        <v>4775</v>
      </c>
      <c r="G250" s="371" t="s">
        <v>165</v>
      </c>
      <c r="H250" s="371" t="s">
        <v>4776</v>
      </c>
      <c r="I250" s="369" t="e">
        <f>VLOOKUP(H250,'合同高级查询数据-10月新返回合同'!A:A,1,0)</f>
        <v>#N/A</v>
      </c>
      <c r="J250" s="371" t="s">
        <v>3724</v>
      </c>
      <c r="K250" s="462" t="s">
        <v>4777</v>
      </c>
      <c r="L250" s="462" t="s">
        <v>4777</v>
      </c>
      <c r="M250" s="430" t="s">
        <v>4778</v>
      </c>
      <c r="N250" s="373">
        <v>45170</v>
      </c>
      <c r="O250" s="373" t="s">
        <v>4764</v>
      </c>
      <c r="P250" s="463">
        <v>5500</v>
      </c>
      <c r="Q250" s="464">
        <v>40.9</v>
      </c>
      <c r="R250" s="447">
        <f t="shared" si="15"/>
        <v>224950</v>
      </c>
      <c r="S250" s="465">
        <v>202310</v>
      </c>
      <c r="T250" s="466" t="s">
        <v>9179</v>
      </c>
      <c r="U250" s="467"/>
      <c r="V250" s="468">
        <v>38.957870483000001</v>
      </c>
      <c r="W250" s="469">
        <v>42.81</v>
      </c>
      <c r="X250" s="470">
        <v>45017</v>
      </c>
      <c r="Y250" s="471"/>
      <c r="Z250" s="472" t="s">
        <v>4779</v>
      </c>
      <c r="AA250" s="472">
        <v>0.2</v>
      </c>
      <c r="AB250" s="386">
        <v>160</v>
      </c>
      <c r="AC250" s="386">
        <f t="shared" si="16"/>
        <v>32</v>
      </c>
    </row>
    <row r="251" spans="1:29" s="385" customFormat="1" ht="15" customHeight="1">
      <c r="A251" s="387" t="s">
        <v>829</v>
      </c>
      <c r="B251" s="461" t="s">
        <v>4720</v>
      </c>
      <c r="C251" s="416" t="s">
        <v>4721</v>
      </c>
      <c r="D251" s="388" t="s">
        <v>888</v>
      </c>
      <c r="E251" s="400" t="s">
        <v>3983</v>
      </c>
      <c r="F251" s="387" t="s">
        <v>4775</v>
      </c>
      <c r="G251" s="371" t="s">
        <v>165</v>
      </c>
      <c r="H251" s="371" t="s">
        <v>4776</v>
      </c>
      <c r="I251" s="369" t="e">
        <f>VLOOKUP(H251,'合同高级查询数据-10月新返回合同'!A:A,1,0)</f>
        <v>#N/A</v>
      </c>
      <c r="J251" s="371" t="s">
        <v>3724</v>
      </c>
      <c r="K251" s="462" t="s">
        <v>4777</v>
      </c>
      <c r="L251" s="462" t="s">
        <v>4777</v>
      </c>
      <c r="M251" s="430" t="s">
        <v>4778</v>
      </c>
      <c r="N251" s="373">
        <v>45170</v>
      </c>
      <c r="O251" s="373" t="s">
        <v>4764</v>
      </c>
      <c r="P251" s="463">
        <v>5500</v>
      </c>
      <c r="Q251" s="454">
        <f>37.6-35.9</f>
        <v>1.7000000000000028</v>
      </c>
      <c r="R251" s="447">
        <f t="shared" si="15"/>
        <v>9350</v>
      </c>
      <c r="S251" s="465">
        <v>202309</v>
      </c>
      <c r="T251" s="473" t="s">
        <v>4780</v>
      </c>
      <c r="U251" s="467"/>
      <c r="V251" s="468">
        <v>35.817882537999999</v>
      </c>
      <c r="W251" s="432">
        <v>39.17</v>
      </c>
      <c r="X251" s="470">
        <v>45017</v>
      </c>
      <c r="Y251" s="471"/>
      <c r="Z251" s="472" t="s">
        <v>4779</v>
      </c>
      <c r="AA251" s="472">
        <v>0.2</v>
      </c>
      <c r="AB251" s="386">
        <v>160</v>
      </c>
      <c r="AC251" s="386">
        <f t="shared" si="16"/>
        <v>32</v>
      </c>
    </row>
    <row r="252" spans="1:29" s="385" customFormat="1" ht="15" customHeight="1">
      <c r="A252" s="387" t="s">
        <v>258</v>
      </c>
      <c r="B252" s="461" t="s">
        <v>4720</v>
      </c>
      <c r="C252" s="416" t="s">
        <v>4721</v>
      </c>
      <c r="D252" s="388" t="s">
        <v>888</v>
      </c>
      <c r="E252" s="400" t="s">
        <v>4781</v>
      </c>
      <c r="F252" s="387" t="s">
        <v>4782</v>
      </c>
      <c r="G252" s="371" t="s">
        <v>165</v>
      </c>
      <c r="H252" s="371" t="s">
        <v>4783</v>
      </c>
      <c r="I252" s="369" t="e">
        <f>VLOOKUP(H252,'合同高级查询数据-10月新返回合同'!A:A,1,0)</f>
        <v>#N/A</v>
      </c>
      <c r="J252" s="371" t="s">
        <v>3724</v>
      </c>
      <c r="K252" s="462" t="s">
        <v>4782</v>
      </c>
      <c r="L252" s="474" t="s">
        <v>4782</v>
      </c>
      <c r="M252" s="430"/>
      <c r="N252" s="373">
        <v>44835</v>
      </c>
      <c r="O252" s="373" t="s">
        <v>2187</v>
      </c>
      <c r="P252" s="463">
        <v>9000</v>
      </c>
      <c r="Q252" s="454">
        <v>30.829000000000001</v>
      </c>
      <c r="R252" s="447">
        <f t="shared" si="15"/>
        <v>277461</v>
      </c>
      <c r="S252" s="465">
        <v>202310</v>
      </c>
      <c r="T252" s="473" t="s">
        <v>4784</v>
      </c>
      <c r="U252" s="467"/>
      <c r="V252" s="468">
        <v>30.829297230000002</v>
      </c>
      <c r="W252" s="432"/>
      <c r="X252" s="373">
        <v>45200</v>
      </c>
      <c r="Y252" s="475"/>
      <c r="Z252" s="472" t="s">
        <v>4785</v>
      </c>
      <c r="AA252" s="472">
        <v>0.3</v>
      </c>
      <c r="AB252" s="386">
        <v>100</v>
      </c>
      <c r="AC252" s="386">
        <v>30</v>
      </c>
    </row>
    <row r="253" spans="1:29" s="577" customFormat="1" ht="15" customHeight="1">
      <c r="A253" s="562" t="s">
        <v>258</v>
      </c>
      <c r="B253" s="648" t="s">
        <v>4720</v>
      </c>
      <c r="C253" s="649" t="s">
        <v>4721</v>
      </c>
      <c r="D253" s="563" t="s">
        <v>888</v>
      </c>
      <c r="E253" s="583" t="s">
        <v>4722</v>
      </c>
      <c r="F253" s="562" t="s">
        <v>4723</v>
      </c>
      <c r="G253" s="585" t="s">
        <v>165</v>
      </c>
      <c r="H253" s="585" t="s">
        <v>4786</v>
      </c>
      <c r="I253" s="565" t="e">
        <f>VLOOKUP(H253,'合同高级查询数据-10月新返回合同'!A:A,1,0)</f>
        <v>#N/A</v>
      </c>
      <c r="J253" s="585" t="s">
        <v>4013</v>
      </c>
      <c r="K253" s="650" t="s">
        <v>4787</v>
      </c>
      <c r="L253" s="651" t="s">
        <v>4787</v>
      </c>
      <c r="M253" s="608"/>
      <c r="N253" s="603" t="s">
        <v>4788</v>
      </c>
      <c r="O253" s="603" t="s">
        <v>4789</v>
      </c>
      <c r="P253" s="660">
        <v>9000</v>
      </c>
      <c r="Q253" s="653">
        <v>0</v>
      </c>
      <c r="R253" s="639">
        <f t="shared" si="15"/>
        <v>0</v>
      </c>
      <c r="S253" s="654">
        <v>202310</v>
      </c>
      <c r="T253" s="655" t="s">
        <v>4790</v>
      </c>
      <c r="U253" s="656"/>
      <c r="V253" s="615">
        <v>0</v>
      </c>
      <c r="W253" s="615"/>
      <c r="X253" s="657"/>
      <c r="Y253" s="658"/>
      <c r="Z253" s="659" t="s">
        <v>4791</v>
      </c>
      <c r="AA253" s="659">
        <v>0</v>
      </c>
      <c r="AB253" s="561">
        <v>0</v>
      </c>
      <c r="AC253" s="561">
        <v>0</v>
      </c>
    </row>
    <row r="254" spans="1:29" s="577" customFormat="1" ht="15" customHeight="1">
      <c r="A254" s="562" t="s">
        <v>258</v>
      </c>
      <c r="B254" s="648" t="s">
        <v>4720</v>
      </c>
      <c r="C254" s="649" t="s">
        <v>4721</v>
      </c>
      <c r="D254" s="563" t="s">
        <v>888</v>
      </c>
      <c r="E254" s="583" t="s">
        <v>4722</v>
      </c>
      <c r="F254" s="562" t="s">
        <v>4723</v>
      </c>
      <c r="G254" s="585" t="s">
        <v>165</v>
      </c>
      <c r="H254" s="585" t="s">
        <v>4792</v>
      </c>
      <c r="I254" s="565" t="e">
        <f>VLOOKUP(H254,'合同高级查询数据-10月新返回合同'!A:A,1,0)</f>
        <v>#N/A</v>
      </c>
      <c r="J254" s="585" t="s">
        <v>3724</v>
      </c>
      <c r="K254" s="650" t="s">
        <v>4793</v>
      </c>
      <c r="L254" s="651" t="s">
        <v>4794</v>
      </c>
      <c r="M254" s="608" t="s">
        <v>4795</v>
      </c>
      <c r="N254" s="603">
        <v>44805</v>
      </c>
      <c r="O254" s="603" t="s">
        <v>4796</v>
      </c>
      <c r="P254" s="660">
        <v>4666.66</v>
      </c>
      <c r="Q254" s="653">
        <v>15.1</v>
      </c>
      <c r="R254" s="639">
        <f t="shared" si="15"/>
        <v>70466.570000000007</v>
      </c>
      <c r="S254" s="654">
        <v>202310</v>
      </c>
      <c r="T254" s="655" t="s">
        <v>4797</v>
      </c>
      <c r="U254" s="656"/>
      <c r="V254" s="615">
        <v>14.780520534000001</v>
      </c>
      <c r="W254" s="615">
        <v>15.4</v>
      </c>
      <c r="X254" s="657">
        <v>44927</v>
      </c>
      <c r="Y254" s="657">
        <v>45291</v>
      </c>
      <c r="Z254" s="659" t="s">
        <v>4798</v>
      </c>
      <c r="AA254" s="659">
        <v>0.3</v>
      </c>
      <c r="AB254" s="561">
        <v>40</v>
      </c>
      <c r="AC254" s="561">
        <v>12</v>
      </c>
    </row>
    <row r="255" spans="1:29" s="577" customFormat="1" ht="15" customHeight="1">
      <c r="A255" s="562" t="s">
        <v>258</v>
      </c>
      <c r="B255" s="648" t="s">
        <v>4720</v>
      </c>
      <c r="C255" s="649" t="s">
        <v>4721</v>
      </c>
      <c r="D255" s="563" t="s">
        <v>888</v>
      </c>
      <c r="E255" s="583" t="s">
        <v>4722</v>
      </c>
      <c r="F255" s="562" t="s">
        <v>4723</v>
      </c>
      <c r="G255" s="585" t="s">
        <v>165</v>
      </c>
      <c r="H255" s="585" t="s">
        <v>4792</v>
      </c>
      <c r="I255" s="565" t="e">
        <f>VLOOKUP(H255,'合同高级查询数据-10月新返回合同'!A:A,1,0)</f>
        <v>#N/A</v>
      </c>
      <c r="J255" s="585" t="s">
        <v>3724</v>
      </c>
      <c r="K255" s="650" t="s">
        <v>4793</v>
      </c>
      <c r="L255" s="651" t="s">
        <v>4794</v>
      </c>
      <c r="M255" s="608" t="s">
        <v>4795</v>
      </c>
      <c r="N255" s="603">
        <v>44805</v>
      </c>
      <c r="O255" s="603" t="s">
        <v>4796</v>
      </c>
      <c r="P255" s="660">
        <v>4666.66</v>
      </c>
      <c r="Q255" s="653">
        <f>15.7-15.4</f>
        <v>0.29999999999999893</v>
      </c>
      <c r="R255" s="639">
        <f t="shared" si="15"/>
        <v>1400</v>
      </c>
      <c r="S255" s="654">
        <v>202309</v>
      </c>
      <c r="T255" s="655" t="s">
        <v>4799</v>
      </c>
      <c r="U255" s="656"/>
      <c r="V255" s="615">
        <v>15.388160609</v>
      </c>
      <c r="W255" s="615">
        <v>16</v>
      </c>
      <c r="X255" s="657">
        <v>44927</v>
      </c>
      <c r="Y255" s="657">
        <v>45291</v>
      </c>
      <c r="Z255" s="659" t="s">
        <v>4798</v>
      </c>
      <c r="AA255" s="659">
        <v>0.3</v>
      </c>
      <c r="AB255" s="561">
        <v>40</v>
      </c>
      <c r="AC255" s="561">
        <v>12</v>
      </c>
    </row>
    <row r="256" spans="1:29" s="577" customFormat="1" ht="15" customHeight="1">
      <c r="A256" s="562" t="s">
        <v>258</v>
      </c>
      <c r="B256" s="648" t="s">
        <v>4720</v>
      </c>
      <c r="C256" s="649" t="s">
        <v>4721</v>
      </c>
      <c r="D256" s="563" t="s">
        <v>888</v>
      </c>
      <c r="E256" s="583" t="s">
        <v>4722</v>
      </c>
      <c r="F256" s="562" t="s">
        <v>4723</v>
      </c>
      <c r="G256" s="585" t="s">
        <v>165</v>
      </c>
      <c r="H256" s="585" t="s">
        <v>4792</v>
      </c>
      <c r="I256" s="565" t="e">
        <f>VLOOKUP(H256,'合同高级查询数据-10月新返回合同'!A:A,1,0)</f>
        <v>#N/A</v>
      </c>
      <c r="J256" s="585" t="s">
        <v>3724</v>
      </c>
      <c r="K256" s="650" t="s">
        <v>4793</v>
      </c>
      <c r="L256" s="651" t="s">
        <v>4800</v>
      </c>
      <c r="M256" s="608" t="s">
        <v>4801</v>
      </c>
      <c r="N256" s="603" t="s">
        <v>4802</v>
      </c>
      <c r="O256" s="603" t="s">
        <v>4803</v>
      </c>
      <c r="P256" s="660">
        <v>9000</v>
      </c>
      <c r="Q256" s="653">
        <v>0</v>
      </c>
      <c r="R256" s="639">
        <f t="shared" si="15"/>
        <v>0</v>
      </c>
      <c r="S256" s="654">
        <v>202310</v>
      </c>
      <c r="T256" s="655" t="s">
        <v>4804</v>
      </c>
      <c r="U256" s="656"/>
      <c r="V256" s="615">
        <v>0</v>
      </c>
      <c r="W256" s="615"/>
      <c r="X256" s="657">
        <v>44927</v>
      </c>
      <c r="Y256" s="657">
        <v>45291</v>
      </c>
      <c r="Z256" s="659" t="s">
        <v>4805</v>
      </c>
      <c r="AA256" s="659">
        <v>0</v>
      </c>
      <c r="AB256" s="561">
        <v>140</v>
      </c>
      <c r="AC256" s="561">
        <v>0</v>
      </c>
    </row>
    <row r="257" spans="1:29" s="577" customFormat="1" ht="15" customHeight="1">
      <c r="A257" s="562" t="s">
        <v>258</v>
      </c>
      <c r="B257" s="648" t="s">
        <v>4720</v>
      </c>
      <c r="C257" s="649" t="s">
        <v>4721</v>
      </c>
      <c r="D257" s="563" t="s">
        <v>888</v>
      </c>
      <c r="E257" s="583" t="s">
        <v>4722</v>
      </c>
      <c r="F257" s="562" t="s">
        <v>4723</v>
      </c>
      <c r="G257" s="585" t="s">
        <v>165</v>
      </c>
      <c r="H257" s="585" t="s">
        <v>4792</v>
      </c>
      <c r="I257" s="565" t="e">
        <f>VLOOKUP(H257,'合同高级查询数据-10月新返回合同'!A:A,1,0)</f>
        <v>#N/A</v>
      </c>
      <c r="J257" s="585" t="s">
        <v>3724</v>
      </c>
      <c r="K257" s="650" t="s">
        <v>4793</v>
      </c>
      <c r="L257" s="651" t="s">
        <v>4806</v>
      </c>
      <c r="M257" s="608" t="s">
        <v>4807</v>
      </c>
      <c r="N257" s="603">
        <v>45085</v>
      </c>
      <c r="O257" s="603" t="s">
        <v>3847</v>
      </c>
      <c r="P257" s="660">
        <v>4666.66</v>
      </c>
      <c r="Q257" s="653">
        <v>16</v>
      </c>
      <c r="R257" s="639">
        <f t="shared" si="15"/>
        <v>74666.559999999998</v>
      </c>
      <c r="S257" s="654">
        <v>202310</v>
      </c>
      <c r="T257" s="663" t="s">
        <v>4808</v>
      </c>
      <c r="U257" s="656"/>
      <c r="V257" s="615">
        <v>16.333531119</v>
      </c>
      <c r="W257" s="615">
        <v>16</v>
      </c>
      <c r="X257" s="657">
        <v>44927</v>
      </c>
      <c r="Y257" s="657">
        <v>45291</v>
      </c>
      <c r="Z257" s="659" t="s">
        <v>4809</v>
      </c>
      <c r="AA257" s="659">
        <v>0.3</v>
      </c>
      <c r="AB257" s="561">
        <v>20</v>
      </c>
      <c r="AC257" s="561">
        <v>6</v>
      </c>
    </row>
    <row r="258" spans="1:29" s="577" customFormat="1" ht="15" customHeight="1">
      <c r="A258" s="562" t="s">
        <v>258</v>
      </c>
      <c r="B258" s="648" t="s">
        <v>4720</v>
      </c>
      <c r="C258" s="649" t="s">
        <v>4721</v>
      </c>
      <c r="D258" s="563" t="s">
        <v>888</v>
      </c>
      <c r="E258" s="650" t="s">
        <v>4810</v>
      </c>
      <c r="F258" s="562" t="s">
        <v>4811</v>
      </c>
      <c r="G258" s="585" t="s">
        <v>165</v>
      </c>
      <c r="H258" s="585" t="s">
        <v>4812</v>
      </c>
      <c r="I258" s="565" t="str">
        <f>VLOOKUP(H258,'合同高级查询数据-10月新返回合同'!A:A,1,0)</f>
        <v>182315IDC00545</v>
      </c>
      <c r="J258" s="585" t="s">
        <v>3724</v>
      </c>
      <c r="K258" s="651" t="s">
        <v>4813</v>
      </c>
      <c r="L258" s="651" t="s">
        <v>4811</v>
      </c>
      <c r="M258" s="608" t="s">
        <v>4814</v>
      </c>
      <c r="N258" s="603">
        <v>45117</v>
      </c>
      <c r="O258" s="603" t="s">
        <v>1542</v>
      </c>
      <c r="P258" s="660">
        <v>9000</v>
      </c>
      <c r="Q258" s="653">
        <v>80.367999999999995</v>
      </c>
      <c r="R258" s="639">
        <f t="shared" si="15"/>
        <v>723312</v>
      </c>
      <c r="S258" s="654">
        <v>202310</v>
      </c>
      <c r="T258" s="663" t="s">
        <v>4815</v>
      </c>
      <c r="U258" s="656"/>
      <c r="V258" s="661">
        <v>80.367794027000002</v>
      </c>
      <c r="W258" s="615"/>
      <c r="X258" s="657">
        <v>45108</v>
      </c>
      <c r="Y258" s="657">
        <v>45473</v>
      </c>
      <c r="Z258" s="659" t="s">
        <v>4816</v>
      </c>
      <c r="AA258" s="659">
        <v>0.3</v>
      </c>
      <c r="AB258" s="561">
        <v>200</v>
      </c>
      <c r="AC258" s="561">
        <v>60</v>
      </c>
    </row>
    <row r="259" spans="1:29" s="577" customFormat="1" ht="15" customHeight="1">
      <c r="A259" s="562" t="s">
        <v>258</v>
      </c>
      <c r="B259" s="648" t="s">
        <v>4720</v>
      </c>
      <c r="C259" s="649" t="s">
        <v>4721</v>
      </c>
      <c r="D259" s="563" t="s">
        <v>888</v>
      </c>
      <c r="E259" s="583" t="s">
        <v>4817</v>
      </c>
      <c r="F259" s="562" t="s">
        <v>4818</v>
      </c>
      <c r="G259" s="585" t="s">
        <v>165</v>
      </c>
      <c r="H259" s="585" t="s">
        <v>4819</v>
      </c>
      <c r="I259" s="565" t="e">
        <f>VLOOKUP(H259,'合同高级查询数据-10月新返回合同'!A:A,1,0)</f>
        <v>#N/A</v>
      </c>
      <c r="J259" s="585" t="s">
        <v>3724</v>
      </c>
      <c r="K259" s="650" t="s">
        <v>4820</v>
      </c>
      <c r="L259" s="651" t="s">
        <v>4821</v>
      </c>
      <c r="M259" s="608" t="s">
        <v>4822</v>
      </c>
      <c r="N259" s="603" t="s">
        <v>4823</v>
      </c>
      <c r="O259" s="603" t="s">
        <v>4824</v>
      </c>
      <c r="P259" s="660">
        <v>9000</v>
      </c>
      <c r="Q259" s="653">
        <v>76.072000000000003</v>
      </c>
      <c r="R259" s="639">
        <f t="shared" si="15"/>
        <v>684648</v>
      </c>
      <c r="S259" s="654">
        <v>202310</v>
      </c>
      <c r="T259" s="655" t="s">
        <v>4825</v>
      </c>
      <c r="U259" s="656"/>
      <c r="V259" s="661">
        <v>74.484478605999996</v>
      </c>
      <c r="W259" s="661">
        <v>77.659000000000006</v>
      </c>
      <c r="X259" s="657">
        <v>45047</v>
      </c>
      <c r="Y259" s="657">
        <v>45412</v>
      </c>
      <c r="Z259" s="659" t="s">
        <v>4822</v>
      </c>
      <c r="AA259" s="659">
        <v>0.3</v>
      </c>
      <c r="AB259" s="561">
        <v>180</v>
      </c>
      <c r="AC259" s="561">
        <v>54</v>
      </c>
    </row>
    <row r="260" spans="1:29" s="577" customFormat="1" ht="15" customHeight="1">
      <c r="A260" s="562" t="s">
        <v>258</v>
      </c>
      <c r="B260" s="648" t="s">
        <v>4720</v>
      </c>
      <c r="C260" s="649" t="s">
        <v>4721</v>
      </c>
      <c r="D260" s="563" t="s">
        <v>888</v>
      </c>
      <c r="E260" s="583" t="s">
        <v>4817</v>
      </c>
      <c r="F260" s="562" t="s">
        <v>4818</v>
      </c>
      <c r="G260" s="585" t="s">
        <v>165</v>
      </c>
      <c r="H260" s="585" t="s">
        <v>4819</v>
      </c>
      <c r="I260" s="565" t="e">
        <f>VLOOKUP(H260,'合同高级查询数据-10月新返回合同'!A:A,1,0)</f>
        <v>#N/A</v>
      </c>
      <c r="J260" s="585" t="s">
        <v>3724</v>
      </c>
      <c r="K260" s="650" t="s">
        <v>4820</v>
      </c>
      <c r="L260" s="651" t="s">
        <v>4821</v>
      </c>
      <c r="M260" s="608" t="s">
        <v>4822</v>
      </c>
      <c r="N260" s="603" t="s">
        <v>4823</v>
      </c>
      <c r="O260" s="603" t="s">
        <v>4824</v>
      </c>
      <c r="P260" s="660">
        <v>9000</v>
      </c>
      <c r="Q260" s="653">
        <f>73.162-71.574</f>
        <v>1.5880000000000081</v>
      </c>
      <c r="R260" s="639">
        <f t="shared" si="15"/>
        <v>14292</v>
      </c>
      <c r="S260" s="654">
        <v>202309</v>
      </c>
      <c r="T260" s="655" t="s">
        <v>4826</v>
      </c>
      <c r="U260" s="656"/>
      <c r="V260" s="661">
        <v>71.574273681999998</v>
      </c>
      <c r="W260" s="661"/>
      <c r="X260" s="657">
        <v>45047</v>
      </c>
      <c r="Y260" s="657">
        <v>45412</v>
      </c>
      <c r="Z260" s="659" t="s">
        <v>4822</v>
      </c>
      <c r="AA260" s="659">
        <v>0.3</v>
      </c>
      <c r="AB260" s="561">
        <v>180</v>
      </c>
      <c r="AC260" s="561">
        <v>54</v>
      </c>
    </row>
    <row r="261" spans="1:29" s="385" customFormat="1" ht="15" customHeight="1">
      <c r="A261" s="387" t="s">
        <v>813</v>
      </c>
      <c r="B261" s="461" t="s">
        <v>4720</v>
      </c>
      <c r="C261" s="416" t="s">
        <v>4721</v>
      </c>
      <c r="D261" s="388" t="s">
        <v>888</v>
      </c>
      <c r="E261" s="400" t="s">
        <v>4827</v>
      </c>
      <c r="F261" s="387" t="s">
        <v>4828</v>
      </c>
      <c r="G261" s="371" t="s">
        <v>165</v>
      </c>
      <c r="H261" s="371" t="s">
        <v>4829</v>
      </c>
      <c r="I261" s="369" t="e">
        <f>VLOOKUP(H261,'合同高级查询数据-10月新返回合同'!A:A,1,0)</f>
        <v>#N/A</v>
      </c>
      <c r="J261" s="371" t="s">
        <v>3724</v>
      </c>
      <c r="K261" s="462" t="s">
        <v>4820</v>
      </c>
      <c r="L261" s="474" t="s">
        <v>4830</v>
      </c>
      <c r="M261" s="430" t="s">
        <v>4822</v>
      </c>
      <c r="N261" s="373" t="s">
        <v>4228</v>
      </c>
      <c r="O261" s="373" t="s">
        <v>4260</v>
      </c>
      <c r="P261" s="463">
        <v>7500</v>
      </c>
      <c r="Q261" s="454">
        <v>0</v>
      </c>
      <c r="R261" s="447">
        <f t="shared" si="15"/>
        <v>0</v>
      </c>
      <c r="S261" s="465">
        <v>202310</v>
      </c>
      <c r="T261" s="473" t="s">
        <v>4831</v>
      </c>
      <c r="U261" s="467"/>
      <c r="V261" s="468">
        <v>0</v>
      </c>
      <c r="W261" s="432"/>
      <c r="X261" s="475">
        <v>45047</v>
      </c>
      <c r="Y261" s="475"/>
      <c r="Z261" s="472" t="s">
        <v>4832</v>
      </c>
      <c r="AA261" s="472">
        <v>0</v>
      </c>
      <c r="AB261" s="386">
        <v>0</v>
      </c>
      <c r="AC261" s="386">
        <v>0</v>
      </c>
    </row>
    <row r="262" spans="1:29" s="385" customFormat="1" ht="15" customHeight="1">
      <c r="A262" s="387" t="s">
        <v>45</v>
      </c>
      <c r="B262" s="461" t="s">
        <v>4720</v>
      </c>
      <c r="C262" s="416" t="s">
        <v>4721</v>
      </c>
      <c r="D262" s="388" t="s">
        <v>888</v>
      </c>
      <c r="E262" s="400" t="s">
        <v>4833</v>
      </c>
      <c r="F262" s="387" t="s">
        <v>4834</v>
      </c>
      <c r="G262" s="371" t="s">
        <v>165</v>
      </c>
      <c r="H262" s="371" t="s">
        <v>4835</v>
      </c>
      <c r="I262" s="369" t="e">
        <f>VLOOKUP(H262,'合同高级查询数据-10月新返回合同'!A:A,1,0)</f>
        <v>#N/A</v>
      </c>
      <c r="J262" s="371" t="s">
        <v>3724</v>
      </c>
      <c r="K262" s="462" t="s">
        <v>4836</v>
      </c>
      <c r="L262" s="474" t="s">
        <v>4837</v>
      </c>
      <c r="M262" s="430"/>
      <c r="N262" s="373" t="s">
        <v>4838</v>
      </c>
      <c r="O262" s="373" t="s">
        <v>4839</v>
      </c>
      <c r="P262" s="463">
        <v>6740</v>
      </c>
      <c r="Q262" s="454">
        <v>53.02</v>
      </c>
      <c r="R262" s="447">
        <f t="shared" si="15"/>
        <v>357354.8</v>
      </c>
      <c r="S262" s="465">
        <v>202310</v>
      </c>
      <c r="T262" s="473" t="s">
        <v>4840</v>
      </c>
      <c r="U262" s="467"/>
      <c r="V262" s="432">
        <v>53.024253844999997</v>
      </c>
      <c r="W262" s="432"/>
      <c r="X262" s="475">
        <v>45108</v>
      </c>
      <c r="Y262" s="475"/>
      <c r="Z262" s="472" t="s">
        <v>4841</v>
      </c>
      <c r="AA262" s="472">
        <v>0.4</v>
      </c>
      <c r="AB262" s="386">
        <v>120</v>
      </c>
      <c r="AC262" s="386">
        <v>48</v>
      </c>
    </row>
    <row r="263" spans="1:29" s="385" customFormat="1" ht="15" customHeight="1">
      <c r="A263" s="387" t="s">
        <v>45</v>
      </c>
      <c r="B263" s="461" t="s">
        <v>4720</v>
      </c>
      <c r="C263" s="416" t="s">
        <v>4721</v>
      </c>
      <c r="D263" s="388" t="s">
        <v>888</v>
      </c>
      <c r="E263" s="400" t="s">
        <v>4833</v>
      </c>
      <c r="F263" s="387" t="s">
        <v>4834</v>
      </c>
      <c r="G263" s="371" t="s">
        <v>165</v>
      </c>
      <c r="H263" s="371" t="s">
        <v>4835</v>
      </c>
      <c r="I263" s="369" t="e">
        <f>VLOOKUP(H263,'合同高级查询数据-10月新返回合同'!A:A,1,0)</f>
        <v>#N/A</v>
      </c>
      <c r="J263" s="371" t="s">
        <v>3724</v>
      </c>
      <c r="K263" s="462" t="s">
        <v>4836</v>
      </c>
      <c r="L263" s="474" t="s">
        <v>4837</v>
      </c>
      <c r="M263" s="430"/>
      <c r="N263" s="373" t="s">
        <v>4838</v>
      </c>
      <c r="O263" s="373" t="s">
        <v>4839</v>
      </c>
      <c r="P263" s="463">
        <v>6740</v>
      </c>
      <c r="Q263" s="454">
        <f>49.71-49.3</f>
        <v>0.41000000000000369</v>
      </c>
      <c r="R263" s="447">
        <f t="shared" si="15"/>
        <v>2763.4</v>
      </c>
      <c r="S263" s="465">
        <v>202309</v>
      </c>
      <c r="T263" s="473" t="s">
        <v>4842</v>
      </c>
      <c r="U263" s="467"/>
      <c r="V263" s="432">
        <v>49.298618316999999</v>
      </c>
      <c r="W263" s="432">
        <v>50.11</v>
      </c>
      <c r="X263" s="475">
        <v>45108</v>
      </c>
      <c r="Y263" s="475"/>
      <c r="Z263" s="472" t="s">
        <v>4841</v>
      </c>
      <c r="AA263" s="472">
        <v>0.4</v>
      </c>
      <c r="AB263" s="386">
        <v>120</v>
      </c>
      <c r="AC263" s="386">
        <v>48</v>
      </c>
    </row>
    <row r="264" spans="1:29" s="385" customFormat="1" ht="15" customHeight="1">
      <c r="A264" s="387" t="s">
        <v>45</v>
      </c>
      <c r="B264" s="461" t="s">
        <v>4720</v>
      </c>
      <c r="C264" s="416" t="s">
        <v>4721</v>
      </c>
      <c r="D264" s="388" t="s">
        <v>888</v>
      </c>
      <c r="E264" s="400" t="s">
        <v>4833</v>
      </c>
      <c r="F264" s="387" t="s">
        <v>4834</v>
      </c>
      <c r="G264" s="371" t="s">
        <v>165</v>
      </c>
      <c r="H264" s="371" t="s">
        <v>4835</v>
      </c>
      <c r="I264" s="369" t="e">
        <f>VLOOKUP(H264,'合同高级查询数据-10月新返回合同'!A:A,1,0)</f>
        <v>#N/A</v>
      </c>
      <c r="J264" s="371" t="s">
        <v>3724</v>
      </c>
      <c r="K264" s="462" t="s">
        <v>4843</v>
      </c>
      <c r="L264" s="474" t="s">
        <v>4844</v>
      </c>
      <c r="M264" s="430"/>
      <c r="N264" s="373">
        <v>44470</v>
      </c>
      <c r="O264" s="373" t="s">
        <v>4845</v>
      </c>
      <c r="P264" s="463">
        <v>6740</v>
      </c>
      <c r="Q264" s="454">
        <v>0</v>
      </c>
      <c r="R264" s="447">
        <f t="shared" si="15"/>
        <v>0</v>
      </c>
      <c r="S264" s="465">
        <v>202310</v>
      </c>
      <c r="T264" s="473" t="s">
        <v>4846</v>
      </c>
      <c r="U264" s="467"/>
      <c r="V264" s="432">
        <v>0</v>
      </c>
      <c r="W264" s="432"/>
      <c r="X264" s="475">
        <v>45108</v>
      </c>
      <c r="Y264" s="475"/>
      <c r="Z264" s="472" t="s">
        <v>4847</v>
      </c>
      <c r="AA264" s="472">
        <v>0.4</v>
      </c>
      <c r="AB264" s="386">
        <v>0</v>
      </c>
      <c r="AC264" s="386">
        <v>0</v>
      </c>
    </row>
    <row r="265" spans="1:29" s="385" customFormat="1" ht="15" customHeight="1">
      <c r="A265" s="387" t="s">
        <v>45</v>
      </c>
      <c r="B265" s="461" t="s">
        <v>4720</v>
      </c>
      <c r="C265" s="416" t="s">
        <v>4721</v>
      </c>
      <c r="D265" s="388" t="s">
        <v>888</v>
      </c>
      <c r="E265" s="400" t="s">
        <v>4833</v>
      </c>
      <c r="F265" s="387" t="s">
        <v>4834</v>
      </c>
      <c r="G265" s="371" t="s">
        <v>165</v>
      </c>
      <c r="H265" s="371" t="s">
        <v>4835</v>
      </c>
      <c r="I265" s="369" t="e">
        <f>VLOOKUP(H265,'合同高级查询数据-10月新返回合同'!A:A,1,0)</f>
        <v>#N/A</v>
      </c>
      <c r="J265" s="371" t="s">
        <v>3724</v>
      </c>
      <c r="K265" s="462" t="s">
        <v>4848</v>
      </c>
      <c r="L265" s="474" t="s">
        <v>4849</v>
      </c>
      <c r="M265" s="430"/>
      <c r="N265" s="373" t="s">
        <v>4850</v>
      </c>
      <c r="O265" s="373" t="s">
        <v>4851</v>
      </c>
      <c r="P265" s="463">
        <v>6740</v>
      </c>
      <c r="Q265" s="454">
        <v>121.72</v>
      </c>
      <c r="R265" s="447">
        <f t="shared" si="15"/>
        <v>820392.8</v>
      </c>
      <c r="S265" s="465">
        <v>202310</v>
      </c>
      <c r="T265" s="473" t="s">
        <v>4852</v>
      </c>
      <c r="U265" s="467"/>
      <c r="V265" s="432">
        <v>121.72344207800001</v>
      </c>
      <c r="W265" s="432"/>
      <c r="X265" s="475">
        <v>45108</v>
      </c>
      <c r="Y265" s="475"/>
      <c r="Z265" s="472" t="s">
        <v>4853</v>
      </c>
      <c r="AA265" s="472">
        <v>0.4</v>
      </c>
      <c r="AB265" s="386">
        <v>260</v>
      </c>
      <c r="AC265" s="386">
        <v>104</v>
      </c>
    </row>
    <row r="266" spans="1:29" s="385" customFormat="1" ht="15" customHeight="1">
      <c r="A266" s="387" t="s">
        <v>45</v>
      </c>
      <c r="B266" s="461" t="s">
        <v>4720</v>
      </c>
      <c r="C266" s="416" t="s">
        <v>4721</v>
      </c>
      <c r="D266" s="388" t="s">
        <v>888</v>
      </c>
      <c r="E266" s="400" t="s">
        <v>4833</v>
      </c>
      <c r="F266" s="387" t="s">
        <v>4834</v>
      </c>
      <c r="G266" s="371" t="s">
        <v>165</v>
      </c>
      <c r="H266" s="371" t="s">
        <v>4835</v>
      </c>
      <c r="I266" s="369" t="e">
        <f>VLOOKUP(H266,'合同高级查询数据-10月新返回合同'!A:A,1,0)</f>
        <v>#N/A</v>
      </c>
      <c r="J266" s="371" t="s">
        <v>3724</v>
      </c>
      <c r="K266" s="462" t="s">
        <v>4848</v>
      </c>
      <c r="L266" s="474" t="s">
        <v>4849</v>
      </c>
      <c r="M266" s="430"/>
      <c r="N266" s="373" t="s">
        <v>4850</v>
      </c>
      <c r="O266" s="373" t="s">
        <v>4851</v>
      </c>
      <c r="P266" s="463">
        <v>6740</v>
      </c>
      <c r="Q266" s="454">
        <f>120.54-119.63</f>
        <v>0.9100000000000108</v>
      </c>
      <c r="R266" s="447">
        <f t="shared" si="15"/>
        <v>6133.4</v>
      </c>
      <c r="S266" s="465">
        <v>202309</v>
      </c>
      <c r="T266" s="473" t="s">
        <v>4854</v>
      </c>
      <c r="U266" s="467"/>
      <c r="V266" s="432">
        <v>119.63265991199999</v>
      </c>
      <c r="W266" s="432">
        <v>121.45</v>
      </c>
      <c r="X266" s="475">
        <v>45108</v>
      </c>
      <c r="Y266" s="475"/>
      <c r="Z266" s="472" t="s">
        <v>4853</v>
      </c>
      <c r="AA266" s="472">
        <v>0.4</v>
      </c>
      <c r="AB266" s="386">
        <v>260</v>
      </c>
      <c r="AC266" s="386">
        <v>104</v>
      </c>
    </row>
    <row r="267" spans="1:29" s="385" customFormat="1" ht="15" customHeight="1">
      <c r="A267" s="387" t="s">
        <v>45</v>
      </c>
      <c r="B267" s="461" t="s">
        <v>4720</v>
      </c>
      <c r="C267" s="416" t="s">
        <v>4721</v>
      </c>
      <c r="D267" s="388" t="s">
        <v>888</v>
      </c>
      <c r="E267" s="462" t="s">
        <v>4833</v>
      </c>
      <c r="F267" s="387" t="s">
        <v>4834</v>
      </c>
      <c r="G267" s="371" t="s">
        <v>165</v>
      </c>
      <c r="H267" s="371" t="s">
        <v>4835</v>
      </c>
      <c r="I267" s="369" t="e">
        <f>VLOOKUP(H267,'合同高级查询数据-10月新返回合同'!A:A,1,0)</f>
        <v>#N/A</v>
      </c>
      <c r="J267" s="371" t="s">
        <v>3724</v>
      </c>
      <c r="K267" s="474" t="s">
        <v>4855</v>
      </c>
      <c r="L267" s="474" t="s">
        <v>4856</v>
      </c>
      <c r="M267" s="430" t="s">
        <v>4857</v>
      </c>
      <c r="N267" s="373">
        <v>45176</v>
      </c>
      <c r="O267" s="373" t="s">
        <v>1542</v>
      </c>
      <c r="P267" s="463">
        <v>6740</v>
      </c>
      <c r="Q267" s="454">
        <v>94.06</v>
      </c>
      <c r="R267" s="447">
        <f t="shared" si="15"/>
        <v>633964.4</v>
      </c>
      <c r="S267" s="465">
        <v>202310</v>
      </c>
      <c r="T267" s="406" t="s">
        <v>4858</v>
      </c>
      <c r="U267" s="467"/>
      <c r="V267" s="468">
        <v>94.06</v>
      </c>
      <c r="W267" s="432"/>
      <c r="X267" s="373">
        <v>45176</v>
      </c>
      <c r="Y267" s="471"/>
      <c r="Z267" s="472" t="s">
        <v>4859</v>
      </c>
      <c r="AA267" s="472">
        <v>0.4</v>
      </c>
      <c r="AB267" s="386">
        <v>200</v>
      </c>
      <c r="AC267" s="386">
        <v>80</v>
      </c>
    </row>
    <row r="268" spans="1:29" s="385" customFormat="1" ht="15" customHeight="1">
      <c r="A268" s="387" t="s">
        <v>45</v>
      </c>
      <c r="B268" s="461" t="s">
        <v>4720</v>
      </c>
      <c r="C268" s="416" t="s">
        <v>4721</v>
      </c>
      <c r="D268" s="388" t="s">
        <v>888</v>
      </c>
      <c r="E268" s="462" t="s">
        <v>4833</v>
      </c>
      <c r="F268" s="387" t="s">
        <v>4834</v>
      </c>
      <c r="G268" s="371" t="s">
        <v>165</v>
      </c>
      <c r="H268" s="371" t="s">
        <v>4835</v>
      </c>
      <c r="I268" s="369" t="e">
        <f>VLOOKUP(H268,'合同高级查询数据-10月新返回合同'!A:A,1,0)</f>
        <v>#N/A</v>
      </c>
      <c r="J268" s="371" t="s">
        <v>3724</v>
      </c>
      <c r="K268" s="474" t="s">
        <v>4855</v>
      </c>
      <c r="L268" s="474" t="s">
        <v>4856</v>
      </c>
      <c r="M268" s="430" t="s">
        <v>4857</v>
      </c>
      <c r="N268" s="373">
        <v>45176</v>
      </c>
      <c r="O268" s="373" t="s">
        <v>1542</v>
      </c>
      <c r="P268" s="463">
        <v>6740</v>
      </c>
      <c r="Q268" s="454">
        <f>83.35-82.85</f>
        <v>0.5</v>
      </c>
      <c r="R268" s="447">
        <f t="shared" si="15"/>
        <v>3370</v>
      </c>
      <c r="S268" s="465">
        <v>202309</v>
      </c>
      <c r="T268" s="473" t="s">
        <v>4860</v>
      </c>
      <c r="U268" s="467"/>
      <c r="V268" s="468">
        <v>82.847999999999999</v>
      </c>
      <c r="W268" s="468">
        <v>83.847999999999999</v>
      </c>
      <c r="X268" s="373">
        <v>45176</v>
      </c>
      <c r="Y268" s="471"/>
      <c r="Z268" s="472" t="s">
        <v>4859</v>
      </c>
      <c r="AA268" s="472">
        <v>0.4</v>
      </c>
      <c r="AB268" s="386">
        <v>200</v>
      </c>
      <c r="AC268" s="386">
        <v>80</v>
      </c>
    </row>
    <row r="269" spans="1:29" s="385" customFormat="1" ht="15" customHeight="1">
      <c r="A269" s="387" t="s">
        <v>45</v>
      </c>
      <c r="B269" s="461" t="s">
        <v>4720</v>
      </c>
      <c r="C269" s="416" t="s">
        <v>4721</v>
      </c>
      <c r="D269" s="388" t="s">
        <v>888</v>
      </c>
      <c r="E269" s="462" t="s">
        <v>4833</v>
      </c>
      <c r="F269" s="387" t="s">
        <v>4834</v>
      </c>
      <c r="G269" s="371" t="s">
        <v>165</v>
      </c>
      <c r="H269" s="371" t="s">
        <v>4835</v>
      </c>
      <c r="I269" s="369" t="e">
        <f>VLOOKUP(H269,'合同高级查询数据-10月新返回合同'!A:A,1,0)</f>
        <v>#N/A</v>
      </c>
      <c r="J269" s="371" t="s">
        <v>3724</v>
      </c>
      <c r="K269" s="474" t="s">
        <v>4855</v>
      </c>
      <c r="L269" s="474" t="s">
        <v>4861</v>
      </c>
      <c r="M269" s="430" t="s">
        <v>4862</v>
      </c>
      <c r="N269" s="373">
        <v>45177</v>
      </c>
      <c r="O269" s="373" t="s">
        <v>1542</v>
      </c>
      <c r="P269" s="463">
        <v>6740</v>
      </c>
      <c r="Q269" s="454">
        <v>80.88</v>
      </c>
      <c r="R269" s="447">
        <f t="shared" si="15"/>
        <v>545131.19999999995</v>
      </c>
      <c r="S269" s="465">
        <v>202310</v>
      </c>
      <c r="T269" s="406" t="s">
        <v>4863</v>
      </c>
      <c r="U269" s="467"/>
      <c r="V269" s="468">
        <v>80.876736750999996</v>
      </c>
      <c r="W269" s="432"/>
      <c r="X269" s="373">
        <v>45177</v>
      </c>
      <c r="Y269" s="471"/>
      <c r="Z269" s="472" t="s">
        <v>4864</v>
      </c>
      <c r="AA269" s="472">
        <v>0.4</v>
      </c>
      <c r="AB269" s="386">
        <v>200</v>
      </c>
      <c r="AC269" s="386">
        <v>80</v>
      </c>
    </row>
    <row r="270" spans="1:29" s="577" customFormat="1" ht="15" customHeight="1">
      <c r="A270" s="562" t="s">
        <v>258</v>
      </c>
      <c r="B270" s="648" t="s">
        <v>4720</v>
      </c>
      <c r="C270" s="649" t="s">
        <v>4721</v>
      </c>
      <c r="D270" s="563" t="s">
        <v>888</v>
      </c>
      <c r="E270" s="650" t="s">
        <v>4865</v>
      </c>
      <c r="F270" s="562" t="s">
        <v>4866</v>
      </c>
      <c r="G270" s="585" t="s">
        <v>165</v>
      </c>
      <c r="H270" s="585" t="s">
        <v>4867</v>
      </c>
      <c r="I270" s="565" t="e">
        <f>VLOOKUP(H270,'合同高级查询数据-10月新返回合同'!A:A,1,0)</f>
        <v>#N/A</v>
      </c>
      <c r="J270" s="585" t="s">
        <v>3724</v>
      </c>
      <c r="K270" s="650" t="s">
        <v>4868</v>
      </c>
      <c r="L270" s="651" t="s">
        <v>4866</v>
      </c>
      <c r="M270" s="608"/>
      <c r="N270" s="603">
        <v>45017</v>
      </c>
      <c r="O270" s="603" t="s">
        <v>1542</v>
      </c>
      <c r="P270" s="660">
        <v>9000</v>
      </c>
      <c r="Q270" s="653">
        <v>60</v>
      </c>
      <c r="R270" s="639">
        <f t="shared" si="15"/>
        <v>540000</v>
      </c>
      <c r="S270" s="654">
        <v>202310</v>
      </c>
      <c r="T270" s="655" t="s">
        <v>4869</v>
      </c>
      <c r="U270" s="656"/>
      <c r="V270" s="661">
        <v>56.044268506999998</v>
      </c>
      <c r="W270" s="661">
        <v>56.23</v>
      </c>
      <c r="X270" s="657">
        <v>45017</v>
      </c>
      <c r="Y270" s="658">
        <v>45382</v>
      </c>
      <c r="Z270" s="659" t="s">
        <v>4870</v>
      </c>
      <c r="AA270" s="659">
        <v>0.3</v>
      </c>
      <c r="AB270" s="561">
        <v>200</v>
      </c>
      <c r="AC270" s="561">
        <v>60</v>
      </c>
    </row>
    <row r="271" spans="1:29" s="577" customFormat="1" ht="15" customHeight="1">
      <c r="A271" s="562" t="s">
        <v>258</v>
      </c>
      <c r="B271" s="648" t="s">
        <v>4720</v>
      </c>
      <c r="C271" s="649" t="s">
        <v>4721</v>
      </c>
      <c r="D271" s="563" t="s">
        <v>888</v>
      </c>
      <c r="E271" s="650" t="s">
        <v>4865</v>
      </c>
      <c r="F271" s="562" t="s">
        <v>4866</v>
      </c>
      <c r="G271" s="585" t="s">
        <v>165</v>
      </c>
      <c r="H271" s="585" t="s">
        <v>4867</v>
      </c>
      <c r="I271" s="565" t="e">
        <f>VLOOKUP(H271,'合同高级查询数据-10月新返回合同'!A:A,1,0)</f>
        <v>#N/A</v>
      </c>
      <c r="J271" s="585" t="s">
        <v>3724</v>
      </c>
      <c r="K271" s="650" t="s">
        <v>4868</v>
      </c>
      <c r="L271" s="651" t="s">
        <v>4866</v>
      </c>
      <c r="M271" s="608"/>
      <c r="N271" s="603">
        <v>45017</v>
      </c>
      <c r="O271" s="603" t="s">
        <v>1542</v>
      </c>
      <c r="P271" s="660">
        <v>9000</v>
      </c>
      <c r="Q271" s="653">
        <f>62.592-62.171</f>
        <v>0.42099999999999937</v>
      </c>
      <c r="R271" s="639">
        <f t="shared" si="15"/>
        <v>3789</v>
      </c>
      <c r="S271" s="654">
        <v>202309</v>
      </c>
      <c r="T271" s="655" t="s">
        <v>4871</v>
      </c>
      <c r="U271" s="656"/>
      <c r="V271" s="661">
        <v>62.170826429000002</v>
      </c>
      <c r="W271" s="661">
        <v>62.591999999999999</v>
      </c>
      <c r="X271" s="657">
        <v>45017</v>
      </c>
      <c r="Y271" s="658">
        <v>45382</v>
      </c>
      <c r="Z271" s="659" t="s">
        <v>4870</v>
      </c>
      <c r="AA271" s="659">
        <v>0.3</v>
      </c>
      <c r="AB271" s="561">
        <v>200</v>
      </c>
      <c r="AC271" s="561">
        <v>60</v>
      </c>
    </row>
    <row r="272" spans="1:29" s="577" customFormat="1" ht="15" customHeight="1">
      <c r="A272" s="562" t="s">
        <v>260</v>
      </c>
      <c r="B272" s="648" t="s">
        <v>4720</v>
      </c>
      <c r="C272" s="649" t="s">
        <v>4721</v>
      </c>
      <c r="D272" s="563" t="s">
        <v>888</v>
      </c>
      <c r="E272" s="650" t="s">
        <v>4872</v>
      </c>
      <c r="F272" s="562" t="s">
        <v>4873</v>
      </c>
      <c r="G272" s="585" t="s">
        <v>165</v>
      </c>
      <c r="H272" s="585" t="s">
        <v>4874</v>
      </c>
      <c r="I272" s="565" t="str">
        <f>VLOOKUP(H272,'合同高级查询数据-10月新返回合同'!A:A,1,0)</f>
        <v>182315IDC00417</v>
      </c>
      <c r="J272" s="585" t="s">
        <v>4875</v>
      </c>
      <c r="K272" s="650" t="s">
        <v>801</v>
      </c>
      <c r="L272" s="651" t="s">
        <v>4876</v>
      </c>
      <c r="M272" s="608" t="s">
        <v>4877</v>
      </c>
      <c r="N272" s="603">
        <v>45039</v>
      </c>
      <c r="O272" s="603" t="s">
        <v>4796</v>
      </c>
      <c r="P272" s="660">
        <v>9500</v>
      </c>
      <c r="Q272" s="653">
        <v>13.077</v>
      </c>
      <c r="R272" s="639">
        <f t="shared" si="15"/>
        <v>124231.5</v>
      </c>
      <c r="S272" s="654">
        <v>202310</v>
      </c>
      <c r="T272" s="655" t="s">
        <v>4878</v>
      </c>
      <c r="U272" s="656"/>
      <c r="V272" s="661">
        <v>13.077423506416</v>
      </c>
      <c r="W272" s="615"/>
      <c r="X272" s="657">
        <v>45017</v>
      </c>
      <c r="Y272" s="658">
        <v>45382</v>
      </c>
      <c r="Z272" s="659" t="s">
        <v>4879</v>
      </c>
      <c r="AA272" s="659">
        <v>0.3</v>
      </c>
      <c r="AB272" s="561">
        <v>40</v>
      </c>
      <c r="AC272" s="561">
        <v>12</v>
      </c>
    </row>
    <row r="273" spans="1:29" s="385" customFormat="1" ht="15" customHeight="1">
      <c r="A273" s="387" t="s">
        <v>260</v>
      </c>
      <c r="B273" s="461" t="s">
        <v>4880</v>
      </c>
      <c r="C273" s="416" t="s">
        <v>4881</v>
      </c>
      <c r="D273" s="388" t="s">
        <v>888</v>
      </c>
      <c r="E273" s="400" t="s">
        <v>4882</v>
      </c>
      <c r="F273" s="387" t="s">
        <v>4883</v>
      </c>
      <c r="G273" s="371" t="s">
        <v>165</v>
      </c>
      <c r="H273" s="371" t="s">
        <v>4884</v>
      </c>
      <c r="I273" s="369" t="e">
        <f>VLOOKUP(H273,'合同高级查询数据-10月新返回合同'!A:A,1,0)</f>
        <v>#N/A</v>
      </c>
      <c r="J273" s="371" t="s">
        <v>4013</v>
      </c>
      <c r="K273" s="462" t="s">
        <v>4885</v>
      </c>
      <c r="L273" s="474" t="s">
        <v>4885</v>
      </c>
      <c r="M273" s="430" t="s">
        <v>4886</v>
      </c>
      <c r="N273" s="373" t="s">
        <v>4887</v>
      </c>
      <c r="O273" s="373" t="s">
        <v>4170</v>
      </c>
      <c r="P273" s="463">
        <v>9500</v>
      </c>
      <c r="Q273" s="454">
        <v>0</v>
      </c>
      <c r="R273" s="447">
        <f t="shared" ref="R273" si="17">ROUND(Q273*P273,2)</f>
        <v>0</v>
      </c>
      <c r="S273" s="465">
        <v>202310</v>
      </c>
      <c r="T273" s="473" t="s">
        <v>4888</v>
      </c>
      <c r="U273" s="467"/>
      <c r="V273" s="432">
        <v>0</v>
      </c>
      <c r="W273" s="432"/>
      <c r="X273" s="475">
        <v>45047</v>
      </c>
      <c r="Y273" s="475"/>
      <c r="Z273" s="472" t="s">
        <v>4889</v>
      </c>
      <c r="AA273" s="472">
        <v>0.3</v>
      </c>
      <c r="AB273" s="386">
        <v>0</v>
      </c>
      <c r="AC273" s="386">
        <v>0</v>
      </c>
    </row>
    <row r="274" spans="1:29" s="385" customFormat="1" ht="15" customHeight="1">
      <c r="A274" s="387" t="s">
        <v>260</v>
      </c>
      <c r="B274" s="461" t="s">
        <v>4880</v>
      </c>
      <c r="C274" s="416" t="s">
        <v>4881</v>
      </c>
      <c r="D274" s="388" t="s">
        <v>888</v>
      </c>
      <c r="E274" s="400" t="s">
        <v>4882</v>
      </c>
      <c r="F274" s="387" t="s">
        <v>4883</v>
      </c>
      <c r="G274" s="371" t="s">
        <v>165</v>
      </c>
      <c r="H274" s="371" t="s">
        <v>4884</v>
      </c>
      <c r="I274" s="369" t="e">
        <f>VLOOKUP(H274,'合同高级查询数据-10月新返回合同'!A:A,1,0)</f>
        <v>#N/A</v>
      </c>
      <c r="J274" s="371" t="s">
        <v>3724</v>
      </c>
      <c r="K274" s="462" t="s">
        <v>4890</v>
      </c>
      <c r="L274" s="474" t="s">
        <v>4891</v>
      </c>
      <c r="M274" s="430" t="s">
        <v>4886</v>
      </c>
      <c r="N274" s="373" t="s">
        <v>4892</v>
      </c>
      <c r="O274" s="373" t="s">
        <v>4893</v>
      </c>
      <c r="P274" s="463">
        <v>9500</v>
      </c>
      <c r="Q274" s="454">
        <v>15.7</v>
      </c>
      <c r="R274" s="447">
        <f t="shared" ref="R274:R337" si="18">ROUND(P274*Q274,2)</f>
        <v>149150</v>
      </c>
      <c r="S274" s="465">
        <v>202310</v>
      </c>
      <c r="T274" s="473" t="s">
        <v>4894</v>
      </c>
      <c r="U274" s="467"/>
      <c r="V274" s="432">
        <v>15.651957511999999</v>
      </c>
      <c r="W274" s="432"/>
      <c r="X274" s="475">
        <v>45047</v>
      </c>
      <c r="Y274" s="475"/>
      <c r="Z274" s="472" t="s">
        <v>4895</v>
      </c>
      <c r="AA274" s="472">
        <v>0.3</v>
      </c>
      <c r="AB274" s="386">
        <v>40</v>
      </c>
      <c r="AC274" s="386">
        <f>AA274*AB274</f>
        <v>12</v>
      </c>
    </row>
    <row r="275" spans="1:29" s="385" customFormat="1" ht="15" customHeight="1">
      <c r="A275" s="387" t="s">
        <v>260</v>
      </c>
      <c r="B275" s="461" t="s">
        <v>4880</v>
      </c>
      <c r="C275" s="416" t="s">
        <v>4881</v>
      </c>
      <c r="D275" s="388" t="s">
        <v>888</v>
      </c>
      <c r="E275" s="400" t="s">
        <v>4882</v>
      </c>
      <c r="F275" s="387" t="s">
        <v>4883</v>
      </c>
      <c r="G275" s="371" t="s">
        <v>165</v>
      </c>
      <c r="H275" s="371" t="s">
        <v>4884</v>
      </c>
      <c r="I275" s="369" t="e">
        <f>VLOOKUP(H275,'合同高级查询数据-10月新返回合同'!A:A,1,0)</f>
        <v>#N/A</v>
      </c>
      <c r="J275" s="371" t="s">
        <v>3724</v>
      </c>
      <c r="K275" s="462" t="s">
        <v>4896</v>
      </c>
      <c r="L275" s="474" t="s">
        <v>4896</v>
      </c>
      <c r="M275" s="430" t="s">
        <v>4897</v>
      </c>
      <c r="N275" s="373" t="s">
        <v>4898</v>
      </c>
      <c r="O275" s="373" t="s">
        <v>4899</v>
      </c>
      <c r="P275" s="463">
        <v>9500</v>
      </c>
      <c r="Q275" s="454">
        <v>0</v>
      </c>
      <c r="R275" s="447">
        <f t="shared" si="18"/>
        <v>0</v>
      </c>
      <c r="S275" s="465">
        <v>202310</v>
      </c>
      <c r="T275" s="473" t="s">
        <v>4900</v>
      </c>
      <c r="U275" s="467"/>
      <c r="V275" s="432">
        <v>0</v>
      </c>
      <c r="W275" s="432"/>
      <c r="X275" s="475">
        <v>45047</v>
      </c>
      <c r="Y275" s="475"/>
      <c r="Z275" s="472" t="s">
        <v>4901</v>
      </c>
      <c r="AA275" s="472">
        <v>0.3</v>
      </c>
      <c r="AB275" s="386">
        <v>0</v>
      </c>
      <c r="AC275" s="386">
        <f>AA275*AB275</f>
        <v>0</v>
      </c>
    </row>
    <row r="276" spans="1:29" s="385" customFormat="1" ht="15" customHeight="1">
      <c r="A276" s="387" t="s">
        <v>258</v>
      </c>
      <c r="B276" s="461" t="s">
        <v>4880</v>
      </c>
      <c r="C276" s="416" t="s">
        <v>4881</v>
      </c>
      <c r="D276" s="388" t="s">
        <v>888</v>
      </c>
      <c r="E276" s="400" t="s">
        <v>4902</v>
      </c>
      <c r="F276" s="387" t="s">
        <v>4903</v>
      </c>
      <c r="G276" s="371" t="s">
        <v>165</v>
      </c>
      <c r="H276" s="371" t="s">
        <v>4904</v>
      </c>
      <c r="I276" s="369" t="e">
        <f>VLOOKUP(H276,'合同高级查询数据-10月新返回合同'!A:A,1,0)</f>
        <v>#N/A</v>
      </c>
      <c r="J276" s="371" t="s">
        <v>3724</v>
      </c>
      <c r="K276" s="462" t="s">
        <v>4905</v>
      </c>
      <c r="L276" s="474" t="s">
        <v>4906</v>
      </c>
      <c r="M276" s="430" t="s">
        <v>4907</v>
      </c>
      <c r="N276" s="373" t="s">
        <v>4908</v>
      </c>
      <c r="O276" s="373" t="s">
        <v>4909</v>
      </c>
      <c r="P276" s="463">
        <v>9000</v>
      </c>
      <c r="Q276" s="454">
        <v>37.9</v>
      </c>
      <c r="R276" s="447">
        <f t="shared" si="18"/>
        <v>341100</v>
      </c>
      <c r="S276" s="465">
        <v>202310</v>
      </c>
      <c r="T276" s="473" t="s">
        <v>4910</v>
      </c>
      <c r="U276" s="467"/>
      <c r="V276" s="432">
        <v>36.799500197</v>
      </c>
      <c r="W276" s="476">
        <v>37.840000000000003</v>
      </c>
      <c r="X276" s="475"/>
      <c r="Y276" s="471"/>
      <c r="Z276" s="472" t="s">
        <v>4911</v>
      </c>
      <c r="AA276" s="472">
        <v>0.3</v>
      </c>
      <c r="AB276" s="386">
        <v>100</v>
      </c>
      <c r="AC276" s="386">
        <f t="shared" ref="AC276:AC281" si="19">AB276*AA276</f>
        <v>30</v>
      </c>
    </row>
    <row r="277" spans="1:29" s="385" customFormat="1" ht="15" customHeight="1">
      <c r="A277" s="387" t="s">
        <v>258</v>
      </c>
      <c r="B277" s="461" t="s">
        <v>4880</v>
      </c>
      <c r="C277" s="416" t="s">
        <v>4881</v>
      </c>
      <c r="D277" s="388" t="s">
        <v>888</v>
      </c>
      <c r="E277" s="400" t="s">
        <v>4902</v>
      </c>
      <c r="F277" s="387" t="s">
        <v>4903</v>
      </c>
      <c r="G277" s="371" t="s">
        <v>165</v>
      </c>
      <c r="H277" s="371" t="s">
        <v>4904</v>
      </c>
      <c r="I277" s="369" t="e">
        <f>VLOOKUP(H277,'合同高级查询数据-10月新返回合同'!A:A,1,0)</f>
        <v>#N/A</v>
      </c>
      <c r="J277" s="371" t="s">
        <v>3724</v>
      </c>
      <c r="K277" s="462" t="s">
        <v>4905</v>
      </c>
      <c r="L277" s="474" t="s">
        <v>4906</v>
      </c>
      <c r="M277" s="430" t="s">
        <v>4907</v>
      </c>
      <c r="N277" s="373" t="s">
        <v>4908</v>
      </c>
      <c r="O277" s="373" t="s">
        <v>4909</v>
      </c>
      <c r="P277" s="463">
        <v>9000</v>
      </c>
      <c r="Q277" s="454">
        <f>34.34-33.8</f>
        <v>0.54000000000000625</v>
      </c>
      <c r="R277" s="447">
        <f t="shared" si="18"/>
        <v>4860</v>
      </c>
      <c r="S277" s="465">
        <v>202309</v>
      </c>
      <c r="T277" s="473" t="s">
        <v>4912</v>
      </c>
      <c r="U277" s="467"/>
      <c r="V277" s="432">
        <v>33.784433059000001</v>
      </c>
      <c r="W277" s="476">
        <v>34.340000000000003</v>
      </c>
      <c r="X277" s="475"/>
      <c r="Y277" s="471"/>
      <c r="Z277" s="472" t="s">
        <v>4911</v>
      </c>
      <c r="AA277" s="472">
        <v>0.3</v>
      </c>
      <c r="AB277" s="386">
        <v>100</v>
      </c>
      <c r="AC277" s="386">
        <f t="shared" si="19"/>
        <v>30</v>
      </c>
    </row>
    <row r="278" spans="1:29" s="385" customFormat="1" ht="15" customHeight="1">
      <c r="A278" s="387" t="s">
        <v>45</v>
      </c>
      <c r="B278" s="461" t="s">
        <v>4880</v>
      </c>
      <c r="C278" s="416" t="s">
        <v>4881</v>
      </c>
      <c r="D278" s="388" t="s">
        <v>888</v>
      </c>
      <c r="E278" s="400" t="s">
        <v>4913</v>
      </c>
      <c r="F278" s="387" t="s">
        <v>4914</v>
      </c>
      <c r="G278" s="371" t="s">
        <v>165</v>
      </c>
      <c r="H278" s="371" t="s">
        <v>4915</v>
      </c>
      <c r="I278" s="369" t="e">
        <f>VLOOKUP(H278,'合同高级查询数据-10月新返回合同'!A:A,1,0)</f>
        <v>#N/A</v>
      </c>
      <c r="J278" s="371" t="s">
        <v>3724</v>
      </c>
      <c r="K278" s="462" t="s">
        <v>4916</v>
      </c>
      <c r="L278" s="474" t="s">
        <v>4914</v>
      </c>
      <c r="M278" s="430" t="s">
        <v>4917</v>
      </c>
      <c r="N278" s="373" t="s">
        <v>4918</v>
      </c>
      <c r="O278" s="373" t="s">
        <v>4919</v>
      </c>
      <c r="P278" s="463">
        <v>6740</v>
      </c>
      <c r="Q278" s="454">
        <v>0</v>
      </c>
      <c r="R278" s="447">
        <f t="shared" si="18"/>
        <v>0</v>
      </c>
      <c r="S278" s="465">
        <v>202310</v>
      </c>
      <c r="T278" s="473" t="s">
        <v>4920</v>
      </c>
      <c r="U278" s="467"/>
      <c r="V278" s="432">
        <v>0</v>
      </c>
      <c r="W278" s="432"/>
      <c r="X278" s="475">
        <v>45108</v>
      </c>
      <c r="Y278" s="471"/>
      <c r="Z278" s="472" t="s">
        <v>4921</v>
      </c>
      <c r="AA278" s="472">
        <v>0.4</v>
      </c>
      <c r="AB278" s="386">
        <v>0</v>
      </c>
      <c r="AC278" s="386">
        <f t="shared" si="19"/>
        <v>0</v>
      </c>
    </row>
    <row r="279" spans="1:29" s="385" customFormat="1" ht="15" customHeight="1">
      <c r="A279" s="387" t="s">
        <v>45</v>
      </c>
      <c r="B279" s="461" t="s">
        <v>4880</v>
      </c>
      <c r="C279" s="416" t="s">
        <v>4881</v>
      </c>
      <c r="D279" s="388" t="s">
        <v>888</v>
      </c>
      <c r="E279" s="400" t="s">
        <v>4913</v>
      </c>
      <c r="F279" s="387" t="s">
        <v>4914</v>
      </c>
      <c r="G279" s="371" t="s">
        <v>165</v>
      </c>
      <c r="H279" s="371" t="s">
        <v>4915</v>
      </c>
      <c r="I279" s="369" t="e">
        <f>VLOOKUP(H279,'合同高级查询数据-10月新返回合同'!A:A,1,0)</f>
        <v>#N/A</v>
      </c>
      <c r="J279" s="371" t="s">
        <v>3724</v>
      </c>
      <c r="K279" s="462" t="s">
        <v>4916</v>
      </c>
      <c r="L279" s="474" t="s">
        <v>4922</v>
      </c>
      <c r="M279" s="430" t="s">
        <v>4923</v>
      </c>
      <c r="N279" s="373" t="s">
        <v>4924</v>
      </c>
      <c r="O279" s="373" t="s">
        <v>4925</v>
      </c>
      <c r="P279" s="463">
        <v>6740</v>
      </c>
      <c r="Q279" s="454">
        <v>8.34</v>
      </c>
      <c r="R279" s="447">
        <f t="shared" si="18"/>
        <v>56211.6</v>
      </c>
      <c r="S279" s="465">
        <v>202310</v>
      </c>
      <c r="T279" s="473" t="s">
        <v>4926</v>
      </c>
      <c r="U279" s="467"/>
      <c r="V279" s="432">
        <v>8.3436269759999995</v>
      </c>
      <c r="W279" s="432"/>
      <c r="X279" s="475">
        <v>45108</v>
      </c>
      <c r="Y279" s="471"/>
      <c r="Z279" s="472" t="s">
        <v>4927</v>
      </c>
      <c r="AA279" s="472">
        <v>0.4</v>
      </c>
      <c r="AB279" s="386">
        <v>20</v>
      </c>
      <c r="AC279" s="386">
        <f t="shared" si="19"/>
        <v>8</v>
      </c>
    </row>
    <row r="280" spans="1:29" s="385" customFormat="1" ht="15" customHeight="1">
      <c r="A280" s="387" t="s">
        <v>45</v>
      </c>
      <c r="B280" s="461" t="s">
        <v>4880</v>
      </c>
      <c r="C280" s="416" t="s">
        <v>4881</v>
      </c>
      <c r="D280" s="388" t="s">
        <v>888</v>
      </c>
      <c r="E280" s="400" t="s">
        <v>4913</v>
      </c>
      <c r="F280" s="387" t="s">
        <v>4914</v>
      </c>
      <c r="G280" s="371" t="s">
        <v>165</v>
      </c>
      <c r="H280" s="371" t="s">
        <v>4915</v>
      </c>
      <c r="I280" s="369" t="e">
        <f>VLOOKUP(H280,'合同高级查询数据-10月新返回合同'!A:A,1,0)</f>
        <v>#N/A</v>
      </c>
      <c r="J280" s="371" t="s">
        <v>3724</v>
      </c>
      <c r="K280" s="462" t="s">
        <v>4916</v>
      </c>
      <c r="L280" s="474" t="s">
        <v>4928</v>
      </c>
      <c r="M280" s="430" t="s">
        <v>4923</v>
      </c>
      <c r="N280" s="373">
        <v>45051</v>
      </c>
      <c r="O280" s="373" t="s">
        <v>4143</v>
      </c>
      <c r="P280" s="463">
        <v>6740</v>
      </c>
      <c r="Q280" s="454">
        <v>224.72</v>
      </c>
      <c r="R280" s="447">
        <f t="shared" si="18"/>
        <v>1514612.8</v>
      </c>
      <c r="S280" s="465">
        <v>202310</v>
      </c>
      <c r="T280" s="473" t="s">
        <v>4929</v>
      </c>
      <c r="U280" s="467"/>
      <c r="V280" s="432">
        <v>224.715502671</v>
      </c>
      <c r="W280" s="432"/>
      <c r="X280" s="475">
        <v>45108</v>
      </c>
      <c r="Y280" s="471"/>
      <c r="Z280" s="472" t="s">
        <v>4930</v>
      </c>
      <c r="AA280" s="472">
        <v>0.4</v>
      </c>
      <c r="AB280" s="386">
        <v>500</v>
      </c>
      <c r="AC280" s="386">
        <f t="shared" si="19"/>
        <v>200</v>
      </c>
    </row>
    <row r="281" spans="1:29" s="385" customFormat="1" ht="15" customHeight="1">
      <c r="A281" s="387" t="s">
        <v>45</v>
      </c>
      <c r="B281" s="461" t="s">
        <v>4880</v>
      </c>
      <c r="C281" s="416" t="s">
        <v>4881</v>
      </c>
      <c r="D281" s="388" t="s">
        <v>888</v>
      </c>
      <c r="E281" s="400" t="s">
        <v>4913</v>
      </c>
      <c r="F281" s="387" t="s">
        <v>4914</v>
      </c>
      <c r="G281" s="371" t="s">
        <v>165</v>
      </c>
      <c r="H281" s="371" t="s">
        <v>4915</v>
      </c>
      <c r="I281" s="369" t="e">
        <f>VLOOKUP(H281,'合同高级查询数据-10月新返回合同'!A:A,1,0)</f>
        <v>#N/A</v>
      </c>
      <c r="J281" s="371" t="s">
        <v>3724</v>
      </c>
      <c r="K281" s="462" t="s">
        <v>4916</v>
      </c>
      <c r="L281" s="474" t="s">
        <v>4928</v>
      </c>
      <c r="M281" s="430" t="s">
        <v>4923</v>
      </c>
      <c r="N281" s="373">
        <v>45051</v>
      </c>
      <c r="O281" s="373" t="s">
        <v>4143</v>
      </c>
      <c r="P281" s="463">
        <v>6740</v>
      </c>
      <c r="Q281" s="454">
        <f>238.06-236.78</f>
        <v>1.2800000000000011</v>
      </c>
      <c r="R281" s="447">
        <f t="shared" si="18"/>
        <v>8627.2000000000007</v>
      </c>
      <c r="S281" s="465">
        <v>202309</v>
      </c>
      <c r="T281" s="473" t="s">
        <v>4931</v>
      </c>
      <c r="U281" s="467"/>
      <c r="V281" s="432">
        <v>235.94</v>
      </c>
      <c r="W281" s="432">
        <v>240.17</v>
      </c>
      <c r="X281" s="475">
        <v>45108</v>
      </c>
      <c r="Y281" s="471"/>
      <c r="Z281" s="472" t="s">
        <v>4930</v>
      </c>
      <c r="AA281" s="472">
        <v>0.4</v>
      </c>
      <c r="AB281" s="386">
        <v>500</v>
      </c>
      <c r="AC281" s="386">
        <f t="shared" si="19"/>
        <v>200</v>
      </c>
    </row>
    <row r="282" spans="1:29" s="385" customFormat="1" ht="15" customHeight="1">
      <c r="A282" s="387" t="s">
        <v>45</v>
      </c>
      <c r="B282" s="461" t="s">
        <v>4880</v>
      </c>
      <c r="C282" s="416" t="s">
        <v>4881</v>
      </c>
      <c r="D282" s="388" t="s">
        <v>888</v>
      </c>
      <c r="E282" s="400" t="s">
        <v>4913</v>
      </c>
      <c r="F282" s="387" t="s">
        <v>4914</v>
      </c>
      <c r="G282" s="371" t="s">
        <v>165</v>
      </c>
      <c r="H282" s="371" t="s">
        <v>4915</v>
      </c>
      <c r="I282" s="369" t="e">
        <f>VLOOKUP(H282,'合同高级查询数据-10月新返回合同'!A:A,1,0)</f>
        <v>#N/A</v>
      </c>
      <c r="J282" s="371" t="s">
        <v>3724</v>
      </c>
      <c r="K282" s="462" t="s">
        <v>4916</v>
      </c>
      <c r="L282" s="474" t="s">
        <v>4932</v>
      </c>
      <c r="M282" s="430" t="s">
        <v>4933</v>
      </c>
      <c r="N282" s="373">
        <v>45146</v>
      </c>
      <c r="O282" s="373" t="s">
        <v>2151</v>
      </c>
      <c r="P282" s="463">
        <v>6740</v>
      </c>
      <c r="Q282" s="454">
        <v>160</v>
      </c>
      <c r="R282" s="447">
        <f t="shared" si="18"/>
        <v>1078400</v>
      </c>
      <c r="S282" s="465">
        <v>202310</v>
      </c>
      <c r="T282" s="473" t="s">
        <v>4934</v>
      </c>
      <c r="U282" s="467"/>
      <c r="V282" s="432">
        <v>150.589692837</v>
      </c>
      <c r="W282" s="432"/>
      <c r="X282" s="475">
        <v>45108</v>
      </c>
      <c r="Y282" s="471"/>
      <c r="Z282" s="472" t="s">
        <v>4935</v>
      </c>
      <c r="AA282" s="472">
        <v>0.4</v>
      </c>
      <c r="AB282" s="386">
        <v>400</v>
      </c>
      <c r="AC282" s="386">
        <v>160</v>
      </c>
    </row>
    <row r="283" spans="1:29" s="577" customFormat="1" ht="15" customHeight="1">
      <c r="A283" s="562" t="s">
        <v>260</v>
      </c>
      <c r="B283" s="648" t="s">
        <v>4936</v>
      </c>
      <c r="C283" s="649" t="s">
        <v>4937</v>
      </c>
      <c r="D283" s="563" t="s">
        <v>888</v>
      </c>
      <c r="E283" s="583" t="s">
        <v>4938</v>
      </c>
      <c r="F283" s="562" t="s">
        <v>4939</v>
      </c>
      <c r="G283" s="585" t="s">
        <v>165</v>
      </c>
      <c r="H283" s="585" t="s">
        <v>4940</v>
      </c>
      <c r="I283" s="565" t="str">
        <f>VLOOKUP(H283,'合同高级查询数据-10月新返回合同'!A:A,1,0)</f>
        <v>182315IDC00501</v>
      </c>
      <c r="J283" s="585" t="s">
        <v>3724</v>
      </c>
      <c r="K283" s="650" t="s">
        <v>4941</v>
      </c>
      <c r="L283" s="651" t="s">
        <v>4942</v>
      </c>
      <c r="M283" s="608" t="s">
        <v>4943</v>
      </c>
      <c r="N283" s="603">
        <v>43830</v>
      </c>
      <c r="O283" s="603" t="s">
        <v>4944</v>
      </c>
      <c r="P283" s="660">
        <v>0</v>
      </c>
      <c r="Q283" s="653">
        <v>0</v>
      </c>
      <c r="R283" s="639">
        <f t="shared" si="18"/>
        <v>0</v>
      </c>
      <c r="S283" s="654">
        <v>202310</v>
      </c>
      <c r="T283" s="655" t="s">
        <v>4945</v>
      </c>
      <c r="U283" s="656"/>
      <c r="V283" s="615">
        <v>0</v>
      </c>
      <c r="W283" s="615"/>
      <c r="X283" s="657">
        <v>45047</v>
      </c>
      <c r="Y283" s="657">
        <v>45412</v>
      </c>
      <c r="Z283" s="659" t="s">
        <v>4946</v>
      </c>
      <c r="AA283" s="659"/>
      <c r="AB283" s="561">
        <v>0</v>
      </c>
      <c r="AC283" s="561">
        <v>0</v>
      </c>
    </row>
    <row r="284" spans="1:29" s="577" customFormat="1" ht="15" customHeight="1">
      <c r="A284" s="562" t="s">
        <v>260</v>
      </c>
      <c r="B284" s="648" t="s">
        <v>4936</v>
      </c>
      <c r="C284" s="649" t="s">
        <v>4937</v>
      </c>
      <c r="D284" s="563" t="s">
        <v>888</v>
      </c>
      <c r="E284" s="583" t="s">
        <v>4938</v>
      </c>
      <c r="F284" s="562" t="s">
        <v>4939</v>
      </c>
      <c r="G284" s="585" t="s">
        <v>165</v>
      </c>
      <c r="H284" s="585" t="s">
        <v>4940</v>
      </c>
      <c r="I284" s="565" t="str">
        <f>VLOOKUP(H284,'合同高级查询数据-10月新返回合同'!A:A,1,0)</f>
        <v>182315IDC00501</v>
      </c>
      <c r="J284" s="585" t="s">
        <v>3724</v>
      </c>
      <c r="K284" s="650" t="s">
        <v>4947</v>
      </c>
      <c r="L284" s="651" t="s">
        <v>4948</v>
      </c>
      <c r="M284" s="608" t="s">
        <v>4949</v>
      </c>
      <c r="N284" s="603">
        <v>43830</v>
      </c>
      <c r="O284" s="603" t="s">
        <v>4944</v>
      </c>
      <c r="P284" s="660">
        <v>0</v>
      </c>
      <c r="Q284" s="653">
        <v>0</v>
      </c>
      <c r="R284" s="639">
        <f t="shared" si="18"/>
        <v>0</v>
      </c>
      <c r="S284" s="654">
        <v>202310</v>
      </c>
      <c r="T284" s="655" t="s">
        <v>4950</v>
      </c>
      <c r="U284" s="656"/>
      <c r="V284" s="615">
        <v>0</v>
      </c>
      <c r="W284" s="615"/>
      <c r="X284" s="657">
        <v>45047</v>
      </c>
      <c r="Y284" s="657">
        <v>45412</v>
      </c>
      <c r="Z284" s="659" t="s">
        <v>4951</v>
      </c>
      <c r="AA284" s="659"/>
      <c r="AB284" s="561">
        <v>0</v>
      </c>
      <c r="AC284" s="561">
        <v>0</v>
      </c>
    </row>
    <row r="285" spans="1:29" s="577" customFormat="1" ht="15" customHeight="1">
      <c r="A285" s="562" t="s">
        <v>260</v>
      </c>
      <c r="B285" s="648" t="s">
        <v>4936</v>
      </c>
      <c r="C285" s="649" t="s">
        <v>4937</v>
      </c>
      <c r="D285" s="563" t="s">
        <v>888</v>
      </c>
      <c r="E285" s="583" t="s">
        <v>4938</v>
      </c>
      <c r="F285" s="562" t="s">
        <v>4939</v>
      </c>
      <c r="G285" s="585" t="s">
        <v>165</v>
      </c>
      <c r="H285" s="585" t="s">
        <v>4940</v>
      </c>
      <c r="I285" s="565" t="str">
        <f>VLOOKUP(H285,'合同高级查询数据-10月新返回合同'!A:A,1,0)</f>
        <v>182315IDC00501</v>
      </c>
      <c r="J285" s="585" t="s">
        <v>3724</v>
      </c>
      <c r="K285" s="650" t="s">
        <v>4952</v>
      </c>
      <c r="L285" s="651" t="s">
        <v>4953</v>
      </c>
      <c r="M285" s="608" t="s">
        <v>4943</v>
      </c>
      <c r="N285" s="603" t="s">
        <v>4954</v>
      </c>
      <c r="O285" s="603" t="s">
        <v>4955</v>
      </c>
      <c r="P285" s="660">
        <f>9500*0.7456</f>
        <v>7083.2000000000007</v>
      </c>
      <c r="Q285" s="653">
        <v>16.454999999999998</v>
      </c>
      <c r="R285" s="639">
        <f>ROUND(P285*Q285,2)</f>
        <v>116554.06</v>
      </c>
      <c r="S285" s="654">
        <v>202310</v>
      </c>
      <c r="T285" s="655" t="s">
        <v>4956</v>
      </c>
      <c r="U285" s="656"/>
      <c r="V285" s="661">
        <v>16.454551696999999</v>
      </c>
      <c r="W285" s="615"/>
      <c r="X285" s="657">
        <v>45047</v>
      </c>
      <c r="Y285" s="657">
        <v>45412</v>
      </c>
      <c r="Z285" s="659" t="s">
        <v>4957</v>
      </c>
      <c r="AA285" s="659">
        <v>0.3</v>
      </c>
      <c r="AB285" s="561">
        <v>40</v>
      </c>
      <c r="AC285" s="561">
        <f t="shared" ref="AC285:AC292" si="20">AB285*AA285</f>
        <v>12</v>
      </c>
    </row>
    <row r="286" spans="1:29" s="577" customFormat="1" ht="15" customHeight="1">
      <c r="A286" s="562" t="s">
        <v>260</v>
      </c>
      <c r="B286" s="648" t="s">
        <v>4936</v>
      </c>
      <c r="C286" s="649" t="s">
        <v>4937</v>
      </c>
      <c r="D286" s="563" t="s">
        <v>888</v>
      </c>
      <c r="E286" s="583" t="s">
        <v>4938</v>
      </c>
      <c r="F286" s="562" t="s">
        <v>4939</v>
      </c>
      <c r="G286" s="585" t="s">
        <v>165</v>
      </c>
      <c r="H286" s="585" t="s">
        <v>4940</v>
      </c>
      <c r="I286" s="565" t="str">
        <f>VLOOKUP(H286,'合同高级查询数据-10月新返回合同'!A:A,1,0)</f>
        <v>182315IDC00501</v>
      </c>
      <c r="J286" s="585" t="s">
        <v>3724</v>
      </c>
      <c r="K286" s="650" t="s">
        <v>4958</v>
      </c>
      <c r="L286" s="651" t="s">
        <v>4959</v>
      </c>
      <c r="M286" s="608" t="s">
        <v>4949</v>
      </c>
      <c r="N286" s="603" t="s">
        <v>4960</v>
      </c>
      <c r="O286" s="603" t="s">
        <v>4961</v>
      </c>
      <c r="P286" s="660">
        <v>0</v>
      </c>
      <c r="Q286" s="653">
        <v>0</v>
      </c>
      <c r="R286" s="639">
        <f t="shared" si="18"/>
        <v>0</v>
      </c>
      <c r="S286" s="654">
        <v>202310</v>
      </c>
      <c r="T286" s="655" t="s">
        <v>4962</v>
      </c>
      <c r="U286" s="656"/>
      <c r="V286" s="615">
        <v>0</v>
      </c>
      <c r="W286" s="615"/>
      <c r="X286" s="657">
        <v>45047</v>
      </c>
      <c r="Y286" s="657">
        <v>45412</v>
      </c>
      <c r="Z286" s="659" t="s">
        <v>4963</v>
      </c>
      <c r="AA286" s="659">
        <v>0.3</v>
      </c>
      <c r="AB286" s="561">
        <v>0</v>
      </c>
      <c r="AC286" s="561">
        <f t="shared" si="20"/>
        <v>0</v>
      </c>
    </row>
    <row r="287" spans="1:29" s="385" customFormat="1" ht="15" customHeight="1">
      <c r="A287" s="387" t="s">
        <v>258</v>
      </c>
      <c r="B287" s="461" t="s">
        <v>4936</v>
      </c>
      <c r="C287" s="416" t="s">
        <v>4937</v>
      </c>
      <c r="D287" s="388" t="s">
        <v>888</v>
      </c>
      <c r="E287" s="400" t="s">
        <v>4964</v>
      </c>
      <c r="F287" s="387" t="s">
        <v>4965</v>
      </c>
      <c r="G287" s="371" t="s">
        <v>165</v>
      </c>
      <c r="H287" s="371" t="s">
        <v>4966</v>
      </c>
      <c r="I287" s="369" t="e">
        <f>VLOOKUP(H287,'合同高级查询数据-10月新返回合同'!A:A,1,0)</f>
        <v>#N/A</v>
      </c>
      <c r="J287" s="371" t="s">
        <v>3724</v>
      </c>
      <c r="K287" s="462" t="s">
        <v>4967</v>
      </c>
      <c r="L287" s="474" t="s">
        <v>4968</v>
      </c>
      <c r="M287" s="430" t="s">
        <v>4969</v>
      </c>
      <c r="N287" s="373">
        <v>42919</v>
      </c>
      <c r="O287" s="373" t="s">
        <v>4796</v>
      </c>
      <c r="P287" s="463">
        <v>5333.33</v>
      </c>
      <c r="Q287" s="454">
        <v>5.8659999999999997</v>
      </c>
      <c r="R287" s="447">
        <f t="shared" si="18"/>
        <v>31285.31</v>
      </c>
      <c r="S287" s="465">
        <v>202310</v>
      </c>
      <c r="T287" s="473" t="s">
        <v>4970</v>
      </c>
      <c r="U287" s="467"/>
      <c r="V287" s="468">
        <v>5.866055287</v>
      </c>
      <c r="W287" s="468"/>
      <c r="X287" s="475">
        <v>45108</v>
      </c>
      <c r="Y287" s="475"/>
      <c r="Z287" s="472" t="s">
        <v>4971</v>
      </c>
      <c r="AA287" s="472">
        <v>0.1</v>
      </c>
      <c r="AB287" s="386">
        <v>40</v>
      </c>
      <c r="AC287" s="386">
        <f t="shared" si="20"/>
        <v>4</v>
      </c>
    </row>
    <row r="288" spans="1:29" s="385" customFormat="1" ht="15" customHeight="1">
      <c r="A288" s="387" t="s">
        <v>258</v>
      </c>
      <c r="B288" s="461" t="s">
        <v>4936</v>
      </c>
      <c r="C288" s="416" t="s">
        <v>4937</v>
      </c>
      <c r="D288" s="388" t="s">
        <v>888</v>
      </c>
      <c r="E288" s="400" t="s">
        <v>4964</v>
      </c>
      <c r="F288" s="387" t="s">
        <v>4965</v>
      </c>
      <c r="G288" s="371" t="s">
        <v>165</v>
      </c>
      <c r="H288" s="371" t="s">
        <v>4972</v>
      </c>
      <c r="I288" s="369" t="e">
        <f>VLOOKUP(H288,'合同高级查询数据-10月新返回合同'!A:A,1,0)</f>
        <v>#N/A</v>
      </c>
      <c r="J288" s="371" t="s">
        <v>3724</v>
      </c>
      <c r="K288" s="462" t="s">
        <v>4967</v>
      </c>
      <c r="L288" s="474" t="s">
        <v>4973</v>
      </c>
      <c r="M288" s="430" t="s">
        <v>4974</v>
      </c>
      <c r="N288" s="373" t="s">
        <v>4975</v>
      </c>
      <c r="O288" s="373" t="s">
        <v>4976</v>
      </c>
      <c r="P288" s="463">
        <v>9000</v>
      </c>
      <c r="Q288" s="454">
        <v>3</v>
      </c>
      <c r="R288" s="447">
        <f t="shared" si="18"/>
        <v>27000</v>
      </c>
      <c r="S288" s="465">
        <v>202310</v>
      </c>
      <c r="T288" s="473" t="s">
        <v>4977</v>
      </c>
      <c r="U288" s="467"/>
      <c r="V288" s="432">
        <v>2.9859557250000002</v>
      </c>
      <c r="W288" s="432"/>
      <c r="X288" s="475">
        <v>45047</v>
      </c>
      <c r="Y288" s="475"/>
      <c r="Z288" s="472" t="s">
        <v>4978</v>
      </c>
      <c r="AA288" s="472">
        <v>0.3</v>
      </c>
      <c r="AB288" s="386">
        <v>10</v>
      </c>
      <c r="AC288" s="386">
        <f t="shared" si="20"/>
        <v>3</v>
      </c>
    </row>
    <row r="289" spans="1:29" s="385" customFormat="1" ht="15" customHeight="1">
      <c r="A289" s="387" t="s">
        <v>258</v>
      </c>
      <c r="B289" s="461" t="s">
        <v>4936</v>
      </c>
      <c r="C289" s="416" t="s">
        <v>4937</v>
      </c>
      <c r="D289" s="388" t="s">
        <v>888</v>
      </c>
      <c r="E289" s="400" t="s">
        <v>4964</v>
      </c>
      <c r="F289" s="387" t="s">
        <v>4965</v>
      </c>
      <c r="G289" s="371" t="s">
        <v>165</v>
      </c>
      <c r="H289" s="371" t="s">
        <v>4966</v>
      </c>
      <c r="I289" s="369" t="e">
        <f>VLOOKUP(H289,'合同高级查询数据-10月新返回合同'!A:A,1,0)</f>
        <v>#N/A</v>
      </c>
      <c r="J289" s="371" t="s">
        <v>3724</v>
      </c>
      <c r="K289" s="462" t="s">
        <v>4967</v>
      </c>
      <c r="L289" s="474" t="s">
        <v>4979</v>
      </c>
      <c r="M289" s="430" t="s">
        <v>4980</v>
      </c>
      <c r="N289" s="373" t="s">
        <v>4981</v>
      </c>
      <c r="O289" s="373" t="s">
        <v>4982</v>
      </c>
      <c r="P289" s="463">
        <v>5333.33</v>
      </c>
      <c r="Q289" s="454">
        <v>0</v>
      </c>
      <c r="R289" s="447">
        <f t="shared" si="18"/>
        <v>0</v>
      </c>
      <c r="S289" s="465">
        <v>202310</v>
      </c>
      <c r="T289" s="473" t="s">
        <v>4983</v>
      </c>
      <c r="U289" s="467"/>
      <c r="V289" s="432">
        <v>0</v>
      </c>
      <c r="W289" s="432"/>
      <c r="X289" s="475">
        <v>45108</v>
      </c>
      <c r="Y289" s="475"/>
      <c r="Z289" s="472" t="s">
        <v>4984</v>
      </c>
      <c r="AA289" s="472">
        <v>0.3</v>
      </c>
      <c r="AB289" s="386">
        <v>0</v>
      </c>
      <c r="AC289" s="386">
        <f t="shared" si="20"/>
        <v>0</v>
      </c>
    </row>
    <row r="290" spans="1:29" s="385" customFormat="1" ht="15" customHeight="1">
      <c r="A290" s="387" t="s">
        <v>258</v>
      </c>
      <c r="B290" s="461" t="s">
        <v>4936</v>
      </c>
      <c r="C290" s="416" t="s">
        <v>4937</v>
      </c>
      <c r="D290" s="388" t="s">
        <v>888</v>
      </c>
      <c r="E290" s="400" t="s">
        <v>4964</v>
      </c>
      <c r="F290" s="387" t="s">
        <v>4965</v>
      </c>
      <c r="G290" s="371" t="s">
        <v>165</v>
      </c>
      <c r="H290" s="371" t="s">
        <v>4985</v>
      </c>
      <c r="I290" s="369" t="e">
        <f>VLOOKUP(H290,'合同高级查询数据-10月新返回合同'!A:A,1,0)</f>
        <v>#N/A</v>
      </c>
      <c r="J290" s="371" t="s">
        <v>3724</v>
      </c>
      <c r="K290" s="462" t="s">
        <v>4967</v>
      </c>
      <c r="L290" s="474" t="s">
        <v>4986</v>
      </c>
      <c r="M290" s="430" t="s">
        <v>4980</v>
      </c>
      <c r="N290" s="373" t="s">
        <v>4987</v>
      </c>
      <c r="O290" s="373" t="s">
        <v>4988</v>
      </c>
      <c r="P290" s="463">
        <v>5333.33</v>
      </c>
      <c r="Q290" s="454">
        <v>0</v>
      </c>
      <c r="R290" s="447">
        <f t="shared" si="18"/>
        <v>0</v>
      </c>
      <c r="S290" s="465">
        <v>202310</v>
      </c>
      <c r="T290" s="473" t="s">
        <v>4989</v>
      </c>
      <c r="U290" s="467"/>
      <c r="V290" s="468">
        <v>0</v>
      </c>
      <c r="W290" s="468"/>
      <c r="X290" s="475"/>
      <c r="Y290" s="471"/>
      <c r="Z290" s="472" t="s">
        <v>4990</v>
      </c>
      <c r="AA290" s="472">
        <v>0.3</v>
      </c>
      <c r="AB290" s="386">
        <v>0</v>
      </c>
      <c r="AC290" s="386">
        <v>0</v>
      </c>
    </row>
    <row r="291" spans="1:29" s="385" customFormat="1" ht="15" customHeight="1">
      <c r="A291" s="387" t="s">
        <v>45</v>
      </c>
      <c r="B291" s="461" t="s">
        <v>4936</v>
      </c>
      <c r="C291" s="416" t="s">
        <v>4937</v>
      </c>
      <c r="D291" s="388" t="s">
        <v>888</v>
      </c>
      <c r="E291" s="400" t="s">
        <v>4991</v>
      </c>
      <c r="F291" s="387" t="s">
        <v>4992</v>
      </c>
      <c r="G291" s="371" t="s">
        <v>165</v>
      </c>
      <c r="H291" s="371" t="s">
        <v>4993</v>
      </c>
      <c r="I291" s="369" t="e">
        <f>VLOOKUP(H291,'合同高级查询数据-10月新返回合同'!A:A,1,0)</f>
        <v>#N/A</v>
      </c>
      <c r="J291" s="371" t="s">
        <v>3724</v>
      </c>
      <c r="K291" s="462" t="s">
        <v>4967</v>
      </c>
      <c r="L291" s="474" t="s">
        <v>4994</v>
      </c>
      <c r="M291" s="430" t="s">
        <v>4995</v>
      </c>
      <c r="N291" s="373" t="s">
        <v>4996</v>
      </c>
      <c r="O291" s="373" t="s">
        <v>4997</v>
      </c>
      <c r="P291" s="463">
        <v>6740</v>
      </c>
      <c r="Q291" s="454">
        <v>0</v>
      </c>
      <c r="R291" s="447">
        <f t="shared" si="18"/>
        <v>0</v>
      </c>
      <c r="S291" s="465">
        <v>202310</v>
      </c>
      <c r="T291" s="473" t="s">
        <v>4998</v>
      </c>
      <c r="U291" s="467"/>
      <c r="V291" s="432">
        <v>0</v>
      </c>
      <c r="W291" s="432"/>
      <c r="X291" s="475">
        <v>45108</v>
      </c>
      <c r="Y291" s="475"/>
      <c r="Z291" s="472" t="s">
        <v>4999</v>
      </c>
      <c r="AA291" s="472">
        <v>0.4</v>
      </c>
      <c r="AB291" s="386">
        <v>0</v>
      </c>
      <c r="AC291" s="386">
        <f t="shared" si="20"/>
        <v>0</v>
      </c>
    </row>
    <row r="292" spans="1:29" s="385" customFormat="1" ht="15" customHeight="1">
      <c r="A292" s="387" t="s">
        <v>45</v>
      </c>
      <c r="B292" s="461" t="s">
        <v>4936</v>
      </c>
      <c r="C292" s="416" t="s">
        <v>4937</v>
      </c>
      <c r="D292" s="388" t="s">
        <v>888</v>
      </c>
      <c r="E292" s="400" t="s">
        <v>4991</v>
      </c>
      <c r="F292" s="387" t="s">
        <v>4992</v>
      </c>
      <c r="G292" s="371" t="s">
        <v>165</v>
      </c>
      <c r="H292" s="371" t="s">
        <v>4993</v>
      </c>
      <c r="I292" s="369" t="e">
        <f>VLOOKUP(H292,'合同高级查询数据-10月新返回合同'!A:A,1,0)</f>
        <v>#N/A</v>
      </c>
      <c r="J292" s="371" t="s">
        <v>3724</v>
      </c>
      <c r="K292" s="462" t="s">
        <v>4967</v>
      </c>
      <c r="L292" s="474" t="s">
        <v>5000</v>
      </c>
      <c r="M292" s="430" t="s">
        <v>5001</v>
      </c>
      <c r="N292" s="373" t="s">
        <v>5002</v>
      </c>
      <c r="O292" s="373" t="s">
        <v>5003</v>
      </c>
      <c r="P292" s="463">
        <v>6740</v>
      </c>
      <c r="Q292" s="454">
        <v>112.47</v>
      </c>
      <c r="R292" s="447">
        <f t="shared" si="18"/>
        <v>758047.8</v>
      </c>
      <c r="S292" s="465">
        <v>202310</v>
      </c>
      <c r="T292" s="473" t="s">
        <v>5004</v>
      </c>
      <c r="U292" s="467"/>
      <c r="V292" s="432">
        <v>112.47063446</v>
      </c>
      <c r="W292" s="432"/>
      <c r="X292" s="475">
        <v>45108</v>
      </c>
      <c r="Y292" s="475"/>
      <c r="Z292" s="472" t="s">
        <v>5005</v>
      </c>
      <c r="AA292" s="472">
        <v>0.4</v>
      </c>
      <c r="AB292" s="386">
        <v>220</v>
      </c>
      <c r="AC292" s="386">
        <f t="shared" si="20"/>
        <v>88</v>
      </c>
    </row>
    <row r="293" spans="1:29" s="385" customFormat="1" ht="15" customHeight="1">
      <c r="A293" s="387" t="s">
        <v>260</v>
      </c>
      <c r="B293" s="461" t="s">
        <v>4880</v>
      </c>
      <c r="C293" s="416" t="s">
        <v>5006</v>
      </c>
      <c r="D293" s="388" t="s">
        <v>888</v>
      </c>
      <c r="E293" s="400" t="s">
        <v>5007</v>
      </c>
      <c r="F293" s="387" t="s">
        <v>5008</v>
      </c>
      <c r="G293" s="371" t="s">
        <v>165</v>
      </c>
      <c r="H293" s="371" t="s">
        <v>5009</v>
      </c>
      <c r="I293" s="369" t="e">
        <f>VLOOKUP(H293,'合同高级查询数据-10月新返回合同'!A:A,1,0)</f>
        <v>#N/A</v>
      </c>
      <c r="J293" s="371" t="s">
        <v>3724</v>
      </c>
      <c r="K293" s="462" t="s">
        <v>5010</v>
      </c>
      <c r="L293" s="474" t="s">
        <v>5011</v>
      </c>
      <c r="M293" s="430" t="s">
        <v>5012</v>
      </c>
      <c r="N293" s="373" t="s">
        <v>5013</v>
      </c>
      <c r="O293" s="373">
        <v>0</v>
      </c>
      <c r="P293" s="463">
        <v>8333.33</v>
      </c>
      <c r="Q293" s="454">
        <v>0</v>
      </c>
      <c r="R293" s="447">
        <f t="shared" si="18"/>
        <v>0</v>
      </c>
      <c r="S293" s="465">
        <v>202310</v>
      </c>
      <c r="T293" s="473" t="s">
        <v>5014</v>
      </c>
      <c r="U293" s="467"/>
      <c r="V293" s="432">
        <v>0</v>
      </c>
      <c r="W293" s="432"/>
      <c r="X293" s="475">
        <v>45047</v>
      </c>
      <c r="Y293" s="475"/>
      <c r="Z293" s="472" t="s">
        <v>5015</v>
      </c>
      <c r="AA293" s="472"/>
      <c r="AB293" s="386">
        <v>0</v>
      </c>
      <c r="AC293" s="386">
        <v>0</v>
      </c>
    </row>
    <row r="294" spans="1:29" s="385" customFormat="1" ht="15" customHeight="1">
      <c r="A294" s="387" t="s">
        <v>260</v>
      </c>
      <c r="B294" s="461" t="s">
        <v>4880</v>
      </c>
      <c r="C294" s="416" t="s">
        <v>5006</v>
      </c>
      <c r="D294" s="388" t="s">
        <v>888</v>
      </c>
      <c r="E294" s="400" t="s">
        <v>5007</v>
      </c>
      <c r="F294" s="387" t="s">
        <v>5008</v>
      </c>
      <c r="G294" s="371" t="s">
        <v>165</v>
      </c>
      <c r="H294" s="371" t="s">
        <v>5009</v>
      </c>
      <c r="I294" s="369" t="e">
        <f>VLOOKUP(H294,'合同高级查询数据-10月新返回合同'!A:A,1,0)</f>
        <v>#N/A</v>
      </c>
      <c r="J294" s="371" t="s">
        <v>3724</v>
      </c>
      <c r="K294" s="462" t="s">
        <v>5016</v>
      </c>
      <c r="L294" s="474" t="s">
        <v>5017</v>
      </c>
      <c r="M294" s="430" t="s">
        <v>5018</v>
      </c>
      <c r="N294" s="373" t="s">
        <v>5019</v>
      </c>
      <c r="O294" s="373" t="s">
        <v>5020</v>
      </c>
      <c r="P294" s="463">
        <v>8333.33</v>
      </c>
      <c r="Q294" s="454">
        <v>28.4</v>
      </c>
      <c r="R294" s="447">
        <f t="shared" si="18"/>
        <v>236666.57</v>
      </c>
      <c r="S294" s="465">
        <v>202310</v>
      </c>
      <c r="T294" s="473" t="s">
        <v>5021</v>
      </c>
      <c r="U294" s="467"/>
      <c r="V294" s="432">
        <v>28.404485702999999</v>
      </c>
      <c r="W294" s="432"/>
      <c r="X294" s="475">
        <v>45047</v>
      </c>
      <c r="Y294" s="475"/>
      <c r="Z294" s="472" t="s">
        <v>5022</v>
      </c>
      <c r="AA294" s="472">
        <v>0.3</v>
      </c>
      <c r="AB294" s="386">
        <v>80</v>
      </c>
      <c r="AC294" s="386">
        <f t="shared" ref="AC294:AC304" si="21">AB294*AA294</f>
        <v>24</v>
      </c>
    </row>
    <row r="295" spans="1:29" s="385" customFormat="1" ht="15" customHeight="1">
      <c r="A295" s="387" t="s">
        <v>260</v>
      </c>
      <c r="B295" s="461" t="s">
        <v>4880</v>
      </c>
      <c r="C295" s="416" t="s">
        <v>5006</v>
      </c>
      <c r="D295" s="388" t="s">
        <v>888</v>
      </c>
      <c r="E295" s="400" t="s">
        <v>5007</v>
      </c>
      <c r="F295" s="387" t="s">
        <v>5008</v>
      </c>
      <c r="G295" s="371" t="s">
        <v>165</v>
      </c>
      <c r="H295" s="371" t="s">
        <v>5009</v>
      </c>
      <c r="I295" s="369" t="e">
        <f>VLOOKUP(H295,'合同高级查询数据-10月新返回合同'!A:A,1,0)</f>
        <v>#N/A</v>
      </c>
      <c r="J295" s="371" t="s">
        <v>3724</v>
      </c>
      <c r="K295" s="462" t="s">
        <v>5016</v>
      </c>
      <c r="L295" s="474" t="s">
        <v>5017</v>
      </c>
      <c r="M295" s="430" t="s">
        <v>5018</v>
      </c>
      <c r="N295" s="373" t="s">
        <v>5019</v>
      </c>
      <c r="O295" s="373" t="s">
        <v>5020</v>
      </c>
      <c r="P295" s="463">
        <v>8333.33</v>
      </c>
      <c r="Q295" s="454">
        <f>27.3-26.8</f>
        <v>0.5</v>
      </c>
      <c r="R295" s="447">
        <f t="shared" si="18"/>
        <v>4166.67</v>
      </c>
      <c r="S295" s="465">
        <v>202305</v>
      </c>
      <c r="T295" s="473" t="s">
        <v>5023</v>
      </c>
      <c r="U295" s="467"/>
      <c r="V295" s="432">
        <v>26.758766174000002</v>
      </c>
      <c r="W295" s="432">
        <v>27.8</v>
      </c>
      <c r="X295" s="475">
        <v>45047</v>
      </c>
      <c r="Y295" s="475"/>
      <c r="Z295" s="472" t="s">
        <v>5022</v>
      </c>
      <c r="AA295" s="472">
        <v>0.3</v>
      </c>
      <c r="AB295" s="386">
        <v>80</v>
      </c>
      <c r="AC295" s="386">
        <f t="shared" si="21"/>
        <v>24</v>
      </c>
    </row>
    <row r="296" spans="1:29" s="385" customFormat="1" ht="15" customHeight="1">
      <c r="A296" s="387" t="s">
        <v>260</v>
      </c>
      <c r="B296" s="461" t="s">
        <v>4880</v>
      </c>
      <c r="C296" s="416" t="s">
        <v>5006</v>
      </c>
      <c r="D296" s="388" t="s">
        <v>888</v>
      </c>
      <c r="E296" s="400" t="s">
        <v>5007</v>
      </c>
      <c r="F296" s="387" t="s">
        <v>5008</v>
      </c>
      <c r="G296" s="371" t="s">
        <v>165</v>
      </c>
      <c r="H296" s="371" t="s">
        <v>5009</v>
      </c>
      <c r="I296" s="369" t="e">
        <f>VLOOKUP(H296,'合同高级查询数据-10月新返回合同'!A:A,1,0)</f>
        <v>#N/A</v>
      </c>
      <c r="J296" s="371" t="s">
        <v>3724</v>
      </c>
      <c r="K296" s="462" t="s">
        <v>5016</v>
      </c>
      <c r="L296" s="474" t="s">
        <v>5017</v>
      </c>
      <c r="M296" s="430" t="s">
        <v>5018</v>
      </c>
      <c r="N296" s="373" t="s">
        <v>5019</v>
      </c>
      <c r="O296" s="373" t="s">
        <v>5020</v>
      </c>
      <c r="P296" s="463">
        <v>8333.33</v>
      </c>
      <c r="Q296" s="454">
        <f>25.3-24.8</f>
        <v>0.5</v>
      </c>
      <c r="R296" s="447">
        <f t="shared" si="18"/>
        <v>4166.67</v>
      </c>
      <c r="S296" s="465">
        <v>202306</v>
      </c>
      <c r="T296" s="473" t="s">
        <v>5024</v>
      </c>
      <c r="U296" s="467"/>
      <c r="V296" s="432">
        <v>24.71821022</v>
      </c>
      <c r="W296" s="432">
        <v>25.7</v>
      </c>
      <c r="X296" s="475">
        <v>45047</v>
      </c>
      <c r="Y296" s="475"/>
      <c r="Z296" s="472" t="s">
        <v>5022</v>
      </c>
      <c r="AA296" s="472">
        <v>0.3</v>
      </c>
      <c r="AB296" s="386">
        <v>80</v>
      </c>
      <c r="AC296" s="386">
        <f t="shared" si="21"/>
        <v>24</v>
      </c>
    </row>
    <row r="297" spans="1:29" s="385" customFormat="1" ht="15" customHeight="1">
      <c r="A297" s="387" t="s">
        <v>260</v>
      </c>
      <c r="B297" s="461" t="s">
        <v>4880</v>
      </c>
      <c r="C297" s="416" t="s">
        <v>5006</v>
      </c>
      <c r="D297" s="388" t="s">
        <v>888</v>
      </c>
      <c r="E297" s="400" t="s">
        <v>5007</v>
      </c>
      <c r="F297" s="387" t="s">
        <v>5008</v>
      </c>
      <c r="G297" s="371" t="s">
        <v>165</v>
      </c>
      <c r="H297" s="371" t="s">
        <v>5009</v>
      </c>
      <c r="I297" s="369" t="e">
        <f>VLOOKUP(H297,'合同高级查询数据-10月新返回合同'!A:A,1,0)</f>
        <v>#N/A</v>
      </c>
      <c r="J297" s="371" t="s">
        <v>3724</v>
      </c>
      <c r="K297" s="462" t="s">
        <v>5016</v>
      </c>
      <c r="L297" s="474" t="s">
        <v>5017</v>
      </c>
      <c r="M297" s="430" t="s">
        <v>5018</v>
      </c>
      <c r="N297" s="373" t="s">
        <v>5019</v>
      </c>
      <c r="O297" s="373" t="s">
        <v>5020</v>
      </c>
      <c r="P297" s="463">
        <v>8333.33</v>
      </c>
      <c r="Q297" s="454">
        <f>26.7-26.2</f>
        <v>0.5</v>
      </c>
      <c r="R297" s="447">
        <f t="shared" si="18"/>
        <v>4166.67</v>
      </c>
      <c r="S297" s="465">
        <v>202307</v>
      </c>
      <c r="T297" s="473" t="s">
        <v>5025</v>
      </c>
      <c r="U297" s="467"/>
      <c r="V297" s="432">
        <v>26.149320602</v>
      </c>
      <c r="W297" s="432">
        <v>27.16</v>
      </c>
      <c r="X297" s="475">
        <v>45047</v>
      </c>
      <c r="Y297" s="475"/>
      <c r="Z297" s="472" t="s">
        <v>5022</v>
      </c>
      <c r="AA297" s="472">
        <v>0.3</v>
      </c>
      <c r="AB297" s="386">
        <v>80</v>
      </c>
      <c r="AC297" s="386">
        <f t="shared" si="21"/>
        <v>24</v>
      </c>
    </row>
    <row r="298" spans="1:29" s="385" customFormat="1" ht="15" customHeight="1">
      <c r="A298" s="387" t="s">
        <v>260</v>
      </c>
      <c r="B298" s="461" t="s">
        <v>4880</v>
      </c>
      <c r="C298" s="416" t="s">
        <v>5006</v>
      </c>
      <c r="D298" s="388" t="s">
        <v>888</v>
      </c>
      <c r="E298" s="400" t="s">
        <v>5007</v>
      </c>
      <c r="F298" s="387" t="s">
        <v>5008</v>
      </c>
      <c r="G298" s="371" t="s">
        <v>165</v>
      </c>
      <c r="H298" s="371" t="s">
        <v>5009</v>
      </c>
      <c r="I298" s="369" t="e">
        <f>VLOOKUP(H298,'合同高级查询数据-10月新返回合同'!A:A,1,0)</f>
        <v>#N/A</v>
      </c>
      <c r="J298" s="371" t="s">
        <v>3724</v>
      </c>
      <c r="K298" s="462" t="s">
        <v>5016</v>
      </c>
      <c r="L298" s="474" t="s">
        <v>5017</v>
      </c>
      <c r="M298" s="430" t="s">
        <v>5018</v>
      </c>
      <c r="N298" s="373" t="s">
        <v>5019</v>
      </c>
      <c r="O298" s="373" t="s">
        <v>5020</v>
      </c>
      <c r="P298" s="463">
        <v>8333.33</v>
      </c>
      <c r="Q298" s="454">
        <f>30.9-30.3</f>
        <v>0.59999999999999787</v>
      </c>
      <c r="R298" s="447">
        <f t="shared" si="18"/>
        <v>5000</v>
      </c>
      <c r="S298" s="465">
        <v>202308</v>
      </c>
      <c r="T298" s="473" t="s">
        <v>5026</v>
      </c>
      <c r="U298" s="467"/>
      <c r="V298" s="432">
        <v>30.270929336999998</v>
      </c>
      <c r="W298" s="432">
        <v>31.53</v>
      </c>
      <c r="X298" s="475">
        <v>45047</v>
      </c>
      <c r="Y298" s="475"/>
      <c r="Z298" s="472" t="s">
        <v>5022</v>
      </c>
      <c r="AA298" s="472">
        <v>0.3</v>
      </c>
      <c r="AB298" s="386">
        <v>80</v>
      </c>
      <c r="AC298" s="386">
        <f t="shared" si="21"/>
        <v>24</v>
      </c>
    </row>
    <row r="299" spans="1:29" s="385" customFormat="1" ht="15" customHeight="1">
      <c r="A299" s="387" t="s">
        <v>260</v>
      </c>
      <c r="B299" s="461" t="s">
        <v>4880</v>
      </c>
      <c r="C299" s="416" t="s">
        <v>5006</v>
      </c>
      <c r="D299" s="388" t="s">
        <v>888</v>
      </c>
      <c r="E299" s="400" t="s">
        <v>5007</v>
      </c>
      <c r="F299" s="387" t="s">
        <v>5008</v>
      </c>
      <c r="G299" s="371" t="s">
        <v>165</v>
      </c>
      <c r="H299" s="371" t="s">
        <v>5009</v>
      </c>
      <c r="I299" s="369" t="e">
        <f>VLOOKUP(H299,'合同高级查询数据-10月新返回合同'!A:A,1,0)</f>
        <v>#N/A</v>
      </c>
      <c r="J299" s="371" t="s">
        <v>3724</v>
      </c>
      <c r="K299" s="462" t="s">
        <v>5016</v>
      </c>
      <c r="L299" s="474" t="s">
        <v>5017</v>
      </c>
      <c r="M299" s="430" t="s">
        <v>5018</v>
      </c>
      <c r="N299" s="373" t="s">
        <v>5019</v>
      </c>
      <c r="O299" s="373" t="s">
        <v>5020</v>
      </c>
      <c r="P299" s="463">
        <v>8333.33</v>
      </c>
      <c r="Q299" s="454">
        <f>27.3-26.7</f>
        <v>0.60000000000000142</v>
      </c>
      <c r="R299" s="447">
        <f t="shared" si="18"/>
        <v>5000</v>
      </c>
      <c r="S299" s="465">
        <v>202309</v>
      </c>
      <c r="T299" s="473" t="s">
        <v>5027</v>
      </c>
      <c r="U299" s="467"/>
      <c r="V299" s="432">
        <v>26.699731827000001</v>
      </c>
      <c r="W299" s="432">
        <v>27.78</v>
      </c>
      <c r="X299" s="475">
        <v>45047</v>
      </c>
      <c r="Y299" s="475"/>
      <c r="Z299" s="472" t="s">
        <v>5022</v>
      </c>
      <c r="AA299" s="472">
        <v>0.3</v>
      </c>
      <c r="AB299" s="386">
        <v>80</v>
      </c>
      <c r="AC299" s="386">
        <f t="shared" si="21"/>
        <v>24</v>
      </c>
    </row>
    <row r="300" spans="1:29" s="385" customFormat="1" ht="15" customHeight="1">
      <c r="A300" s="387" t="s">
        <v>258</v>
      </c>
      <c r="B300" s="461" t="s">
        <v>4880</v>
      </c>
      <c r="C300" s="416" t="s">
        <v>5006</v>
      </c>
      <c r="D300" s="388" t="s">
        <v>888</v>
      </c>
      <c r="E300" s="400" t="s">
        <v>5028</v>
      </c>
      <c r="F300" s="387" t="s">
        <v>5029</v>
      </c>
      <c r="G300" s="371" t="s">
        <v>165</v>
      </c>
      <c r="H300" s="371" t="s">
        <v>5030</v>
      </c>
      <c r="I300" s="369" t="e">
        <f>VLOOKUP(H300,'合同高级查询数据-10月新返回合同'!A:A,1,0)</f>
        <v>#N/A</v>
      </c>
      <c r="J300" s="371" t="s">
        <v>3724</v>
      </c>
      <c r="K300" s="462" t="s">
        <v>5031</v>
      </c>
      <c r="L300" s="474" t="s">
        <v>5032</v>
      </c>
      <c r="M300" s="430" t="s">
        <v>5033</v>
      </c>
      <c r="N300" s="373" t="s">
        <v>5034</v>
      </c>
      <c r="O300" s="373" t="s">
        <v>5035</v>
      </c>
      <c r="P300" s="463">
        <v>9000</v>
      </c>
      <c r="Q300" s="454">
        <v>13.68</v>
      </c>
      <c r="R300" s="447">
        <f t="shared" si="18"/>
        <v>123120</v>
      </c>
      <c r="S300" s="465">
        <v>202310</v>
      </c>
      <c r="T300" s="473" t="s">
        <v>5036</v>
      </c>
      <c r="U300" s="467"/>
      <c r="V300" s="432">
        <v>13.397422522999999</v>
      </c>
      <c r="W300" s="432">
        <v>13.68</v>
      </c>
      <c r="X300" s="475">
        <v>45139</v>
      </c>
      <c r="Y300" s="475"/>
      <c r="Z300" s="472" t="s">
        <v>5037</v>
      </c>
      <c r="AA300" s="472">
        <v>0.3</v>
      </c>
      <c r="AB300" s="386">
        <v>40</v>
      </c>
      <c r="AC300" s="386">
        <f t="shared" si="21"/>
        <v>12</v>
      </c>
    </row>
    <row r="301" spans="1:29" s="385" customFormat="1" ht="15" customHeight="1">
      <c r="A301" s="387" t="s">
        <v>258</v>
      </c>
      <c r="B301" s="461" t="s">
        <v>4880</v>
      </c>
      <c r="C301" s="416" t="s">
        <v>5006</v>
      </c>
      <c r="D301" s="388" t="s">
        <v>888</v>
      </c>
      <c r="E301" s="400" t="s">
        <v>5028</v>
      </c>
      <c r="F301" s="387" t="s">
        <v>5029</v>
      </c>
      <c r="G301" s="371" t="s">
        <v>165</v>
      </c>
      <c r="H301" s="371" t="s">
        <v>5030</v>
      </c>
      <c r="I301" s="369" t="e">
        <f>VLOOKUP(H301,'合同高级查询数据-10月新返回合同'!A:A,1,0)</f>
        <v>#N/A</v>
      </c>
      <c r="J301" s="371" t="s">
        <v>3724</v>
      </c>
      <c r="K301" s="462" t="s">
        <v>5031</v>
      </c>
      <c r="L301" s="474" t="s">
        <v>5032</v>
      </c>
      <c r="M301" s="430" t="s">
        <v>5033</v>
      </c>
      <c r="N301" s="373" t="s">
        <v>5034</v>
      </c>
      <c r="O301" s="373" t="s">
        <v>5035</v>
      </c>
      <c r="P301" s="463">
        <v>9000</v>
      </c>
      <c r="Q301" s="454">
        <f>14.51-14.21</f>
        <v>0.29999999999999893</v>
      </c>
      <c r="R301" s="447">
        <f t="shared" si="18"/>
        <v>2700</v>
      </c>
      <c r="S301" s="465">
        <v>202309</v>
      </c>
      <c r="T301" s="473" t="s">
        <v>5038</v>
      </c>
      <c r="U301" s="467"/>
      <c r="V301" s="432">
        <v>14.213788872</v>
      </c>
      <c r="W301" s="432">
        <v>14.51</v>
      </c>
      <c r="X301" s="475">
        <v>45139</v>
      </c>
      <c r="Y301" s="475"/>
      <c r="Z301" s="472" t="s">
        <v>5037</v>
      </c>
      <c r="AA301" s="472">
        <v>0.3</v>
      </c>
      <c r="AB301" s="386">
        <v>40</v>
      </c>
      <c r="AC301" s="386">
        <f t="shared" si="21"/>
        <v>12</v>
      </c>
    </row>
    <row r="302" spans="1:29" s="385" customFormat="1" ht="15" customHeight="1">
      <c r="A302" s="387" t="s">
        <v>45</v>
      </c>
      <c r="B302" s="461" t="s">
        <v>4880</v>
      </c>
      <c r="C302" s="416" t="s">
        <v>5006</v>
      </c>
      <c r="D302" s="388" t="s">
        <v>888</v>
      </c>
      <c r="E302" s="400" t="s">
        <v>5039</v>
      </c>
      <c r="F302" s="387" t="s">
        <v>5040</v>
      </c>
      <c r="G302" s="371" t="s">
        <v>165</v>
      </c>
      <c r="H302" s="371" t="s">
        <v>5041</v>
      </c>
      <c r="I302" s="369" t="e">
        <f>VLOOKUP(H302,'合同高级查询数据-10月新返回合同'!A:A,1,0)</f>
        <v>#N/A</v>
      </c>
      <c r="J302" s="371" t="s">
        <v>3724</v>
      </c>
      <c r="K302" s="462" t="s">
        <v>5042</v>
      </c>
      <c r="L302" s="474" t="s">
        <v>5043</v>
      </c>
      <c r="M302" s="430" t="s">
        <v>5044</v>
      </c>
      <c r="N302" s="373" t="s">
        <v>5045</v>
      </c>
      <c r="O302" s="373" t="s">
        <v>4982</v>
      </c>
      <c r="P302" s="463">
        <v>6740</v>
      </c>
      <c r="Q302" s="454">
        <v>0</v>
      </c>
      <c r="R302" s="447">
        <f t="shared" si="18"/>
        <v>0</v>
      </c>
      <c r="S302" s="465">
        <v>202310</v>
      </c>
      <c r="T302" s="473" t="s">
        <v>5046</v>
      </c>
      <c r="U302" s="467"/>
      <c r="V302" s="432">
        <v>0</v>
      </c>
      <c r="W302" s="432"/>
      <c r="X302" s="475">
        <v>45108</v>
      </c>
      <c r="Y302" s="471"/>
      <c r="Z302" s="472" t="s">
        <v>5047</v>
      </c>
      <c r="AA302" s="472">
        <v>0.4</v>
      </c>
      <c r="AB302" s="386">
        <v>0</v>
      </c>
      <c r="AC302" s="386">
        <f t="shared" si="21"/>
        <v>0</v>
      </c>
    </row>
    <row r="303" spans="1:29" s="385" customFormat="1" ht="15" customHeight="1">
      <c r="A303" s="387" t="s">
        <v>45</v>
      </c>
      <c r="B303" s="461" t="s">
        <v>4880</v>
      </c>
      <c r="C303" s="416" t="s">
        <v>5006</v>
      </c>
      <c r="D303" s="388" t="s">
        <v>888</v>
      </c>
      <c r="E303" s="400" t="s">
        <v>5039</v>
      </c>
      <c r="F303" s="387" t="s">
        <v>5040</v>
      </c>
      <c r="G303" s="371" t="s">
        <v>165</v>
      </c>
      <c r="H303" s="371" t="s">
        <v>5041</v>
      </c>
      <c r="I303" s="369" t="e">
        <f>VLOOKUP(H303,'合同高级查询数据-10月新返回合同'!A:A,1,0)</f>
        <v>#N/A</v>
      </c>
      <c r="J303" s="371" t="s">
        <v>3724</v>
      </c>
      <c r="K303" s="462" t="s">
        <v>5042</v>
      </c>
      <c r="L303" s="474" t="s">
        <v>5048</v>
      </c>
      <c r="M303" s="430" t="s">
        <v>5044</v>
      </c>
      <c r="N303" s="373" t="s">
        <v>5049</v>
      </c>
      <c r="O303" s="373" t="s">
        <v>5050</v>
      </c>
      <c r="P303" s="463">
        <v>6740</v>
      </c>
      <c r="Q303" s="454">
        <v>9.07</v>
      </c>
      <c r="R303" s="447">
        <f t="shared" si="18"/>
        <v>61131.8</v>
      </c>
      <c r="S303" s="465">
        <v>202310</v>
      </c>
      <c r="T303" s="473" t="s">
        <v>5051</v>
      </c>
      <c r="U303" s="467"/>
      <c r="V303" s="432">
        <v>9.0743579860000008</v>
      </c>
      <c r="W303" s="432"/>
      <c r="X303" s="475">
        <v>45108</v>
      </c>
      <c r="Y303" s="471"/>
      <c r="Z303" s="472" t="s">
        <v>5052</v>
      </c>
      <c r="AA303" s="472">
        <v>0.4</v>
      </c>
      <c r="AB303" s="386">
        <v>20</v>
      </c>
      <c r="AC303" s="386">
        <f t="shared" si="21"/>
        <v>8</v>
      </c>
    </row>
    <row r="304" spans="1:29" s="385" customFormat="1" ht="15" customHeight="1">
      <c r="A304" s="387" t="s">
        <v>45</v>
      </c>
      <c r="B304" s="461" t="s">
        <v>4880</v>
      </c>
      <c r="C304" s="416" t="s">
        <v>5006</v>
      </c>
      <c r="D304" s="388" t="s">
        <v>888</v>
      </c>
      <c r="E304" s="400" t="s">
        <v>5039</v>
      </c>
      <c r="F304" s="387" t="s">
        <v>5040</v>
      </c>
      <c r="G304" s="371" t="s">
        <v>165</v>
      </c>
      <c r="H304" s="371" t="s">
        <v>5041</v>
      </c>
      <c r="I304" s="369" t="e">
        <f>VLOOKUP(H304,'合同高级查询数据-10月新返回合同'!A:A,1,0)</f>
        <v>#N/A</v>
      </c>
      <c r="J304" s="371" t="s">
        <v>3724</v>
      </c>
      <c r="K304" s="462" t="s">
        <v>5042</v>
      </c>
      <c r="L304" s="474" t="s">
        <v>5048</v>
      </c>
      <c r="M304" s="430" t="s">
        <v>5044</v>
      </c>
      <c r="N304" s="373" t="s">
        <v>5049</v>
      </c>
      <c r="O304" s="373" t="s">
        <v>5050</v>
      </c>
      <c r="P304" s="463">
        <v>6740</v>
      </c>
      <c r="Q304" s="454">
        <f>8.66-8.65</f>
        <v>9.9999999999997868E-3</v>
      </c>
      <c r="R304" s="447">
        <f t="shared" si="18"/>
        <v>67.400000000000006</v>
      </c>
      <c r="S304" s="465">
        <v>202309</v>
      </c>
      <c r="T304" s="473" t="s">
        <v>5053</v>
      </c>
      <c r="U304" s="467"/>
      <c r="V304" s="432">
        <v>8.6457462310000004</v>
      </c>
      <c r="W304" s="432">
        <v>8.67</v>
      </c>
      <c r="X304" s="475">
        <v>45108</v>
      </c>
      <c r="Y304" s="471"/>
      <c r="Z304" s="472" t="s">
        <v>5052</v>
      </c>
      <c r="AA304" s="472">
        <v>0.4</v>
      </c>
      <c r="AB304" s="386">
        <v>20</v>
      </c>
      <c r="AC304" s="386">
        <f t="shared" si="21"/>
        <v>8</v>
      </c>
    </row>
    <row r="305" spans="1:29" s="577" customFormat="1" ht="15" customHeight="1">
      <c r="A305" s="562" t="s">
        <v>260</v>
      </c>
      <c r="B305" s="648" t="s">
        <v>5054</v>
      </c>
      <c r="C305" s="649" t="s">
        <v>5055</v>
      </c>
      <c r="D305" s="563" t="s">
        <v>888</v>
      </c>
      <c r="E305" s="583" t="s">
        <v>5056</v>
      </c>
      <c r="F305" s="562" t="s">
        <v>5057</v>
      </c>
      <c r="G305" s="585" t="s">
        <v>165</v>
      </c>
      <c r="H305" s="585" t="s">
        <v>5058</v>
      </c>
      <c r="I305" s="565" t="e">
        <f>VLOOKUP(H305,'合同高级查询数据-10月新返回合同'!A:A,1,0)</f>
        <v>#N/A</v>
      </c>
      <c r="J305" s="585" t="s">
        <v>3724</v>
      </c>
      <c r="K305" s="650" t="s">
        <v>5059</v>
      </c>
      <c r="L305" s="651" t="s">
        <v>5059</v>
      </c>
      <c r="M305" s="608" t="s">
        <v>5060</v>
      </c>
      <c r="N305" s="603" t="s">
        <v>5061</v>
      </c>
      <c r="O305" s="603" t="s">
        <v>5062</v>
      </c>
      <c r="P305" s="660">
        <v>6250</v>
      </c>
      <c r="Q305" s="653">
        <v>0</v>
      </c>
      <c r="R305" s="639">
        <f t="shared" si="18"/>
        <v>0</v>
      </c>
      <c r="S305" s="654">
        <v>202310</v>
      </c>
      <c r="T305" s="655" t="s">
        <v>5063</v>
      </c>
      <c r="U305" s="656"/>
      <c r="V305" s="615">
        <v>0</v>
      </c>
      <c r="W305" s="615"/>
      <c r="X305" s="657">
        <v>45017</v>
      </c>
      <c r="Y305" s="657">
        <v>45382</v>
      </c>
      <c r="Z305" s="659"/>
      <c r="AA305" s="659">
        <v>0</v>
      </c>
      <c r="AB305" s="561">
        <v>0</v>
      </c>
      <c r="AC305" s="561">
        <f t="shared" ref="AC305:AC310" si="22">AA305*AB305</f>
        <v>0</v>
      </c>
    </row>
    <row r="306" spans="1:29" s="577" customFormat="1" ht="15" customHeight="1">
      <c r="A306" s="562" t="s">
        <v>260</v>
      </c>
      <c r="B306" s="648" t="s">
        <v>5054</v>
      </c>
      <c r="C306" s="649" t="s">
        <v>5055</v>
      </c>
      <c r="D306" s="563" t="s">
        <v>888</v>
      </c>
      <c r="E306" s="583" t="s">
        <v>5056</v>
      </c>
      <c r="F306" s="562" t="s">
        <v>5057</v>
      </c>
      <c r="G306" s="585" t="s">
        <v>165</v>
      </c>
      <c r="H306" s="585" t="s">
        <v>5064</v>
      </c>
      <c r="I306" s="565" t="e">
        <f>VLOOKUP(H306,'合同高级查询数据-10月新返回合同'!A:A,1,0)</f>
        <v>#N/A</v>
      </c>
      <c r="J306" s="585" t="s">
        <v>3724</v>
      </c>
      <c r="K306" s="650" t="s">
        <v>5065</v>
      </c>
      <c r="L306" s="651" t="s">
        <v>5066</v>
      </c>
      <c r="M306" s="608" t="s">
        <v>5060</v>
      </c>
      <c r="N306" s="603" t="s">
        <v>5067</v>
      </c>
      <c r="O306" s="603" t="s">
        <v>5068</v>
      </c>
      <c r="P306" s="660">
        <v>6250</v>
      </c>
      <c r="Q306" s="653">
        <v>53.933</v>
      </c>
      <c r="R306" s="639">
        <f t="shared" si="18"/>
        <v>337081.25</v>
      </c>
      <c r="S306" s="654">
        <v>202310</v>
      </c>
      <c r="T306" s="655" t="s">
        <v>5069</v>
      </c>
      <c r="U306" s="656"/>
      <c r="V306" s="661">
        <v>53.933029175000001</v>
      </c>
      <c r="W306" s="615"/>
      <c r="X306" s="657">
        <v>45017</v>
      </c>
      <c r="Y306" s="657">
        <v>45382</v>
      </c>
      <c r="Z306" s="659" t="s">
        <v>5070</v>
      </c>
      <c r="AA306" s="659">
        <v>0.2</v>
      </c>
      <c r="AB306" s="561">
        <v>220</v>
      </c>
      <c r="AC306" s="561">
        <f t="shared" si="22"/>
        <v>44</v>
      </c>
    </row>
    <row r="307" spans="1:29" s="577" customFormat="1" ht="15" customHeight="1">
      <c r="A307" s="562" t="s">
        <v>260</v>
      </c>
      <c r="B307" s="648" t="s">
        <v>5054</v>
      </c>
      <c r="C307" s="649" t="s">
        <v>5055</v>
      </c>
      <c r="D307" s="563" t="s">
        <v>888</v>
      </c>
      <c r="E307" s="583" t="s">
        <v>5056</v>
      </c>
      <c r="F307" s="562" t="s">
        <v>5057</v>
      </c>
      <c r="G307" s="585" t="s">
        <v>165</v>
      </c>
      <c r="H307" s="585" t="s">
        <v>5064</v>
      </c>
      <c r="I307" s="565" t="e">
        <f>VLOOKUP(H307,'合同高级查询数据-10月新返回合同'!A:A,1,0)</f>
        <v>#N/A</v>
      </c>
      <c r="J307" s="585" t="s">
        <v>3724</v>
      </c>
      <c r="K307" s="650" t="s">
        <v>5071</v>
      </c>
      <c r="L307" s="651" t="s">
        <v>5072</v>
      </c>
      <c r="M307" s="608" t="s">
        <v>5060</v>
      </c>
      <c r="N307" s="603" t="s">
        <v>5073</v>
      </c>
      <c r="O307" s="603" t="s">
        <v>5074</v>
      </c>
      <c r="P307" s="660">
        <v>6250</v>
      </c>
      <c r="Q307" s="653">
        <v>0</v>
      </c>
      <c r="R307" s="639">
        <f t="shared" si="18"/>
        <v>0</v>
      </c>
      <c r="S307" s="654">
        <v>202310</v>
      </c>
      <c r="T307" s="655" t="s">
        <v>5075</v>
      </c>
      <c r="U307" s="656"/>
      <c r="V307" s="615">
        <v>0</v>
      </c>
      <c r="W307" s="615"/>
      <c r="X307" s="657">
        <v>45017</v>
      </c>
      <c r="Y307" s="657">
        <v>45382</v>
      </c>
      <c r="Z307" s="659"/>
      <c r="AA307" s="659">
        <v>0</v>
      </c>
      <c r="AB307" s="561">
        <v>0</v>
      </c>
      <c r="AC307" s="561">
        <f t="shared" si="22"/>
        <v>0</v>
      </c>
    </row>
    <row r="308" spans="1:29" s="385" customFormat="1" ht="15" customHeight="1">
      <c r="A308" s="387" t="s">
        <v>260</v>
      </c>
      <c r="B308" s="461" t="s">
        <v>5054</v>
      </c>
      <c r="C308" s="416" t="s">
        <v>5055</v>
      </c>
      <c r="D308" s="388" t="s">
        <v>888</v>
      </c>
      <c r="E308" s="400" t="s">
        <v>5056</v>
      </c>
      <c r="F308" s="387" t="s">
        <v>5057</v>
      </c>
      <c r="G308" s="371" t="s">
        <v>165</v>
      </c>
      <c r="H308" s="371" t="s">
        <v>5076</v>
      </c>
      <c r="I308" s="369" t="e">
        <f>VLOOKUP(H308,'合同高级查询数据-10月新返回合同'!A:A,1,0)</f>
        <v>#N/A</v>
      </c>
      <c r="J308" s="371" t="s">
        <v>3724</v>
      </c>
      <c r="K308" s="462" t="s">
        <v>5077</v>
      </c>
      <c r="L308" s="474" t="s">
        <v>5078</v>
      </c>
      <c r="M308" s="430" t="s">
        <v>5079</v>
      </c>
      <c r="N308" s="373" t="s">
        <v>5080</v>
      </c>
      <c r="O308" s="373" t="s">
        <v>5081</v>
      </c>
      <c r="P308" s="463">
        <v>6250</v>
      </c>
      <c r="Q308" s="454">
        <v>0</v>
      </c>
      <c r="R308" s="447">
        <f t="shared" si="18"/>
        <v>0</v>
      </c>
      <c r="S308" s="465">
        <v>202310</v>
      </c>
      <c r="T308" s="473" t="s">
        <v>5082</v>
      </c>
      <c r="U308" s="467"/>
      <c r="V308" s="432">
        <v>0</v>
      </c>
      <c r="W308" s="432"/>
      <c r="X308" s="475"/>
      <c r="Y308" s="471"/>
      <c r="Z308" s="472"/>
      <c r="AA308" s="472">
        <v>0</v>
      </c>
      <c r="AB308" s="386">
        <v>0</v>
      </c>
      <c r="AC308" s="386">
        <f t="shared" si="22"/>
        <v>0</v>
      </c>
    </row>
    <row r="309" spans="1:29" s="385" customFormat="1" ht="15" customHeight="1">
      <c r="A309" s="387" t="s">
        <v>258</v>
      </c>
      <c r="B309" s="461" t="s">
        <v>5054</v>
      </c>
      <c r="C309" s="416" t="s">
        <v>5055</v>
      </c>
      <c r="D309" s="388" t="s">
        <v>888</v>
      </c>
      <c r="E309" s="400" t="s">
        <v>5083</v>
      </c>
      <c r="F309" s="387" t="s">
        <v>5084</v>
      </c>
      <c r="G309" s="371" t="s">
        <v>165</v>
      </c>
      <c r="H309" s="371" t="s">
        <v>5085</v>
      </c>
      <c r="I309" s="369" t="e">
        <f>VLOOKUP(H309,'合同高级查询数据-10月新返回合同'!A:A,1,0)</f>
        <v>#N/A</v>
      </c>
      <c r="J309" s="371" t="s">
        <v>3724</v>
      </c>
      <c r="K309" s="462" t="s">
        <v>5086</v>
      </c>
      <c r="L309" s="474" t="s">
        <v>5087</v>
      </c>
      <c r="M309" s="430" t="s">
        <v>5088</v>
      </c>
      <c r="N309" s="373" t="s">
        <v>5089</v>
      </c>
      <c r="O309" s="373" t="s">
        <v>5090</v>
      </c>
      <c r="P309" s="463">
        <v>8333.33</v>
      </c>
      <c r="Q309" s="454">
        <v>6.1</v>
      </c>
      <c r="R309" s="447">
        <f t="shared" si="18"/>
        <v>50833.31</v>
      </c>
      <c r="S309" s="465">
        <v>202310</v>
      </c>
      <c r="T309" s="473" t="s">
        <v>5091</v>
      </c>
      <c r="U309" s="467"/>
      <c r="V309" s="432">
        <v>6.0679972930000003</v>
      </c>
      <c r="W309" s="432"/>
      <c r="X309" s="475">
        <v>45078</v>
      </c>
      <c r="Y309" s="471"/>
      <c r="Z309" s="472" t="s">
        <v>5092</v>
      </c>
      <c r="AA309" s="472">
        <v>0.25</v>
      </c>
      <c r="AB309" s="386">
        <v>20</v>
      </c>
      <c r="AC309" s="386">
        <f t="shared" si="22"/>
        <v>5</v>
      </c>
    </row>
    <row r="310" spans="1:29" s="385" customFormat="1" ht="15" customHeight="1">
      <c r="A310" s="387" t="s">
        <v>45</v>
      </c>
      <c r="B310" s="461" t="s">
        <v>5054</v>
      </c>
      <c r="C310" s="416" t="s">
        <v>5055</v>
      </c>
      <c r="D310" s="388" t="s">
        <v>888</v>
      </c>
      <c r="E310" s="400" t="s">
        <v>5093</v>
      </c>
      <c r="F310" s="387" t="s">
        <v>5094</v>
      </c>
      <c r="G310" s="371" t="s">
        <v>165</v>
      </c>
      <c r="H310" s="371" t="s">
        <v>5095</v>
      </c>
      <c r="I310" s="369" t="e">
        <f>VLOOKUP(H310,'合同高级查询数据-10月新返回合同'!A:A,1,0)</f>
        <v>#N/A</v>
      </c>
      <c r="J310" s="371" t="s">
        <v>3724</v>
      </c>
      <c r="K310" s="462" t="s">
        <v>5096</v>
      </c>
      <c r="L310" s="474" t="s">
        <v>5097</v>
      </c>
      <c r="M310" s="430" t="s">
        <v>5098</v>
      </c>
      <c r="N310" s="373" t="s">
        <v>5099</v>
      </c>
      <c r="O310" s="373" t="s">
        <v>5100</v>
      </c>
      <c r="P310" s="463">
        <v>6740</v>
      </c>
      <c r="Q310" s="454">
        <v>9.01</v>
      </c>
      <c r="R310" s="447">
        <f t="shared" si="18"/>
        <v>60727.4</v>
      </c>
      <c r="S310" s="465">
        <v>202310</v>
      </c>
      <c r="T310" s="473" t="s">
        <v>5101</v>
      </c>
      <c r="U310" s="467"/>
      <c r="V310" s="432">
        <v>9.0147371290000002</v>
      </c>
      <c r="W310" s="432"/>
      <c r="X310" s="475">
        <v>45108</v>
      </c>
      <c r="Y310" s="475"/>
      <c r="Z310" s="472" t="s">
        <v>5102</v>
      </c>
      <c r="AA310" s="472">
        <v>0.4</v>
      </c>
      <c r="AB310" s="386">
        <v>20</v>
      </c>
      <c r="AC310" s="386">
        <f t="shared" si="22"/>
        <v>8</v>
      </c>
    </row>
    <row r="311" spans="1:29" s="385" customFormat="1" ht="15" customHeight="1">
      <c r="A311" s="387" t="s">
        <v>45</v>
      </c>
      <c r="B311" s="461" t="s">
        <v>5054</v>
      </c>
      <c r="C311" s="416" t="s">
        <v>5055</v>
      </c>
      <c r="D311" s="388" t="s">
        <v>888</v>
      </c>
      <c r="E311" s="400" t="s">
        <v>5093</v>
      </c>
      <c r="F311" s="387" t="s">
        <v>5094</v>
      </c>
      <c r="G311" s="371" t="s">
        <v>165</v>
      </c>
      <c r="H311" s="371" t="s">
        <v>5103</v>
      </c>
      <c r="I311" s="369" t="e">
        <f>VLOOKUP(H311,'合同高级查询数据-10月新返回合同'!A:A,1,0)</f>
        <v>#N/A</v>
      </c>
      <c r="J311" s="371" t="s">
        <v>3724</v>
      </c>
      <c r="K311" s="462" t="s">
        <v>5104</v>
      </c>
      <c r="L311" s="474" t="s">
        <v>5105</v>
      </c>
      <c r="M311" s="430" t="s">
        <v>5106</v>
      </c>
      <c r="N311" s="373" t="s">
        <v>5107</v>
      </c>
      <c r="O311" s="373" t="s">
        <v>5108</v>
      </c>
      <c r="P311" s="463">
        <v>6740</v>
      </c>
      <c r="Q311" s="454">
        <v>206.56</v>
      </c>
      <c r="R311" s="447">
        <f t="shared" si="18"/>
        <v>1392214.4</v>
      </c>
      <c r="S311" s="465">
        <v>202310</v>
      </c>
      <c r="T311" s="473" t="s">
        <v>5109</v>
      </c>
      <c r="U311" s="467"/>
      <c r="V311" s="432">
        <v>206.555339344</v>
      </c>
      <c r="W311" s="432"/>
      <c r="X311" s="475">
        <v>45050</v>
      </c>
      <c r="Y311" s="471"/>
      <c r="Z311" s="472" t="s">
        <v>5110</v>
      </c>
      <c r="AA311" s="472">
        <v>0.4</v>
      </c>
      <c r="AB311" s="386">
        <v>400</v>
      </c>
      <c r="AC311" s="386">
        <v>160</v>
      </c>
    </row>
    <row r="312" spans="1:29" s="385" customFormat="1" ht="15" customHeight="1">
      <c r="A312" s="387" t="s">
        <v>45</v>
      </c>
      <c r="B312" s="461" t="s">
        <v>5054</v>
      </c>
      <c r="C312" s="416" t="s">
        <v>5055</v>
      </c>
      <c r="D312" s="388" t="s">
        <v>888</v>
      </c>
      <c r="E312" s="400" t="s">
        <v>5093</v>
      </c>
      <c r="F312" s="387" t="s">
        <v>5094</v>
      </c>
      <c r="G312" s="371" t="s">
        <v>165</v>
      </c>
      <c r="H312" s="371" t="s">
        <v>5103</v>
      </c>
      <c r="I312" s="369" t="e">
        <f>VLOOKUP(H312,'合同高级查询数据-10月新返回合同'!A:A,1,0)</f>
        <v>#N/A</v>
      </c>
      <c r="J312" s="371" t="s">
        <v>3724</v>
      </c>
      <c r="K312" s="462" t="s">
        <v>5104</v>
      </c>
      <c r="L312" s="474" t="s">
        <v>5105</v>
      </c>
      <c r="M312" s="430" t="s">
        <v>5106</v>
      </c>
      <c r="N312" s="373" t="s">
        <v>5107</v>
      </c>
      <c r="O312" s="373" t="s">
        <v>5108</v>
      </c>
      <c r="P312" s="463">
        <v>6740</v>
      </c>
      <c r="Q312" s="454">
        <f>267-263.23</f>
        <v>3.7699999999999818</v>
      </c>
      <c r="R312" s="447">
        <f t="shared" si="18"/>
        <v>25409.8</v>
      </c>
      <c r="S312" s="465">
        <v>202305</v>
      </c>
      <c r="T312" s="473" t="s">
        <v>5111</v>
      </c>
      <c r="U312" s="467"/>
      <c r="V312" s="432">
        <v>262.85000000000002</v>
      </c>
      <c r="W312" s="432">
        <v>271.14999999999998</v>
      </c>
      <c r="X312" s="475">
        <v>45050</v>
      </c>
      <c r="Y312" s="471"/>
      <c r="Z312" s="472" t="s">
        <v>5110</v>
      </c>
      <c r="AA312" s="472">
        <v>0.4</v>
      </c>
      <c r="AB312" s="386">
        <v>400</v>
      </c>
      <c r="AC312" s="386">
        <v>160</v>
      </c>
    </row>
    <row r="313" spans="1:29" s="385" customFormat="1" ht="15" customHeight="1">
      <c r="A313" s="387" t="s">
        <v>45</v>
      </c>
      <c r="B313" s="461" t="s">
        <v>5054</v>
      </c>
      <c r="C313" s="416" t="s">
        <v>5055</v>
      </c>
      <c r="D313" s="388" t="s">
        <v>888</v>
      </c>
      <c r="E313" s="400" t="s">
        <v>5093</v>
      </c>
      <c r="F313" s="387" t="s">
        <v>5094</v>
      </c>
      <c r="G313" s="371" t="s">
        <v>165</v>
      </c>
      <c r="H313" s="371" t="s">
        <v>5103</v>
      </c>
      <c r="I313" s="369" t="e">
        <f>VLOOKUP(H313,'合同高级查询数据-10月新返回合同'!A:A,1,0)</f>
        <v>#N/A</v>
      </c>
      <c r="J313" s="371" t="s">
        <v>3724</v>
      </c>
      <c r="K313" s="462" t="s">
        <v>5104</v>
      </c>
      <c r="L313" s="474" t="s">
        <v>5105</v>
      </c>
      <c r="M313" s="430" t="s">
        <v>5106</v>
      </c>
      <c r="N313" s="373" t="s">
        <v>5107</v>
      </c>
      <c r="O313" s="373" t="s">
        <v>5108</v>
      </c>
      <c r="P313" s="463">
        <v>6740</v>
      </c>
      <c r="Q313" s="454">
        <f>220.76-220.67</f>
        <v>9.0000000000003411E-2</v>
      </c>
      <c r="R313" s="447">
        <f t="shared" si="18"/>
        <v>606.6</v>
      </c>
      <c r="S313" s="465">
        <v>202309</v>
      </c>
      <c r="T313" s="473" t="s">
        <v>5112</v>
      </c>
      <c r="U313" s="467"/>
      <c r="V313" s="432">
        <v>220.67086746000001</v>
      </c>
      <c r="W313" s="432">
        <v>220.85</v>
      </c>
      <c r="X313" s="475">
        <v>45050</v>
      </c>
      <c r="Y313" s="471"/>
      <c r="Z313" s="472" t="s">
        <v>5110</v>
      </c>
      <c r="AA313" s="472">
        <v>0.4</v>
      </c>
      <c r="AB313" s="386">
        <v>400</v>
      </c>
      <c r="AC313" s="386">
        <v>160</v>
      </c>
    </row>
    <row r="314" spans="1:29" s="385" customFormat="1" ht="15" customHeight="1">
      <c r="A314" s="387" t="s">
        <v>45</v>
      </c>
      <c r="B314" s="461" t="s">
        <v>5054</v>
      </c>
      <c r="C314" s="416" t="s">
        <v>5055</v>
      </c>
      <c r="D314" s="388" t="s">
        <v>888</v>
      </c>
      <c r="E314" s="400" t="s">
        <v>5093</v>
      </c>
      <c r="F314" s="387" t="s">
        <v>5094</v>
      </c>
      <c r="G314" s="371" t="s">
        <v>165</v>
      </c>
      <c r="H314" s="371" t="s">
        <v>5103</v>
      </c>
      <c r="I314" s="369" t="e">
        <f>VLOOKUP(H314,'合同高级查询数据-10月新返回合同'!A:A,1,0)</f>
        <v>#N/A</v>
      </c>
      <c r="J314" s="371" t="s">
        <v>3724</v>
      </c>
      <c r="K314" s="462" t="s">
        <v>5113</v>
      </c>
      <c r="L314" s="474" t="s">
        <v>5114</v>
      </c>
      <c r="M314" s="430" t="s">
        <v>5098</v>
      </c>
      <c r="N314" s="373">
        <v>45148</v>
      </c>
      <c r="O314" s="373" t="s">
        <v>2187</v>
      </c>
      <c r="P314" s="463">
        <v>6740</v>
      </c>
      <c r="Q314" s="454">
        <v>40</v>
      </c>
      <c r="R314" s="447">
        <f t="shared" si="18"/>
        <v>269600</v>
      </c>
      <c r="S314" s="465">
        <v>202310</v>
      </c>
      <c r="T314" s="473" t="s">
        <v>5115</v>
      </c>
      <c r="U314" s="467"/>
      <c r="V314" s="432">
        <v>39.947473150999997</v>
      </c>
      <c r="W314" s="432"/>
      <c r="X314" s="475">
        <v>45050</v>
      </c>
      <c r="Y314" s="471"/>
      <c r="Z314" s="472" t="s">
        <v>5116</v>
      </c>
      <c r="AA314" s="472">
        <v>0.4</v>
      </c>
      <c r="AB314" s="386">
        <v>100</v>
      </c>
      <c r="AC314" s="386">
        <v>40</v>
      </c>
    </row>
    <row r="315" spans="1:29" s="385" customFormat="1" ht="15" customHeight="1">
      <c r="A315" s="387" t="s">
        <v>45</v>
      </c>
      <c r="B315" s="461" t="s">
        <v>5054</v>
      </c>
      <c r="C315" s="416" t="s">
        <v>5055</v>
      </c>
      <c r="D315" s="388" t="s">
        <v>888</v>
      </c>
      <c r="E315" s="400" t="s">
        <v>5093</v>
      </c>
      <c r="F315" s="387" t="s">
        <v>5094</v>
      </c>
      <c r="G315" s="371" t="s">
        <v>165</v>
      </c>
      <c r="H315" s="371" t="s">
        <v>5103</v>
      </c>
      <c r="I315" s="369" t="e">
        <f>VLOOKUP(H315,'合同高级查询数据-10月新返回合同'!A:A,1,0)</f>
        <v>#N/A</v>
      </c>
      <c r="J315" s="371" t="s">
        <v>3724</v>
      </c>
      <c r="K315" s="462" t="s">
        <v>5117</v>
      </c>
      <c r="L315" s="474" t="s">
        <v>5118</v>
      </c>
      <c r="M315" s="430" t="s">
        <v>5098</v>
      </c>
      <c r="N315" s="373">
        <v>45148</v>
      </c>
      <c r="O315" s="373" t="s">
        <v>2187</v>
      </c>
      <c r="P315" s="463">
        <v>6740</v>
      </c>
      <c r="Q315" s="454">
        <v>40</v>
      </c>
      <c r="R315" s="447">
        <f t="shared" si="18"/>
        <v>269600</v>
      </c>
      <c r="S315" s="465">
        <v>202310</v>
      </c>
      <c r="T315" s="473" t="s">
        <v>5119</v>
      </c>
      <c r="U315" s="467"/>
      <c r="V315" s="432">
        <v>27.603431091000001</v>
      </c>
      <c r="W315" s="432"/>
      <c r="X315" s="475">
        <v>45050</v>
      </c>
      <c r="Y315" s="471"/>
      <c r="Z315" s="472" t="s">
        <v>5120</v>
      </c>
      <c r="AA315" s="472">
        <v>0.4</v>
      </c>
      <c r="AB315" s="386">
        <v>100</v>
      </c>
      <c r="AC315" s="386">
        <v>40</v>
      </c>
    </row>
    <row r="316" spans="1:29" s="385" customFormat="1" ht="15" customHeight="1">
      <c r="A316" s="387" t="s">
        <v>45</v>
      </c>
      <c r="B316" s="461" t="s">
        <v>5054</v>
      </c>
      <c r="C316" s="416" t="s">
        <v>5055</v>
      </c>
      <c r="D316" s="388" t="s">
        <v>888</v>
      </c>
      <c r="E316" s="400" t="s">
        <v>5093</v>
      </c>
      <c r="F316" s="387" t="s">
        <v>5094</v>
      </c>
      <c r="G316" s="371" t="s">
        <v>165</v>
      </c>
      <c r="H316" s="371" t="s">
        <v>5103</v>
      </c>
      <c r="I316" s="369" t="e">
        <f>VLOOKUP(H316,'合同高级查询数据-10月新返回合同'!A:A,1,0)</f>
        <v>#N/A</v>
      </c>
      <c r="J316" s="371" t="s">
        <v>3724</v>
      </c>
      <c r="K316" s="462" t="s">
        <v>5121</v>
      </c>
      <c r="L316" s="474" t="s">
        <v>5122</v>
      </c>
      <c r="M316" s="430" t="s">
        <v>5106</v>
      </c>
      <c r="N316" s="373">
        <v>45148</v>
      </c>
      <c r="O316" s="373" t="s">
        <v>1542</v>
      </c>
      <c r="P316" s="463">
        <v>6740</v>
      </c>
      <c r="Q316" s="454">
        <v>80</v>
      </c>
      <c r="R316" s="447">
        <f t="shared" si="18"/>
        <v>539200</v>
      </c>
      <c r="S316" s="465">
        <v>202310</v>
      </c>
      <c r="T316" s="473" t="s">
        <v>5123</v>
      </c>
      <c r="U316" s="467"/>
      <c r="V316" s="432">
        <v>76.952113002999994</v>
      </c>
      <c r="W316" s="432"/>
      <c r="X316" s="475">
        <v>45050</v>
      </c>
      <c r="Y316" s="471"/>
      <c r="Z316" s="472" t="s">
        <v>5124</v>
      </c>
      <c r="AA316" s="472">
        <v>0.4</v>
      </c>
      <c r="AB316" s="386">
        <v>200</v>
      </c>
      <c r="AC316" s="386">
        <v>80</v>
      </c>
    </row>
    <row r="317" spans="1:29" s="385" customFormat="1" ht="15" customHeight="1">
      <c r="A317" s="387" t="s">
        <v>45</v>
      </c>
      <c r="B317" s="461" t="s">
        <v>5054</v>
      </c>
      <c r="C317" s="416" t="s">
        <v>5055</v>
      </c>
      <c r="D317" s="388" t="s">
        <v>888</v>
      </c>
      <c r="E317" s="400" t="s">
        <v>5093</v>
      </c>
      <c r="F317" s="387" t="s">
        <v>5094</v>
      </c>
      <c r="G317" s="371" t="s">
        <v>165</v>
      </c>
      <c r="H317" s="371" t="s">
        <v>5103</v>
      </c>
      <c r="I317" s="369" t="e">
        <f>VLOOKUP(H317,'合同高级查询数据-10月新返回合同'!A:A,1,0)</f>
        <v>#N/A</v>
      </c>
      <c r="J317" s="371" t="s">
        <v>3724</v>
      </c>
      <c r="K317" s="462" t="s">
        <v>5121</v>
      </c>
      <c r="L317" s="474" t="s">
        <v>5122</v>
      </c>
      <c r="M317" s="430" t="s">
        <v>5106</v>
      </c>
      <c r="N317" s="373">
        <v>45148</v>
      </c>
      <c r="O317" s="373" t="s">
        <v>1542</v>
      </c>
      <c r="P317" s="463">
        <v>6740</v>
      </c>
      <c r="Q317" s="454">
        <f>72.62-69.96</f>
        <v>2.6600000000000108</v>
      </c>
      <c r="R317" s="447">
        <f t="shared" si="18"/>
        <v>17928.400000000001</v>
      </c>
      <c r="S317" s="465">
        <v>202308</v>
      </c>
      <c r="T317" s="473" t="s">
        <v>5125</v>
      </c>
      <c r="U317" s="467"/>
      <c r="V317" s="432">
        <v>72.13</v>
      </c>
      <c r="W317" s="432">
        <v>73.13</v>
      </c>
      <c r="X317" s="475">
        <v>45050</v>
      </c>
      <c r="Y317" s="471"/>
      <c r="Z317" s="472" t="s">
        <v>5124</v>
      </c>
      <c r="AA317" s="472">
        <v>0.4</v>
      </c>
      <c r="AB317" s="386">
        <v>200</v>
      </c>
      <c r="AC317" s="386">
        <v>80</v>
      </c>
    </row>
    <row r="318" spans="1:29" s="385" customFormat="1" ht="15" customHeight="1">
      <c r="A318" s="387" t="s">
        <v>57</v>
      </c>
      <c r="B318" s="461" t="s">
        <v>4720</v>
      </c>
      <c r="C318" s="416" t="s">
        <v>4721</v>
      </c>
      <c r="D318" s="388" t="s">
        <v>888</v>
      </c>
      <c r="E318" s="387" t="s">
        <v>5126</v>
      </c>
      <c r="F318" s="387" t="s">
        <v>5127</v>
      </c>
      <c r="G318" s="371" t="s">
        <v>165</v>
      </c>
      <c r="H318" s="371" t="s">
        <v>5128</v>
      </c>
      <c r="I318" s="369" t="e">
        <f>VLOOKUP(H318,'合同高级查询数据-10月新返回合同'!A:A,1,0)</f>
        <v>#N/A</v>
      </c>
      <c r="J318" s="371" t="s">
        <v>3724</v>
      </c>
      <c r="K318" s="462"/>
      <c r="L318" s="474" t="s">
        <v>5129</v>
      </c>
      <c r="M318" s="430" t="s">
        <v>5130</v>
      </c>
      <c r="N318" s="373">
        <v>45200</v>
      </c>
      <c r="O318" s="373"/>
      <c r="P318" s="463">
        <v>7000</v>
      </c>
      <c r="Q318" s="454">
        <v>251.488</v>
      </c>
      <c r="R318" s="447">
        <f t="shared" si="18"/>
        <v>1760416</v>
      </c>
      <c r="S318" s="465">
        <v>202310</v>
      </c>
      <c r="T318" s="473" t="s">
        <v>5131</v>
      </c>
      <c r="U318" s="467"/>
      <c r="V318" s="468">
        <v>251.4878745</v>
      </c>
      <c r="W318" s="432"/>
      <c r="X318" s="475">
        <v>45200</v>
      </c>
      <c r="Y318" s="471"/>
      <c r="Z318" s="472" t="s">
        <v>5132</v>
      </c>
      <c r="AA318" s="472">
        <v>0</v>
      </c>
      <c r="AB318" s="386"/>
      <c r="AC318" s="386">
        <v>0</v>
      </c>
    </row>
    <row r="319" spans="1:29" s="385" customFormat="1" ht="15" customHeight="1">
      <c r="A319" s="461" t="s">
        <v>260</v>
      </c>
      <c r="B319" s="461" t="s">
        <v>5133</v>
      </c>
      <c r="C319" s="461" t="s">
        <v>58</v>
      </c>
      <c r="D319" s="461" t="s">
        <v>5134</v>
      </c>
      <c r="E319" s="400" t="s">
        <v>5135</v>
      </c>
      <c r="F319" s="461" t="s">
        <v>5136</v>
      </c>
      <c r="G319" s="477" t="s">
        <v>165</v>
      </c>
      <c r="H319" s="400" t="s">
        <v>5137</v>
      </c>
      <c r="I319" s="369" t="e">
        <f>VLOOKUP(H319,'合同高级查询数据-10月新返回合同'!A:A,1,0)</f>
        <v>#N/A</v>
      </c>
      <c r="J319" s="371" t="s">
        <v>4875</v>
      </c>
      <c r="K319" s="415" t="s">
        <v>5138</v>
      </c>
      <c r="L319" s="478" t="s">
        <v>5139</v>
      </c>
      <c r="M319" s="430"/>
      <c r="N319" s="479" t="s">
        <v>5140</v>
      </c>
      <c r="O319" s="479" t="s">
        <v>5141</v>
      </c>
      <c r="P319" s="480">
        <v>21000</v>
      </c>
      <c r="Q319" s="464">
        <v>114</v>
      </c>
      <c r="R319" s="481">
        <f t="shared" si="18"/>
        <v>2394000</v>
      </c>
      <c r="S319" s="465">
        <v>202310</v>
      </c>
      <c r="T319" s="482" t="s">
        <v>9180</v>
      </c>
      <c r="U319" s="477"/>
      <c r="V319" s="432">
        <v>109.076543168</v>
      </c>
      <c r="W319" s="469">
        <v>118.23</v>
      </c>
      <c r="X319" s="475">
        <v>45108</v>
      </c>
      <c r="Y319" s="475"/>
      <c r="Z319" s="475" t="s">
        <v>5142</v>
      </c>
      <c r="AA319" s="472">
        <f>AC319/AB319</f>
        <v>0.38461538461538464</v>
      </c>
      <c r="AB319" s="386">
        <v>260</v>
      </c>
      <c r="AC319" s="386">
        <v>100</v>
      </c>
    </row>
    <row r="320" spans="1:29" s="385" customFormat="1" ht="15" customHeight="1">
      <c r="A320" s="461" t="s">
        <v>260</v>
      </c>
      <c r="B320" s="461" t="s">
        <v>5133</v>
      </c>
      <c r="C320" s="461" t="s">
        <v>58</v>
      </c>
      <c r="D320" s="461" t="s">
        <v>5134</v>
      </c>
      <c r="E320" s="400" t="s">
        <v>5135</v>
      </c>
      <c r="F320" s="461" t="s">
        <v>5136</v>
      </c>
      <c r="G320" s="477" t="s">
        <v>165</v>
      </c>
      <c r="H320" s="400" t="s">
        <v>5137</v>
      </c>
      <c r="I320" s="369" t="e">
        <f>VLOOKUP(H320,'合同高级查询数据-10月新返回合同'!A:A,1,0)</f>
        <v>#N/A</v>
      </c>
      <c r="J320" s="371" t="s">
        <v>4875</v>
      </c>
      <c r="K320" s="415" t="s">
        <v>5138</v>
      </c>
      <c r="L320" s="478" t="s">
        <v>5139</v>
      </c>
      <c r="M320" s="430"/>
      <c r="N320" s="479" t="s">
        <v>5140</v>
      </c>
      <c r="O320" s="479" t="s">
        <v>5141</v>
      </c>
      <c r="P320" s="480">
        <v>21000</v>
      </c>
      <c r="Q320" s="454">
        <f>114.82-111</f>
        <v>3.8199999999999932</v>
      </c>
      <c r="R320" s="481">
        <f t="shared" si="18"/>
        <v>80220</v>
      </c>
      <c r="S320" s="465">
        <v>202309</v>
      </c>
      <c r="T320" s="483" t="s">
        <v>5143</v>
      </c>
      <c r="U320" s="477"/>
      <c r="V320" s="432">
        <v>110.237973708</v>
      </c>
      <c r="W320" s="468">
        <v>119.39400000000001</v>
      </c>
      <c r="X320" s="475">
        <v>45108</v>
      </c>
      <c r="Y320" s="475"/>
      <c r="Z320" s="475" t="s">
        <v>5142</v>
      </c>
      <c r="AA320" s="472">
        <f>AC320/AB320</f>
        <v>0.38461538461538464</v>
      </c>
      <c r="AB320" s="386">
        <v>260</v>
      </c>
      <c r="AC320" s="386">
        <v>100</v>
      </c>
    </row>
    <row r="321" spans="1:29" s="385" customFormat="1" ht="15" customHeight="1">
      <c r="A321" s="461" t="s">
        <v>260</v>
      </c>
      <c r="B321" s="461" t="s">
        <v>5133</v>
      </c>
      <c r="C321" s="461" t="s">
        <v>58</v>
      </c>
      <c r="D321" s="461" t="s">
        <v>5134</v>
      </c>
      <c r="E321" s="400" t="s">
        <v>5135</v>
      </c>
      <c r="F321" s="461" t="s">
        <v>5136</v>
      </c>
      <c r="G321" s="477" t="s">
        <v>165</v>
      </c>
      <c r="H321" s="400" t="s">
        <v>5137</v>
      </c>
      <c r="I321" s="369" t="e">
        <f>VLOOKUP(H321,'合同高级查询数据-10月新返回合同'!A:A,1,0)</f>
        <v>#N/A</v>
      </c>
      <c r="J321" s="371" t="s">
        <v>4875</v>
      </c>
      <c r="K321" s="415" t="s">
        <v>5144</v>
      </c>
      <c r="L321" s="478" t="s">
        <v>5145</v>
      </c>
      <c r="M321" s="430"/>
      <c r="N321" s="479">
        <v>39326</v>
      </c>
      <c r="O321" s="479" t="s">
        <v>5146</v>
      </c>
      <c r="P321" s="480">
        <v>21000</v>
      </c>
      <c r="Q321" s="454">
        <v>0</v>
      </c>
      <c r="R321" s="481">
        <f t="shared" si="18"/>
        <v>0</v>
      </c>
      <c r="S321" s="465">
        <v>202310</v>
      </c>
      <c r="T321" s="483" t="s">
        <v>5147</v>
      </c>
      <c r="U321" s="477"/>
      <c r="V321" s="432">
        <v>0</v>
      </c>
      <c r="W321" s="432"/>
      <c r="X321" s="475">
        <v>45108</v>
      </c>
      <c r="Y321" s="475"/>
      <c r="Z321" s="475" t="s">
        <v>5148</v>
      </c>
      <c r="AA321" s="472">
        <v>0</v>
      </c>
      <c r="AB321" s="386">
        <v>0</v>
      </c>
      <c r="AC321" s="386">
        <v>0</v>
      </c>
    </row>
    <row r="322" spans="1:29" s="385" customFormat="1" ht="15" customHeight="1">
      <c r="A322" s="461" t="s">
        <v>260</v>
      </c>
      <c r="B322" s="461" t="s">
        <v>5133</v>
      </c>
      <c r="C322" s="461" t="s">
        <v>58</v>
      </c>
      <c r="D322" s="461" t="s">
        <v>5134</v>
      </c>
      <c r="E322" s="400" t="s">
        <v>5135</v>
      </c>
      <c r="F322" s="461" t="s">
        <v>5136</v>
      </c>
      <c r="G322" s="477" t="s">
        <v>165</v>
      </c>
      <c r="H322" s="400" t="s">
        <v>5137</v>
      </c>
      <c r="I322" s="369" t="e">
        <f>VLOOKUP(H322,'合同高级查询数据-10月新返回合同'!A:A,1,0)</f>
        <v>#N/A</v>
      </c>
      <c r="J322" s="371" t="s">
        <v>4875</v>
      </c>
      <c r="K322" s="415" t="s">
        <v>5149</v>
      </c>
      <c r="L322" s="484" t="s">
        <v>5150</v>
      </c>
      <c r="M322" s="430"/>
      <c r="N322" s="479">
        <v>43435</v>
      </c>
      <c r="O322" s="477" t="s">
        <v>5151</v>
      </c>
      <c r="P322" s="480">
        <v>15000</v>
      </c>
      <c r="Q322" s="454">
        <v>0</v>
      </c>
      <c r="R322" s="481">
        <f t="shared" si="18"/>
        <v>0</v>
      </c>
      <c r="S322" s="465">
        <v>202310</v>
      </c>
      <c r="T322" s="483" t="s">
        <v>5152</v>
      </c>
      <c r="U322" s="485"/>
      <c r="V322" s="432">
        <v>0</v>
      </c>
      <c r="W322" s="432"/>
      <c r="X322" s="475">
        <v>45108</v>
      </c>
      <c r="Y322" s="475"/>
      <c r="Z322" s="475" t="s">
        <v>5153</v>
      </c>
      <c r="AA322" s="386" t="s">
        <v>5154</v>
      </c>
      <c r="AB322" s="386">
        <v>0</v>
      </c>
      <c r="AC322" s="386">
        <v>0</v>
      </c>
    </row>
    <row r="323" spans="1:29" s="385" customFormat="1" ht="15" customHeight="1">
      <c r="A323" s="461" t="s">
        <v>260</v>
      </c>
      <c r="B323" s="461" t="s">
        <v>5133</v>
      </c>
      <c r="C323" s="461" t="s">
        <v>58</v>
      </c>
      <c r="D323" s="461" t="s">
        <v>5134</v>
      </c>
      <c r="E323" s="400" t="s">
        <v>5135</v>
      </c>
      <c r="F323" s="461" t="s">
        <v>5136</v>
      </c>
      <c r="G323" s="477" t="s">
        <v>165</v>
      </c>
      <c r="H323" s="400" t="s">
        <v>5137</v>
      </c>
      <c r="I323" s="369" t="e">
        <f>VLOOKUP(H323,'合同高级查询数据-10月新返回合同'!A:A,1,0)</f>
        <v>#N/A</v>
      </c>
      <c r="J323" s="371" t="s">
        <v>3724</v>
      </c>
      <c r="K323" s="415" t="s">
        <v>5155</v>
      </c>
      <c r="L323" s="484" t="s">
        <v>5136</v>
      </c>
      <c r="M323" s="430"/>
      <c r="N323" s="479" t="s">
        <v>5156</v>
      </c>
      <c r="O323" s="477" t="s">
        <v>5157</v>
      </c>
      <c r="P323" s="480">
        <v>6000</v>
      </c>
      <c r="Q323" s="454">
        <v>0</v>
      </c>
      <c r="R323" s="481">
        <f t="shared" si="18"/>
        <v>0</v>
      </c>
      <c r="S323" s="465">
        <v>202310</v>
      </c>
      <c r="T323" s="483" t="s">
        <v>5158</v>
      </c>
      <c r="U323" s="485"/>
      <c r="V323" s="432">
        <v>0</v>
      </c>
      <c r="W323" s="432"/>
      <c r="X323" s="475">
        <v>45108</v>
      </c>
      <c r="Y323" s="475"/>
      <c r="Z323" s="475" t="s">
        <v>5159</v>
      </c>
      <c r="AA323" s="472">
        <v>0</v>
      </c>
      <c r="AB323" s="386">
        <v>0</v>
      </c>
      <c r="AC323" s="386">
        <v>0</v>
      </c>
    </row>
    <row r="324" spans="1:29" s="385" customFormat="1" ht="15" customHeight="1">
      <c r="A324" s="461" t="s">
        <v>260</v>
      </c>
      <c r="B324" s="461" t="s">
        <v>5133</v>
      </c>
      <c r="C324" s="461" t="s">
        <v>58</v>
      </c>
      <c r="D324" s="461" t="s">
        <v>5134</v>
      </c>
      <c r="E324" s="400" t="s">
        <v>5135</v>
      </c>
      <c r="F324" s="461" t="s">
        <v>5136</v>
      </c>
      <c r="G324" s="477" t="s">
        <v>165</v>
      </c>
      <c r="H324" s="400" t="s">
        <v>5137</v>
      </c>
      <c r="I324" s="369" t="e">
        <f>VLOOKUP(H324,'合同高级查询数据-10月新返回合同'!A:A,1,0)</f>
        <v>#N/A</v>
      </c>
      <c r="J324" s="371" t="s">
        <v>4875</v>
      </c>
      <c r="K324" s="415" t="s">
        <v>5160</v>
      </c>
      <c r="L324" s="478" t="s">
        <v>5161</v>
      </c>
      <c r="M324" s="430"/>
      <c r="N324" s="479" t="s">
        <v>5162</v>
      </c>
      <c r="O324" s="479" t="s">
        <v>5163</v>
      </c>
      <c r="P324" s="480">
        <v>15000</v>
      </c>
      <c r="Q324" s="454">
        <v>0</v>
      </c>
      <c r="R324" s="481">
        <f t="shared" si="18"/>
        <v>0</v>
      </c>
      <c r="S324" s="465">
        <v>202310</v>
      </c>
      <c r="T324" s="483" t="s">
        <v>5164</v>
      </c>
      <c r="U324" s="485"/>
      <c r="V324" s="432">
        <v>0</v>
      </c>
      <c r="W324" s="432"/>
      <c r="X324" s="475">
        <v>45108</v>
      </c>
      <c r="Y324" s="475"/>
      <c r="Z324" s="475" t="s">
        <v>5165</v>
      </c>
      <c r="AA324" s="472">
        <v>0</v>
      </c>
      <c r="AB324" s="386">
        <v>0</v>
      </c>
      <c r="AC324" s="386">
        <v>0</v>
      </c>
    </row>
    <row r="325" spans="1:29" s="385" customFormat="1" ht="15" customHeight="1">
      <c r="A325" s="461" t="s">
        <v>260</v>
      </c>
      <c r="B325" s="461" t="s">
        <v>5133</v>
      </c>
      <c r="C325" s="461" t="s">
        <v>58</v>
      </c>
      <c r="D325" s="461" t="s">
        <v>5134</v>
      </c>
      <c r="E325" s="400" t="s">
        <v>5135</v>
      </c>
      <c r="F325" s="461" t="s">
        <v>5136</v>
      </c>
      <c r="G325" s="477" t="s">
        <v>165</v>
      </c>
      <c r="H325" s="400" t="s">
        <v>5137</v>
      </c>
      <c r="I325" s="369" t="e">
        <f>VLOOKUP(H325,'合同高级查询数据-10月新返回合同'!A:A,1,0)</f>
        <v>#N/A</v>
      </c>
      <c r="J325" s="371" t="s">
        <v>4875</v>
      </c>
      <c r="K325" s="415" t="s">
        <v>5166</v>
      </c>
      <c r="L325" s="478" t="s">
        <v>5167</v>
      </c>
      <c r="M325" s="430" t="s">
        <v>5168</v>
      </c>
      <c r="N325" s="479">
        <v>44682</v>
      </c>
      <c r="O325" s="479" t="s">
        <v>4293</v>
      </c>
      <c r="P325" s="480">
        <v>6000</v>
      </c>
      <c r="Q325" s="464">
        <v>288.7</v>
      </c>
      <c r="R325" s="481">
        <f t="shared" si="18"/>
        <v>1732200</v>
      </c>
      <c r="S325" s="465">
        <v>202310</v>
      </c>
      <c r="T325" s="482" t="s">
        <v>9181</v>
      </c>
      <c r="U325" s="485"/>
      <c r="V325" s="432">
        <v>285.66414099999997</v>
      </c>
      <c r="W325" s="469">
        <v>291.60000000000002</v>
      </c>
      <c r="X325" s="475">
        <v>45108</v>
      </c>
      <c r="Y325" s="475"/>
      <c r="Z325" s="475" t="s">
        <v>5169</v>
      </c>
      <c r="AA325" s="472">
        <v>0.2</v>
      </c>
      <c r="AB325" s="386">
        <v>600</v>
      </c>
      <c r="AC325" s="386">
        <v>120</v>
      </c>
    </row>
    <row r="326" spans="1:29" s="385" customFormat="1" ht="15" customHeight="1">
      <c r="A326" s="461" t="s">
        <v>260</v>
      </c>
      <c r="B326" s="461" t="s">
        <v>5133</v>
      </c>
      <c r="C326" s="461" t="s">
        <v>58</v>
      </c>
      <c r="D326" s="461" t="s">
        <v>5134</v>
      </c>
      <c r="E326" s="400" t="s">
        <v>5135</v>
      </c>
      <c r="F326" s="461" t="s">
        <v>5136</v>
      </c>
      <c r="G326" s="477" t="s">
        <v>165</v>
      </c>
      <c r="H326" s="400" t="s">
        <v>5137</v>
      </c>
      <c r="I326" s="369" t="e">
        <f>VLOOKUP(H326,'合同高级查询数据-10月新返回合同'!A:A,1,0)</f>
        <v>#N/A</v>
      </c>
      <c r="J326" s="371" t="s">
        <v>4875</v>
      </c>
      <c r="K326" s="415" t="s">
        <v>5166</v>
      </c>
      <c r="L326" s="478" t="s">
        <v>5167</v>
      </c>
      <c r="M326" s="430" t="s">
        <v>5168</v>
      </c>
      <c r="N326" s="479">
        <v>44682</v>
      </c>
      <c r="O326" s="479" t="s">
        <v>4293</v>
      </c>
      <c r="P326" s="480">
        <v>6000</v>
      </c>
      <c r="Q326" s="454">
        <f>266.32-263.4</f>
        <v>2.9200000000000159</v>
      </c>
      <c r="R326" s="481">
        <f t="shared" si="18"/>
        <v>17520</v>
      </c>
      <c r="S326" s="465">
        <v>202309</v>
      </c>
      <c r="T326" s="483" t="s">
        <v>5170</v>
      </c>
      <c r="U326" s="485"/>
      <c r="V326" s="432">
        <v>263.36598060599999</v>
      </c>
      <c r="W326" s="468">
        <v>269.26299999999998</v>
      </c>
      <c r="X326" s="475">
        <v>45108</v>
      </c>
      <c r="Y326" s="475"/>
      <c r="Z326" s="475" t="s">
        <v>5169</v>
      </c>
      <c r="AA326" s="472">
        <v>0.2</v>
      </c>
      <c r="AB326" s="386">
        <v>600</v>
      </c>
      <c r="AC326" s="386">
        <v>120</v>
      </c>
    </row>
    <row r="327" spans="1:29" s="385" customFormat="1" ht="15" customHeight="1">
      <c r="A327" s="461" t="s">
        <v>260</v>
      </c>
      <c r="B327" s="461" t="s">
        <v>5133</v>
      </c>
      <c r="C327" s="461" t="s">
        <v>58</v>
      </c>
      <c r="D327" s="461" t="s">
        <v>5134</v>
      </c>
      <c r="E327" s="400" t="s">
        <v>5135</v>
      </c>
      <c r="F327" s="461" t="s">
        <v>5136</v>
      </c>
      <c r="G327" s="477" t="s">
        <v>165</v>
      </c>
      <c r="H327" s="400" t="s">
        <v>5137</v>
      </c>
      <c r="I327" s="369" t="e">
        <f>VLOOKUP(H327,'合同高级查询数据-10月新返回合同'!A:A,1,0)</f>
        <v>#N/A</v>
      </c>
      <c r="J327" s="371" t="s">
        <v>3776</v>
      </c>
      <c r="K327" s="415" t="s">
        <v>5171</v>
      </c>
      <c r="L327" s="484" t="s">
        <v>5172</v>
      </c>
      <c r="M327" s="430"/>
      <c r="N327" s="479" t="s">
        <v>5173</v>
      </c>
      <c r="O327" s="479" t="s">
        <v>5174</v>
      </c>
      <c r="P327" s="480">
        <v>120000</v>
      </c>
      <c r="Q327" s="454">
        <v>20</v>
      </c>
      <c r="R327" s="447">
        <f t="shared" si="18"/>
        <v>2400000</v>
      </c>
      <c r="S327" s="465">
        <v>202310</v>
      </c>
      <c r="T327" s="483" t="s">
        <v>5175</v>
      </c>
      <c r="U327" s="485"/>
      <c r="V327" s="432">
        <v>9.2344582059999993</v>
      </c>
      <c r="W327" s="469">
        <v>9.7889999999999997</v>
      </c>
      <c r="X327" s="475">
        <v>45108</v>
      </c>
      <c r="Y327" s="475"/>
      <c r="Z327" s="475" t="s">
        <v>5176</v>
      </c>
      <c r="AA327" s="472">
        <v>0.25</v>
      </c>
      <c r="AB327" s="386">
        <v>80</v>
      </c>
      <c r="AC327" s="386">
        <v>20</v>
      </c>
    </row>
    <row r="328" spans="1:29" s="385" customFormat="1" ht="15" customHeight="1">
      <c r="A328" s="461" t="s">
        <v>260</v>
      </c>
      <c r="B328" s="461" t="s">
        <v>5133</v>
      </c>
      <c r="C328" s="461" t="s">
        <v>5177</v>
      </c>
      <c r="D328" s="461" t="s">
        <v>5134</v>
      </c>
      <c r="E328" s="400" t="s">
        <v>5178</v>
      </c>
      <c r="F328" s="388" t="s">
        <v>5179</v>
      </c>
      <c r="G328" s="388" t="s">
        <v>165</v>
      </c>
      <c r="H328" s="371" t="s">
        <v>5180</v>
      </c>
      <c r="I328" s="369" t="e">
        <f>VLOOKUP(H328,'合同高级查询数据-10月新返回合同'!A:A,1,0)</f>
        <v>#N/A</v>
      </c>
      <c r="J328" s="388" t="s">
        <v>3724</v>
      </c>
      <c r="K328" s="388" t="s">
        <v>5181</v>
      </c>
      <c r="L328" s="486" t="s">
        <v>5179</v>
      </c>
      <c r="M328" s="430"/>
      <c r="N328" s="479">
        <v>43095</v>
      </c>
      <c r="O328" s="388" t="s">
        <v>5182</v>
      </c>
      <c r="P328" s="487">
        <v>9500</v>
      </c>
      <c r="Q328" s="454">
        <v>0</v>
      </c>
      <c r="R328" s="447">
        <f t="shared" si="18"/>
        <v>0</v>
      </c>
      <c r="S328" s="465">
        <v>202310</v>
      </c>
      <c r="T328" s="483" t="s">
        <v>5183</v>
      </c>
      <c r="U328" s="485"/>
      <c r="V328" s="432"/>
      <c r="W328" s="432"/>
      <c r="X328" s="475">
        <v>45139</v>
      </c>
      <c r="Y328" s="475"/>
      <c r="Z328" s="475" t="s">
        <v>5184</v>
      </c>
      <c r="AA328" s="472">
        <v>0</v>
      </c>
      <c r="AB328" s="386">
        <v>0</v>
      </c>
      <c r="AC328" s="386">
        <v>0</v>
      </c>
    </row>
    <row r="329" spans="1:29" s="385" customFormat="1" ht="15" customHeight="1">
      <c r="A329" s="461" t="s">
        <v>260</v>
      </c>
      <c r="B329" s="461" t="s">
        <v>5133</v>
      </c>
      <c r="C329" s="461" t="s">
        <v>5177</v>
      </c>
      <c r="D329" s="461" t="s">
        <v>5134</v>
      </c>
      <c r="E329" s="400" t="s">
        <v>5178</v>
      </c>
      <c r="F329" s="388" t="s">
        <v>5179</v>
      </c>
      <c r="G329" s="388" t="s">
        <v>165</v>
      </c>
      <c r="H329" s="371" t="s">
        <v>5180</v>
      </c>
      <c r="I329" s="369" t="e">
        <f>VLOOKUP(H329,'合同高级查询数据-10月新返回合同'!A:A,1,0)</f>
        <v>#N/A</v>
      </c>
      <c r="J329" s="388" t="s">
        <v>3724</v>
      </c>
      <c r="K329" s="388" t="s">
        <v>5185</v>
      </c>
      <c r="L329" s="486" t="s">
        <v>5186</v>
      </c>
      <c r="M329" s="430"/>
      <c r="N329" s="479">
        <v>43205</v>
      </c>
      <c r="O329" s="461" t="s">
        <v>4403</v>
      </c>
      <c r="P329" s="487">
        <v>9500</v>
      </c>
      <c r="Q329" s="454">
        <v>0</v>
      </c>
      <c r="R329" s="447">
        <f t="shared" si="18"/>
        <v>0</v>
      </c>
      <c r="S329" s="465">
        <v>202310</v>
      </c>
      <c r="T329" s="483" t="s">
        <v>5187</v>
      </c>
      <c r="U329" s="485"/>
      <c r="V329" s="432"/>
      <c r="W329" s="432"/>
      <c r="X329" s="475">
        <v>45139</v>
      </c>
      <c r="Y329" s="475"/>
      <c r="Z329" s="475" t="s">
        <v>5188</v>
      </c>
      <c r="AA329" s="472">
        <v>0</v>
      </c>
      <c r="AB329" s="386">
        <v>0</v>
      </c>
      <c r="AC329" s="386">
        <v>0</v>
      </c>
    </row>
    <row r="330" spans="1:29" s="385" customFormat="1" ht="15" customHeight="1">
      <c r="A330" s="461" t="s">
        <v>260</v>
      </c>
      <c r="B330" s="461" t="s">
        <v>5133</v>
      </c>
      <c r="C330" s="461" t="s">
        <v>5177</v>
      </c>
      <c r="D330" s="461" t="s">
        <v>5134</v>
      </c>
      <c r="E330" s="400" t="s">
        <v>5178</v>
      </c>
      <c r="F330" s="388" t="s">
        <v>5179</v>
      </c>
      <c r="G330" s="388" t="s">
        <v>165</v>
      </c>
      <c r="H330" s="371" t="s">
        <v>5180</v>
      </c>
      <c r="I330" s="369" t="e">
        <f>VLOOKUP(H330,'合同高级查询数据-10月新返回合同'!A:A,1,0)</f>
        <v>#N/A</v>
      </c>
      <c r="J330" s="388" t="s">
        <v>3724</v>
      </c>
      <c r="K330" s="388" t="s">
        <v>5189</v>
      </c>
      <c r="L330" s="486" t="s">
        <v>5190</v>
      </c>
      <c r="M330" s="430"/>
      <c r="N330" s="479" t="s">
        <v>5191</v>
      </c>
      <c r="O330" s="461" t="s">
        <v>5192</v>
      </c>
      <c r="P330" s="487">
        <v>9500</v>
      </c>
      <c r="Q330" s="454">
        <v>7.3</v>
      </c>
      <c r="R330" s="447">
        <f t="shared" si="18"/>
        <v>69350</v>
      </c>
      <c r="S330" s="465">
        <v>202310</v>
      </c>
      <c r="T330" s="483" t="s">
        <v>5193</v>
      </c>
      <c r="U330" s="485"/>
      <c r="V330" s="432">
        <v>7.2485828400000001</v>
      </c>
      <c r="W330" s="488"/>
      <c r="X330" s="475">
        <v>45139</v>
      </c>
      <c r="Y330" s="475"/>
      <c r="Z330" s="475" t="s">
        <v>5194</v>
      </c>
      <c r="AA330" s="472">
        <v>0.3</v>
      </c>
      <c r="AB330" s="386">
        <v>20</v>
      </c>
      <c r="AC330" s="386">
        <f>AB330*AA330</f>
        <v>6</v>
      </c>
    </row>
    <row r="331" spans="1:29" s="385" customFormat="1" ht="15" customHeight="1">
      <c r="A331" s="461" t="s">
        <v>260</v>
      </c>
      <c r="B331" s="461" t="s">
        <v>5133</v>
      </c>
      <c r="C331" s="461" t="s">
        <v>5177</v>
      </c>
      <c r="D331" s="461" t="s">
        <v>5134</v>
      </c>
      <c r="E331" s="400" t="s">
        <v>5178</v>
      </c>
      <c r="F331" s="388" t="s">
        <v>5179</v>
      </c>
      <c r="G331" s="388" t="s">
        <v>165</v>
      </c>
      <c r="H331" s="371" t="s">
        <v>5180</v>
      </c>
      <c r="I331" s="369" t="e">
        <f>VLOOKUP(H331,'合同高级查询数据-10月新返回合同'!A:A,1,0)</f>
        <v>#N/A</v>
      </c>
      <c r="J331" s="388" t="s">
        <v>3724</v>
      </c>
      <c r="K331" s="388" t="s">
        <v>5189</v>
      </c>
      <c r="L331" s="486" t="s">
        <v>5190</v>
      </c>
      <c r="M331" s="430"/>
      <c r="N331" s="479" t="s">
        <v>5191</v>
      </c>
      <c r="O331" s="461" t="s">
        <v>5192</v>
      </c>
      <c r="P331" s="487">
        <v>9500</v>
      </c>
      <c r="Q331" s="454">
        <f>11.18-11.1</f>
        <v>8.0000000000000071E-2</v>
      </c>
      <c r="R331" s="447">
        <f t="shared" si="18"/>
        <v>760</v>
      </c>
      <c r="S331" s="465">
        <v>202309</v>
      </c>
      <c r="T331" s="483" t="s">
        <v>5195</v>
      </c>
      <c r="U331" s="485"/>
      <c r="V331" s="432"/>
      <c r="W331" s="488"/>
      <c r="X331" s="475">
        <v>45139</v>
      </c>
      <c r="Y331" s="475"/>
      <c r="Z331" s="475" t="s">
        <v>5194</v>
      </c>
      <c r="AA331" s="472">
        <v>0.3</v>
      </c>
      <c r="AB331" s="386">
        <v>20</v>
      </c>
      <c r="AC331" s="386">
        <f>AB331*AA331</f>
        <v>6</v>
      </c>
    </row>
    <row r="332" spans="1:29" s="385" customFormat="1" ht="15" customHeight="1">
      <c r="A332" s="461" t="s">
        <v>260</v>
      </c>
      <c r="B332" s="461" t="s">
        <v>5133</v>
      </c>
      <c r="C332" s="461" t="s">
        <v>5177</v>
      </c>
      <c r="D332" s="461" t="s">
        <v>5134</v>
      </c>
      <c r="E332" s="400" t="s">
        <v>5178</v>
      </c>
      <c r="F332" s="388" t="s">
        <v>5179</v>
      </c>
      <c r="G332" s="388" t="s">
        <v>165</v>
      </c>
      <c r="H332" s="371" t="s">
        <v>5180</v>
      </c>
      <c r="I332" s="369" t="e">
        <f>VLOOKUP(H332,'合同高级查询数据-10月新返回合同'!A:A,1,0)</f>
        <v>#N/A</v>
      </c>
      <c r="J332" s="388" t="s">
        <v>3724</v>
      </c>
      <c r="K332" s="388" t="s">
        <v>5196</v>
      </c>
      <c r="L332" s="486" t="s">
        <v>5197</v>
      </c>
      <c r="M332" s="430"/>
      <c r="N332" s="479" t="s">
        <v>5198</v>
      </c>
      <c r="O332" s="461" t="s">
        <v>5199</v>
      </c>
      <c r="P332" s="487">
        <v>9500</v>
      </c>
      <c r="Q332" s="454">
        <v>0</v>
      </c>
      <c r="R332" s="447">
        <f t="shared" si="18"/>
        <v>0</v>
      </c>
      <c r="S332" s="465">
        <v>202310</v>
      </c>
      <c r="T332" s="483" t="s">
        <v>5200</v>
      </c>
      <c r="U332" s="485"/>
      <c r="V332" s="432"/>
      <c r="W332" s="432"/>
      <c r="X332" s="475">
        <v>45139</v>
      </c>
      <c r="Y332" s="475"/>
      <c r="Z332" s="475" t="s">
        <v>5201</v>
      </c>
      <c r="AA332" s="472">
        <v>0</v>
      </c>
      <c r="AB332" s="386">
        <v>0</v>
      </c>
      <c r="AC332" s="386">
        <v>0</v>
      </c>
    </row>
    <row r="333" spans="1:29" s="385" customFormat="1" ht="15" customHeight="1">
      <c r="A333" s="461" t="s">
        <v>260</v>
      </c>
      <c r="B333" s="461" t="s">
        <v>5133</v>
      </c>
      <c r="C333" s="461" t="s">
        <v>5177</v>
      </c>
      <c r="D333" s="461" t="s">
        <v>5134</v>
      </c>
      <c r="E333" s="400" t="s">
        <v>5178</v>
      </c>
      <c r="F333" s="388" t="s">
        <v>5202</v>
      </c>
      <c r="G333" s="388" t="s">
        <v>165</v>
      </c>
      <c r="H333" s="371" t="s">
        <v>5180</v>
      </c>
      <c r="I333" s="369" t="e">
        <f>VLOOKUP(H333,'合同高级查询数据-10月新返回合同'!A:A,1,0)</f>
        <v>#N/A</v>
      </c>
      <c r="J333" s="388" t="s">
        <v>3724</v>
      </c>
      <c r="K333" s="388" t="s">
        <v>5203</v>
      </c>
      <c r="L333" s="388" t="s">
        <v>5204</v>
      </c>
      <c r="M333" s="430"/>
      <c r="N333" s="479" t="s">
        <v>5205</v>
      </c>
      <c r="O333" s="461" t="s">
        <v>5199</v>
      </c>
      <c r="P333" s="487">
        <v>9500</v>
      </c>
      <c r="Q333" s="454">
        <v>0</v>
      </c>
      <c r="R333" s="447">
        <f t="shared" si="18"/>
        <v>0</v>
      </c>
      <c r="S333" s="465">
        <v>202310</v>
      </c>
      <c r="T333" s="483" t="s">
        <v>5206</v>
      </c>
      <c r="U333" s="485"/>
      <c r="V333" s="432"/>
      <c r="W333" s="432"/>
      <c r="X333" s="475">
        <v>45139</v>
      </c>
      <c r="Y333" s="475"/>
      <c r="Z333" s="475" t="s">
        <v>5207</v>
      </c>
      <c r="AA333" s="472">
        <v>0</v>
      </c>
      <c r="AB333" s="386">
        <v>0</v>
      </c>
      <c r="AC333" s="386">
        <v>0</v>
      </c>
    </row>
    <row r="334" spans="1:29" s="385" customFormat="1" ht="15" customHeight="1">
      <c r="A334" s="461" t="s">
        <v>260</v>
      </c>
      <c r="B334" s="461" t="s">
        <v>5133</v>
      </c>
      <c r="C334" s="461" t="s">
        <v>5177</v>
      </c>
      <c r="D334" s="461" t="s">
        <v>5134</v>
      </c>
      <c r="E334" s="400" t="s">
        <v>5178</v>
      </c>
      <c r="F334" s="388" t="s">
        <v>5202</v>
      </c>
      <c r="G334" s="388" t="s">
        <v>165</v>
      </c>
      <c r="H334" s="371" t="s">
        <v>5180</v>
      </c>
      <c r="I334" s="369" t="e">
        <f>VLOOKUP(H334,'合同高级查询数据-10月新返回合同'!A:A,1,0)</f>
        <v>#N/A</v>
      </c>
      <c r="J334" s="388" t="s">
        <v>3724</v>
      </c>
      <c r="K334" s="388" t="s">
        <v>5208</v>
      </c>
      <c r="L334" s="388" t="s">
        <v>5209</v>
      </c>
      <c r="M334" s="430"/>
      <c r="N334" s="479" t="s">
        <v>5210</v>
      </c>
      <c r="O334" s="461" t="s">
        <v>5211</v>
      </c>
      <c r="P334" s="487">
        <v>9500</v>
      </c>
      <c r="Q334" s="454">
        <v>12.8</v>
      </c>
      <c r="R334" s="447">
        <f t="shared" si="18"/>
        <v>121600</v>
      </c>
      <c r="S334" s="465">
        <v>202310</v>
      </c>
      <c r="T334" s="483" t="s">
        <v>5212</v>
      </c>
      <c r="U334" s="485"/>
      <c r="V334" s="432">
        <v>12.789207458</v>
      </c>
      <c r="W334" s="432"/>
      <c r="X334" s="475">
        <v>45139</v>
      </c>
      <c r="Y334" s="475"/>
      <c r="Z334" s="475" t="s">
        <v>5213</v>
      </c>
      <c r="AA334" s="472">
        <v>0.3</v>
      </c>
      <c r="AB334" s="386">
        <v>40</v>
      </c>
      <c r="AC334" s="386">
        <v>12</v>
      </c>
    </row>
    <row r="335" spans="1:29" s="385" customFormat="1" ht="15" customHeight="1">
      <c r="A335" s="461" t="s">
        <v>260</v>
      </c>
      <c r="B335" s="461" t="s">
        <v>5133</v>
      </c>
      <c r="C335" s="461" t="s">
        <v>5177</v>
      </c>
      <c r="D335" s="461" t="s">
        <v>5134</v>
      </c>
      <c r="E335" s="400" t="s">
        <v>5178</v>
      </c>
      <c r="F335" s="388" t="s">
        <v>5202</v>
      </c>
      <c r="G335" s="388" t="s">
        <v>165</v>
      </c>
      <c r="H335" s="371" t="s">
        <v>5180</v>
      </c>
      <c r="I335" s="369" t="e">
        <f>VLOOKUP(H335,'合同高级查询数据-10月新返回合同'!A:A,1,0)</f>
        <v>#N/A</v>
      </c>
      <c r="J335" s="388" t="s">
        <v>3724</v>
      </c>
      <c r="K335" s="388" t="s">
        <v>5208</v>
      </c>
      <c r="L335" s="388" t="s">
        <v>5209</v>
      </c>
      <c r="M335" s="430"/>
      <c r="N335" s="479" t="s">
        <v>5210</v>
      </c>
      <c r="O335" s="461" t="s">
        <v>5211</v>
      </c>
      <c r="P335" s="487">
        <v>9500</v>
      </c>
      <c r="Q335" s="454">
        <f>12.84-12.7</f>
        <v>0.14000000000000057</v>
      </c>
      <c r="R335" s="447">
        <f>ROUND(P335*Q335,2)</f>
        <v>1330</v>
      </c>
      <c r="S335" s="465">
        <v>202309</v>
      </c>
      <c r="T335" s="483" t="s">
        <v>5214</v>
      </c>
      <c r="U335" s="485"/>
      <c r="V335" s="432"/>
      <c r="W335" s="432"/>
      <c r="X335" s="475">
        <v>45139</v>
      </c>
      <c r="Y335" s="475"/>
      <c r="Z335" s="475" t="s">
        <v>5213</v>
      </c>
      <c r="AA335" s="472">
        <v>0.3</v>
      </c>
      <c r="AB335" s="386">
        <v>40</v>
      </c>
      <c r="AC335" s="386">
        <v>12</v>
      </c>
    </row>
    <row r="336" spans="1:29" s="385" customFormat="1" ht="15" customHeight="1">
      <c r="A336" s="461" t="s">
        <v>260</v>
      </c>
      <c r="B336" s="461" t="s">
        <v>5133</v>
      </c>
      <c r="C336" s="461" t="s">
        <v>5177</v>
      </c>
      <c r="D336" s="461" t="s">
        <v>5134</v>
      </c>
      <c r="E336" s="400" t="s">
        <v>5178</v>
      </c>
      <c r="F336" s="388" t="s">
        <v>5202</v>
      </c>
      <c r="G336" s="388" t="s">
        <v>165</v>
      </c>
      <c r="H336" s="371" t="s">
        <v>5180</v>
      </c>
      <c r="I336" s="369" t="e">
        <f>VLOOKUP(H336,'合同高级查询数据-10月新返回合同'!A:A,1,0)</f>
        <v>#N/A</v>
      </c>
      <c r="J336" s="388" t="s">
        <v>3724</v>
      </c>
      <c r="K336" s="388" t="s">
        <v>5215</v>
      </c>
      <c r="L336" s="388" t="s">
        <v>5216</v>
      </c>
      <c r="M336" s="430"/>
      <c r="N336" s="479" t="s">
        <v>5217</v>
      </c>
      <c r="O336" s="461" t="s">
        <v>5218</v>
      </c>
      <c r="P336" s="487">
        <v>9500</v>
      </c>
      <c r="Q336" s="454">
        <v>0</v>
      </c>
      <c r="R336" s="447">
        <f t="shared" si="18"/>
        <v>0</v>
      </c>
      <c r="S336" s="465">
        <v>202310</v>
      </c>
      <c r="T336" s="489" t="s">
        <v>5219</v>
      </c>
      <c r="U336" s="485"/>
      <c r="V336" s="432"/>
      <c r="W336" s="432"/>
      <c r="X336" s="475">
        <v>45139</v>
      </c>
      <c r="Y336" s="475"/>
      <c r="Z336" s="475" t="s">
        <v>5220</v>
      </c>
      <c r="AA336" s="472">
        <v>0</v>
      </c>
      <c r="AB336" s="386">
        <v>0</v>
      </c>
      <c r="AC336" s="386">
        <v>0</v>
      </c>
    </row>
    <row r="337" spans="1:29" s="385" customFormat="1" ht="15" customHeight="1">
      <c r="A337" s="461" t="s">
        <v>260</v>
      </c>
      <c r="B337" s="461" t="s">
        <v>5133</v>
      </c>
      <c r="C337" s="461" t="s">
        <v>5177</v>
      </c>
      <c r="D337" s="461" t="s">
        <v>5134</v>
      </c>
      <c r="E337" s="400" t="s">
        <v>5178</v>
      </c>
      <c r="F337" s="388" t="s">
        <v>5202</v>
      </c>
      <c r="G337" s="388" t="s">
        <v>165</v>
      </c>
      <c r="H337" s="371" t="s">
        <v>5180</v>
      </c>
      <c r="I337" s="369" t="e">
        <f>VLOOKUP(H337,'合同高级查询数据-10月新返回合同'!A:A,1,0)</f>
        <v>#N/A</v>
      </c>
      <c r="J337" s="388" t="s">
        <v>3724</v>
      </c>
      <c r="K337" s="388" t="s">
        <v>5221</v>
      </c>
      <c r="L337" s="388" t="s">
        <v>5222</v>
      </c>
      <c r="M337" s="430"/>
      <c r="N337" s="479" t="s">
        <v>5223</v>
      </c>
      <c r="O337" s="461" t="s">
        <v>5218</v>
      </c>
      <c r="P337" s="487">
        <v>9500</v>
      </c>
      <c r="Q337" s="454">
        <v>0</v>
      </c>
      <c r="R337" s="447">
        <f t="shared" si="18"/>
        <v>0</v>
      </c>
      <c r="S337" s="465">
        <v>202310</v>
      </c>
      <c r="T337" s="489" t="s">
        <v>5224</v>
      </c>
      <c r="U337" s="485"/>
      <c r="V337" s="432"/>
      <c r="W337" s="432"/>
      <c r="X337" s="475">
        <v>45139</v>
      </c>
      <c r="Y337" s="475"/>
      <c r="Z337" s="475" t="s">
        <v>5225</v>
      </c>
      <c r="AA337" s="472">
        <v>0</v>
      </c>
      <c r="AB337" s="386">
        <v>0</v>
      </c>
      <c r="AC337" s="386">
        <v>0</v>
      </c>
    </row>
    <row r="338" spans="1:29" s="385" customFormat="1" ht="15" customHeight="1">
      <c r="A338" s="388" t="s">
        <v>260</v>
      </c>
      <c r="B338" s="461" t="s">
        <v>5133</v>
      </c>
      <c r="C338" s="388" t="s">
        <v>5177</v>
      </c>
      <c r="D338" s="461" t="s">
        <v>5134</v>
      </c>
      <c r="E338" s="400" t="s">
        <v>5178</v>
      </c>
      <c r="F338" s="388" t="s">
        <v>5226</v>
      </c>
      <c r="G338" s="388" t="s">
        <v>165</v>
      </c>
      <c r="H338" s="371" t="s">
        <v>5180</v>
      </c>
      <c r="I338" s="369" t="e">
        <f>VLOOKUP(H338,'合同高级查询数据-10月新返回合同'!A:A,1,0)</f>
        <v>#N/A</v>
      </c>
      <c r="J338" s="388" t="s">
        <v>3724</v>
      </c>
      <c r="K338" s="388" t="s">
        <v>5227</v>
      </c>
      <c r="L338" s="388" t="s">
        <v>5226</v>
      </c>
      <c r="M338" s="430"/>
      <c r="N338" s="412">
        <v>43405</v>
      </c>
      <c r="O338" s="490" t="s">
        <v>5228</v>
      </c>
      <c r="P338" s="487">
        <v>9500</v>
      </c>
      <c r="Q338" s="454">
        <v>0</v>
      </c>
      <c r="R338" s="481">
        <f t="shared" ref="R338:R374" si="23">ROUND(P338*Q338,2)</f>
        <v>0</v>
      </c>
      <c r="S338" s="465">
        <v>202310</v>
      </c>
      <c r="T338" s="491" t="s">
        <v>5229</v>
      </c>
      <c r="U338" s="467"/>
      <c r="V338" s="432"/>
      <c r="W338" s="432"/>
      <c r="X338" s="475">
        <v>45139</v>
      </c>
      <c r="Y338" s="475"/>
      <c r="Z338" s="492" t="s">
        <v>5230</v>
      </c>
      <c r="AA338" s="472">
        <v>0</v>
      </c>
      <c r="AB338" s="386">
        <v>0</v>
      </c>
      <c r="AC338" s="386">
        <v>0</v>
      </c>
    </row>
    <row r="339" spans="1:29" s="385" customFormat="1" ht="15" customHeight="1">
      <c r="A339" s="388" t="s">
        <v>260</v>
      </c>
      <c r="B339" s="461" t="s">
        <v>5133</v>
      </c>
      <c r="C339" s="388" t="s">
        <v>5177</v>
      </c>
      <c r="D339" s="461" t="s">
        <v>5134</v>
      </c>
      <c r="E339" s="400" t="s">
        <v>5178</v>
      </c>
      <c r="F339" s="388" t="s">
        <v>5226</v>
      </c>
      <c r="G339" s="388" t="s">
        <v>165</v>
      </c>
      <c r="H339" s="371" t="s">
        <v>5180</v>
      </c>
      <c r="I339" s="369" t="e">
        <f>VLOOKUP(H339,'合同高级查询数据-10月新返回合同'!A:A,1,0)</f>
        <v>#N/A</v>
      </c>
      <c r="J339" s="388" t="s">
        <v>3724</v>
      </c>
      <c r="K339" s="388" t="s">
        <v>5231</v>
      </c>
      <c r="L339" s="388" t="s">
        <v>5232</v>
      </c>
      <c r="M339" s="430"/>
      <c r="N339" s="412" t="s">
        <v>5233</v>
      </c>
      <c r="O339" s="490" t="s">
        <v>5234</v>
      </c>
      <c r="P339" s="487">
        <v>9500</v>
      </c>
      <c r="Q339" s="454">
        <v>13.1</v>
      </c>
      <c r="R339" s="481">
        <f t="shared" si="23"/>
        <v>124450</v>
      </c>
      <c r="S339" s="465">
        <v>202310</v>
      </c>
      <c r="T339" s="491" t="s">
        <v>5235</v>
      </c>
      <c r="U339" s="467"/>
      <c r="V339" s="432">
        <v>13.06670475</v>
      </c>
      <c r="W339" s="432"/>
      <c r="X339" s="475">
        <v>45139</v>
      </c>
      <c r="Y339" s="475"/>
      <c r="Z339" s="492" t="s">
        <v>5236</v>
      </c>
      <c r="AA339" s="472">
        <v>0.3</v>
      </c>
      <c r="AB339" s="386">
        <v>40</v>
      </c>
      <c r="AC339" s="386">
        <v>12</v>
      </c>
    </row>
    <row r="340" spans="1:29" s="577" customFormat="1" ht="15" customHeight="1">
      <c r="A340" s="583" t="s">
        <v>258</v>
      </c>
      <c r="B340" s="648" t="s">
        <v>5133</v>
      </c>
      <c r="C340" s="583" t="s">
        <v>5177</v>
      </c>
      <c r="D340" s="648" t="s">
        <v>5134</v>
      </c>
      <c r="E340" s="583" t="s">
        <v>5237</v>
      </c>
      <c r="F340" s="583" t="s">
        <v>5238</v>
      </c>
      <c r="G340" s="607" t="s">
        <v>165</v>
      </c>
      <c r="H340" s="664" t="s">
        <v>5239</v>
      </c>
      <c r="I340" s="565" t="e">
        <f>VLOOKUP(H340,'合同高级查询数据-10月新返回合同'!A:A,1,0)</f>
        <v>#N/A</v>
      </c>
      <c r="J340" s="664" t="s">
        <v>4013</v>
      </c>
      <c r="K340" s="607" t="s">
        <v>5240</v>
      </c>
      <c r="L340" s="607" t="s">
        <v>5241</v>
      </c>
      <c r="M340" s="608"/>
      <c r="N340" s="603" t="s">
        <v>5242</v>
      </c>
      <c r="O340" s="603" t="s">
        <v>4170</v>
      </c>
      <c r="P340" s="660">
        <v>9000</v>
      </c>
      <c r="Q340" s="653">
        <v>0</v>
      </c>
      <c r="R340" s="665">
        <f t="shared" si="23"/>
        <v>0</v>
      </c>
      <c r="S340" s="654">
        <v>202310</v>
      </c>
      <c r="T340" s="666" t="s">
        <v>5243</v>
      </c>
      <c r="U340" s="656"/>
      <c r="V340" s="615"/>
      <c r="W340" s="615"/>
      <c r="X340" s="657">
        <v>44927</v>
      </c>
      <c r="Y340" s="658">
        <v>45291</v>
      </c>
      <c r="Z340" s="586" t="s">
        <v>5244</v>
      </c>
      <c r="AA340" s="659">
        <v>0</v>
      </c>
      <c r="AB340" s="561">
        <v>0</v>
      </c>
      <c r="AC340" s="561">
        <v>0</v>
      </c>
    </row>
    <row r="341" spans="1:29" s="577" customFormat="1" ht="15" customHeight="1">
      <c r="A341" s="583" t="s">
        <v>258</v>
      </c>
      <c r="B341" s="648" t="s">
        <v>5133</v>
      </c>
      <c r="C341" s="583" t="s">
        <v>5177</v>
      </c>
      <c r="D341" s="648" t="s">
        <v>5134</v>
      </c>
      <c r="E341" s="583" t="s">
        <v>5237</v>
      </c>
      <c r="F341" s="583" t="s">
        <v>5238</v>
      </c>
      <c r="G341" s="607" t="s">
        <v>165</v>
      </c>
      <c r="H341" s="664" t="s">
        <v>5239</v>
      </c>
      <c r="I341" s="565" t="e">
        <f>VLOOKUP(H341,'合同高级查询数据-10月新返回合同'!A:A,1,0)</f>
        <v>#N/A</v>
      </c>
      <c r="J341" s="664" t="s">
        <v>4013</v>
      </c>
      <c r="K341" s="607" t="s">
        <v>5245</v>
      </c>
      <c r="L341" s="607" t="s">
        <v>5246</v>
      </c>
      <c r="M341" s="608"/>
      <c r="N341" s="603" t="s">
        <v>5247</v>
      </c>
      <c r="O341" s="603" t="s">
        <v>5248</v>
      </c>
      <c r="P341" s="660">
        <v>9000</v>
      </c>
      <c r="Q341" s="653">
        <v>0</v>
      </c>
      <c r="R341" s="665">
        <f t="shared" si="23"/>
        <v>0</v>
      </c>
      <c r="S341" s="654">
        <v>202310</v>
      </c>
      <c r="T341" s="666" t="s">
        <v>5249</v>
      </c>
      <c r="U341" s="656"/>
      <c r="V341" s="615"/>
      <c r="W341" s="615"/>
      <c r="X341" s="657">
        <v>44927</v>
      </c>
      <c r="Y341" s="658">
        <v>45291</v>
      </c>
      <c r="Z341" s="586" t="s">
        <v>5250</v>
      </c>
      <c r="AA341" s="659">
        <v>0</v>
      </c>
      <c r="AB341" s="561">
        <v>0</v>
      </c>
      <c r="AC341" s="561">
        <v>0</v>
      </c>
    </row>
    <row r="342" spans="1:29" s="577" customFormat="1" ht="15" customHeight="1">
      <c r="A342" s="583" t="s">
        <v>258</v>
      </c>
      <c r="B342" s="648" t="s">
        <v>5133</v>
      </c>
      <c r="C342" s="583" t="s">
        <v>5177</v>
      </c>
      <c r="D342" s="648" t="s">
        <v>5134</v>
      </c>
      <c r="E342" s="583" t="s">
        <v>5237</v>
      </c>
      <c r="F342" s="583" t="s">
        <v>5238</v>
      </c>
      <c r="G342" s="607" t="s">
        <v>165</v>
      </c>
      <c r="H342" s="664" t="s">
        <v>5239</v>
      </c>
      <c r="I342" s="565" t="e">
        <f>VLOOKUP(H342,'合同高级查询数据-10月新返回合同'!A:A,1,0)</f>
        <v>#N/A</v>
      </c>
      <c r="J342" s="664" t="s">
        <v>3724</v>
      </c>
      <c r="K342" s="607" t="s">
        <v>5251</v>
      </c>
      <c r="L342" s="607" t="s">
        <v>5252</v>
      </c>
      <c r="M342" s="608"/>
      <c r="N342" s="603"/>
      <c r="O342" s="603" t="s">
        <v>4764</v>
      </c>
      <c r="P342" s="660">
        <v>9000</v>
      </c>
      <c r="Q342" s="653">
        <v>50.9</v>
      </c>
      <c r="R342" s="665">
        <f t="shared" si="23"/>
        <v>458100</v>
      </c>
      <c r="S342" s="654">
        <v>202310</v>
      </c>
      <c r="T342" s="666" t="s">
        <v>5253</v>
      </c>
      <c r="U342" s="656"/>
      <c r="V342" s="615">
        <v>50.806691817999997</v>
      </c>
      <c r="W342" s="615">
        <v>50.9</v>
      </c>
      <c r="X342" s="657">
        <v>44927</v>
      </c>
      <c r="Y342" s="658">
        <v>45291</v>
      </c>
      <c r="Z342" s="586" t="s">
        <v>5254</v>
      </c>
      <c r="AA342" s="659">
        <v>0.3</v>
      </c>
      <c r="AB342" s="561">
        <v>160</v>
      </c>
      <c r="AC342" s="561">
        <v>48</v>
      </c>
    </row>
    <row r="343" spans="1:29" s="577" customFormat="1" ht="15" customHeight="1">
      <c r="A343" s="583" t="s">
        <v>258</v>
      </c>
      <c r="B343" s="648" t="s">
        <v>5133</v>
      </c>
      <c r="C343" s="583" t="s">
        <v>5177</v>
      </c>
      <c r="D343" s="648" t="s">
        <v>5134</v>
      </c>
      <c r="E343" s="583" t="s">
        <v>5237</v>
      </c>
      <c r="F343" s="583" t="s">
        <v>5238</v>
      </c>
      <c r="G343" s="607" t="s">
        <v>165</v>
      </c>
      <c r="H343" s="664" t="s">
        <v>5239</v>
      </c>
      <c r="I343" s="565" t="e">
        <f>VLOOKUP(H343,'合同高级查询数据-10月新返回合同'!A:A,1,0)</f>
        <v>#N/A</v>
      </c>
      <c r="J343" s="664" t="s">
        <v>3724</v>
      </c>
      <c r="K343" s="607" t="s">
        <v>5255</v>
      </c>
      <c r="L343" s="607" t="s">
        <v>5256</v>
      </c>
      <c r="M343" s="608"/>
      <c r="N343" s="603" t="s">
        <v>5257</v>
      </c>
      <c r="O343" s="603" t="s">
        <v>5258</v>
      </c>
      <c r="P343" s="660">
        <v>9000</v>
      </c>
      <c r="Q343" s="653">
        <v>106.9</v>
      </c>
      <c r="R343" s="665">
        <f t="shared" si="23"/>
        <v>962100</v>
      </c>
      <c r="S343" s="654">
        <v>202310</v>
      </c>
      <c r="T343" s="666" t="s">
        <v>5259</v>
      </c>
      <c r="U343" s="656"/>
      <c r="V343" s="615">
        <v>104.76028930699999</v>
      </c>
      <c r="W343" s="615">
        <v>106.9</v>
      </c>
      <c r="X343" s="657">
        <v>44927</v>
      </c>
      <c r="Y343" s="658">
        <v>45291</v>
      </c>
      <c r="Z343" s="586" t="s">
        <v>5260</v>
      </c>
      <c r="AA343" s="659">
        <v>0.3</v>
      </c>
      <c r="AB343" s="561">
        <v>300</v>
      </c>
      <c r="AC343" s="561">
        <v>90</v>
      </c>
    </row>
    <row r="344" spans="1:29" s="577" customFormat="1" ht="15" customHeight="1">
      <c r="A344" s="583" t="s">
        <v>258</v>
      </c>
      <c r="B344" s="648" t="s">
        <v>5133</v>
      </c>
      <c r="C344" s="583" t="s">
        <v>5177</v>
      </c>
      <c r="D344" s="648" t="s">
        <v>5134</v>
      </c>
      <c r="E344" s="583" t="s">
        <v>5237</v>
      </c>
      <c r="F344" s="583" t="s">
        <v>5238</v>
      </c>
      <c r="G344" s="607" t="s">
        <v>165</v>
      </c>
      <c r="H344" s="664" t="s">
        <v>5239</v>
      </c>
      <c r="I344" s="565" t="e">
        <f>VLOOKUP(H344,'合同高级查询数据-10月新返回合同'!A:A,1,0)</f>
        <v>#N/A</v>
      </c>
      <c r="J344" s="664" t="s">
        <v>3724</v>
      </c>
      <c r="K344" s="607" t="s">
        <v>5261</v>
      </c>
      <c r="L344" s="607" t="s">
        <v>5262</v>
      </c>
      <c r="M344" s="608"/>
      <c r="N344" s="603">
        <v>43008</v>
      </c>
      <c r="O344" s="603" t="s">
        <v>5263</v>
      </c>
      <c r="P344" s="660">
        <v>9000</v>
      </c>
      <c r="Q344" s="653">
        <v>28.7</v>
      </c>
      <c r="R344" s="665">
        <f t="shared" si="23"/>
        <v>258300</v>
      </c>
      <c r="S344" s="654">
        <v>202310</v>
      </c>
      <c r="T344" s="666" t="s">
        <v>5264</v>
      </c>
      <c r="U344" s="656"/>
      <c r="V344" s="615">
        <v>28.128232573999998</v>
      </c>
      <c r="W344" s="615">
        <v>28.7</v>
      </c>
      <c r="X344" s="657">
        <v>44927</v>
      </c>
      <c r="Y344" s="658">
        <v>45291</v>
      </c>
      <c r="Z344" s="586" t="s">
        <v>5265</v>
      </c>
      <c r="AA344" s="659">
        <v>0.3</v>
      </c>
      <c r="AB344" s="561">
        <v>80</v>
      </c>
      <c r="AC344" s="561">
        <v>24</v>
      </c>
    </row>
    <row r="345" spans="1:29" s="577" customFormat="1" ht="15" customHeight="1">
      <c r="A345" s="583" t="s">
        <v>258</v>
      </c>
      <c r="B345" s="648" t="s">
        <v>5133</v>
      </c>
      <c r="C345" s="583" t="s">
        <v>5177</v>
      </c>
      <c r="D345" s="648" t="s">
        <v>5134</v>
      </c>
      <c r="E345" s="583" t="s">
        <v>5237</v>
      </c>
      <c r="F345" s="583" t="s">
        <v>5238</v>
      </c>
      <c r="G345" s="607" t="s">
        <v>165</v>
      </c>
      <c r="H345" s="664" t="s">
        <v>5239</v>
      </c>
      <c r="I345" s="565" t="e">
        <f>VLOOKUP(H345,'合同高级查询数据-10月新返回合同'!A:A,1,0)</f>
        <v>#N/A</v>
      </c>
      <c r="J345" s="664" t="s">
        <v>3724</v>
      </c>
      <c r="K345" s="607" t="s">
        <v>5266</v>
      </c>
      <c r="L345" s="607" t="s">
        <v>5267</v>
      </c>
      <c r="M345" s="608"/>
      <c r="N345" s="603">
        <v>43008</v>
      </c>
      <c r="O345" s="603" t="s">
        <v>4764</v>
      </c>
      <c r="P345" s="660">
        <v>9000</v>
      </c>
      <c r="Q345" s="653">
        <v>52.3</v>
      </c>
      <c r="R345" s="665">
        <f t="shared" si="23"/>
        <v>470700</v>
      </c>
      <c r="S345" s="654">
        <v>202310</v>
      </c>
      <c r="T345" s="666" t="s">
        <v>5268</v>
      </c>
      <c r="U345" s="656"/>
      <c r="V345" s="615">
        <v>51.232181930000003</v>
      </c>
      <c r="W345" s="615">
        <v>52.3</v>
      </c>
      <c r="X345" s="657">
        <v>44927</v>
      </c>
      <c r="Y345" s="658">
        <v>45291</v>
      </c>
      <c r="Z345" s="586" t="s">
        <v>5269</v>
      </c>
      <c r="AA345" s="659">
        <v>0.3</v>
      </c>
      <c r="AB345" s="561">
        <v>160</v>
      </c>
      <c r="AC345" s="561">
        <v>48</v>
      </c>
    </row>
    <row r="346" spans="1:29" s="577" customFormat="1" ht="15" customHeight="1">
      <c r="A346" s="583" t="s">
        <v>258</v>
      </c>
      <c r="B346" s="648" t="s">
        <v>5133</v>
      </c>
      <c r="C346" s="583" t="s">
        <v>5177</v>
      </c>
      <c r="D346" s="648" t="s">
        <v>5134</v>
      </c>
      <c r="E346" s="583" t="s">
        <v>5237</v>
      </c>
      <c r="F346" s="583" t="s">
        <v>5238</v>
      </c>
      <c r="G346" s="607" t="s">
        <v>165</v>
      </c>
      <c r="H346" s="664" t="s">
        <v>5239</v>
      </c>
      <c r="I346" s="565" t="e">
        <f>VLOOKUP(H346,'合同高级查询数据-10月新返回合同'!A:A,1,0)</f>
        <v>#N/A</v>
      </c>
      <c r="J346" s="664" t="s">
        <v>3724</v>
      </c>
      <c r="K346" s="607" t="s">
        <v>5270</v>
      </c>
      <c r="L346" s="607" t="s">
        <v>5271</v>
      </c>
      <c r="M346" s="608" t="s">
        <v>5272</v>
      </c>
      <c r="N346" s="603" t="s">
        <v>5273</v>
      </c>
      <c r="O346" s="603" t="s">
        <v>5274</v>
      </c>
      <c r="P346" s="660">
        <v>9000</v>
      </c>
      <c r="Q346" s="653">
        <v>36.1</v>
      </c>
      <c r="R346" s="665">
        <f t="shared" si="23"/>
        <v>324900</v>
      </c>
      <c r="S346" s="654">
        <v>202310</v>
      </c>
      <c r="T346" s="666" t="s">
        <v>5275</v>
      </c>
      <c r="U346" s="656"/>
      <c r="V346" s="615">
        <v>35.318677520000001</v>
      </c>
      <c r="W346" s="615">
        <v>36.1</v>
      </c>
      <c r="X346" s="657">
        <v>44927</v>
      </c>
      <c r="Y346" s="658">
        <v>45291</v>
      </c>
      <c r="Z346" s="586" t="s">
        <v>5276</v>
      </c>
      <c r="AA346" s="659">
        <v>0.3</v>
      </c>
      <c r="AB346" s="561">
        <v>100</v>
      </c>
      <c r="AC346" s="561">
        <f>AB346*AA346</f>
        <v>30</v>
      </c>
    </row>
    <row r="347" spans="1:29" s="577" customFormat="1" ht="15" customHeight="1">
      <c r="A347" s="583" t="s">
        <v>258</v>
      </c>
      <c r="B347" s="648" t="s">
        <v>5133</v>
      </c>
      <c r="C347" s="583" t="s">
        <v>5177</v>
      </c>
      <c r="D347" s="648" t="s">
        <v>5134</v>
      </c>
      <c r="E347" s="583" t="s">
        <v>5237</v>
      </c>
      <c r="F347" s="583" t="s">
        <v>5238</v>
      </c>
      <c r="G347" s="607" t="s">
        <v>165</v>
      </c>
      <c r="H347" s="664" t="s">
        <v>5239</v>
      </c>
      <c r="I347" s="565" t="e">
        <f>VLOOKUP(H347,'合同高级查询数据-10月新返回合同'!A:A,1,0)</f>
        <v>#N/A</v>
      </c>
      <c r="J347" s="664" t="s">
        <v>3724</v>
      </c>
      <c r="K347" s="607" t="s">
        <v>5277</v>
      </c>
      <c r="L347" s="607" t="s">
        <v>5278</v>
      </c>
      <c r="M347" s="608" t="s">
        <v>5279</v>
      </c>
      <c r="N347" s="603">
        <v>44927</v>
      </c>
      <c r="O347" s="603" t="s">
        <v>1542</v>
      </c>
      <c r="P347" s="660">
        <v>9000</v>
      </c>
      <c r="Q347" s="653">
        <v>66.599999999999994</v>
      </c>
      <c r="R347" s="665">
        <f t="shared" si="23"/>
        <v>599400</v>
      </c>
      <c r="S347" s="654">
        <v>202310</v>
      </c>
      <c r="T347" s="666" t="s">
        <v>5280</v>
      </c>
      <c r="U347" s="656"/>
      <c r="V347" s="615">
        <v>65.265448913</v>
      </c>
      <c r="W347" s="615">
        <v>66.599999999999994</v>
      </c>
      <c r="X347" s="657">
        <v>44927</v>
      </c>
      <c r="Y347" s="658">
        <v>45291</v>
      </c>
      <c r="Z347" s="586" t="s">
        <v>5281</v>
      </c>
      <c r="AA347" s="659">
        <v>0.3</v>
      </c>
      <c r="AB347" s="561">
        <v>200</v>
      </c>
      <c r="AC347" s="561">
        <v>60</v>
      </c>
    </row>
    <row r="348" spans="1:29" s="385" customFormat="1" ht="15" customHeight="1">
      <c r="A348" s="400" t="s">
        <v>258</v>
      </c>
      <c r="B348" s="461" t="s">
        <v>5133</v>
      </c>
      <c r="C348" s="400" t="s">
        <v>5177</v>
      </c>
      <c r="D348" s="461" t="s">
        <v>5134</v>
      </c>
      <c r="E348" s="400" t="s">
        <v>5237</v>
      </c>
      <c r="F348" s="400" t="s">
        <v>5238</v>
      </c>
      <c r="G348" s="370" t="s">
        <v>165</v>
      </c>
      <c r="H348" s="400" t="s">
        <v>5282</v>
      </c>
      <c r="I348" s="369" t="e">
        <f>VLOOKUP(H348,'合同高级查询数据-10月新返回合同'!A:A,1,0)</f>
        <v>#N/A</v>
      </c>
      <c r="J348" s="493" t="s">
        <v>3724</v>
      </c>
      <c r="K348" s="370" t="s">
        <v>5283</v>
      </c>
      <c r="L348" s="370" t="s">
        <v>5284</v>
      </c>
      <c r="M348" s="430" t="s">
        <v>5285</v>
      </c>
      <c r="N348" s="373" t="s">
        <v>5286</v>
      </c>
      <c r="O348" s="373" t="s">
        <v>5287</v>
      </c>
      <c r="P348" s="463">
        <v>9000</v>
      </c>
      <c r="Q348" s="454">
        <v>0</v>
      </c>
      <c r="R348" s="494">
        <f t="shared" si="23"/>
        <v>0</v>
      </c>
      <c r="S348" s="465">
        <v>202310</v>
      </c>
      <c r="T348" s="491" t="s">
        <v>5288</v>
      </c>
      <c r="U348" s="467"/>
      <c r="V348" s="432"/>
      <c r="W348" s="432"/>
      <c r="X348" s="399">
        <v>44041</v>
      </c>
      <c r="Y348" s="425"/>
      <c r="Z348" s="399" t="s">
        <v>5285</v>
      </c>
      <c r="AA348" s="472">
        <v>0</v>
      </c>
      <c r="AB348" s="386">
        <v>200</v>
      </c>
      <c r="AC348" s="386">
        <v>0</v>
      </c>
    </row>
    <row r="349" spans="1:29" s="577" customFormat="1" ht="15" customHeight="1">
      <c r="A349" s="583" t="s">
        <v>258</v>
      </c>
      <c r="B349" s="648" t="s">
        <v>5133</v>
      </c>
      <c r="C349" s="583" t="s">
        <v>5177</v>
      </c>
      <c r="D349" s="648" t="s">
        <v>5134</v>
      </c>
      <c r="E349" s="583" t="s">
        <v>5237</v>
      </c>
      <c r="F349" s="583" t="s">
        <v>5238</v>
      </c>
      <c r="G349" s="607" t="s">
        <v>165</v>
      </c>
      <c r="H349" s="664" t="s">
        <v>5239</v>
      </c>
      <c r="I349" s="565" t="e">
        <f>VLOOKUP(H349,'合同高级查询数据-10月新返回合同'!A:A,1,0)</f>
        <v>#N/A</v>
      </c>
      <c r="J349" s="664" t="s">
        <v>3724</v>
      </c>
      <c r="K349" s="607" t="s">
        <v>5289</v>
      </c>
      <c r="L349" s="607" t="s">
        <v>5290</v>
      </c>
      <c r="M349" s="608"/>
      <c r="N349" s="603" t="s">
        <v>5291</v>
      </c>
      <c r="O349" s="603" t="s">
        <v>4161</v>
      </c>
      <c r="P349" s="660">
        <v>9000</v>
      </c>
      <c r="Q349" s="653">
        <v>0</v>
      </c>
      <c r="R349" s="665">
        <f t="shared" si="23"/>
        <v>0</v>
      </c>
      <c r="S349" s="654">
        <v>202310</v>
      </c>
      <c r="T349" s="666" t="s">
        <v>5292</v>
      </c>
      <c r="U349" s="656"/>
      <c r="V349" s="615"/>
      <c r="W349" s="615"/>
      <c r="X349" s="657">
        <v>44927</v>
      </c>
      <c r="Y349" s="658">
        <v>45291</v>
      </c>
      <c r="Z349" s="586" t="s">
        <v>5293</v>
      </c>
      <c r="AA349" s="659">
        <v>0</v>
      </c>
      <c r="AB349" s="561">
        <v>0</v>
      </c>
      <c r="AC349" s="561">
        <v>0</v>
      </c>
    </row>
    <row r="350" spans="1:29" s="577" customFormat="1" ht="15" customHeight="1">
      <c r="A350" s="561" t="s">
        <v>258</v>
      </c>
      <c r="B350" s="648" t="s">
        <v>5133</v>
      </c>
      <c r="C350" s="561" t="s">
        <v>5177</v>
      </c>
      <c r="D350" s="648" t="s">
        <v>5134</v>
      </c>
      <c r="E350" s="583" t="s">
        <v>5237</v>
      </c>
      <c r="F350" s="561" t="s">
        <v>5238</v>
      </c>
      <c r="G350" s="561" t="s">
        <v>165</v>
      </c>
      <c r="H350" s="664" t="s">
        <v>5239</v>
      </c>
      <c r="I350" s="565" t="e">
        <f>VLOOKUP(H350,'合同高级查询数据-10月新返回合同'!A:A,1,0)</f>
        <v>#N/A</v>
      </c>
      <c r="J350" s="583" t="s">
        <v>4875</v>
      </c>
      <c r="K350" s="583" t="s">
        <v>5294</v>
      </c>
      <c r="L350" s="583" t="s">
        <v>5295</v>
      </c>
      <c r="M350" s="607" t="s">
        <v>5296</v>
      </c>
      <c r="N350" s="662">
        <v>44470</v>
      </c>
      <c r="O350" s="662" t="s">
        <v>1542</v>
      </c>
      <c r="P350" s="660">
        <v>9000</v>
      </c>
      <c r="Q350" s="653">
        <v>86.3</v>
      </c>
      <c r="R350" s="638">
        <f t="shared" si="23"/>
        <v>776700</v>
      </c>
      <c r="S350" s="654">
        <v>202310</v>
      </c>
      <c r="T350" s="667" t="s">
        <v>5297</v>
      </c>
      <c r="U350" s="583"/>
      <c r="V350" s="615">
        <v>84.736912414000003</v>
      </c>
      <c r="W350" s="615">
        <v>86.3</v>
      </c>
      <c r="X350" s="657">
        <v>44927</v>
      </c>
      <c r="Y350" s="658">
        <v>45291</v>
      </c>
      <c r="Z350" s="561" t="s">
        <v>5298</v>
      </c>
      <c r="AA350" s="659">
        <v>0.3</v>
      </c>
      <c r="AB350" s="561">
        <v>200</v>
      </c>
      <c r="AC350" s="561">
        <v>60</v>
      </c>
    </row>
    <row r="351" spans="1:29" s="577" customFormat="1" ht="15" customHeight="1">
      <c r="A351" s="561" t="s">
        <v>258</v>
      </c>
      <c r="B351" s="648" t="s">
        <v>5133</v>
      </c>
      <c r="C351" s="561" t="s">
        <v>5177</v>
      </c>
      <c r="D351" s="648" t="s">
        <v>5134</v>
      </c>
      <c r="E351" s="583" t="s">
        <v>5237</v>
      </c>
      <c r="F351" s="561" t="s">
        <v>5238</v>
      </c>
      <c r="G351" s="561" t="s">
        <v>165</v>
      </c>
      <c r="H351" s="664" t="s">
        <v>5299</v>
      </c>
      <c r="I351" s="565" t="e">
        <f>VLOOKUP(H351,'合同高级查询数据-10月新返回合同'!A:A,1,0)</f>
        <v>#N/A</v>
      </c>
      <c r="J351" s="583" t="s">
        <v>4875</v>
      </c>
      <c r="K351" s="583" t="s">
        <v>5300</v>
      </c>
      <c r="L351" s="583" t="s">
        <v>5301</v>
      </c>
      <c r="M351" s="561"/>
      <c r="N351" s="662" t="s">
        <v>5302</v>
      </c>
      <c r="O351" s="662" t="s">
        <v>5303</v>
      </c>
      <c r="P351" s="660">
        <v>10000</v>
      </c>
      <c r="Q351" s="653">
        <v>128.5</v>
      </c>
      <c r="R351" s="638">
        <f t="shared" si="23"/>
        <v>1285000</v>
      </c>
      <c r="S351" s="654">
        <v>202310</v>
      </c>
      <c r="T351" s="667" t="s">
        <v>5304</v>
      </c>
      <c r="U351" s="583"/>
      <c r="V351" s="615">
        <v>126.11792111299999</v>
      </c>
      <c r="W351" s="615">
        <v>130.80000000000001</v>
      </c>
      <c r="X351" s="662">
        <v>44136</v>
      </c>
      <c r="Y351" s="597">
        <v>45230</v>
      </c>
      <c r="Z351" s="561" t="s">
        <v>5305</v>
      </c>
      <c r="AA351" s="659">
        <v>0.2</v>
      </c>
      <c r="AB351" s="561">
        <v>400</v>
      </c>
      <c r="AC351" s="561">
        <v>80</v>
      </c>
    </row>
    <row r="352" spans="1:29" s="577" customFormat="1" ht="15" customHeight="1">
      <c r="A352" s="561" t="s">
        <v>258</v>
      </c>
      <c r="B352" s="648" t="s">
        <v>5133</v>
      </c>
      <c r="C352" s="561" t="s">
        <v>5177</v>
      </c>
      <c r="D352" s="648" t="s">
        <v>5134</v>
      </c>
      <c r="E352" s="583" t="s">
        <v>5237</v>
      </c>
      <c r="F352" s="561" t="s">
        <v>5238</v>
      </c>
      <c r="G352" s="561" t="s">
        <v>165</v>
      </c>
      <c r="H352" s="664" t="s">
        <v>5306</v>
      </c>
      <c r="I352" s="565" t="e">
        <f>VLOOKUP(H352,'合同高级查询数据-10月新返回合同'!A:A,1,0)</f>
        <v>#N/A</v>
      </c>
      <c r="J352" s="583" t="s">
        <v>3776</v>
      </c>
      <c r="K352" s="583" t="s">
        <v>5307</v>
      </c>
      <c r="L352" s="583" t="s">
        <v>5308</v>
      </c>
      <c r="M352" s="561"/>
      <c r="N352" s="662">
        <v>44233</v>
      </c>
      <c r="O352" s="662" t="s">
        <v>3847</v>
      </c>
      <c r="P352" s="660">
        <v>210000</v>
      </c>
      <c r="Q352" s="653">
        <v>1</v>
      </c>
      <c r="R352" s="638">
        <f t="shared" si="23"/>
        <v>210000</v>
      </c>
      <c r="S352" s="654">
        <v>202310</v>
      </c>
      <c r="T352" s="667" t="s">
        <v>5309</v>
      </c>
      <c r="U352" s="583"/>
      <c r="V352" s="615">
        <v>1.1885999999999999E-5</v>
      </c>
      <c r="W352" s="615">
        <v>1</v>
      </c>
      <c r="X352" s="662">
        <v>44233</v>
      </c>
      <c r="Y352" s="597">
        <v>45230</v>
      </c>
      <c r="Z352" s="561" t="s">
        <v>5310</v>
      </c>
      <c r="AA352" s="659">
        <f t="shared" ref="AA352:AA359" si="24">AC352/AB352</f>
        <v>0.05</v>
      </c>
      <c r="AB352" s="561">
        <v>20</v>
      </c>
      <c r="AC352" s="561">
        <v>1</v>
      </c>
    </row>
    <row r="353" spans="1:29" s="577" customFormat="1" ht="15" customHeight="1">
      <c r="A353" s="561" t="s">
        <v>258</v>
      </c>
      <c r="B353" s="648" t="s">
        <v>5133</v>
      </c>
      <c r="C353" s="561" t="s">
        <v>5177</v>
      </c>
      <c r="D353" s="648" t="s">
        <v>5134</v>
      </c>
      <c r="E353" s="583" t="s">
        <v>5237</v>
      </c>
      <c r="F353" s="561" t="s">
        <v>5238</v>
      </c>
      <c r="G353" s="561" t="s">
        <v>165</v>
      </c>
      <c r="H353" s="664" t="s">
        <v>5239</v>
      </c>
      <c r="I353" s="565" t="e">
        <f>VLOOKUP(H353,'合同高级查询数据-10月新返回合同'!A:A,1,0)</f>
        <v>#N/A</v>
      </c>
      <c r="J353" s="664" t="s">
        <v>3724</v>
      </c>
      <c r="K353" s="583" t="s">
        <v>5311</v>
      </c>
      <c r="L353" s="607" t="s">
        <v>5312</v>
      </c>
      <c r="M353" s="608" t="s">
        <v>5313</v>
      </c>
      <c r="N353" s="603">
        <v>45047</v>
      </c>
      <c r="O353" s="662" t="s">
        <v>5314</v>
      </c>
      <c r="P353" s="660">
        <v>9000</v>
      </c>
      <c r="Q353" s="668">
        <v>169.7</v>
      </c>
      <c r="R353" s="638">
        <f t="shared" si="23"/>
        <v>1527300</v>
      </c>
      <c r="S353" s="654">
        <v>202310</v>
      </c>
      <c r="T353" s="667" t="s">
        <v>5315</v>
      </c>
      <c r="U353" s="583"/>
      <c r="V353" s="615">
        <v>169.745323727</v>
      </c>
      <c r="W353" s="615">
        <v>169.7</v>
      </c>
      <c r="X353" s="657">
        <v>45047</v>
      </c>
      <c r="Y353" s="658">
        <v>45291</v>
      </c>
      <c r="Z353" s="561" t="s">
        <v>5316</v>
      </c>
      <c r="AA353" s="659">
        <f t="shared" si="24"/>
        <v>0.3</v>
      </c>
      <c r="AB353" s="561">
        <v>450</v>
      </c>
      <c r="AC353" s="561">
        <v>135</v>
      </c>
    </row>
    <row r="354" spans="1:29" s="577" customFormat="1" ht="15" customHeight="1">
      <c r="A354" s="561" t="s">
        <v>258</v>
      </c>
      <c r="B354" s="648" t="s">
        <v>5133</v>
      </c>
      <c r="C354" s="561" t="s">
        <v>5177</v>
      </c>
      <c r="D354" s="648" t="s">
        <v>5134</v>
      </c>
      <c r="E354" s="583" t="s">
        <v>5237</v>
      </c>
      <c r="F354" s="561" t="s">
        <v>5238</v>
      </c>
      <c r="G354" s="561" t="s">
        <v>165</v>
      </c>
      <c r="H354" s="664" t="s">
        <v>5239</v>
      </c>
      <c r="I354" s="565" t="e">
        <f>VLOOKUP(H354,'合同高级查询数据-10月新返回合同'!A:A,1,0)</f>
        <v>#N/A</v>
      </c>
      <c r="J354" s="664" t="s">
        <v>3724</v>
      </c>
      <c r="K354" s="583" t="s">
        <v>5317</v>
      </c>
      <c r="L354" s="607" t="s">
        <v>5318</v>
      </c>
      <c r="M354" s="608" t="s">
        <v>5319</v>
      </c>
      <c r="N354" s="603">
        <v>45047</v>
      </c>
      <c r="O354" s="662" t="s">
        <v>5320</v>
      </c>
      <c r="P354" s="660">
        <v>9000</v>
      </c>
      <c r="Q354" s="668">
        <v>80.7</v>
      </c>
      <c r="R354" s="638">
        <f t="shared" si="23"/>
        <v>726300</v>
      </c>
      <c r="S354" s="654">
        <v>202310</v>
      </c>
      <c r="T354" s="667" t="s">
        <v>5321</v>
      </c>
      <c r="U354" s="583"/>
      <c r="V354" s="615">
        <v>80.540391494000005</v>
      </c>
      <c r="W354" s="615">
        <v>80.697999999999993</v>
      </c>
      <c r="X354" s="657">
        <v>45047</v>
      </c>
      <c r="Y354" s="658">
        <v>45291</v>
      </c>
      <c r="Z354" s="561" t="s">
        <v>5322</v>
      </c>
      <c r="AA354" s="659">
        <f t="shared" si="24"/>
        <v>0.3</v>
      </c>
      <c r="AB354" s="561">
        <v>250</v>
      </c>
      <c r="AC354" s="561">
        <v>75</v>
      </c>
    </row>
    <row r="355" spans="1:29" s="577" customFormat="1" ht="15" customHeight="1">
      <c r="A355" s="561" t="s">
        <v>258</v>
      </c>
      <c r="B355" s="648" t="s">
        <v>5133</v>
      </c>
      <c r="C355" s="561" t="s">
        <v>5177</v>
      </c>
      <c r="D355" s="648" t="s">
        <v>5134</v>
      </c>
      <c r="E355" s="583" t="s">
        <v>5237</v>
      </c>
      <c r="F355" s="561" t="s">
        <v>5238</v>
      </c>
      <c r="G355" s="561" t="s">
        <v>165</v>
      </c>
      <c r="H355" s="664" t="s">
        <v>5239</v>
      </c>
      <c r="I355" s="565" t="e">
        <f>VLOOKUP(H355,'合同高级查询数据-10月新返回合同'!A:A,1,0)</f>
        <v>#N/A</v>
      </c>
      <c r="J355" s="664" t="s">
        <v>3724</v>
      </c>
      <c r="K355" s="583" t="s">
        <v>5317</v>
      </c>
      <c r="L355" s="607" t="s">
        <v>5318</v>
      </c>
      <c r="M355" s="608" t="s">
        <v>5319</v>
      </c>
      <c r="N355" s="603">
        <v>45047</v>
      </c>
      <c r="O355" s="662" t="s">
        <v>5320</v>
      </c>
      <c r="P355" s="660">
        <v>9000</v>
      </c>
      <c r="Q355" s="668">
        <f>75-74.617</f>
        <v>0.38299999999999557</v>
      </c>
      <c r="R355" s="638">
        <f t="shared" si="23"/>
        <v>3447</v>
      </c>
      <c r="S355" s="654">
        <v>202306</v>
      </c>
      <c r="T355" s="667" t="s">
        <v>5323</v>
      </c>
      <c r="U355" s="583"/>
      <c r="V355" s="615"/>
      <c r="W355" s="615"/>
      <c r="X355" s="657">
        <v>45047</v>
      </c>
      <c r="Y355" s="658">
        <v>45291</v>
      </c>
      <c r="Z355" s="561" t="s">
        <v>5322</v>
      </c>
      <c r="AA355" s="659">
        <f t="shared" si="24"/>
        <v>0.3</v>
      </c>
      <c r="AB355" s="561">
        <v>250</v>
      </c>
      <c r="AC355" s="561">
        <v>75</v>
      </c>
    </row>
    <row r="356" spans="1:29" s="577" customFormat="1" ht="15" customHeight="1">
      <c r="A356" s="561" t="s">
        <v>258</v>
      </c>
      <c r="B356" s="648" t="s">
        <v>5133</v>
      </c>
      <c r="C356" s="561" t="s">
        <v>5177</v>
      </c>
      <c r="D356" s="648" t="s">
        <v>5134</v>
      </c>
      <c r="E356" s="583" t="s">
        <v>5237</v>
      </c>
      <c r="F356" s="561" t="s">
        <v>5238</v>
      </c>
      <c r="G356" s="561" t="s">
        <v>165</v>
      </c>
      <c r="H356" s="664" t="s">
        <v>5239</v>
      </c>
      <c r="I356" s="565" t="e">
        <f>VLOOKUP(H356,'合同高级查询数据-10月新返回合同'!A:A,1,0)</f>
        <v>#N/A</v>
      </c>
      <c r="J356" s="664" t="s">
        <v>3724</v>
      </c>
      <c r="K356" s="583" t="s">
        <v>5324</v>
      </c>
      <c r="L356" s="607" t="s">
        <v>5325</v>
      </c>
      <c r="M356" s="608" t="s">
        <v>5326</v>
      </c>
      <c r="N356" s="603">
        <v>45047</v>
      </c>
      <c r="O356" s="662" t="s">
        <v>1542</v>
      </c>
      <c r="P356" s="660">
        <v>9000</v>
      </c>
      <c r="Q356" s="668">
        <v>63.3</v>
      </c>
      <c r="R356" s="638">
        <f t="shared" si="23"/>
        <v>569700</v>
      </c>
      <c r="S356" s="654">
        <v>202310</v>
      </c>
      <c r="T356" s="667" t="s">
        <v>5327</v>
      </c>
      <c r="U356" s="583"/>
      <c r="V356" s="615">
        <v>64.334492711999999</v>
      </c>
      <c r="W356" s="615">
        <v>63.3</v>
      </c>
      <c r="X356" s="657">
        <v>45047</v>
      </c>
      <c r="Y356" s="658">
        <v>45291</v>
      </c>
      <c r="Z356" s="561" t="s">
        <v>5328</v>
      </c>
      <c r="AA356" s="659">
        <f t="shared" si="24"/>
        <v>0.3</v>
      </c>
      <c r="AB356" s="561">
        <v>200</v>
      </c>
      <c r="AC356" s="561">
        <v>60</v>
      </c>
    </row>
    <row r="357" spans="1:29" s="385" customFormat="1" ht="15" customHeight="1">
      <c r="A357" s="386" t="s">
        <v>258</v>
      </c>
      <c r="B357" s="461" t="s">
        <v>5133</v>
      </c>
      <c r="C357" s="386" t="s">
        <v>5177</v>
      </c>
      <c r="D357" s="461" t="s">
        <v>5134</v>
      </c>
      <c r="E357" s="400" t="s">
        <v>5237</v>
      </c>
      <c r="F357" s="386" t="s">
        <v>5238</v>
      </c>
      <c r="G357" s="386" t="s">
        <v>165</v>
      </c>
      <c r="H357" s="493" t="s">
        <v>5329</v>
      </c>
      <c r="I357" s="369" t="e">
        <f>VLOOKUP(H357,'合同高级查询数据-10月新返回合同'!A:A,1,0)</f>
        <v>#N/A</v>
      </c>
      <c r="J357" s="493" t="s">
        <v>3724</v>
      </c>
      <c r="K357" s="400" t="s">
        <v>5330</v>
      </c>
      <c r="L357" s="370" t="s">
        <v>5331</v>
      </c>
      <c r="M357" s="430" t="s">
        <v>5332</v>
      </c>
      <c r="N357" s="373">
        <v>45108</v>
      </c>
      <c r="O357" s="470" t="s">
        <v>2187</v>
      </c>
      <c r="P357" s="463">
        <v>9000</v>
      </c>
      <c r="Q357" s="495">
        <v>34.4</v>
      </c>
      <c r="R357" s="446">
        <f t="shared" si="23"/>
        <v>309600</v>
      </c>
      <c r="S357" s="465">
        <v>202310</v>
      </c>
      <c r="T357" s="496" t="s">
        <v>5333</v>
      </c>
      <c r="U357" s="400"/>
      <c r="V357" s="432">
        <v>34.519490249</v>
      </c>
      <c r="W357" s="432">
        <v>34.4</v>
      </c>
      <c r="X357" s="475">
        <v>45108</v>
      </c>
      <c r="Y357" s="471"/>
      <c r="Z357" s="386" t="s">
        <v>5334</v>
      </c>
      <c r="AA357" s="472">
        <f t="shared" si="24"/>
        <v>0.3</v>
      </c>
      <c r="AB357" s="386">
        <v>100</v>
      </c>
      <c r="AC357" s="386">
        <v>30</v>
      </c>
    </row>
    <row r="358" spans="1:29" s="385" customFormat="1" ht="15" customHeight="1">
      <c r="A358" s="386" t="s">
        <v>258</v>
      </c>
      <c r="B358" s="461" t="s">
        <v>5133</v>
      </c>
      <c r="C358" s="386" t="s">
        <v>5177</v>
      </c>
      <c r="D358" s="461" t="s">
        <v>5134</v>
      </c>
      <c r="E358" s="400" t="s">
        <v>5237</v>
      </c>
      <c r="F358" s="386" t="s">
        <v>5238</v>
      </c>
      <c r="G358" s="386" t="s">
        <v>165</v>
      </c>
      <c r="H358" s="493" t="s">
        <v>5335</v>
      </c>
      <c r="I358" s="369" t="e">
        <f>VLOOKUP(H358,'合同高级查询数据-10月新返回合同'!A:A,1,0)</f>
        <v>#N/A</v>
      </c>
      <c r="J358" s="493" t="s">
        <v>3724</v>
      </c>
      <c r="K358" s="400" t="s">
        <v>5336</v>
      </c>
      <c r="L358" s="370" t="s">
        <v>5337</v>
      </c>
      <c r="M358" s="430" t="s">
        <v>5326</v>
      </c>
      <c r="N358" s="373">
        <v>45108</v>
      </c>
      <c r="O358" s="470" t="s">
        <v>2187</v>
      </c>
      <c r="P358" s="463">
        <v>9000</v>
      </c>
      <c r="Q358" s="495">
        <v>30.5</v>
      </c>
      <c r="R358" s="446">
        <f t="shared" si="23"/>
        <v>274500</v>
      </c>
      <c r="S358" s="465">
        <v>202310</v>
      </c>
      <c r="T358" s="496" t="s">
        <v>5338</v>
      </c>
      <c r="U358" s="400"/>
      <c r="V358" s="432">
        <v>33.380294593999999</v>
      </c>
      <c r="W358" s="432">
        <v>30.5</v>
      </c>
      <c r="X358" s="475">
        <v>45108</v>
      </c>
      <c r="Y358" s="471"/>
      <c r="Z358" s="386" t="s">
        <v>5339</v>
      </c>
      <c r="AA358" s="472">
        <f t="shared" si="24"/>
        <v>0.3</v>
      </c>
      <c r="AB358" s="386">
        <v>100</v>
      </c>
      <c r="AC358" s="386">
        <v>30</v>
      </c>
    </row>
    <row r="359" spans="1:29" s="385" customFormat="1" ht="15" customHeight="1">
      <c r="A359" s="386" t="s">
        <v>258</v>
      </c>
      <c r="B359" s="461" t="s">
        <v>5133</v>
      </c>
      <c r="C359" s="386" t="s">
        <v>5177</v>
      </c>
      <c r="D359" s="461" t="s">
        <v>5134</v>
      </c>
      <c r="E359" s="400" t="s">
        <v>5237</v>
      </c>
      <c r="F359" s="386" t="s">
        <v>5238</v>
      </c>
      <c r="G359" s="386" t="s">
        <v>165</v>
      </c>
      <c r="H359" s="493" t="s">
        <v>5335</v>
      </c>
      <c r="I359" s="369" t="e">
        <f>VLOOKUP(H359,'合同高级查询数据-10月新返回合同'!A:A,1,0)</f>
        <v>#N/A</v>
      </c>
      <c r="J359" s="493" t="s">
        <v>3724</v>
      </c>
      <c r="K359" s="400" t="s">
        <v>5340</v>
      </c>
      <c r="L359" s="370" t="s">
        <v>5341</v>
      </c>
      <c r="M359" s="430" t="s">
        <v>5342</v>
      </c>
      <c r="N359" s="373">
        <v>45170</v>
      </c>
      <c r="O359" s="470" t="s">
        <v>2187</v>
      </c>
      <c r="P359" s="463">
        <v>9000</v>
      </c>
      <c r="Q359" s="495">
        <v>37.700000000000003</v>
      </c>
      <c r="R359" s="446">
        <f t="shared" si="23"/>
        <v>339300</v>
      </c>
      <c r="S359" s="465">
        <v>202310</v>
      </c>
      <c r="T359" s="496" t="s">
        <v>5343</v>
      </c>
      <c r="U359" s="400"/>
      <c r="V359" s="432">
        <v>36.955011306000003</v>
      </c>
      <c r="W359" s="432">
        <v>37.665999999999997</v>
      </c>
      <c r="X359" s="475">
        <v>45108</v>
      </c>
      <c r="Y359" s="471"/>
      <c r="Z359" s="386" t="s">
        <v>5344</v>
      </c>
      <c r="AA359" s="472">
        <f t="shared" si="24"/>
        <v>0.3</v>
      </c>
      <c r="AB359" s="386">
        <v>100</v>
      </c>
      <c r="AC359" s="386">
        <v>30</v>
      </c>
    </row>
    <row r="360" spans="1:29" s="577" customFormat="1" ht="15" customHeight="1">
      <c r="A360" s="583" t="s">
        <v>45</v>
      </c>
      <c r="B360" s="648" t="s">
        <v>5133</v>
      </c>
      <c r="C360" s="583" t="s">
        <v>5177</v>
      </c>
      <c r="D360" s="648" t="s">
        <v>5134</v>
      </c>
      <c r="E360" s="583" t="s">
        <v>5345</v>
      </c>
      <c r="F360" s="583" t="s">
        <v>5346</v>
      </c>
      <c r="G360" s="607" t="s">
        <v>5347</v>
      </c>
      <c r="H360" s="664" t="s">
        <v>5348</v>
      </c>
      <c r="I360" s="565" t="e">
        <f>VLOOKUP(H360,'合同高级查询数据-10月新返回合同'!A:A,1,0)</f>
        <v>#N/A</v>
      </c>
      <c r="J360" s="664" t="s">
        <v>3724</v>
      </c>
      <c r="K360" s="607" t="s">
        <v>5349</v>
      </c>
      <c r="L360" s="607" t="s">
        <v>5349</v>
      </c>
      <c r="M360" s="608"/>
      <c r="N360" s="603" t="s">
        <v>5350</v>
      </c>
      <c r="O360" s="607" t="s">
        <v>5351</v>
      </c>
      <c r="P360" s="660">
        <v>6740</v>
      </c>
      <c r="Q360" s="653">
        <v>156.82</v>
      </c>
      <c r="R360" s="665">
        <f t="shared" si="23"/>
        <v>1056966.8</v>
      </c>
      <c r="S360" s="654">
        <v>202310</v>
      </c>
      <c r="T360" s="620" t="s">
        <v>5352</v>
      </c>
      <c r="U360" s="610"/>
      <c r="V360" s="615">
        <v>156.81900024399999</v>
      </c>
      <c r="W360" s="669"/>
      <c r="X360" s="662">
        <v>44866</v>
      </c>
      <c r="Y360" s="662">
        <v>45230</v>
      </c>
      <c r="Z360" s="597" t="s">
        <v>5353</v>
      </c>
      <c r="AA360" s="659">
        <v>0.4</v>
      </c>
      <c r="AB360" s="561">
        <v>360</v>
      </c>
      <c r="AC360" s="561">
        <f>AB360*AA360</f>
        <v>144</v>
      </c>
    </row>
    <row r="361" spans="1:29" s="577" customFormat="1" ht="15" customHeight="1">
      <c r="A361" s="583" t="s">
        <v>45</v>
      </c>
      <c r="B361" s="648" t="s">
        <v>5133</v>
      </c>
      <c r="C361" s="583" t="s">
        <v>5177</v>
      </c>
      <c r="D361" s="648" t="s">
        <v>5134</v>
      </c>
      <c r="E361" s="583" t="s">
        <v>5345</v>
      </c>
      <c r="F361" s="583" t="s">
        <v>5346</v>
      </c>
      <c r="G361" s="607" t="s">
        <v>5347</v>
      </c>
      <c r="H361" s="664" t="s">
        <v>5348</v>
      </c>
      <c r="I361" s="565" t="e">
        <f>VLOOKUP(H361,'合同高级查询数据-10月新返回合同'!A:A,1,0)</f>
        <v>#N/A</v>
      </c>
      <c r="J361" s="664" t="s">
        <v>3724</v>
      </c>
      <c r="K361" s="607" t="s">
        <v>5349</v>
      </c>
      <c r="L361" s="607" t="s">
        <v>5349</v>
      </c>
      <c r="M361" s="608"/>
      <c r="N361" s="603" t="s">
        <v>5350</v>
      </c>
      <c r="O361" s="607" t="s">
        <v>5351</v>
      </c>
      <c r="P361" s="660">
        <v>6740</v>
      </c>
      <c r="Q361" s="653">
        <f>145.83-144</f>
        <v>1.8300000000000125</v>
      </c>
      <c r="R361" s="665">
        <f t="shared" si="23"/>
        <v>12334.2</v>
      </c>
      <c r="S361" s="654">
        <v>202309</v>
      </c>
      <c r="T361" s="620" t="s">
        <v>5354</v>
      </c>
      <c r="U361" s="610"/>
      <c r="V361" s="615"/>
      <c r="W361" s="669"/>
      <c r="X361" s="662">
        <v>44866</v>
      </c>
      <c r="Y361" s="662">
        <v>45230</v>
      </c>
      <c r="Z361" s="597" t="s">
        <v>5353</v>
      </c>
      <c r="AA361" s="659">
        <v>0.4</v>
      </c>
      <c r="AB361" s="561">
        <v>360</v>
      </c>
      <c r="AC361" s="561">
        <f>AB361*AA361</f>
        <v>144</v>
      </c>
    </row>
    <row r="362" spans="1:29" s="577" customFormat="1" ht="15" customHeight="1">
      <c r="A362" s="561" t="s">
        <v>45</v>
      </c>
      <c r="B362" s="648" t="s">
        <v>5133</v>
      </c>
      <c r="C362" s="561" t="s">
        <v>5177</v>
      </c>
      <c r="D362" s="648" t="s">
        <v>5134</v>
      </c>
      <c r="E362" s="583" t="s">
        <v>5345</v>
      </c>
      <c r="F362" s="583" t="s">
        <v>5346</v>
      </c>
      <c r="G362" s="561" t="s">
        <v>165</v>
      </c>
      <c r="H362" s="664" t="s">
        <v>5348</v>
      </c>
      <c r="I362" s="565" t="e">
        <f>VLOOKUP(H362,'合同高级查询数据-10月新返回合同'!A:A,1,0)</f>
        <v>#N/A</v>
      </c>
      <c r="J362" s="561" t="s">
        <v>4000</v>
      </c>
      <c r="K362" s="583" t="s">
        <v>5355</v>
      </c>
      <c r="L362" s="561" t="s">
        <v>5356</v>
      </c>
      <c r="M362" s="561"/>
      <c r="N362" s="662">
        <v>44958</v>
      </c>
      <c r="O362" s="662" t="s">
        <v>4796</v>
      </c>
      <c r="P362" s="660">
        <v>6740</v>
      </c>
      <c r="Q362" s="653">
        <v>0</v>
      </c>
      <c r="R362" s="638">
        <f t="shared" si="23"/>
        <v>0</v>
      </c>
      <c r="S362" s="654">
        <v>202310</v>
      </c>
      <c r="T362" s="667" t="s">
        <v>5357</v>
      </c>
      <c r="U362" s="583"/>
      <c r="V362" s="615"/>
      <c r="W362" s="615"/>
      <c r="X362" s="662">
        <v>44866</v>
      </c>
      <c r="Y362" s="662">
        <v>45230</v>
      </c>
      <c r="Z362" s="670" t="s">
        <v>5358</v>
      </c>
      <c r="AA362" s="659">
        <v>0.4</v>
      </c>
      <c r="AB362" s="561">
        <v>0</v>
      </c>
      <c r="AC362" s="561">
        <v>0</v>
      </c>
    </row>
    <row r="363" spans="1:29" s="577" customFormat="1" ht="15" customHeight="1">
      <c r="A363" s="583" t="s">
        <v>45</v>
      </c>
      <c r="B363" s="648" t="s">
        <v>5133</v>
      </c>
      <c r="C363" s="583" t="s">
        <v>5177</v>
      </c>
      <c r="D363" s="648" t="s">
        <v>5134</v>
      </c>
      <c r="E363" s="583" t="s">
        <v>5345</v>
      </c>
      <c r="F363" s="583" t="s">
        <v>5346</v>
      </c>
      <c r="G363" s="607" t="s">
        <v>165</v>
      </c>
      <c r="H363" s="664" t="s">
        <v>5348</v>
      </c>
      <c r="I363" s="565" t="e">
        <f>VLOOKUP(H363,'合同高级查询数据-10月新返回合同'!A:A,1,0)</f>
        <v>#N/A</v>
      </c>
      <c r="J363" s="664" t="s">
        <v>4875</v>
      </c>
      <c r="K363" s="607" t="s">
        <v>5359</v>
      </c>
      <c r="L363" s="607" t="s">
        <v>5360</v>
      </c>
      <c r="M363" s="608"/>
      <c r="N363" s="603">
        <v>43439</v>
      </c>
      <c r="O363" s="607" t="s">
        <v>5151</v>
      </c>
      <c r="P363" s="660">
        <v>6000</v>
      </c>
      <c r="Q363" s="653">
        <v>0</v>
      </c>
      <c r="R363" s="665">
        <f t="shared" si="23"/>
        <v>0</v>
      </c>
      <c r="S363" s="654">
        <v>202310</v>
      </c>
      <c r="T363" s="620" t="s">
        <v>5361</v>
      </c>
      <c r="U363" s="610"/>
      <c r="V363" s="615"/>
      <c r="W363" s="615"/>
      <c r="X363" s="662">
        <v>44866</v>
      </c>
      <c r="Y363" s="662">
        <v>45230</v>
      </c>
      <c r="Z363" s="597" t="s">
        <v>5362</v>
      </c>
      <c r="AA363" s="659">
        <v>0</v>
      </c>
      <c r="AB363" s="561">
        <v>0</v>
      </c>
      <c r="AC363" s="561">
        <v>0</v>
      </c>
    </row>
    <row r="364" spans="1:29" s="577" customFormat="1" ht="15" customHeight="1">
      <c r="A364" s="583" t="s">
        <v>45</v>
      </c>
      <c r="B364" s="648" t="s">
        <v>5133</v>
      </c>
      <c r="C364" s="583" t="s">
        <v>5177</v>
      </c>
      <c r="D364" s="648" t="s">
        <v>5134</v>
      </c>
      <c r="E364" s="583" t="s">
        <v>5345</v>
      </c>
      <c r="F364" s="583" t="s">
        <v>5346</v>
      </c>
      <c r="G364" s="607" t="s">
        <v>165</v>
      </c>
      <c r="H364" s="664" t="s">
        <v>5348</v>
      </c>
      <c r="I364" s="565" t="e">
        <f>VLOOKUP(H364,'合同高级查询数据-10月新返回合同'!A:A,1,0)</f>
        <v>#N/A</v>
      </c>
      <c r="J364" s="664" t="s">
        <v>3776</v>
      </c>
      <c r="K364" s="607" t="s">
        <v>5363</v>
      </c>
      <c r="L364" s="607" t="s">
        <v>5364</v>
      </c>
      <c r="M364" s="608"/>
      <c r="N364" s="603" t="s">
        <v>5365</v>
      </c>
      <c r="O364" s="607" t="s">
        <v>5366</v>
      </c>
      <c r="P364" s="660">
        <v>110000</v>
      </c>
      <c r="Q364" s="653">
        <v>0.8</v>
      </c>
      <c r="R364" s="665">
        <f t="shared" si="23"/>
        <v>88000</v>
      </c>
      <c r="S364" s="654">
        <v>202310</v>
      </c>
      <c r="T364" s="620" t="s">
        <v>5367</v>
      </c>
      <c r="U364" s="610"/>
      <c r="V364" s="615">
        <v>0.59139275300000005</v>
      </c>
      <c r="W364" s="615"/>
      <c r="X364" s="662">
        <v>45170</v>
      </c>
      <c r="Y364" s="662"/>
      <c r="Z364" s="597" t="s">
        <v>5368</v>
      </c>
      <c r="AA364" s="659">
        <v>0.2</v>
      </c>
      <c r="AB364" s="561">
        <v>4</v>
      </c>
      <c r="AC364" s="561">
        <f>AB364*AA364</f>
        <v>0.8</v>
      </c>
    </row>
    <row r="365" spans="1:29" s="385" customFormat="1" ht="15" customHeight="1">
      <c r="A365" s="400" t="s">
        <v>45</v>
      </c>
      <c r="B365" s="461" t="s">
        <v>5133</v>
      </c>
      <c r="C365" s="400" t="s">
        <v>5177</v>
      </c>
      <c r="D365" s="461" t="s">
        <v>5134</v>
      </c>
      <c r="E365" s="400" t="s">
        <v>5369</v>
      </c>
      <c r="F365" s="400" t="s">
        <v>5370</v>
      </c>
      <c r="G365" s="370" t="s">
        <v>165</v>
      </c>
      <c r="H365" s="493" t="s">
        <v>5371</v>
      </c>
      <c r="I365" s="369" t="e">
        <f>VLOOKUP(H365,'合同高级查询数据-10月新返回合同'!A:A,1,0)</f>
        <v>#N/A</v>
      </c>
      <c r="J365" s="493" t="s">
        <v>5372</v>
      </c>
      <c r="K365" s="370" t="s">
        <v>5373</v>
      </c>
      <c r="L365" s="497" t="s">
        <v>5374</v>
      </c>
      <c r="M365" s="430" t="s">
        <v>5375</v>
      </c>
      <c r="N365" s="373">
        <v>44935</v>
      </c>
      <c r="O365" s="370" t="s">
        <v>1542</v>
      </c>
      <c r="P365" s="463">
        <v>6740</v>
      </c>
      <c r="Q365" s="454">
        <v>80</v>
      </c>
      <c r="R365" s="494">
        <f t="shared" si="23"/>
        <v>539200</v>
      </c>
      <c r="S365" s="465">
        <v>202310</v>
      </c>
      <c r="T365" s="496" t="s">
        <v>5376</v>
      </c>
      <c r="U365" s="374"/>
      <c r="V365" s="432">
        <v>71.725200000000001</v>
      </c>
      <c r="W365" s="432"/>
      <c r="X365" s="475">
        <v>45108</v>
      </c>
      <c r="Y365" s="475"/>
      <c r="Z365" s="425" t="s">
        <v>5377</v>
      </c>
      <c r="AA365" s="472">
        <v>0.4</v>
      </c>
      <c r="AB365" s="386">
        <v>200</v>
      </c>
      <c r="AC365" s="386">
        <v>80</v>
      </c>
    </row>
    <row r="366" spans="1:29" s="385" customFormat="1" ht="15" customHeight="1">
      <c r="A366" s="386" t="s">
        <v>45</v>
      </c>
      <c r="B366" s="461" t="s">
        <v>5133</v>
      </c>
      <c r="C366" s="386" t="s">
        <v>5177</v>
      </c>
      <c r="D366" s="461" t="s">
        <v>5134</v>
      </c>
      <c r="E366" s="400" t="s">
        <v>5378</v>
      </c>
      <c r="F366" s="386" t="s">
        <v>5379</v>
      </c>
      <c r="G366" s="386" t="s">
        <v>165</v>
      </c>
      <c r="H366" s="493" t="s">
        <v>5380</v>
      </c>
      <c r="I366" s="369" t="e">
        <f>VLOOKUP(H366,'合同高级查询数据-10月新返回合同'!A:A,1,0)</f>
        <v>#N/A</v>
      </c>
      <c r="J366" s="386" t="s">
        <v>4875</v>
      </c>
      <c r="K366" s="400" t="s">
        <v>5381</v>
      </c>
      <c r="L366" s="386" t="s">
        <v>5382</v>
      </c>
      <c r="M366" s="386"/>
      <c r="N366" s="470" t="s">
        <v>5383</v>
      </c>
      <c r="O366" s="470" t="s">
        <v>5384</v>
      </c>
      <c r="P366" s="463">
        <v>6740</v>
      </c>
      <c r="Q366" s="454">
        <v>344</v>
      </c>
      <c r="R366" s="446">
        <f t="shared" si="23"/>
        <v>2318560</v>
      </c>
      <c r="S366" s="465">
        <v>202310</v>
      </c>
      <c r="T366" s="496" t="s">
        <v>5385</v>
      </c>
      <c r="U366" s="400"/>
      <c r="V366" s="432">
        <v>336.85990867391001</v>
      </c>
      <c r="W366" s="432"/>
      <c r="X366" s="475">
        <v>45108</v>
      </c>
      <c r="Y366" s="475"/>
      <c r="Z366" s="477" t="s">
        <v>5386</v>
      </c>
      <c r="AA366" s="472">
        <v>0.4</v>
      </c>
      <c r="AB366" s="386">
        <v>860</v>
      </c>
      <c r="AC366" s="386">
        <v>344</v>
      </c>
    </row>
    <row r="367" spans="1:29" s="385" customFormat="1" ht="15" customHeight="1">
      <c r="A367" s="386" t="s">
        <v>45</v>
      </c>
      <c r="B367" s="461" t="s">
        <v>5133</v>
      </c>
      <c r="C367" s="386" t="s">
        <v>5177</v>
      </c>
      <c r="D367" s="461" t="s">
        <v>5134</v>
      </c>
      <c r="E367" s="400" t="s">
        <v>5378</v>
      </c>
      <c r="F367" s="386" t="s">
        <v>5379</v>
      </c>
      <c r="G367" s="386" t="s">
        <v>165</v>
      </c>
      <c r="H367" s="493" t="s">
        <v>5380</v>
      </c>
      <c r="I367" s="369" t="e">
        <f>VLOOKUP(H367,'合同高级查询数据-10月新返回合同'!A:A,1,0)</f>
        <v>#N/A</v>
      </c>
      <c r="J367" s="386" t="s">
        <v>3724</v>
      </c>
      <c r="K367" s="400" t="s">
        <v>5387</v>
      </c>
      <c r="L367" s="386" t="s">
        <v>5388</v>
      </c>
      <c r="M367" s="370" t="s">
        <v>5389</v>
      </c>
      <c r="N367" s="470" t="s">
        <v>5390</v>
      </c>
      <c r="O367" s="470" t="s">
        <v>5391</v>
      </c>
      <c r="P367" s="463">
        <v>6740</v>
      </c>
      <c r="Q367" s="454">
        <v>0</v>
      </c>
      <c r="R367" s="446">
        <f t="shared" si="23"/>
        <v>0</v>
      </c>
      <c r="S367" s="465">
        <v>202310</v>
      </c>
      <c r="T367" s="496" t="s">
        <v>5392</v>
      </c>
      <c r="U367" s="400"/>
      <c r="V367" s="432"/>
      <c r="W367" s="432"/>
      <c r="X367" s="475">
        <v>45108</v>
      </c>
      <c r="Y367" s="475"/>
      <c r="Z367" s="477" t="s">
        <v>5393</v>
      </c>
      <c r="AA367" s="472">
        <v>0.4</v>
      </c>
      <c r="AB367" s="386">
        <v>0</v>
      </c>
      <c r="AC367" s="386">
        <v>0</v>
      </c>
    </row>
    <row r="368" spans="1:29" s="385" customFormat="1" ht="15" customHeight="1">
      <c r="A368" s="386" t="s">
        <v>45</v>
      </c>
      <c r="B368" s="461" t="s">
        <v>5133</v>
      </c>
      <c r="C368" s="386" t="s">
        <v>5177</v>
      </c>
      <c r="D368" s="461" t="s">
        <v>5134</v>
      </c>
      <c r="E368" s="400" t="s">
        <v>5378</v>
      </c>
      <c r="F368" s="386" t="s">
        <v>5379</v>
      </c>
      <c r="G368" s="386" t="s">
        <v>165</v>
      </c>
      <c r="H368" s="493" t="s">
        <v>5380</v>
      </c>
      <c r="I368" s="369" t="e">
        <f>VLOOKUP(H368,'合同高级查询数据-10月新返回合同'!A:A,1,0)</f>
        <v>#N/A</v>
      </c>
      <c r="J368" s="386" t="s">
        <v>4000</v>
      </c>
      <c r="K368" s="400" t="s">
        <v>5355</v>
      </c>
      <c r="L368" s="386" t="s">
        <v>5356</v>
      </c>
      <c r="M368" s="386"/>
      <c r="N368" s="470" t="s">
        <v>5394</v>
      </c>
      <c r="O368" s="470" t="s">
        <v>5395</v>
      </c>
      <c r="P368" s="463">
        <v>6740</v>
      </c>
      <c r="Q368" s="454">
        <v>0</v>
      </c>
      <c r="R368" s="446">
        <f t="shared" si="23"/>
        <v>0</v>
      </c>
      <c r="S368" s="465">
        <v>202310</v>
      </c>
      <c r="T368" s="496" t="s">
        <v>5357</v>
      </c>
      <c r="U368" s="400"/>
      <c r="V368" s="432"/>
      <c r="W368" s="432"/>
      <c r="X368" s="475">
        <v>45108</v>
      </c>
      <c r="Y368" s="475"/>
      <c r="Z368" s="477" t="s">
        <v>5358</v>
      </c>
      <c r="AA368" s="472">
        <v>0.4</v>
      </c>
      <c r="AB368" s="386">
        <v>0</v>
      </c>
      <c r="AC368" s="386">
        <v>0</v>
      </c>
    </row>
    <row r="369" spans="1:29" s="385" customFormat="1" ht="15" customHeight="1">
      <c r="A369" s="400" t="s">
        <v>45</v>
      </c>
      <c r="B369" s="461" t="s">
        <v>5133</v>
      </c>
      <c r="C369" s="400" t="s">
        <v>5177</v>
      </c>
      <c r="D369" s="461" t="s">
        <v>5134</v>
      </c>
      <c r="E369" s="400" t="s">
        <v>5378</v>
      </c>
      <c r="F369" s="386" t="s">
        <v>5379</v>
      </c>
      <c r="G369" s="370" t="s">
        <v>165</v>
      </c>
      <c r="H369" s="493" t="s">
        <v>5380</v>
      </c>
      <c r="I369" s="369" t="e">
        <f>VLOOKUP(H369,'合同高级查询数据-10月新返回合同'!A:A,1,0)</f>
        <v>#N/A</v>
      </c>
      <c r="J369" s="386" t="s">
        <v>3724</v>
      </c>
      <c r="K369" s="370" t="s">
        <v>5396</v>
      </c>
      <c r="L369" s="370" t="s">
        <v>5397</v>
      </c>
      <c r="M369" s="430"/>
      <c r="N369" s="470" t="s">
        <v>5398</v>
      </c>
      <c r="O369" s="370" t="s">
        <v>5399</v>
      </c>
      <c r="P369" s="463">
        <v>6740</v>
      </c>
      <c r="Q369" s="454">
        <v>0</v>
      </c>
      <c r="R369" s="446">
        <f t="shared" si="23"/>
        <v>0</v>
      </c>
      <c r="S369" s="465">
        <v>202310</v>
      </c>
      <c r="T369" s="379" t="s">
        <v>5400</v>
      </c>
      <c r="U369" s="374"/>
      <c r="V369" s="432"/>
      <c r="W369" s="432"/>
      <c r="X369" s="475">
        <v>45108</v>
      </c>
      <c r="Y369" s="475"/>
      <c r="Z369" s="425" t="s">
        <v>5401</v>
      </c>
      <c r="AA369" s="472">
        <v>0.4</v>
      </c>
      <c r="AB369" s="386">
        <v>0</v>
      </c>
      <c r="AC369" s="386">
        <v>0</v>
      </c>
    </row>
    <row r="370" spans="1:29" s="577" customFormat="1" ht="15" customHeight="1">
      <c r="A370" s="561" t="s">
        <v>260</v>
      </c>
      <c r="B370" s="648" t="s">
        <v>5133</v>
      </c>
      <c r="C370" s="561" t="s">
        <v>5177</v>
      </c>
      <c r="D370" s="648" t="s">
        <v>5134</v>
      </c>
      <c r="E370" s="583" t="s">
        <v>5402</v>
      </c>
      <c r="F370" s="561" t="s">
        <v>5403</v>
      </c>
      <c r="G370" s="561" t="s">
        <v>165</v>
      </c>
      <c r="H370" s="583" t="s">
        <v>5404</v>
      </c>
      <c r="I370" s="565" t="e">
        <f>VLOOKUP(H370,'合同高级查询数据-10月新返回合同'!A:A,1,0)</f>
        <v>#N/A</v>
      </c>
      <c r="J370" s="583" t="s">
        <v>4875</v>
      </c>
      <c r="K370" s="583" t="s">
        <v>5405</v>
      </c>
      <c r="L370" s="583" t="s">
        <v>5406</v>
      </c>
      <c r="M370" s="561"/>
      <c r="N370" s="662">
        <v>44131</v>
      </c>
      <c r="O370" s="662" t="s">
        <v>1542</v>
      </c>
      <c r="P370" s="660">
        <v>20000</v>
      </c>
      <c r="Q370" s="671">
        <v>47.9</v>
      </c>
      <c r="R370" s="638">
        <f t="shared" si="23"/>
        <v>958000</v>
      </c>
      <c r="S370" s="654">
        <v>202310</v>
      </c>
      <c r="T370" s="672" t="s">
        <v>9182</v>
      </c>
      <c r="U370" s="583"/>
      <c r="V370" s="615">
        <v>46.571537584066</v>
      </c>
      <c r="W370" s="673">
        <v>49.09</v>
      </c>
      <c r="X370" s="662">
        <v>44166</v>
      </c>
      <c r="Y370" s="597">
        <v>45260</v>
      </c>
      <c r="Z370" s="561" t="s">
        <v>5407</v>
      </c>
      <c r="AA370" s="659">
        <v>0.1</v>
      </c>
      <c r="AB370" s="561">
        <v>200</v>
      </c>
      <c r="AC370" s="561">
        <v>20</v>
      </c>
    </row>
    <row r="371" spans="1:29" s="385" customFormat="1" ht="15" customHeight="1">
      <c r="A371" s="400" t="s">
        <v>260</v>
      </c>
      <c r="B371" s="461" t="s">
        <v>5133</v>
      </c>
      <c r="C371" s="400" t="s">
        <v>5177</v>
      </c>
      <c r="D371" s="461" t="s">
        <v>5134</v>
      </c>
      <c r="E371" s="400" t="s">
        <v>5178</v>
      </c>
      <c r="F371" s="386" t="s">
        <v>5403</v>
      </c>
      <c r="G371" s="370" t="s">
        <v>165</v>
      </c>
      <c r="H371" s="371" t="s">
        <v>5180</v>
      </c>
      <c r="I371" s="369" t="e">
        <f>VLOOKUP(H371,'合同高级查询数据-10月新返回合同'!A:A,1,0)</f>
        <v>#N/A</v>
      </c>
      <c r="J371" s="493" t="s">
        <v>4875</v>
      </c>
      <c r="K371" s="402" t="s">
        <v>5408</v>
      </c>
      <c r="L371" s="370" t="s">
        <v>5409</v>
      </c>
      <c r="M371" s="370" t="s">
        <v>5410</v>
      </c>
      <c r="N371" s="373" t="s">
        <v>5411</v>
      </c>
      <c r="O371" s="370" t="s">
        <v>5412</v>
      </c>
      <c r="P371" s="487">
        <v>9500</v>
      </c>
      <c r="Q371" s="464">
        <v>139.9</v>
      </c>
      <c r="R371" s="494">
        <f t="shared" si="23"/>
        <v>1329050</v>
      </c>
      <c r="S371" s="465">
        <v>202310</v>
      </c>
      <c r="T371" s="498" t="s">
        <v>9183</v>
      </c>
      <c r="U371" s="467"/>
      <c r="V371" s="432">
        <v>137.77343210671</v>
      </c>
      <c r="W371" s="469">
        <v>141.94999999999999</v>
      </c>
      <c r="X371" s="475">
        <v>45139</v>
      </c>
      <c r="Y371" s="475"/>
      <c r="Z371" s="386" t="s">
        <v>5413</v>
      </c>
      <c r="AA371" s="472">
        <v>0.3</v>
      </c>
      <c r="AB371" s="386">
        <v>400</v>
      </c>
      <c r="AC371" s="386">
        <v>108</v>
      </c>
    </row>
    <row r="372" spans="1:29" s="385" customFormat="1" ht="15" customHeight="1">
      <c r="A372" s="400" t="s">
        <v>260</v>
      </c>
      <c r="B372" s="461" t="s">
        <v>5133</v>
      </c>
      <c r="C372" s="400" t="s">
        <v>5177</v>
      </c>
      <c r="D372" s="461" t="s">
        <v>5134</v>
      </c>
      <c r="E372" s="400" t="s">
        <v>5178</v>
      </c>
      <c r="F372" s="386" t="s">
        <v>5403</v>
      </c>
      <c r="G372" s="370" t="s">
        <v>165</v>
      </c>
      <c r="H372" s="371" t="s">
        <v>5180</v>
      </c>
      <c r="I372" s="369" t="e">
        <f>VLOOKUP(H372,'合同高级查询数据-10月新返回合同'!A:A,1,0)</f>
        <v>#N/A</v>
      </c>
      <c r="J372" s="493" t="s">
        <v>4875</v>
      </c>
      <c r="K372" s="402" t="s">
        <v>5414</v>
      </c>
      <c r="L372" s="370" t="s">
        <v>5415</v>
      </c>
      <c r="M372" s="370" t="s">
        <v>5416</v>
      </c>
      <c r="N372" s="373">
        <v>44501</v>
      </c>
      <c r="O372" s="370" t="s">
        <v>2151</v>
      </c>
      <c r="P372" s="487">
        <v>9500</v>
      </c>
      <c r="Q372" s="464">
        <v>126.6</v>
      </c>
      <c r="R372" s="494">
        <f t="shared" si="23"/>
        <v>1202700</v>
      </c>
      <c r="S372" s="465">
        <v>202310</v>
      </c>
      <c r="T372" s="498" t="s">
        <v>9184</v>
      </c>
      <c r="U372" s="467"/>
      <c r="V372" s="432">
        <v>122.41859860625</v>
      </c>
      <c r="W372" s="469">
        <v>130.72999999999999</v>
      </c>
      <c r="X372" s="475">
        <v>45139</v>
      </c>
      <c r="Y372" s="475"/>
      <c r="Z372" s="386" t="s">
        <v>5417</v>
      </c>
      <c r="AA372" s="472">
        <v>0.3</v>
      </c>
      <c r="AB372" s="386">
        <v>400</v>
      </c>
      <c r="AC372" s="386">
        <v>120</v>
      </c>
    </row>
    <row r="373" spans="1:29" s="577" customFormat="1" ht="15" customHeight="1">
      <c r="A373" s="561" t="s">
        <v>260</v>
      </c>
      <c r="B373" s="648" t="s">
        <v>5133</v>
      </c>
      <c r="C373" s="561" t="s">
        <v>5177</v>
      </c>
      <c r="D373" s="648" t="s">
        <v>5134</v>
      </c>
      <c r="E373" s="583" t="s">
        <v>5402</v>
      </c>
      <c r="F373" s="561" t="s">
        <v>5403</v>
      </c>
      <c r="G373" s="561" t="s">
        <v>165</v>
      </c>
      <c r="H373" s="583" t="s">
        <v>5404</v>
      </c>
      <c r="I373" s="565" t="e">
        <f>VLOOKUP(H373,'合同高级查询数据-10月新返回合同'!A:A,1,0)</f>
        <v>#N/A</v>
      </c>
      <c r="J373" s="583" t="s">
        <v>3776</v>
      </c>
      <c r="K373" s="583" t="s">
        <v>5418</v>
      </c>
      <c r="L373" s="583" t="s">
        <v>5419</v>
      </c>
      <c r="M373" s="561"/>
      <c r="N373" s="662">
        <v>44228</v>
      </c>
      <c r="O373" s="662" t="s">
        <v>3847</v>
      </c>
      <c r="P373" s="660">
        <v>200000</v>
      </c>
      <c r="Q373" s="653">
        <v>1</v>
      </c>
      <c r="R373" s="638">
        <f t="shared" si="23"/>
        <v>200000</v>
      </c>
      <c r="S373" s="654">
        <v>202310</v>
      </c>
      <c r="T373" s="667" t="s">
        <v>5420</v>
      </c>
      <c r="U373" s="583"/>
      <c r="V373" s="615">
        <v>6.1210000000000003E-6</v>
      </c>
      <c r="W373" s="615"/>
      <c r="X373" s="662">
        <v>44166</v>
      </c>
      <c r="Y373" s="597">
        <v>45260</v>
      </c>
      <c r="Z373" s="561" t="s">
        <v>5421</v>
      </c>
      <c r="AA373" s="659">
        <f>AC373/AB373</f>
        <v>0.05</v>
      </c>
      <c r="AB373" s="561">
        <v>20</v>
      </c>
      <c r="AC373" s="561">
        <v>1</v>
      </c>
    </row>
    <row r="374" spans="1:29" s="577" customFormat="1" ht="15" customHeight="1">
      <c r="A374" s="561" t="s">
        <v>57</v>
      </c>
      <c r="B374" s="648" t="s">
        <v>5422</v>
      </c>
      <c r="C374" s="561" t="s">
        <v>84</v>
      </c>
      <c r="D374" s="648" t="s">
        <v>5134</v>
      </c>
      <c r="E374" s="583" t="s">
        <v>5402</v>
      </c>
      <c r="F374" s="561" t="s">
        <v>5403</v>
      </c>
      <c r="G374" s="561" t="s">
        <v>165</v>
      </c>
      <c r="H374" s="583" t="s">
        <v>5423</v>
      </c>
      <c r="I374" s="565" t="e">
        <f>VLOOKUP(H374,'合同高级查询数据-10月新返回合同'!A:A,1,0)</f>
        <v>#N/A</v>
      </c>
      <c r="J374" s="583" t="s">
        <v>3724</v>
      </c>
      <c r="K374" s="583" t="s">
        <v>5424</v>
      </c>
      <c r="L374" s="583" t="s">
        <v>5425</v>
      </c>
      <c r="M374" s="561"/>
      <c r="N374" s="662">
        <v>45139</v>
      </c>
      <c r="O374" s="662" t="s">
        <v>4123</v>
      </c>
      <c r="P374" s="660">
        <v>5120</v>
      </c>
      <c r="Q374" s="653">
        <v>808.67</v>
      </c>
      <c r="R374" s="638">
        <f t="shared" si="23"/>
        <v>4140390.3999999999</v>
      </c>
      <c r="S374" s="654">
        <v>202310</v>
      </c>
      <c r="T374" s="667" t="s">
        <v>5426</v>
      </c>
      <c r="U374" s="583"/>
      <c r="V374" s="661">
        <v>808.66998291000004</v>
      </c>
      <c r="W374" s="661">
        <v>809.16800000000001</v>
      </c>
      <c r="X374" s="662">
        <v>45139</v>
      </c>
      <c r="Y374" s="597">
        <v>45291</v>
      </c>
      <c r="Z374" s="561" t="s">
        <v>5427</v>
      </c>
      <c r="AA374" s="659">
        <v>0</v>
      </c>
      <c r="AB374" s="561">
        <v>300</v>
      </c>
      <c r="AC374" s="561">
        <v>0</v>
      </c>
    </row>
    <row r="375" spans="1:29" s="577" customFormat="1" ht="15" customHeight="1">
      <c r="A375" s="563" t="s">
        <v>258</v>
      </c>
      <c r="B375" s="594" t="s">
        <v>5428</v>
      </c>
      <c r="C375" s="561" t="s">
        <v>58</v>
      </c>
      <c r="D375" s="594" t="s">
        <v>5134</v>
      </c>
      <c r="E375" s="563" t="s">
        <v>5429</v>
      </c>
      <c r="F375" s="563" t="s">
        <v>5430</v>
      </c>
      <c r="G375" s="563" t="s">
        <v>165</v>
      </c>
      <c r="H375" s="564" t="s">
        <v>5431</v>
      </c>
      <c r="I375" s="565" t="e">
        <f>VLOOKUP(H375,'合同高级查询数据-10月新返回合同'!A:A,1,0)</f>
        <v>#N/A</v>
      </c>
      <c r="J375" s="674" t="s">
        <v>3724</v>
      </c>
      <c r="K375" s="563" t="s">
        <v>5432</v>
      </c>
      <c r="L375" s="675" t="s">
        <v>5433</v>
      </c>
      <c r="M375" s="596"/>
      <c r="N375" s="597" t="s">
        <v>5434</v>
      </c>
      <c r="O375" s="597" t="s">
        <v>5435</v>
      </c>
      <c r="P375" s="676">
        <v>10000</v>
      </c>
      <c r="Q375" s="677">
        <v>0</v>
      </c>
      <c r="R375" s="678">
        <f t="shared" ref="R375:R438" si="25">ROUND(P375*Q375,2)</f>
        <v>0</v>
      </c>
      <c r="S375" s="570">
        <v>202310</v>
      </c>
      <c r="T375" s="571" t="s">
        <v>5436</v>
      </c>
      <c r="U375" s="679"/>
      <c r="V375" s="636">
        <v>0</v>
      </c>
      <c r="W375" s="680"/>
      <c r="X375" s="681">
        <v>44593</v>
      </c>
      <c r="Y375" s="682">
        <v>44834</v>
      </c>
      <c r="Z375" s="594" t="s">
        <v>5437</v>
      </c>
      <c r="AA375" s="683">
        <v>0</v>
      </c>
      <c r="AB375" s="684">
        <v>0</v>
      </c>
      <c r="AC375" s="684">
        <f t="shared" ref="AC375:AC380" si="26">AA375*AB375</f>
        <v>0</v>
      </c>
    </row>
    <row r="376" spans="1:29" s="577" customFormat="1" ht="15" customHeight="1">
      <c r="A376" s="563" t="s">
        <v>258</v>
      </c>
      <c r="B376" s="594" t="s">
        <v>5428</v>
      </c>
      <c r="C376" s="561" t="s">
        <v>58</v>
      </c>
      <c r="D376" s="594" t="s">
        <v>5134</v>
      </c>
      <c r="E376" s="563" t="s">
        <v>5429</v>
      </c>
      <c r="F376" s="563" t="s">
        <v>5430</v>
      </c>
      <c r="G376" s="563" t="s">
        <v>165</v>
      </c>
      <c r="H376" s="564" t="s">
        <v>5438</v>
      </c>
      <c r="I376" s="565" t="e">
        <f>VLOOKUP(H376,'合同高级查询数据-10月新返回合同'!A:A,1,0)</f>
        <v>#N/A</v>
      </c>
      <c r="J376" s="674" t="s">
        <v>3776</v>
      </c>
      <c r="K376" s="563" t="s">
        <v>5432</v>
      </c>
      <c r="L376" s="675" t="s">
        <v>5439</v>
      </c>
      <c r="M376" s="596"/>
      <c r="N376" s="597"/>
      <c r="O376" s="597" t="s">
        <v>5440</v>
      </c>
      <c r="P376" s="685">
        <v>189000</v>
      </c>
      <c r="Q376" s="677">
        <v>0</v>
      </c>
      <c r="R376" s="635">
        <f t="shared" si="25"/>
        <v>0</v>
      </c>
      <c r="S376" s="570">
        <v>202310</v>
      </c>
      <c r="T376" s="571" t="s">
        <v>5441</v>
      </c>
      <c r="U376" s="679"/>
      <c r="V376" s="636"/>
      <c r="W376" s="636"/>
      <c r="X376" s="681">
        <v>44197</v>
      </c>
      <c r="Y376" s="682">
        <v>44561</v>
      </c>
      <c r="Z376" s="594" t="s">
        <v>5442</v>
      </c>
      <c r="AA376" s="683"/>
      <c r="AB376" s="684">
        <v>0</v>
      </c>
      <c r="AC376" s="684">
        <f t="shared" si="26"/>
        <v>0</v>
      </c>
    </row>
    <row r="377" spans="1:29" s="577" customFormat="1" ht="15" customHeight="1">
      <c r="A377" s="563" t="s">
        <v>258</v>
      </c>
      <c r="B377" s="594" t="s">
        <v>5428</v>
      </c>
      <c r="C377" s="561" t="s">
        <v>58</v>
      </c>
      <c r="D377" s="594" t="s">
        <v>5134</v>
      </c>
      <c r="E377" s="563" t="s">
        <v>5429</v>
      </c>
      <c r="F377" s="563" t="s">
        <v>5430</v>
      </c>
      <c r="G377" s="563" t="s">
        <v>165</v>
      </c>
      <c r="H377" s="564" t="s">
        <v>5438</v>
      </c>
      <c r="I377" s="565" t="e">
        <f>VLOOKUP(H377,'合同高级查询数据-10月新返回合同'!A:A,1,0)</f>
        <v>#N/A</v>
      </c>
      <c r="J377" s="674" t="s">
        <v>3776</v>
      </c>
      <c r="K377" s="563" t="s">
        <v>5432</v>
      </c>
      <c r="L377" s="675" t="s">
        <v>5439</v>
      </c>
      <c r="M377" s="596"/>
      <c r="N377" s="597">
        <v>44232</v>
      </c>
      <c r="O377" s="686">
        <v>-60</v>
      </c>
      <c r="P377" s="685">
        <v>189000</v>
      </c>
      <c r="Q377" s="677">
        <v>0</v>
      </c>
      <c r="R377" s="635">
        <f t="shared" si="25"/>
        <v>0</v>
      </c>
      <c r="S377" s="570">
        <v>202310</v>
      </c>
      <c r="T377" s="571" t="s">
        <v>5443</v>
      </c>
      <c r="U377" s="679"/>
      <c r="V377" s="636"/>
      <c r="W377" s="636"/>
      <c r="X377" s="681">
        <v>44197</v>
      </c>
      <c r="Y377" s="682">
        <v>44561</v>
      </c>
      <c r="Z377" s="594" t="s">
        <v>5442</v>
      </c>
      <c r="AA377" s="683"/>
      <c r="AB377" s="684">
        <v>0</v>
      </c>
      <c r="AC377" s="684">
        <f t="shared" si="26"/>
        <v>0</v>
      </c>
    </row>
    <row r="378" spans="1:29" s="577" customFormat="1" ht="15" customHeight="1">
      <c r="A378" s="563" t="s">
        <v>258</v>
      </c>
      <c r="B378" s="594" t="s">
        <v>5428</v>
      </c>
      <c r="C378" s="561" t="s">
        <v>58</v>
      </c>
      <c r="D378" s="594" t="s">
        <v>5134</v>
      </c>
      <c r="E378" s="563" t="s">
        <v>5429</v>
      </c>
      <c r="F378" s="563" t="s">
        <v>5430</v>
      </c>
      <c r="G378" s="563" t="s">
        <v>165</v>
      </c>
      <c r="H378" s="564" t="s">
        <v>5444</v>
      </c>
      <c r="I378" s="565" t="e">
        <f>VLOOKUP(H378,'合同高级查询数据-10月新返回合同'!A:A,1,0)</f>
        <v>#N/A</v>
      </c>
      <c r="J378" s="674" t="s">
        <v>3776</v>
      </c>
      <c r="K378" s="563" t="s">
        <v>5445</v>
      </c>
      <c r="L378" s="675" t="s">
        <v>5439</v>
      </c>
      <c r="M378" s="596"/>
      <c r="N378" s="597">
        <v>44232</v>
      </c>
      <c r="O378" s="597" t="s">
        <v>4796</v>
      </c>
      <c r="P378" s="685">
        <v>189000</v>
      </c>
      <c r="Q378" s="677">
        <v>4</v>
      </c>
      <c r="R378" s="635">
        <f t="shared" si="25"/>
        <v>756000</v>
      </c>
      <c r="S378" s="570">
        <v>202310</v>
      </c>
      <c r="T378" s="571" t="s">
        <v>5446</v>
      </c>
      <c r="U378" s="679"/>
      <c r="V378" s="636">
        <v>3.4781511329999999</v>
      </c>
      <c r="W378" s="636">
        <v>4</v>
      </c>
      <c r="X378" s="681">
        <v>44256</v>
      </c>
      <c r="Y378" s="682">
        <v>45291</v>
      </c>
      <c r="Z378" s="594" t="s">
        <v>5447</v>
      </c>
      <c r="AA378" s="683">
        <v>0.1</v>
      </c>
      <c r="AB378" s="684">
        <v>40</v>
      </c>
      <c r="AC378" s="684">
        <f t="shared" si="26"/>
        <v>4</v>
      </c>
    </row>
    <row r="379" spans="1:29" s="385" customFormat="1" ht="15" customHeight="1">
      <c r="A379" s="422" t="s">
        <v>258</v>
      </c>
      <c r="B379" s="423" t="s">
        <v>5428</v>
      </c>
      <c r="C379" s="423" t="s">
        <v>58</v>
      </c>
      <c r="D379" s="423" t="s">
        <v>5134</v>
      </c>
      <c r="E379" s="422" t="s">
        <v>5429</v>
      </c>
      <c r="F379" s="422" t="s">
        <v>5430</v>
      </c>
      <c r="G379" s="422" t="s">
        <v>165</v>
      </c>
      <c r="H379" s="389" t="s">
        <v>5448</v>
      </c>
      <c r="I379" s="369" t="e">
        <f>VLOOKUP(H379,'合同高级查询数据-10月新返回合同'!A:A,1,0)</f>
        <v>#N/A</v>
      </c>
      <c r="J379" s="499" t="s">
        <v>4875</v>
      </c>
      <c r="K379" s="422" t="s">
        <v>5449</v>
      </c>
      <c r="L379" s="424" t="s">
        <v>5450</v>
      </c>
      <c r="M379" s="403"/>
      <c r="N379" s="425" t="s">
        <v>5451</v>
      </c>
      <c r="O379" s="425" t="s">
        <v>5452</v>
      </c>
      <c r="P379" s="500">
        <v>30000</v>
      </c>
      <c r="Q379" s="501">
        <v>68.2</v>
      </c>
      <c r="R379" s="456">
        <f t="shared" si="25"/>
        <v>2046000</v>
      </c>
      <c r="S379" s="378">
        <v>202310</v>
      </c>
      <c r="T379" s="452" t="s">
        <v>5453</v>
      </c>
      <c r="U379" s="502"/>
      <c r="V379" s="503">
        <v>68.097356808000001</v>
      </c>
      <c r="W379" s="503">
        <v>68.2</v>
      </c>
      <c r="X379" s="504"/>
      <c r="Y379" s="505"/>
      <c r="Z379" s="423" t="s">
        <v>5454</v>
      </c>
      <c r="AA379" s="506">
        <v>0.16666666666666666</v>
      </c>
      <c r="AB379" s="507">
        <v>300</v>
      </c>
      <c r="AC379" s="507">
        <f t="shared" si="26"/>
        <v>50</v>
      </c>
    </row>
    <row r="380" spans="1:29" s="385" customFormat="1" ht="15" customHeight="1">
      <c r="A380" s="388" t="s">
        <v>45</v>
      </c>
      <c r="B380" s="423" t="s">
        <v>5428</v>
      </c>
      <c r="C380" s="386" t="s">
        <v>58</v>
      </c>
      <c r="D380" s="423" t="s">
        <v>5134</v>
      </c>
      <c r="E380" s="388" t="s">
        <v>5455</v>
      </c>
      <c r="F380" s="388" t="s">
        <v>5456</v>
      </c>
      <c r="G380" s="388" t="s">
        <v>165</v>
      </c>
      <c r="H380" s="389" t="s">
        <v>5457</v>
      </c>
      <c r="I380" s="369" t="e">
        <f>VLOOKUP(H380,'合同高级查询数据-10月新返回合同'!A:A,1,0)</f>
        <v>#N/A</v>
      </c>
      <c r="J380" s="499" t="s">
        <v>3724</v>
      </c>
      <c r="K380" s="388" t="s">
        <v>5458</v>
      </c>
      <c r="L380" s="486" t="s">
        <v>5459</v>
      </c>
      <c r="M380" s="386" t="s">
        <v>5460</v>
      </c>
      <c r="N380" s="425" t="s">
        <v>5461</v>
      </c>
      <c r="O380" s="425" t="s">
        <v>5462</v>
      </c>
      <c r="P380" s="500">
        <v>15000</v>
      </c>
      <c r="Q380" s="501">
        <v>8.4</v>
      </c>
      <c r="R380" s="456">
        <f t="shared" si="25"/>
        <v>126000</v>
      </c>
      <c r="S380" s="378">
        <v>202310</v>
      </c>
      <c r="T380" s="394" t="s">
        <v>5463</v>
      </c>
      <c r="U380" s="502"/>
      <c r="V380" s="503">
        <v>8.3960218429999998</v>
      </c>
      <c r="W380" s="503"/>
      <c r="X380" s="504"/>
      <c r="Y380" s="504"/>
      <c r="Z380" s="423" t="s">
        <v>5464</v>
      </c>
      <c r="AA380" s="506">
        <v>0.4</v>
      </c>
      <c r="AB380" s="507">
        <v>20</v>
      </c>
      <c r="AC380" s="507">
        <f t="shared" si="26"/>
        <v>8</v>
      </c>
    </row>
    <row r="381" spans="1:29" s="577" customFormat="1" ht="15" customHeight="1">
      <c r="A381" s="593" t="s">
        <v>45</v>
      </c>
      <c r="B381" s="594" t="s">
        <v>5428</v>
      </c>
      <c r="C381" s="594" t="s">
        <v>58</v>
      </c>
      <c r="D381" s="594" t="s">
        <v>5134</v>
      </c>
      <c r="E381" s="593" t="s">
        <v>5455</v>
      </c>
      <c r="F381" s="593" t="s">
        <v>5456</v>
      </c>
      <c r="G381" s="593" t="s">
        <v>165</v>
      </c>
      <c r="H381" s="564" t="s">
        <v>5465</v>
      </c>
      <c r="I381" s="565" t="e">
        <f>VLOOKUP(H381,'合同高级查询数据-10月新返回合同'!A:A,1,0)</f>
        <v>#N/A</v>
      </c>
      <c r="J381" s="674" t="s">
        <v>4875</v>
      </c>
      <c r="K381" s="593" t="s">
        <v>5466</v>
      </c>
      <c r="L381" s="595" t="s">
        <v>5467</v>
      </c>
      <c r="M381" s="596"/>
      <c r="N381" s="597" t="s">
        <v>5468</v>
      </c>
      <c r="O381" s="597" t="s">
        <v>3862</v>
      </c>
      <c r="P381" s="685">
        <v>35000</v>
      </c>
      <c r="Q381" s="630">
        <v>5.56</v>
      </c>
      <c r="R381" s="635">
        <f t="shared" si="25"/>
        <v>194600</v>
      </c>
      <c r="S381" s="570">
        <v>202309</v>
      </c>
      <c r="T381" s="687" t="s">
        <v>5469</v>
      </c>
      <c r="U381" s="679"/>
      <c r="V381" s="636"/>
      <c r="W381" s="688"/>
      <c r="X381" s="681">
        <v>43466</v>
      </c>
      <c r="Y381" s="681">
        <v>45657</v>
      </c>
      <c r="Z381" s="594"/>
      <c r="AA381" s="689"/>
      <c r="AB381" s="594"/>
      <c r="AC381" s="594"/>
    </row>
    <row r="382" spans="1:29" s="577" customFormat="1" ht="15" customHeight="1">
      <c r="A382" s="563" t="s">
        <v>45</v>
      </c>
      <c r="B382" s="594" t="s">
        <v>5428</v>
      </c>
      <c r="C382" s="561" t="s">
        <v>58</v>
      </c>
      <c r="D382" s="594" t="s">
        <v>5134</v>
      </c>
      <c r="E382" s="563" t="s">
        <v>5455</v>
      </c>
      <c r="F382" s="563" t="s">
        <v>5456</v>
      </c>
      <c r="G382" s="563" t="s">
        <v>165</v>
      </c>
      <c r="H382" s="564" t="s">
        <v>5465</v>
      </c>
      <c r="I382" s="565" t="e">
        <f>VLOOKUP(H382,'合同高级查询数据-10月新返回合同'!A:A,1,0)</f>
        <v>#N/A</v>
      </c>
      <c r="J382" s="674" t="s">
        <v>4875</v>
      </c>
      <c r="K382" s="563" t="s">
        <v>5466</v>
      </c>
      <c r="L382" s="675" t="s">
        <v>5467</v>
      </c>
      <c r="M382" s="596"/>
      <c r="N382" s="597" t="s">
        <v>5468</v>
      </c>
      <c r="O382" s="597" t="s">
        <v>3862</v>
      </c>
      <c r="P382" s="685">
        <v>35000</v>
      </c>
      <c r="Q382" s="677">
        <v>86</v>
      </c>
      <c r="R382" s="635">
        <f t="shared" si="25"/>
        <v>3010000</v>
      </c>
      <c r="S382" s="570">
        <v>202310</v>
      </c>
      <c r="T382" s="571" t="s">
        <v>5470</v>
      </c>
      <c r="U382" s="679"/>
      <c r="V382" s="636">
        <v>85.867323240264994</v>
      </c>
      <c r="W382" s="636"/>
      <c r="X382" s="681">
        <v>43466</v>
      </c>
      <c r="Y382" s="682">
        <v>45657</v>
      </c>
      <c r="Z382" s="594" t="s">
        <v>5471</v>
      </c>
      <c r="AA382" s="683">
        <v>0.3</v>
      </c>
      <c r="AB382" s="684">
        <v>240</v>
      </c>
      <c r="AC382" s="684">
        <f>AA382*AB382</f>
        <v>72</v>
      </c>
    </row>
    <row r="383" spans="1:29" s="385" customFormat="1" ht="15" customHeight="1">
      <c r="A383" s="388" t="s">
        <v>45</v>
      </c>
      <c r="B383" s="423" t="s">
        <v>5428</v>
      </c>
      <c r="C383" s="386" t="s">
        <v>58</v>
      </c>
      <c r="D383" s="423" t="s">
        <v>5134</v>
      </c>
      <c r="E383" s="388" t="s">
        <v>5455</v>
      </c>
      <c r="F383" s="388" t="s">
        <v>5456</v>
      </c>
      <c r="G383" s="388" t="s">
        <v>165</v>
      </c>
      <c r="H383" s="389" t="s">
        <v>5472</v>
      </c>
      <c r="I383" s="369" t="e">
        <f>VLOOKUP(H383,'合同高级查询数据-10月新返回合同'!A:A,1,0)</f>
        <v>#N/A</v>
      </c>
      <c r="J383" s="499" t="s">
        <v>3776</v>
      </c>
      <c r="K383" s="388" t="s">
        <v>5473</v>
      </c>
      <c r="L383" s="486" t="s">
        <v>5474</v>
      </c>
      <c r="M383" s="403"/>
      <c r="N383" s="425" t="s">
        <v>5475</v>
      </c>
      <c r="O383" s="425" t="s">
        <v>5476</v>
      </c>
      <c r="P383" s="500">
        <v>120000</v>
      </c>
      <c r="Q383" s="501">
        <v>4.66</v>
      </c>
      <c r="R383" s="456">
        <f t="shared" si="25"/>
        <v>559200</v>
      </c>
      <c r="S383" s="378">
        <v>202310</v>
      </c>
      <c r="T383" s="394" t="s">
        <v>5477</v>
      </c>
      <c r="U383" s="502"/>
      <c r="V383" s="503">
        <v>4.6577900540000003</v>
      </c>
      <c r="W383" s="503"/>
      <c r="X383" s="504"/>
      <c r="Y383" s="505"/>
      <c r="Z383" s="423" t="s">
        <v>5478</v>
      </c>
      <c r="AA383" s="506">
        <v>0.2</v>
      </c>
      <c r="AB383" s="507">
        <v>20</v>
      </c>
      <c r="AC383" s="507">
        <f>AA383*AB383</f>
        <v>4</v>
      </c>
    </row>
    <row r="384" spans="1:29" s="577" customFormat="1" ht="15" customHeight="1">
      <c r="A384" s="563" t="s">
        <v>45</v>
      </c>
      <c r="B384" s="594" t="s">
        <v>5428</v>
      </c>
      <c r="C384" s="561" t="s">
        <v>58</v>
      </c>
      <c r="D384" s="594" t="s">
        <v>5134</v>
      </c>
      <c r="E384" s="593" t="s">
        <v>5455</v>
      </c>
      <c r="F384" s="563" t="s">
        <v>5479</v>
      </c>
      <c r="G384" s="563" t="s">
        <v>165</v>
      </c>
      <c r="H384" s="564" t="s">
        <v>5480</v>
      </c>
      <c r="I384" s="565" t="e">
        <f>VLOOKUP(H384,'合同高级查询数据-10月新返回合同'!A:A,1,0)</f>
        <v>#N/A</v>
      </c>
      <c r="J384" s="674" t="s">
        <v>4875</v>
      </c>
      <c r="K384" s="563" t="s">
        <v>5481</v>
      </c>
      <c r="L384" s="675" t="s">
        <v>5479</v>
      </c>
      <c r="M384" s="596"/>
      <c r="N384" s="597">
        <v>42735</v>
      </c>
      <c r="O384" s="597" t="s">
        <v>4764</v>
      </c>
      <c r="P384" s="685">
        <v>50000</v>
      </c>
      <c r="Q384" s="677">
        <v>50</v>
      </c>
      <c r="R384" s="635">
        <f t="shared" si="25"/>
        <v>2500000</v>
      </c>
      <c r="S384" s="570">
        <v>202310</v>
      </c>
      <c r="T384" s="571" t="s">
        <v>5482</v>
      </c>
      <c r="U384" s="679"/>
      <c r="V384" s="636">
        <v>46.927435382269003</v>
      </c>
      <c r="W384" s="594"/>
      <c r="X384" s="681">
        <v>44470</v>
      </c>
      <c r="Y384" s="682">
        <v>46234</v>
      </c>
      <c r="Z384" s="594" t="s">
        <v>5483</v>
      </c>
      <c r="AA384" s="683">
        <v>0.3125</v>
      </c>
      <c r="AB384" s="684">
        <v>160</v>
      </c>
      <c r="AC384" s="684">
        <f>AA384*AB384</f>
        <v>50</v>
      </c>
    </row>
    <row r="385" spans="1:29" s="577" customFormat="1" ht="15" customHeight="1">
      <c r="A385" s="563" t="s">
        <v>45</v>
      </c>
      <c r="B385" s="594" t="s">
        <v>5428</v>
      </c>
      <c r="C385" s="561" t="s">
        <v>58</v>
      </c>
      <c r="D385" s="594" t="s">
        <v>5134</v>
      </c>
      <c r="E385" s="593" t="s">
        <v>5455</v>
      </c>
      <c r="F385" s="563" t="s">
        <v>5479</v>
      </c>
      <c r="G385" s="563" t="s">
        <v>165</v>
      </c>
      <c r="H385" s="564" t="s">
        <v>5480</v>
      </c>
      <c r="I385" s="565" t="e">
        <f>VLOOKUP(H385,'合同高级查询数据-10月新返回合同'!A:A,1,0)</f>
        <v>#N/A</v>
      </c>
      <c r="J385" s="674" t="s">
        <v>4875</v>
      </c>
      <c r="K385" s="563" t="s">
        <v>5481</v>
      </c>
      <c r="L385" s="675" t="s">
        <v>5479</v>
      </c>
      <c r="M385" s="596"/>
      <c r="N385" s="597">
        <v>42735</v>
      </c>
      <c r="O385" s="597" t="s">
        <v>4764</v>
      </c>
      <c r="P385" s="685">
        <v>30000</v>
      </c>
      <c r="Q385" s="677">
        <v>0</v>
      </c>
      <c r="R385" s="635">
        <f t="shared" si="25"/>
        <v>0</v>
      </c>
      <c r="S385" s="570">
        <v>202310</v>
      </c>
      <c r="T385" s="571" t="s">
        <v>5484</v>
      </c>
      <c r="U385" s="679"/>
      <c r="V385" s="636"/>
      <c r="W385" s="594"/>
      <c r="X385" s="681">
        <v>44470</v>
      </c>
      <c r="Y385" s="682">
        <v>46234</v>
      </c>
      <c r="Z385" s="594" t="s">
        <v>5483</v>
      </c>
      <c r="AA385" s="683">
        <v>0.3125</v>
      </c>
      <c r="AB385" s="684">
        <v>160</v>
      </c>
      <c r="AC385" s="684">
        <f>AA385*AB385</f>
        <v>50</v>
      </c>
    </row>
    <row r="386" spans="1:29" s="577" customFormat="1" ht="15" customHeight="1">
      <c r="A386" s="563" t="s">
        <v>45</v>
      </c>
      <c r="B386" s="594" t="s">
        <v>5428</v>
      </c>
      <c r="C386" s="561" t="s">
        <v>58</v>
      </c>
      <c r="D386" s="594" t="s">
        <v>5134</v>
      </c>
      <c r="E386" s="563" t="s">
        <v>5485</v>
      </c>
      <c r="F386" s="563" t="s">
        <v>5486</v>
      </c>
      <c r="G386" s="563" t="s">
        <v>165</v>
      </c>
      <c r="H386" s="564" t="s">
        <v>5487</v>
      </c>
      <c r="I386" s="565" t="e">
        <f>VLOOKUP(H386,'合同高级查询数据-10月新返回合同'!A:A,1,0)</f>
        <v>#N/A</v>
      </c>
      <c r="J386" s="674" t="s">
        <v>3776</v>
      </c>
      <c r="K386" s="563" t="s">
        <v>5488</v>
      </c>
      <c r="L386" s="675" t="s">
        <v>5489</v>
      </c>
      <c r="M386" s="596"/>
      <c r="N386" s="597">
        <v>43343</v>
      </c>
      <c r="O386" s="597" t="s">
        <v>5490</v>
      </c>
      <c r="P386" s="685">
        <v>3500</v>
      </c>
      <c r="Q386" s="677">
        <v>20</v>
      </c>
      <c r="R386" s="635">
        <f t="shared" si="25"/>
        <v>70000</v>
      </c>
      <c r="S386" s="570">
        <v>202310</v>
      </c>
      <c r="T386" s="571" t="s">
        <v>5491</v>
      </c>
      <c r="U386" s="679"/>
      <c r="V386" s="636">
        <v>1.07346545</v>
      </c>
      <c r="W386" s="594"/>
      <c r="X386" s="681">
        <v>44550</v>
      </c>
      <c r="Y386" s="682">
        <v>45279</v>
      </c>
      <c r="Z386" s="594" t="s">
        <v>5492</v>
      </c>
      <c r="AA386" s="683">
        <v>1</v>
      </c>
      <c r="AB386" s="684">
        <v>20</v>
      </c>
      <c r="AC386" s="684">
        <v>20</v>
      </c>
    </row>
    <row r="387" spans="1:29" s="577" customFormat="1" ht="15" customHeight="1">
      <c r="A387" s="563" t="s">
        <v>45</v>
      </c>
      <c r="B387" s="594" t="s">
        <v>5428</v>
      </c>
      <c r="C387" s="561" t="s">
        <v>58</v>
      </c>
      <c r="D387" s="594" t="s">
        <v>5134</v>
      </c>
      <c r="E387" s="563" t="s">
        <v>5485</v>
      </c>
      <c r="F387" s="563" t="s">
        <v>5486</v>
      </c>
      <c r="G387" s="563" t="s">
        <v>165</v>
      </c>
      <c r="H387" s="564" t="s">
        <v>5487</v>
      </c>
      <c r="I387" s="565" t="e">
        <f>VLOOKUP(H387,'合同高级查询数据-10月新返回合同'!A:A,1,0)</f>
        <v>#N/A</v>
      </c>
      <c r="J387" s="674" t="s">
        <v>3724</v>
      </c>
      <c r="K387" s="563" t="s">
        <v>5486</v>
      </c>
      <c r="L387" s="675" t="s">
        <v>5493</v>
      </c>
      <c r="M387" s="596"/>
      <c r="N387" s="597">
        <v>43343</v>
      </c>
      <c r="O387" s="597" t="s">
        <v>4764</v>
      </c>
      <c r="P387" s="685">
        <v>4500</v>
      </c>
      <c r="Q387" s="677">
        <v>64</v>
      </c>
      <c r="R387" s="635">
        <f t="shared" si="25"/>
        <v>288000</v>
      </c>
      <c r="S387" s="570">
        <v>202310</v>
      </c>
      <c r="T387" s="571" t="s">
        <v>5494</v>
      </c>
      <c r="U387" s="679"/>
      <c r="V387" s="636">
        <v>63.779087066999999</v>
      </c>
      <c r="W387" s="636"/>
      <c r="X387" s="681">
        <v>44550</v>
      </c>
      <c r="Y387" s="682">
        <v>45279</v>
      </c>
      <c r="Z387" s="594" t="s">
        <v>5495</v>
      </c>
      <c r="AA387" s="683">
        <v>0.4</v>
      </c>
      <c r="AB387" s="684">
        <f>VLOOKUP(Z:Z,[1]总表!$G:$H,2,0)</f>
        <v>160</v>
      </c>
      <c r="AC387" s="684">
        <f t="shared" ref="AC387:AC395" si="27">AA387*AB387</f>
        <v>64</v>
      </c>
    </row>
    <row r="388" spans="1:29" s="577" customFormat="1" ht="15" customHeight="1">
      <c r="A388" s="563" t="s">
        <v>45</v>
      </c>
      <c r="B388" s="594" t="s">
        <v>5428</v>
      </c>
      <c r="C388" s="561" t="s">
        <v>58</v>
      </c>
      <c r="D388" s="594" t="s">
        <v>5134</v>
      </c>
      <c r="E388" s="563" t="s">
        <v>5485</v>
      </c>
      <c r="F388" s="563" t="s">
        <v>5486</v>
      </c>
      <c r="G388" s="563" t="s">
        <v>165</v>
      </c>
      <c r="H388" s="564" t="s">
        <v>5496</v>
      </c>
      <c r="I388" s="565" t="e">
        <f>VLOOKUP(H388,'合同高级查询数据-10月新返回合同'!A:A,1,0)</f>
        <v>#N/A</v>
      </c>
      <c r="J388" s="674" t="s">
        <v>3724</v>
      </c>
      <c r="K388" s="563" t="s">
        <v>5486</v>
      </c>
      <c r="L388" s="675" t="s">
        <v>5497</v>
      </c>
      <c r="M388" s="596" t="s">
        <v>5498</v>
      </c>
      <c r="N388" s="597">
        <v>45079</v>
      </c>
      <c r="O388" s="597" t="s">
        <v>2187</v>
      </c>
      <c r="P388" s="685">
        <v>4500</v>
      </c>
      <c r="Q388" s="677">
        <v>52</v>
      </c>
      <c r="R388" s="635">
        <f t="shared" si="25"/>
        <v>234000</v>
      </c>
      <c r="S388" s="570">
        <v>202310</v>
      </c>
      <c r="T388" s="571" t="s">
        <v>5499</v>
      </c>
      <c r="U388" s="679"/>
      <c r="V388" s="636">
        <v>51.943553925000003</v>
      </c>
      <c r="W388" s="636"/>
      <c r="X388" s="681">
        <v>45078</v>
      </c>
      <c r="Y388" s="682">
        <v>45279</v>
      </c>
      <c r="Z388" s="594" t="s">
        <v>5500</v>
      </c>
      <c r="AA388" s="683">
        <v>0.4</v>
      </c>
      <c r="AB388" s="690">
        <v>100</v>
      </c>
      <c r="AC388" s="684">
        <f t="shared" si="27"/>
        <v>40</v>
      </c>
    </row>
    <row r="389" spans="1:29" s="385" customFormat="1" ht="15" customHeight="1">
      <c r="A389" s="422" t="s">
        <v>260</v>
      </c>
      <c r="B389" s="423" t="s">
        <v>5428</v>
      </c>
      <c r="C389" s="423" t="s">
        <v>5501</v>
      </c>
      <c r="D389" s="423" t="s">
        <v>71</v>
      </c>
      <c r="E389" s="422" t="s">
        <v>5502</v>
      </c>
      <c r="F389" s="422" t="s">
        <v>5503</v>
      </c>
      <c r="G389" s="422" t="s">
        <v>165</v>
      </c>
      <c r="H389" s="389" t="s">
        <v>5504</v>
      </c>
      <c r="I389" s="369" t="e">
        <f>VLOOKUP(H389,'合同高级查询数据-10月新返回合同'!A:A,1,0)</f>
        <v>#N/A</v>
      </c>
      <c r="J389" s="499" t="s">
        <v>3724</v>
      </c>
      <c r="K389" s="422" t="s">
        <v>5505</v>
      </c>
      <c r="L389" s="424" t="s">
        <v>5506</v>
      </c>
      <c r="M389" s="403"/>
      <c r="N389" s="425" t="s">
        <v>5507</v>
      </c>
      <c r="O389" s="425" t="s">
        <v>4982</v>
      </c>
      <c r="P389" s="508">
        <v>9500</v>
      </c>
      <c r="Q389" s="460"/>
      <c r="R389" s="509">
        <f t="shared" si="25"/>
        <v>0</v>
      </c>
      <c r="S389" s="378">
        <v>202310</v>
      </c>
      <c r="T389" s="452" t="s">
        <v>5508</v>
      </c>
      <c r="U389" s="502"/>
      <c r="V389" s="503">
        <v>0</v>
      </c>
      <c r="W389" s="510"/>
      <c r="X389" s="425"/>
      <c r="Y389" s="425"/>
      <c r="Z389" s="510" t="s">
        <v>5509</v>
      </c>
      <c r="AA389" s="511">
        <v>0.3</v>
      </c>
      <c r="AB389" s="512">
        <v>0</v>
      </c>
      <c r="AC389" s="512">
        <f t="shared" si="27"/>
        <v>0</v>
      </c>
    </row>
    <row r="390" spans="1:29" s="385" customFormat="1" ht="15" customHeight="1">
      <c r="A390" s="422" t="s">
        <v>260</v>
      </c>
      <c r="B390" s="423" t="s">
        <v>5428</v>
      </c>
      <c r="C390" s="423" t="s">
        <v>5501</v>
      </c>
      <c r="D390" s="423" t="s">
        <v>71</v>
      </c>
      <c r="E390" s="422" t="s">
        <v>5502</v>
      </c>
      <c r="F390" s="422" t="s">
        <v>5503</v>
      </c>
      <c r="G390" s="422" t="s">
        <v>165</v>
      </c>
      <c r="H390" s="389" t="s">
        <v>5504</v>
      </c>
      <c r="I390" s="369" t="e">
        <f>VLOOKUP(H390,'合同高级查询数据-10月新返回合同'!A:A,1,0)</f>
        <v>#N/A</v>
      </c>
      <c r="J390" s="499" t="s">
        <v>3724</v>
      </c>
      <c r="K390" s="422" t="s">
        <v>5505</v>
      </c>
      <c r="L390" s="424" t="s">
        <v>5510</v>
      </c>
      <c r="M390" s="403"/>
      <c r="N390" s="373" t="s">
        <v>5511</v>
      </c>
      <c r="O390" s="425" t="s">
        <v>5512</v>
      </c>
      <c r="P390" s="508">
        <v>9500</v>
      </c>
      <c r="Q390" s="460">
        <v>60.4</v>
      </c>
      <c r="R390" s="509">
        <f t="shared" si="25"/>
        <v>573800</v>
      </c>
      <c r="S390" s="378">
        <v>202310</v>
      </c>
      <c r="T390" s="406" t="s">
        <v>5513</v>
      </c>
      <c r="U390" s="502"/>
      <c r="V390" s="503">
        <v>60.345966339</v>
      </c>
      <c r="W390" s="510"/>
      <c r="X390" s="425"/>
      <c r="Y390" s="425"/>
      <c r="Z390" s="510" t="s">
        <v>5514</v>
      </c>
      <c r="AA390" s="511">
        <v>0.3</v>
      </c>
      <c r="AB390" s="512">
        <v>180</v>
      </c>
      <c r="AC390" s="512">
        <f t="shared" si="27"/>
        <v>54</v>
      </c>
    </row>
    <row r="391" spans="1:29" s="385" customFormat="1" ht="15" customHeight="1">
      <c r="A391" s="422" t="s">
        <v>260</v>
      </c>
      <c r="B391" s="423" t="s">
        <v>5428</v>
      </c>
      <c r="C391" s="423" t="s">
        <v>5501</v>
      </c>
      <c r="D391" s="423" t="s">
        <v>71</v>
      </c>
      <c r="E391" s="422" t="s">
        <v>5502</v>
      </c>
      <c r="F391" s="422" t="s">
        <v>5503</v>
      </c>
      <c r="G391" s="422" t="s">
        <v>165</v>
      </c>
      <c r="H391" s="389" t="s">
        <v>5504</v>
      </c>
      <c r="I391" s="369" t="e">
        <f>VLOOKUP(H391,'合同高级查询数据-10月新返回合同'!A:A,1,0)</f>
        <v>#N/A</v>
      </c>
      <c r="J391" s="499" t="s">
        <v>3724</v>
      </c>
      <c r="K391" s="422" t="s">
        <v>5505</v>
      </c>
      <c r="L391" s="424" t="s">
        <v>5515</v>
      </c>
      <c r="M391" s="403"/>
      <c r="N391" s="425" t="s">
        <v>5516</v>
      </c>
      <c r="O391" s="425" t="s">
        <v>4764</v>
      </c>
      <c r="P391" s="508">
        <v>9500</v>
      </c>
      <c r="Q391" s="460">
        <v>51.1</v>
      </c>
      <c r="R391" s="509">
        <f t="shared" si="25"/>
        <v>485450</v>
      </c>
      <c r="S391" s="378">
        <v>202310</v>
      </c>
      <c r="T391" s="406" t="s">
        <v>5517</v>
      </c>
      <c r="U391" s="502"/>
      <c r="V391" s="503">
        <v>51.070652008000003</v>
      </c>
      <c r="W391" s="510"/>
      <c r="X391" s="425"/>
      <c r="Y391" s="425"/>
      <c r="Z391" s="510" t="s">
        <v>5518</v>
      </c>
      <c r="AA391" s="511">
        <v>0.3</v>
      </c>
      <c r="AB391" s="512">
        <v>160</v>
      </c>
      <c r="AC391" s="512">
        <f t="shared" si="27"/>
        <v>48</v>
      </c>
    </row>
    <row r="392" spans="1:29" s="385" customFormat="1" ht="15" customHeight="1">
      <c r="A392" s="422" t="s">
        <v>260</v>
      </c>
      <c r="B392" s="423" t="s">
        <v>5428</v>
      </c>
      <c r="C392" s="423" t="s">
        <v>5501</v>
      </c>
      <c r="D392" s="423" t="s">
        <v>71</v>
      </c>
      <c r="E392" s="422" t="s">
        <v>5502</v>
      </c>
      <c r="F392" s="422" t="s">
        <v>5503</v>
      </c>
      <c r="G392" s="422" t="s">
        <v>165</v>
      </c>
      <c r="H392" s="389" t="s">
        <v>5504</v>
      </c>
      <c r="I392" s="369" t="e">
        <f>VLOOKUP(H392,'合同高级查询数据-10月新返回合同'!A:A,1,0)</f>
        <v>#N/A</v>
      </c>
      <c r="J392" s="499" t="s">
        <v>3724</v>
      </c>
      <c r="K392" s="422" t="s">
        <v>5505</v>
      </c>
      <c r="L392" s="424" t="s">
        <v>5519</v>
      </c>
      <c r="M392" s="403"/>
      <c r="N392" s="425" t="s">
        <v>5516</v>
      </c>
      <c r="O392" s="425" t="s">
        <v>4764</v>
      </c>
      <c r="P392" s="508">
        <v>9500</v>
      </c>
      <c r="Q392" s="460">
        <v>52.7</v>
      </c>
      <c r="R392" s="509">
        <f t="shared" si="25"/>
        <v>500650</v>
      </c>
      <c r="S392" s="378">
        <v>202310</v>
      </c>
      <c r="T392" s="406" t="s">
        <v>5520</v>
      </c>
      <c r="U392" s="502"/>
      <c r="V392" s="503">
        <v>52.605323792</v>
      </c>
      <c r="W392" s="510"/>
      <c r="X392" s="425"/>
      <c r="Y392" s="425"/>
      <c r="Z392" s="510" t="s">
        <v>5521</v>
      </c>
      <c r="AA392" s="511">
        <v>0.3</v>
      </c>
      <c r="AB392" s="512">
        <v>160</v>
      </c>
      <c r="AC392" s="512">
        <f t="shared" si="27"/>
        <v>48</v>
      </c>
    </row>
    <row r="393" spans="1:29" s="385" customFormat="1" ht="15" customHeight="1">
      <c r="A393" s="422" t="s">
        <v>260</v>
      </c>
      <c r="B393" s="423" t="s">
        <v>5428</v>
      </c>
      <c r="C393" s="423" t="s">
        <v>5501</v>
      </c>
      <c r="D393" s="423" t="s">
        <v>71</v>
      </c>
      <c r="E393" s="422" t="s">
        <v>5502</v>
      </c>
      <c r="F393" s="422" t="s">
        <v>5503</v>
      </c>
      <c r="G393" s="422" t="s">
        <v>165</v>
      </c>
      <c r="H393" s="389" t="s">
        <v>5504</v>
      </c>
      <c r="I393" s="369" t="e">
        <f>VLOOKUP(H393,'合同高级查询数据-10月新返回合同'!A:A,1,0)</f>
        <v>#N/A</v>
      </c>
      <c r="J393" s="499" t="s">
        <v>3724</v>
      </c>
      <c r="K393" s="422" t="s">
        <v>5522</v>
      </c>
      <c r="L393" s="424" t="s">
        <v>5523</v>
      </c>
      <c r="M393" s="403"/>
      <c r="N393" s="425" t="s">
        <v>5524</v>
      </c>
      <c r="O393" s="425" t="s">
        <v>5525</v>
      </c>
      <c r="P393" s="508">
        <v>9500</v>
      </c>
      <c r="Q393" s="460"/>
      <c r="R393" s="509">
        <f t="shared" si="25"/>
        <v>0</v>
      </c>
      <c r="S393" s="378">
        <v>202310</v>
      </c>
      <c r="T393" s="452" t="s">
        <v>5526</v>
      </c>
      <c r="U393" s="502"/>
      <c r="V393" s="503">
        <v>0</v>
      </c>
      <c r="W393" s="510"/>
      <c r="X393" s="425"/>
      <c r="Y393" s="425"/>
      <c r="Z393" s="510" t="s">
        <v>5527</v>
      </c>
      <c r="AA393" s="511">
        <v>0.3</v>
      </c>
      <c r="AB393" s="512">
        <v>0</v>
      </c>
      <c r="AC393" s="512">
        <f t="shared" si="27"/>
        <v>0</v>
      </c>
    </row>
    <row r="394" spans="1:29" s="577" customFormat="1" ht="15" customHeight="1">
      <c r="A394" s="561" t="s">
        <v>260</v>
      </c>
      <c r="B394" s="594" t="s">
        <v>5528</v>
      </c>
      <c r="C394" s="563" t="s">
        <v>5529</v>
      </c>
      <c r="D394" s="563" t="s">
        <v>71</v>
      </c>
      <c r="E394" s="594" t="s">
        <v>5530</v>
      </c>
      <c r="F394" s="561" t="s">
        <v>5531</v>
      </c>
      <c r="G394" s="624" t="s">
        <v>165</v>
      </c>
      <c r="H394" s="566" t="s">
        <v>5532</v>
      </c>
      <c r="I394" s="565" t="str">
        <f>VLOOKUP(H394,'合同高级查询数据-10月新返回合同'!A:A,1,0)</f>
        <v>182315IDC00491</v>
      </c>
      <c r="J394" s="566" t="s">
        <v>3724</v>
      </c>
      <c r="K394" s="561" t="s">
        <v>5533</v>
      </c>
      <c r="L394" s="624" t="s">
        <v>5534</v>
      </c>
      <c r="M394" s="596"/>
      <c r="N394" s="597" t="s">
        <v>5535</v>
      </c>
      <c r="O394" s="624" t="s">
        <v>5050</v>
      </c>
      <c r="P394" s="676">
        <v>9500</v>
      </c>
      <c r="Q394" s="630">
        <v>7.88</v>
      </c>
      <c r="R394" s="678">
        <f t="shared" si="25"/>
        <v>74860</v>
      </c>
      <c r="S394" s="570">
        <v>202310</v>
      </c>
      <c r="T394" s="571" t="s">
        <v>5536</v>
      </c>
      <c r="U394" s="626"/>
      <c r="V394" s="636">
        <v>7.8765335460000001</v>
      </c>
      <c r="W394" s="628"/>
      <c r="X394" s="597">
        <v>44927</v>
      </c>
      <c r="Y394" s="597">
        <v>45291</v>
      </c>
      <c r="Z394" s="688" t="s">
        <v>5537</v>
      </c>
      <c r="AA394" s="691">
        <v>0.3</v>
      </c>
      <c r="AB394" s="692">
        <v>20</v>
      </c>
      <c r="AC394" s="692">
        <f t="shared" si="27"/>
        <v>6</v>
      </c>
    </row>
    <row r="395" spans="1:29" s="577" customFormat="1" ht="15" customHeight="1">
      <c r="A395" s="593" t="s">
        <v>260</v>
      </c>
      <c r="B395" s="594" t="s">
        <v>5428</v>
      </c>
      <c r="C395" s="594" t="s">
        <v>5538</v>
      </c>
      <c r="D395" s="594" t="s">
        <v>71</v>
      </c>
      <c r="E395" s="593" t="s">
        <v>5539</v>
      </c>
      <c r="F395" s="593" t="s">
        <v>5540</v>
      </c>
      <c r="G395" s="593" t="s">
        <v>165</v>
      </c>
      <c r="H395" s="564" t="s">
        <v>5541</v>
      </c>
      <c r="I395" s="565" t="e">
        <f>VLOOKUP(H395,'合同高级查询数据-10月新返回合同'!A:A,1,0)</f>
        <v>#N/A</v>
      </c>
      <c r="J395" s="674" t="s">
        <v>3724</v>
      </c>
      <c r="K395" s="593" t="s">
        <v>5542</v>
      </c>
      <c r="L395" s="595" t="s">
        <v>5543</v>
      </c>
      <c r="M395" s="596"/>
      <c r="N395" s="597" t="s">
        <v>5544</v>
      </c>
      <c r="O395" s="597" t="s">
        <v>4982</v>
      </c>
      <c r="P395" s="676">
        <v>9500</v>
      </c>
      <c r="Q395" s="630"/>
      <c r="R395" s="678">
        <f t="shared" si="25"/>
        <v>0</v>
      </c>
      <c r="S395" s="570">
        <v>202310</v>
      </c>
      <c r="T395" s="687" t="s">
        <v>5545</v>
      </c>
      <c r="U395" s="679"/>
      <c r="V395" s="636">
        <v>0</v>
      </c>
      <c r="W395" s="688"/>
      <c r="X395" s="597">
        <v>44927</v>
      </c>
      <c r="Y395" s="597">
        <v>45291</v>
      </c>
      <c r="Z395" s="688" t="s">
        <v>5546</v>
      </c>
      <c r="AA395" s="691"/>
      <c r="AB395" s="692">
        <v>0</v>
      </c>
      <c r="AC395" s="692">
        <f t="shared" si="27"/>
        <v>0</v>
      </c>
    </row>
    <row r="396" spans="1:29" s="577" customFormat="1" ht="15" customHeight="1">
      <c r="A396" s="593" t="s">
        <v>260</v>
      </c>
      <c r="B396" s="594" t="s">
        <v>5428</v>
      </c>
      <c r="C396" s="594" t="s">
        <v>5538</v>
      </c>
      <c r="D396" s="594" t="s">
        <v>71</v>
      </c>
      <c r="E396" s="593" t="s">
        <v>5539</v>
      </c>
      <c r="F396" s="593" t="s">
        <v>5540</v>
      </c>
      <c r="G396" s="593" t="s">
        <v>165</v>
      </c>
      <c r="H396" s="564" t="s">
        <v>5541</v>
      </c>
      <c r="I396" s="565" t="e">
        <f>VLOOKUP(H396,'合同高级查询数据-10月新返回合同'!A:A,1,0)</f>
        <v>#N/A</v>
      </c>
      <c r="J396" s="674" t="s">
        <v>3724</v>
      </c>
      <c r="K396" s="593" t="s">
        <v>5547</v>
      </c>
      <c r="L396" s="595" t="s">
        <v>5548</v>
      </c>
      <c r="M396" s="596"/>
      <c r="N396" s="597" t="s">
        <v>5544</v>
      </c>
      <c r="O396" s="597" t="s">
        <v>5549</v>
      </c>
      <c r="P396" s="676">
        <v>9500</v>
      </c>
      <c r="Q396" s="630">
        <v>7.0000000000000007E-2</v>
      </c>
      <c r="R396" s="678">
        <f t="shared" si="25"/>
        <v>665</v>
      </c>
      <c r="S396" s="570">
        <v>202309</v>
      </c>
      <c r="T396" s="687" t="s">
        <v>5550</v>
      </c>
      <c r="U396" s="679"/>
      <c r="V396" s="636"/>
      <c r="W396" s="688"/>
      <c r="X396" s="597">
        <v>44927</v>
      </c>
      <c r="Y396" s="597">
        <v>45291</v>
      </c>
      <c r="Z396" s="688"/>
      <c r="AA396" s="691"/>
      <c r="AB396" s="692"/>
      <c r="AC396" s="692"/>
    </row>
    <row r="397" spans="1:29" s="577" customFormat="1" ht="15" customHeight="1">
      <c r="A397" s="593" t="s">
        <v>260</v>
      </c>
      <c r="B397" s="594" t="s">
        <v>5428</v>
      </c>
      <c r="C397" s="594" t="s">
        <v>5538</v>
      </c>
      <c r="D397" s="594" t="s">
        <v>71</v>
      </c>
      <c r="E397" s="593" t="s">
        <v>5539</v>
      </c>
      <c r="F397" s="593" t="s">
        <v>5540</v>
      </c>
      <c r="G397" s="593" t="s">
        <v>165</v>
      </c>
      <c r="H397" s="564" t="s">
        <v>5541</v>
      </c>
      <c r="I397" s="565" t="e">
        <f>VLOOKUP(H397,'合同高级查询数据-10月新返回合同'!A:A,1,0)</f>
        <v>#N/A</v>
      </c>
      <c r="J397" s="674" t="s">
        <v>3724</v>
      </c>
      <c r="K397" s="593" t="s">
        <v>5547</v>
      </c>
      <c r="L397" s="595" t="s">
        <v>5548</v>
      </c>
      <c r="M397" s="596"/>
      <c r="N397" s="597" t="s">
        <v>5544</v>
      </c>
      <c r="O397" s="597" t="s">
        <v>5549</v>
      </c>
      <c r="P397" s="676">
        <v>9500</v>
      </c>
      <c r="Q397" s="630">
        <v>3.3</v>
      </c>
      <c r="R397" s="678">
        <f t="shared" si="25"/>
        <v>31350</v>
      </c>
      <c r="S397" s="570">
        <v>202310</v>
      </c>
      <c r="T397" s="687" t="s">
        <v>5551</v>
      </c>
      <c r="U397" s="679"/>
      <c r="V397" s="636">
        <v>3.3019468779999999</v>
      </c>
      <c r="W397" s="688"/>
      <c r="X397" s="597">
        <v>44927</v>
      </c>
      <c r="Y397" s="597">
        <v>45291</v>
      </c>
      <c r="Z397" s="688" t="s">
        <v>5552</v>
      </c>
      <c r="AA397" s="691">
        <v>0.3</v>
      </c>
      <c r="AB397" s="692">
        <v>10</v>
      </c>
      <c r="AC397" s="692">
        <f>AA397*AB397</f>
        <v>3</v>
      </c>
    </row>
    <row r="398" spans="1:29" s="577" customFormat="1" ht="15" customHeight="1">
      <c r="A398" s="593" t="s">
        <v>260</v>
      </c>
      <c r="B398" s="594" t="s">
        <v>5428</v>
      </c>
      <c r="C398" s="594" t="s">
        <v>5538</v>
      </c>
      <c r="D398" s="594" t="s">
        <v>71</v>
      </c>
      <c r="E398" s="593" t="s">
        <v>5539</v>
      </c>
      <c r="F398" s="593" t="s">
        <v>5540</v>
      </c>
      <c r="G398" s="593" t="s">
        <v>165</v>
      </c>
      <c r="H398" s="564" t="s">
        <v>5541</v>
      </c>
      <c r="I398" s="565" t="e">
        <f>VLOOKUP(H398,'合同高级查询数据-10月新返回合同'!A:A,1,0)</f>
        <v>#N/A</v>
      </c>
      <c r="J398" s="674" t="s">
        <v>3724</v>
      </c>
      <c r="K398" s="593" t="s">
        <v>5553</v>
      </c>
      <c r="L398" s="595" t="s">
        <v>5554</v>
      </c>
      <c r="M398" s="596"/>
      <c r="N398" s="597" t="s">
        <v>5555</v>
      </c>
      <c r="O398" s="603" t="s">
        <v>5556</v>
      </c>
      <c r="P398" s="676">
        <v>9500</v>
      </c>
      <c r="Q398" s="630"/>
      <c r="R398" s="678">
        <f t="shared" si="25"/>
        <v>0</v>
      </c>
      <c r="S398" s="570">
        <v>202310</v>
      </c>
      <c r="T398" s="687" t="s">
        <v>5557</v>
      </c>
      <c r="U398" s="679"/>
      <c r="V398" s="636">
        <v>0</v>
      </c>
      <c r="W398" s="688"/>
      <c r="X398" s="597">
        <v>44927</v>
      </c>
      <c r="Y398" s="597">
        <v>45291</v>
      </c>
      <c r="Z398" s="688" t="s">
        <v>5558</v>
      </c>
      <c r="AA398" s="691">
        <v>0</v>
      </c>
      <c r="AB398" s="692">
        <v>0</v>
      </c>
      <c r="AC398" s="692">
        <f>AA398*AB398</f>
        <v>0</v>
      </c>
    </row>
    <row r="399" spans="1:29" s="577" customFormat="1" ht="15" customHeight="1">
      <c r="A399" s="563" t="s">
        <v>260</v>
      </c>
      <c r="B399" s="593" t="s">
        <v>5559</v>
      </c>
      <c r="C399" s="563" t="s">
        <v>5560</v>
      </c>
      <c r="D399" s="561" t="s">
        <v>71</v>
      </c>
      <c r="E399" s="563" t="s">
        <v>5561</v>
      </c>
      <c r="F399" s="563" t="s">
        <v>5562</v>
      </c>
      <c r="G399" s="563" t="s">
        <v>165</v>
      </c>
      <c r="H399" s="564" t="s">
        <v>5563</v>
      </c>
      <c r="I399" s="565" t="e">
        <f>VLOOKUP(H399,'合同高级查询数据-10月新返回合同'!A:A,1,0)</f>
        <v>#N/A</v>
      </c>
      <c r="J399" s="674" t="s">
        <v>3724</v>
      </c>
      <c r="K399" s="563" t="s">
        <v>5564</v>
      </c>
      <c r="L399" s="675" t="s">
        <v>5562</v>
      </c>
      <c r="M399" s="596" t="s">
        <v>5565</v>
      </c>
      <c r="N399" s="657">
        <v>43344</v>
      </c>
      <c r="O399" s="688">
        <v>0</v>
      </c>
      <c r="P399" s="676">
        <v>9500</v>
      </c>
      <c r="Q399" s="630"/>
      <c r="R399" s="678">
        <f t="shared" si="25"/>
        <v>0</v>
      </c>
      <c r="S399" s="570">
        <v>202310</v>
      </c>
      <c r="T399" s="693" t="s">
        <v>5566</v>
      </c>
      <c r="U399" s="561"/>
      <c r="V399" s="636">
        <v>0</v>
      </c>
      <c r="W399" s="680"/>
      <c r="X399" s="597">
        <v>44927</v>
      </c>
      <c r="Y399" s="597">
        <v>45291</v>
      </c>
      <c r="Z399" s="688" t="s">
        <v>5567</v>
      </c>
      <c r="AA399" s="691"/>
      <c r="AB399" s="692">
        <v>0</v>
      </c>
      <c r="AC399" s="692">
        <f>AA399*AB399</f>
        <v>0</v>
      </c>
    </row>
    <row r="400" spans="1:29" s="577" customFormat="1" ht="15" customHeight="1">
      <c r="A400" s="563" t="s">
        <v>260</v>
      </c>
      <c r="B400" s="593" t="s">
        <v>5559</v>
      </c>
      <c r="C400" s="563" t="s">
        <v>5560</v>
      </c>
      <c r="D400" s="561" t="s">
        <v>71</v>
      </c>
      <c r="E400" s="563" t="s">
        <v>5561</v>
      </c>
      <c r="F400" s="563" t="s">
        <v>5562</v>
      </c>
      <c r="G400" s="563" t="s">
        <v>165</v>
      </c>
      <c r="H400" s="564" t="s">
        <v>5563</v>
      </c>
      <c r="I400" s="565" t="e">
        <f>VLOOKUP(H400,'合同高级查询数据-10月新返回合同'!A:A,1,0)</f>
        <v>#N/A</v>
      </c>
      <c r="J400" s="674" t="s">
        <v>3724</v>
      </c>
      <c r="K400" s="563" t="s">
        <v>5568</v>
      </c>
      <c r="L400" s="675" t="s">
        <v>5568</v>
      </c>
      <c r="M400" s="596" t="s">
        <v>5565</v>
      </c>
      <c r="N400" s="657" t="s">
        <v>5569</v>
      </c>
      <c r="O400" s="688" t="s">
        <v>5570</v>
      </c>
      <c r="P400" s="676">
        <v>9500</v>
      </c>
      <c r="Q400" s="630">
        <v>0.06</v>
      </c>
      <c r="R400" s="678">
        <f t="shared" si="25"/>
        <v>570</v>
      </c>
      <c r="S400" s="570">
        <v>202309</v>
      </c>
      <c r="T400" s="693" t="s">
        <v>5571</v>
      </c>
      <c r="U400" s="561"/>
      <c r="V400" s="636"/>
      <c r="W400" s="680"/>
      <c r="X400" s="597">
        <v>44927</v>
      </c>
      <c r="Y400" s="597">
        <v>45291</v>
      </c>
      <c r="Z400" s="688"/>
      <c r="AA400" s="691"/>
      <c r="AB400" s="692"/>
      <c r="AC400" s="692"/>
    </row>
    <row r="401" spans="1:29" s="577" customFormat="1" ht="15" customHeight="1">
      <c r="A401" s="563" t="s">
        <v>260</v>
      </c>
      <c r="B401" s="593" t="s">
        <v>5559</v>
      </c>
      <c r="C401" s="563" t="s">
        <v>5560</v>
      </c>
      <c r="D401" s="561" t="s">
        <v>71</v>
      </c>
      <c r="E401" s="563" t="s">
        <v>5561</v>
      </c>
      <c r="F401" s="563" t="s">
        <v>5562</v>
      </c>
      <c r="G401" s="563" t="s">
        <v>165</v>
      </c>
      <c r="H401" s="564" t="s">
        <v>5563</v>
      </c>
      <c r="I401" s="565" t="e">
        <f>VLOOKUP(H401,'合同高级查询数据-10月新返回合同'!A:A,1,0)</f>
        <v>#N/A</v>
      </c>
      <c r="J401" s="674" t="s">
        <v>3724</v>
      </c>
      <c r="K401" s="563" t="s">
        <v>5568</v>
      </c>
      <c r="L401" s="675" t="s">
        <v>5568</v>
      </c>
      <c r="M401" s="596" t="s">
        <v>5565</v>
      </c>
      <c r="N401" s="657" t="s">
        <v>5569</v>
      </c>
      <c r="O401" s="563" t="s">
        <v>5570</v>
      </c>
      <c r="P401" s="676">
        <v>9500</v>
      </c>
      <c r="Q401" s="630">
        <v>7.84</v>
      </c>
      <c r="R401" s="678">
        <f t="shared" si="25"/>
        <v>74480</v>
      </c>
      <c r="S401" s="570">
        <v>202310</v>
      </c>
      <c r="T401" s="693" t="s">
        <v>5572</v>
      </c>
      <c r="U401" s="561"/>
      <c r="V401" s="636">
        <v>7.8382906910000001</v>
      </c>
      <c r="W401" s="680"/>
      <c r="X401" s="597">
        <v>44927</v>
      </c>
      <c r="Y401" s="597">
        <v>45291</v>
      </c>
      <c r="Z401" s="688" t="s">
        <v>5573</v>
      </c>
      <c r="AA401" s="691">
        <v>0.3</v>
      </c>
      <c r="AB401" s="692">
        <v>20</v>
      </c>
      <c r="AC401" s="692">
        <f>AA401*AB401</f>
        <v>6</v>
      </c>
    </row>
    <row r="402" spans="1:29" s="385" customFormat="1" ht="15" customHeight="1">
      <c r="A402" s="386" t="s">
        <v>260</v>
      </c>
      <c r="B402" s="423" t="s">
        <v>5528</v>
      </c>
      <c r="C402" s="388" t="s">
        <v>5574</v>
      </c>
      <c r="D402" s="388" t="s">
        <v>71</v>
      </c>
      <c r="E402" s="386" t="s">
        <v>5575</v>
      </c>
      <c r="F402" s="386" t="s">
        <v>5576</v>
      </c>
      <c r="G402" s="402" t="s">
        <v>165</v>
      </c>
      <c r="H402" s="422" t="s">
        <v>5577</v>
      </c>
      <c r="I402" s="369" t="e">
        <f>VLOOKUP(H402,'合同高级查询数据-10月新返回合同'!A:A,1,0)</f>
        <v>#N/A</v>
      </c>
      <c r="J402" s="390" t="s">
        <v>3724</v>
      </c>
      <c r="K402" s="386" t="s">
        <v>5578</v>
      </c>
      <c r="L402" s="402" t="s">
        <v>5576</v>
      </c>
      <c r="M402" s="403"/>
      <c r="N402" s="425" t="s">
        <v>5579</v>
      </c>
      <c r="O402" s="402" t="s">
        <v>5580</v>
      </c>
      <c r="P402" s="508">
        <v>9500</v>
      </c>
      <c r="Q402" s="460"/>
      <c r="R402" s="509">
        <f t="shared" si="25"/>
        <v>0</v>
      </c>
      <c r="S402" s="378">
        <v>202310</v>
      </c>
      <c r="T402" s="394" t="s">
        <v>5581</v>
      </c>
      <c r="U402" s="443"/>
      <c r="V402" s="503">
        <v>0</v>
      </c>
      <c r="W402" s="513"/>
      <c r="X402" s="425"/>
      <c r="Y402" s="425"/>
      <c r="Z402" s="510" t="s">
        <v>5582</v>
      </c>
      <c r="AA402" s="511">
        <v>0.3</v>
      </c>
      <c r="AB402" s="512">
        <v>0</v>
      </c>
      <c r="AC402" s="512">
        <f>AA402*AB402</f>
        <v>0</v>
      </c>
    </row>
    <row r="403" spans="1:29" s="385" customFormat="1" ht="15" customHeight="1">
      <c r="A403" s="386" t="s">
        <v>260</v>
      </c>
      <c r="B403" s="423" t="s">
        <v>5528</v>
      </c>
      <c r="C403" s="388" t="s">
        <v>5574</v>
      </c>
      <c r="D403" s="388" t="s">
        <v>71</v>
      </c>
      <c r="E403" s="386" t="s">
        <v>5575</v>
      </c>
      <c r="F403" s="386" t="s">
        <v>5576</v>
      </c>
      <c r="G403" s="402" t="s">
        <v>165</v>
      </c>
      <c r="H403" s="422" t="s">
        <v>5577</v>
      </c>
      <c r="I403" s="369" t="e">
        <f>VLOOKUP(H403,'合同高级查询数据-10月新返回合同'!A:A,1,0)</f>
        <v>#N/A</v>
      </c>
      <c r="J403" s="390" t="s">
        <v>3724</v>
      </c>
      <c r="K403" s="386" t="s">
        <v>5583</v>
      </c>
      <c r="L403" s="402" t="s">
        <v>5584</v>
      </c>
      <c r="M403" s="403"/>
      <c r="N403" s="425" t="s">
        <v>5585</v>
      </c>
      <c r="O403" s="402" t="s">
        <v>4845</v>
      </c>
      <c r="P403" s="508">
        <v>9500</v>
      </c>
      <c r="Q403" s="460"/>
      <c r="R403" s="509">
        <f t="shared" si="25"/>
        <v>0</v>
      </c>
      <c r="S403" s="378">
        <v>202310</v>
      </c>
      <c r="T403" s="394" t="s">
        <v>5586</v>
      </c>
      <c r="U403" s="443"/>
      <c r="V403" s="503">
        <v>0</v>
      </c>
      <c r="W403" s="408"/>
      <c r="X403" s="425"/>
      <c r="Y403" s="425"/>
      <c r="Z403" s="510" t="s">
        <v>5587</v>
      </c>
      <c r="AA403" s="511"/>
      <c r="AB403" s="512">
        <v>0</v>
      </c>
      <c r="AC403" s="512">
        <f>AA403*AB403</f>
        <v>0</v>
      </c>
    </row>
    <row r="404" spans="1:29" s="577" customFormat="1" ht="15" customHeight="1">
      <c r="A404" s="561" t="s">
        <v>260</v>
      </c>
      <c r="B404" s="594" t="s">
        <v>5528</v>
      </c>
      <c r="C404" s="563" t="s">
        <v>5574</v>
      </c>
      <c r="D404" s="563" t="s">
        <v>71</v>
      </c>
      <c r="E404" s="561" t="s">
        <v>5575</v>
      </c>
      <c r="F404" s="561" t="s">
        <v>5588</v>
      </c>
      <c r="G404" s="624" t="s">
        <v>165</v>
      </c>
      <c r="H404" s="593" t="s">
        <v>5589</v>
      </c>
      <c r="I404" s="565" t="e">
        <f>VLOOKUP(H404,'合同高级查询数据-10月新返回合同'!A:A,1,0)</f>
        <v>#N/A</v>
      </c>
      <c r="J404" s="566" t="s">
        <v>3724</v>
      </c>
      <c r="K404" s="561" t="s">
        <v>5590</v>
      </c>
      <c r="L404" s="624" t="s">
        <v>5591</v>
      </c>
      <c r="M404" s="596"/>
      <c r="N404" s="597">
        <v>44352</v>
      </c>
      <c r="O404" s="624" t="s">
        <v>2187</v>
      </c>
      <c r="P404" s="676">
        <v>6800</v>
      </c>
      <c r="Q404" s="630">
        <v>0.24</v>
      </c>
      <c r="R404" s="678">
        <f t="shared" si="25"/>
        <v>1632</v>
      </c>
      <c r="S404" s="570">
        <v>202309</v>
      </c>
      <c r="T404" s="571" t="s">
        <v>5592</v>
      </c>
      <c r="U404" s="626"/>
      <c r="V404" s="636"/>
      <c r="W404" s="628"/>
      <c r="X404" s="597">
        <v>44927</v>
      </c>
      <c r="Y404" s="597">
        <v>45291</v>
      </c>
      <c r="Z404" s="688"/>
      <c r="AA404" s="691"/>
      <c r="AB404" s="692"/>
      <c r="AC404" s="692"/>
    </row>
    <row r="405" spans="1:29" s="577" customFormat="1" ht="15" customHeight="1">
      <c r="A405" s="561" t="s">
        <v>260</v>
      </c>
      <c r="B405" s="594" t="s">
        <v>5528</v>
      </c>
      <c r="C405" s="563" t="s">
        <v>5574</v>
      </c>
      <c r="D405" s="563" t="s">
        <v>71</v>
      </c>
      <c r="E405" s="561" t="s">
        <v>5575</v>
      </c>
      <c r="F405" s="561" t="s">
        <v>5588</v>
      </c>
      <c r="G405" s="624" t="s">
        <v>165</v>
      </c>
      <c r="H405" s="566" t="s">
        <v>5589</v>
      </c>
      <c r="I405" s="565" t="e">
        <f>VLOOKUP(H405,'合同高级查询数据-10月新返回合同'!A:A,1,0)</f>
        <v>#N/A</v>
      </c>
      <c r="J405" s="566" t="s">
        <v>3724</v>
      </c>
      <c r="K405" s="561" t="s">
        <v>5590</v>
      </c>
      <c r="L405" s="624" t="s">
        <v>5591</v>
      </c>
      <c r="M405" s="596"/>
      <c r="N405" s="597">
        <v>44352</v>
      </c>
      <c r="O405" s="624" t="s">
        <v>2187</v>
      </c>
      <c r="P405" s="676">
        <v>6800</v>
      </c>
      <c r="Q405" s="630">
        <v>33.880000000000003</v>
      </c>
      <c r="R405" s="678">
        <f t="shared" si="25"/>
        <v>230384</v>
      </c>
      <c r="S405" s="570">
        <v>202310</v>
      </c>
      <c r="T405" s="571" t="s">
        <v>5593</v>
      </c>
      <c r="U405" s="626"/>
      <c r="V405" s="636">
        <v>33.881977081000002</v>
      </c>
      <c r="W405" s="694"/>
      <c r="X405" s="597">
        <v>44927</v>
      </c>
      <c r="Y405" s="597">
        <v>45291</v>
      </c>
      <c r="Z405" s="688" t="s">
        <v>5594</v>
      </c>
      <c r="AA405" s="691">
        <v>0.3</v>
      </c>
      <c r="AB405" s="692">
        <v>100</v>
      </c>
      <c r="AC405" s="692">
        <f t="shared" ref="AC405:AC414" si="28">AA405*AB405</f>
        <v>30</v>
      </c>
    </row>
    <row r="406" spans="1:29" s="385" customFormat="1" ht="15" customHeight="1">
      <c r="A406" s="386" t="s">
        <v>260</v>
      </c>
      <c r="B406" s="423" t="s">
        <v>5528</v>
      </c>
      <c r="C406" s="388" t="s">
        <v>5574</v>
      </c>
      <c r="D406" s="388" t="s">
        <v>71</v>
      </c>
      <c r="E406" s="386" t="s">
        <v>5575</v>
      </c>
      <c r="F406" s="386" t="s">
        <v>5588</v>
      </c>
      <c r="G406" s="402" t="s">
        <v>165</v>
      </c>
      <c r="H406" s="390" t="s">
        <v>5595</v>
      </c>
      <c r="I406" s="369" t="e">
        <f>VLOOKUP(H406,'合同高级查询数据-10月新返回合同'!A:A,1,0)</f>
        <v>#N/A</v>
      </c>
      <c r="J406" s="390" t="s">
        <v>3724</v>
      </c>
      <c r="K406" s="386" t="s">
        <v>5590</v>
      </c>
      <c r="L406" s="402" t="s">
        <v>5596</v>
      </c>
      <c r="M406" s="403"/>
      <c r="N406" s="425" t="s">
        <v>5597</v>
      </c>
      <c r="O406" s="402" t="s">
        <v>5598</v>
      </c>
      <c r="P406" s="508">
        <v>0</v>
      </c>
      <c r="Q406" s="460"/>
      <c r="R406" s="509">
        <f t="shared" si="25"/>
        <v>0</v>
      </c>
      <c r="S406" s="378">
        <v>202310</v>
      </c>
      <c r="T406" s="394" t="s">
        <v>5599</v>
      </c>
      <c r="U406" s="443"/>
      <c r="V406" s="503">
        <v>0</v>
      </c>
      <c r="W406" s="408"/>
      <c r="X406" s="425"/>
      <c r="Y406" s="425"/>
      <c r="Z406" s="510" t="s">
        <v>5600</v>
      </c>
      <c r="AA406" s="511"/>
      <c r="AB406" s="512">
        <v>0</v>
      </c>
      <c r="AC406" s="512">
        <f t="shared" si="28"/>
        <v>0</v>
      </c>
    </row>
    <row r="407" spans="1:29" s="385" customFormat="1" ht="15" customHeight="1">
      <c r="A407" s="422" t="s">
        <v>260</v>
      </c>
      <c r="B407" s="423" t="s">
        <v>5428</v>
      </c>
      <c r="C407" s="423" t="s">
        <v>5601</v>
      </c>
      <c r="D407" s="423" t="s">
        <v>71</v>
      </c>
      <c r="E407" s="422" t="s">
        <v>5602</v>
      </c>
      <c r="F407" s="422" t="s">
        <v>5603</v>
      </c>
      <c r="G407" s="422" t="s">
        <v>165</v>
      </c>
      <c r="H407" s="389" t="s">
        <v>5604</v>
      </c>
      <c r="I407" s="369" t="e">
        <f>VLOOKUP(H407,'合同高级查询数据-10月新返回合同'!A:A,1,0)</f>
        <v>#N/A</v>
      </c>
      <c r="J407" s="499" t="s">
        <v>3724</v>
      </c>
      <c r="K407" s="422" t="s">
        <v>5605</v>
      </c>
      <c r="L407" s="424" t="s">
        <v>5606</v>
      </c>
      <c r="M407" s="403"/>
      <c r="N407" s="425"/>
      <c r="O407" s="425" t="s">
        <v>4982</v>
      </c>
      <c r="P407" s="508">
        <v>9500</v>
      </c>
      <c r="Q407" s="460"/>
      <c r="R407" s="509">
        <f t="shared" si="25"/>
        <v>0</v>
      </c>
      <c r="S407" s="378">
        <v>202310</v>
      </c>
      <c r="T407" s="452" t="s">
        <v>5607</v>
      </c>
      <c r="U407" s="502"/>
      <c r="V407" s="503">
        <v>0</v>
      </c>
      <c r="W407" s="510"/>
      <c r="X407" s="425"/>
      <c r="Y407" s="425"/>
      <c r="Z407" s="510" t="s">
        <v>5608</v>
      </c>
      <c r="AA407" s="511"/>
      <c r="AB407" s="512">
        <v>0</v>
      </c>
      <c r="AC407" s="512">
        <f t="shared" si="28"/>
        <v>0</v>
      </c>
    </row>
    <row r="408" spans="1:29" s="385" customFormat="1" ht="15" customHeight="1">
      <c r="A408" s="422" t="s">
        <v>260</v>
      </c>
      <c r="B408" s="423" t="s">
        <v>5428</v>
      </c>
      <c r="C408" s="423" t="s">
        <v>5601</v>
      </c>
      <c r="D408" s="423" t="s">
        <v>71</v>
      </c>
      <c r="E408" s="422" t="s">
        <v>5602</v>
      </c>
      <c r="F408" s="422" t="s">
        <v>5603</v>
      </c>
      <c r="G408" s="422" t="s">
        <v>165</v>
      </c>
      <c r="H408" s="389" t="s">
        <v>5604</v>
      </c>
      <c r="I408" s="369" t="e">
        <f>VLOOKUP(H408,'合同高级查询数据-10月新返回合同'!A:A,1,0)</f>
        <v>#N/A</v>
      </c>
      <c r="J408" s="499" t="s">
        <v>3724</v>
      </c>
      <c r="K408" s="422" t="s">
        <v>5609</v>
      </c>
      <c r="L408" s="424" t="s">
        <v>5610</v>
      </c>
      <c r="M408" s="403"/>
      <c r="N408" s="425" t="s">
        <v>5611</v>
      </c>
      <c r="O408" s="425" t="s">
        <v>5612</v>
      </c>
      <c r="P408" s="508">
        <v>9500</v>
      </c>
      <c r="Q408" s="460">
        <v>20.2</v>
      </c>
      <c r="R408" s="509">
        <f t="shared" si="25"/>
        <v>191900</v>
      </c>
      <c r="S408" s="378">
        <v>202310</v>
      </c>
      <c r="T408" s="452" t="s">
        <v>5613</v>
      </c>
      <c r="U408" s="502"/>
      <c r="V408" s="503">
        <v>20.125516891</v>
      </c>
      <c r="W408" s="510"/>
      <c r="X408" s="425"/>
      <c r="Y408" s="425"/>
      <c r="Z408" s="510" t="s">
        <v>5614</v>
      </c>
      <c r="AA408" s="511">
        <v>0.3</v>
      </c>
      <c r="AB408" s="512">
        <v>60</v>
      </c>
      <c r="AC408" s="512">
        <f t="shared" si="28"/>
        <v>18</v>
      </c>
    </row>
    <row r="409" spans="1:29" s="577" customFormat="1" ht="15" customHeight="1">
      <c r="A409" s="593" t="s">
        <v>260</v>
      </c>
      <c r="B409" s="594" t="s">
        <v>5428</v>
      </c>
      <c r="C409" s="594" t="s">
        <v>5601</v>
      </c>
      <c r="D409" s="594" t="s">
        <v>71</v>
      </c>
      <c r="E409" s="593" t="s">
        <v>5602</v>
      </c>
      <c r="F409" s="593" t="s">
        <v>5615</v>
      </c>
      <c r="G409" s="593" t="s">
        <v>165</v>
      </c>
      <c r="H409" s="564" t="s">
        <v>5616</v>
      </c>
      <c r="I409" s="565" t="e">
        <f>VLOOKUP(H409,'合同高级查询数据-10月新返回合同'!A:A,1,0)</f>
        <v>#N/A</v>
      </c>
      <c r="J409" s="594" t="s">
        <v>3858</v>
      </c>
      <c r="K409" s="593" t="s">
        <v>5617</v>
      </c>
      <c r="L409" s="595" t="s">
        <v>5618</v>
      </c>
      <c r="M409" s="596"/>
      <c r="N409" s="597">
        <v>43770</v>
      </c>
      <c r="O409" s="597" t="s">
        <v>2187</v>
      </c>
      <c r="P409" s="676">
        <v>20000</v>
      </c>
      <c r="Q409" s="630">
        <v>32.700000000000003</v>
      </c>
      <c r="R409" s="678">
        <f t="shared" si="25"/>
        <v>654000</v>
      </c>
      <c r="S409" s="570">
        <v>202310</v>
      </c>
      <c r="T409" s="687" t="s">
        <v>5619</v>
      </c>
      <c r="U409" s="679"/>
      <c r="V409" s="636">
        <v>32.698304366000002</v>
      </c>
      <c r="W409" s="688"/>
      <c r="X409" s="597">
        <v>44866</v>
      </c>
      <c r="Y409" s="597">
        <v>45230</v>
      </c>
      <c r="Z409" s="688" t="s">
        <v>5620</v>
      </c>
      <c r="AA409" s="691">
        <v>0.3</v>
      </c>
      <c r="AB409" s="692">
        <v>100</v>
      </c>
      <c r="AC409" s="692">
        <f t="shared" si="28"/>
        <v>30</v>
      </c>
    </row>
    <row r="410" spans="1:29" s="385" customFormat="1" ht="15" customHeight="1">
      <c r="A410" s="388" t="s">
        <v>260</v>
      </c>
      <c r="B410" s="422" t="s">
        <v>5559</v>
      </c>
      <c r="C410" s="388" t="s">
        <v>5621</v>
      </c>
      <c r="D410" s="386" t="s">
        <v>71</v>
      </c>
      <c r="E410" s="422" t="s">
        <v>5622</v>
      </c>
      <c r="F410" s="388" t="s">
        <v>5623</v>
      </c>
      <c r="G410" s="388" t="s">
        <v>165</v>
      </c>
      <c r="H410" s="389" t="s">
        <v>5624</v>
      </c>
      <c r="I410" s="369" t="e">
        <f>VLOOKUP(H410,'合同高级查询数据-10月新返回合同'!A:A,1,0)</f>
        <v>#N/A</v>
      </c>
      <c r="J410" s="499" t="s">
        <v>3724</v>
      </c>
      <c r="K410" s="388" t="s">
        <v>5625</v>
      </c>
      <c r="L410" s="486" t="s">
        <v>5623</v>
      </c>
      <c r="M410" s="403" t="s">
        <v>5626</v>
      </c>
      <c r="N410" s="417" t="s">
        <v>5627</v>
      </c>
      <c r="O410" s="417" t="s">
        <v>5628</v>
      </c>
      <c r="P410" s="508">
        <v>15042</v>
      </c>
      <c r="Q410" s="460">
        <v>6.02</v>
      </c>
      <c r="R410" s="509">
        <f>ROUND(P410*Q410,2)</f>
        <v>90552.84</v>
      </c>
      <c r="S410" s="378">
        <v>202310</v>
      </c>
      <c r="T410" s="514" t="s">
        <v>5629</v>
      </c>
      <c r="U410" s="510"/>
      <c r="V410" s="503">
        <v>6.0217205329999999</v>
      </c>
      <c r="W410" s="515">
        <v>10</v>
      </c>
      <c r="X410" s="425"/>
      <c r="Y410" s="425"/>
      <c r="Z410" s="510" t="s">
        <v>5630</v>
      </c>
      <c r="AA410" s="511">
        <v>0</v>
      </c>
      <c r="AB410" s="512">
        <v>20</v>
      </c>
      <c r="AC410" s="512">
        <f t="shared" si="28"/>
        <v>0</v>
      </c>
    </row>
    <row r="411" spans="1:29" s="385" customFormat="1" ht="15" customHeight="1">
      <c r="A411" s="422" t="s">
        <v>258</v>
      </c>
      <c r="B411" s="423" t="s">
        <v>5428</v>
      </c>
      <c r="C411" s="423" t="s">
        <v>5601</v>
      </c>
      <c r="D411" s="423" t="s">
        <v>71</v>
      </c>
      <c r="E411" s="422" t="s">
        <v>5631</v>
      </c>
      <c r="F411" s="422" t="s">
        <v>5632</v>
      </c>
      <c r="G411" s="422" t="s">
        <v>165</v>
      </c>
      <c r="H411" s="389" t="s">
        <v>5633</v>
      </c>
      <c r="I411" s="369" t="e">
        <f>VLOOKUP(H411,'合同高级查询数据-10月新返回合同'!A:A,1,0)</f>
        <v>#N/A</v>
      </c>
      <c r="J411" s="499" t="s">
        <v>3724</v>
      </c>
      <c r="K411" s="422" t="s">
        <v>5634</v>
      </c>
      <c r="L411" s="424" t="s">
        <v>5632</v>
      </c>
      <c r="M411" s="403"/>
      <c r="N411" s="425" t="s">
        <v>5635</v>
      </c>
      <c r="O411" s="425" t="s">
        <v>5525</v>
      </c>
      <c r="P411" s="508">
        <v>9000</v>
      </c>
      <c r="Q411" s="460"/>
      <c r="R411" s="509">
        <f t="shared" si="25"/>
        <v>0</v>
      </c>
      <c r="S411" s="378">
        <v>202310</v>
      </c>
      <c r="T411" s="452" t="s">
        <v>5636</v>
      </c>
      <c r="U411" s="502"/>
      <c r="V411" s="503">
        <v>0</v>
      </c>
      <c r="W411" s="516"/>
      <c r="X411" s="425"/>
      <c r="Y411" s="425"/>
      <c r="Z411" s="510" t="s">
        <v>5637</v>
      </c>
      <c r="AA411" s="511"/>
      <c r="AB411" s="512">
        <v>0</v>
      </c>
      <c r="AC411" s="512">
        <f t="shared" si="28"/>
        <v>0</v>
      </c>
    </row>
    <row r="412" spans="1:29" s="385" customFormat="1" ht="15" customHeight="1">
      <c r="A412" s="422" t="s">
        <v>258</v>
      </c>
      <c r="B412" s="423" t="s">
        <v>5428</v>
      </c>
      <c r="C412" s="423" t="s">
        <v>5601</v>
      </c>
      <c r="D412" s="423" t="s">
        <v>71</v>
      </c>
      <c r="E412" s="422" t="s">
        <v>5631</v>
      </c>
      <c r="F412" s="422" t="s">
        <v>5632</v>
      </c>
      <c r="G412" s="422" t="s">
        <v>165</v>
      </c>
      <c r="H412" s="389" t="s">
        <v>5633</v>
      </c>
      <c r="I412" s="369" t="e">
        <f>VLOOKUP(H412,'合同高级查询数据-10月新返回合同'!A:A,1,0)</f>
        <v>#N/A</v>
      </c>
      <c r="J412" s="499" t="s">
        <v>3724</v>
      </c>
      <c r="K412" s="422" t="s">
        <v>5638</v>
      </c>
      <c r="L412" s="424" t="s">
        <v>5639</v>
      </c>
      <c r="M412" s="403"/>
      <c r="N412" s="425">
        <v>43497</v>
      </c>
      <c r="O412" s="425" t="s">
        <v>5525</v>
      </c>
      <c r="P412" s="508">
        <v>9000</v>
      </c>
      <c r="Q412" s="460"/>
      <c r="R412" s="509">
        <f t="shared" si="25"/>
        <v>0</v>
      </c>
      <c r="S412" s="378">
        <v>202310</v>
      </c>
      <c r="T412" s="452" t="s">
        <v>5640</v>
      </c>
      <c r="U412" s="502"/>
      <c r="V412" s="503">
        <v>0</v>
      </c>
      <c r="W412" s="517"/>
      <c r="X412" s="425"/>
      <c r="Y412" s="425"/>
      <c r="Z412" s="510" t="s">
        <v>5641</v>
      </c>
      <c r="AA412" s="511"/>
      <c r="AB412" s="512">
        <v>0</v>
      </c>
      <c r="AC412" s="512">
        <f t="shared" si="28"/>
        <v>0</v>
      </c>
    </row>
    <row r="413" spans="1:29" s="577" customFormat="1" ht="15" customHeight="1">
      <c r="A413" s="593" t="s">
        <v>258</v>
      </c>
      <c r="B413" s="594" t="s">
        <v>5428</v>
      </c>
      <c r="C413" s="594" t="s">
        <v>5501</v>
      </c>
      <c r="D413" s="594" t="s">
        <v>71</v>
      </c>
      <c r="E413" s="593" t="s">
        <v>5642</v>
      </c>
      <c r="F413" s="593" t="s">
        <v>5643</v>
      </c>
      <c r="G413" s="593" t="s">
        <v>165</v>
      </c>
      <c r="H413" s="564" t="s">
        <v>5644</v>
      </c>
      <c r="I413" s="565" t="e">
        <f>VLOOKUP(H413,'合同高级查询数据-10月新返回合同'!A:A,1,0)</f>
        <v>#N/A</v>
      </c>
      <c r="J413" s="674" t="s">
        <v>3724</v>
      </c>
      <c r="K413" s="593" t="s">
        <v>5645</v>
      </c>
      <c r="L413" s="595" t="s">
        <v>5646</v>
      </c>
      <c r="M413" s="596"/>
      <c r="N413" s="597" t="s">
        <v>5647</v>
      </c>
      <c r="O413" s="597" t="s">
        <v>5648</v>
      </c>
      <c r="P413" s="676">
        <v>9000</v>
      </c>
      <c r="Q413" s="630">
        <v>12.8</v>
      </c>
      <c r="R413" s="678">
        <f t="shared" si="25"/>
        <v>115200</v>
      </c>
      <c r="S413" s="570">
        <v>202310</v>
      </c>
      <c r="T413" s="687" t="s">
        <v>5649</v>
      </c>
      <c r="U413" s="679"/>
      <c r="V413" s="636">
        <v>12.519567852</v>
      </c>
      <c r="W413" s="695">
        <v>12.8</v>
      </c>
      <c r="X413" s="597">
        <v>44896</v>
      </c>
      <c r="Y413" s="597">
        <v>45260</v>
      </c>
      <c r="Z413" s="688" t="s">
        <v>5650</v>
      </c>
      <c r="AA413" s="691">
        <v>0.3</v>
      </c>
      <c r="AB413" s="692">
        <v>40</v>
      </c>
      <c r="AC413" s="692">
        <f t="shared" si="28"/>
        <v>12</v>
      </c>
    </row>
    <row r="414" spans="1:29" s="577" customFormat="1" ht="15" customHeight="1">
      <c r="A414" s="593" t="s">
        <v>258</v>
      </c>
      <c r="B414" s="594" t="s">
        <v>5428</v>
      </c>
      <c r="C414" s="594" t="s">
        <v>5501</v>
      </c>
      <c r="D414" s="594" t="s">
        <v>71</v>
      </c>
      <c r="E414" s="593" t="s">
        <v>5642</v>
      </c>
      <c r="F414" s="593" t="s">
        <v>5643</v>
      </c>
      <c r="G414" s="593" t="s">
        <v>165</v>
      </c>
      <c r="H414" s="564" t="s">
        <v>5644</v>
      </c>
      <c r="I414" s="565" t="e">
        <f>VLOOKUP(H414,'合同高级查询数据-10月新返回合同'!A:A,1,0)</f>
        <v>#N/A</v>
      </c>
      <c r="J414" s="674" t="s">
        <v>3724</v>
      </c>
      <c r="K414" s="593" t="s">
        <v>5651</v>
      </c>
      <c r="L414" s="595" t="s">
        <v>5652</v>
      </c>
      <c r="M414" s="596"/>
      <c r="N414" s="597" t="s">
        <v>5653</v>
      </c>
      <c r="O414" s="597" t="s">
        <v>3847</v>
      </c>
      <c r="P414" s="676">
        <v>9000</v>
      </c>
      <c r="Q414" s="630"/>
      <c r="R414" s="678">
        <f t="shared" si="25"/>
        <v>0</v>
      </c>
      <c r="S414" s="570">
        <v>202310</v>
      </c>
      <c r="T414" s="687" t="s">
        <v>5654</v>
      </c>
      <c r="U414" s="679"/>
      <c r="V414" s="636">
        <v>0</v>
      </c>
      <c r="W414" s="688"/>
      <c r="X414" s="597">
        <v>44896</v>
      </c>
      <c r="Y414" s="597">
        <v>45260</v>
      </c>
      <c r="Z414" s="688" t="s">
        <v>5651</v>
      </c>
      <c r="AA414" s="691">
        <v>0.3</v>
      </c>
      <c r="AB414" s="692">
        <v>0</v>
      </c>
      <c r="AC414" s="692">
        <f t="shared" si="28"/>
        <v>0</v>
      </c>
    </row>
    <row r="415" spans="1:29" s="385" customFormat="1" ht="15" customHeight="1">
      <c r="A415" s="422" t="s">
        <v>258</v>
      </c>
      <c r="B415" s="423" t="s">
        <v>5428</v>
      </c>
      <c r="C415" s="423" t="s">
        <v>5501</v>
      </c>
      <c r="D415" s="423" t="s">
        <v>71</v>
      </c>
      <c r="E415" s="422" t="s">
        <v>5642</v>
      </c>
      <c r="F415" s="422" t="s">
        <v>5643</v>
      </c>
      <c r="G415" s="422" t="s">
        <v>165</v>
      </c>
      <c r="H415" s="389" t="s">
        <v>5655</v>
      </c>
      <c r="I415" s="369" t="e">
        <f>VLOOKUP(H415,'合同高级查询数据-10月新返回合同'!A:A,1,0)</f>
        <v>#N/A</v>
      </c>
      <c r="J415" s="499" t="s">
        <v>3724</v>
      </c>
      <c r="K415" s="422" t="s">
        <v>5656</v>
      </c>
      <c r="L415" s="424" t="s">
        <v>5657</v>
      </c>
      <c r="M415" s="403" t="s">
        <v>5658</v>
      </c>
      <c r="N415" s="373" t="s">
        <v>5659</v>
      </c>
      <c r="O415" s="425" t="s">
        <v>5660</v>
      </c>
      <c r="P415" s="508">
        <v>0</v>
      </c>
      <c r="Q415" s="460"/>
      <c r="R415" s="509">
        <f t="shared" si="25"/>
        <v>0</v>
      </c>
      <c r="S415" s="378">
        <v>202310</v>
      </c>
      <c r="T415" s="452" t="s">
        <v>5661</v>
      </c>
      <c r="U415" s="502"/>
      <c r="V415" s="503">
        <v>0</v>
      </c>
      <c r="W415" s="510"/>
      <c r="X415" s="425"/>
      <c r="Y415" s="425"/>
      <c r="Z415" s="510" t="s">
        <v>5656</v>
      </c>
      <c r="AA415" s="511">
        <v>0</v>
      </c>
      <c r="AB415" s="512">
        <v>40</v>
      </c>
      <c r="AC415" s="512">
        <v>0</v>
      </c>
    </row>
    <row r="416" spans="1:29" s="577" customFormat="1" ht="15" customHeight="1">
      <c r="A416" s="561" t="s">
        <v>258</v>
      </c>
      <c r="B416" s="594" t="s">
        <v>5528</v>
      </c>
      <c r="C416" s="563" t="s">
        <v>5529</v>
      </c>
      <c r="D416" s="563" t="s">
        <v>71</v>
      </c>
      <c r="E416" s="561" t="s">
        <v>5662</v>
      </c>
      <c r="F416" s="561" t="s">
        <v>5663</v>
      </c>
      <c r="G416" s="624" t="s">
        <v>165</v>
      </c>
      <c r="H416" s="566" t="s">
        <v>5664</v>
      </c>
      <c r="I416" s="565" t="e">
        <f>VLOOKUP(H416,'合同高级查询数据-10月新返回合同'!A:A,1,0)</f>
        <v>#N/A</v>
      </c>
      <c r="J416" s="566" t="s">
        <v>3724</v>
      </c>
      <c r="K416" s="561" t="s">
        <v>5665</v>
      </c>
      <c r="L416" s="624" t="s">
        <v>5666</v>
      </c>
      <c r="M416" s="596"/>
      <c r="N416" s="597" t="s">
        <v>5667</v>
      </c>
      <c r="O416" s="624" t="s">
        <v>5668</v>
      </c>
      <c r="P416" s="676">
        <v>9000</v>
      </c>
      <c r="Q416" s="630">
        <v>13.8</v>
      </c>
      <c r="R416" s="678">
        <f t="shared" si="25"/>
        <v>124200</v>
      </c>
      <c r="S416" s="570">
        <v>202310</v>
      </c>
      <c r="T416" s="588" t="s">
        <v>5669</v>
      </c>
      <c r="U416" s="626"/>
      <c r="V416" s="636">
        <v>13.436886042999999</v>
      </c>
      <c r="W416" s="575">
        <v>14</v>
      </c>
      <c r="X416" s="597">
        <v>44531</v>
      </c>
      <c r="Y416" s="597">
        <v>45260</v>
      </c>
      <c r="Z416" s="688" t="s">
        <v>5670</v>
      </c>
      <c r="AA416" s="691">
        <v>0.3</v>
      </c>
      <c r="AB416" s="692">
        <v>40</v>
      </c>
      <c r="AC416" s="692">
        <f>AA416*AB416</f>
        <v>12</v>
      </c>
    </row>
    <row r="417" spans="1:29" s="577" customFormat="1" ht="15" customHeight="1">
      <c r="A417" s="696" t="s">
        <v>258</v>
      </c>
      <c r="B417" s="696" t="s">
        <v>5528</v>
      </c>
      <c r="C417" s="697" t="s">
        <v>5529</v>
      </c>
      <c r="D417" s="697" t="s">
        <v>71</v>
      </c>
      <c r="E417" s="696" t="s">
        <v>5662</v>
      </c>
      <c r="F417" s="696" t="s">
        <v>5663</v>
      </c>
      <c r="G417" s="624" t="s">
        <v>165</v>
      </c>
      <c r="H417" s="566" t="s">
        <v>5671</v>
      </c>
      <c r="I417" s="565" t="str">
        <f>VLOOKUP(H417,'合同高级查询数据-10月新返回合同'!A:A,1,0)</f>
        <v>182315IDC00535</v>
      </c>
      <c r="J417" s="566" t="s">
        <v>3724</v>
      </c>
      <c r="K417" s="696" t="s">
        <v>5672</v>
      </c>
      <c r="L417" s="624" t="s">
        <v>5673</v>
      </c>
      <c r="M417" s="596" t="s">
        <v>5674</v>
      </c>
      <c r="N417" s="603" t="s">
        <v>5675</v>
      </c>
      <c r="O417" s="624" t="s">
        <v>5676</v>
      </c>
      <c r="P417" s="698">
        <v>9000</v>
      </c>
      <c r="Q417" s="699">
        <v>121</v>
      </c>
      <c r="R417" s="700">
        <f t="shared" si="25"/>
        <v>1089000</v>
      </c>
      <c r="S417" s="570">
        <v>202310</v>
      </c>
      <c r="T417" s="588" t="s">
        <v>5677</v>
      </c>
      <c r="U417" s="626"/>
      <c r="V417" s="636">
        <v>119.09796982899999</v>
      </c>
      <c r="W417" s="701">
        <v>121</v>
      </c>
      <c r="X417" s="597">
        <v>45017</v>
      </c>
      <c r="Y417" s="597">
        <v>45260</v>
      </c>
      <c r="Z417" s="702" t="s">
        <v>5678</v>
      </c>
      <c r="AA417" s="703">
        <v>0.3</v>
      </c>
      <c r="AB417" s="704">
        <v>200</v>
      </c>
      <c r="AC417" s="704">
        <f>AA417*AB417</f>
        <v>60</v>
      </c>
    </row>
    <row r="418" spans="1:29" s="385" customFormat="1" ht="15" customHeight="1">
      <c r="A418" s="518" t="s">
        <v>258</v>
      </c>
      <c r="B418" s="518" t="s">
        <v>5528</v>
      </c>
      <c r="C418" s="519" t="s">
        <v>5529</v>
      </c>
      <c r="D418" s="519" t="s">
        <v>71</v>
      </c>
      <c r="E418" s="518" t="s">
        <v>5662</v>
      </c>
      <c r="F418" s="518" t="s">
        <v>5663</v>
      </c>
      <c r="G418" s="402" t="s">
        <v>165</v>
      </c>
      <c r="H418" s="390" t="s">
        <v>5679</v>
      </c>
      <c r="I418" s="369" t="e">
        <f>VLOOKUP(H418,'合同高级查询数据-10月新返回合同'!A:A,1,0)</f>
        <v>#N/A</v>
      </c>
      <c r="J418" s="390" t="s">
        <v>3724</v>
      </c>
      <c r="K418" s="518" t="s">
        <v>5672</v>
      </c>
      <c r="L418" s="402" t="s">
        <v>5680</v>
      </c>
      <c r="M418" s="403" t="s">
        <v>5681</v>
      </c>
      <c r="N418" s="373" t="s">
        <v>5682</v>
      </c>
      <c r="O418" s="402" t="s">
        <v>5683</v>
      </c>
      <c r="P418" s="520">
        <v>0</v>
      </c>
      <c r="Q418" s="521"/>
      <c r="R418" s="456">
        <f t="shared" si="25"/>
        <v>0</v>
      </c>
      <c r="S418" s="378">
        <v>202310</v>
      </c>
      <c r="T418" s="401" t="s">
        <v>5684</v>
      </c>
      <c r="U418" s="443"/>
      <c r="V418" s="503">
        <v>0</v>
      </c>
      <c r="W418" s="522"/>
      <c r="X418" s="425"/>
      <c r="Y418" s="425"/>
      <c r="Z418" s="511" t="s">
        <v>5685</v>
      </c>
      <c r="AA418" s="523">
        <v>0.3</v>
      </c>
      <c r="AB418" s="524">
        <v>0</v>
      </c>
      <c r="AC418" s="524">
        <f>AA418*AB418</f>
        <v>0</v>
      </c>
    </row>
    <row r="419" spans="1:29" s="577" customFormat="1" ht="15" customHeight="1">
      <c r="A419" s="696" t="s">
        <v>258</v>
      </c>
      <c r="B419" s="696" t="s">
        <v>5528</v>
      </c>
      <c r="C419" s="697" t="s">
        <v>5529</v>
      </c>
      <c r="D419" s="697" t="s">
        <v>71</v>
      </c>
      <c r="E419" s="696" t="s">
        <v>5686</v>
      </c>
      <c r="F419" s="696" t="s">
        <v>5687</v>
      </c>
      <c r="G419" s="624" t="s">
        <v>165</v>
      </c>
      <c r="H419" s="566" t="s">
        <v>5688</v>
      </c>
      <c r="I419" s="565" t="e">
        <f>VLOOKUP(H419,'合同高级查询数据-10月新返回合同'!A:A,1,0)</f>
        <v>#N/A</v>
      </c>
      <c r="J419" s="566" t="s">
        <v>3724</v>
      </c>
      <c r="K419" s="696" t="s">
        <v>5689</v>
      </c>
      <c r="L419" s="624" t="s">
        <v>5687</v>
      </c>
      <c r="M419" s="596" t="s">
        <v>5690</v>
      </c>
      <c r="N419" s="603" t="s">
        <v>5691</v>
      </c>
      <c r="O419" s="624" t="s">
        <v>5692</v>
      </c>
      <c r="P419" s="698">
        <v>9000</v>
      </c>
      <c r="Q419" s="699">
        <v>36</v>
      </c>
      <c r="R419" s="635">
        <f t="shared" si="25"/>
        <v>324000</v>
      </c>
      <c r="S419" s="570">
        <v>202310</v>
      </c>
      <c r="T419" s="588" t="s">
        <v>5693</v>
      </c>
      <c r="U419" s="626"/>
      <c r="V419" s="636">
        <v>10.442586970000001</v>
      </c>
      <c r="W419" s="701"/>
      <c r="X419" s="597">
        <v>45047</v>
      </c>
      <c r="Y419" s="597">
        <v>45260</v>
      </c>
      <c r="Z419" s="691" t="s">
        <v>5694</v>
      </c>
      <c r="AA419" s="703">
        <v>0.3</v>
      </c>
      <c r="AB419" s="704">
        <v>120</v>
      </c>
      <c r="AC419" s="704">
        <f>AA419*AB419</f>
        <v>36</v>
      </c>
    </row>
    <row r="420" spans="1:29" s="577" customFormat="1" ht="15" customHeight="1">
      <c r="A420" s="561" t="s">
        <v>258</v>
      </c>
      <c r="B420" s="594" t="s">
        <v>5528</v>
      </c>
      <c r="C420" s="563" t="s">
        <v>5574</v>
      </c>
      <c r="D420" s="563" t="s">
        <v>71</v>
      </c>
      <c r="E420" s="561" t="s">
        <v>5695</v>
      </c>
      <c r="F420" s="561" t="s">
        <v>5696</v>
      </c>
      <c r="G420" s="624" t="s">
        <v>165</v>
      </c>
      <c r="H420" s="564" t="s">
        <v>5697</v>
      </c>
      <c r="I420" s="565" t="e">
        <f>VLOOKUP(H420,'合同高级查询数据-10月新返回合同'!A:A,1,0)</f>
        <v>#N/A</v>
      </c>
      <c r="J420" s="566" t="s">
        <v>4013</v>
      </c>
      <c r="K420" s="561" t="s">
        <v>5698</v>
      </c>
      <c r="L420" s="624" t="s">
        <v>5699</v>
      </c>
      <c r="M420" s="596"/>
      <c r="N420" s="597" t="s">
        <v>5700</v>
      </c>
      <c r="O420" s="607" t="s">
        <v>5701</v>
      </c>
      <c r="P420" s="676">
        <v>9000</v>
      </c>
      <c r="Q420" s="630">
        <v>0</v>
      </c>
      <c r="R420" s="678">
        <f t="shared" si="25"/>
        <v>0</v>
      </c>
      <c r="S420" s="570">
        <v>202310</v>
      </c>
      <c r="T420" s="571" t="s">
        <v>5702</v>
      </c>
      <c r="U420" s="626"/>
      <c r="V420" s="636">
        <v>0</v>
      </c>
      <c r="W420" s="628"/>
      <c r="X420" s="597">
        <v>44562</v>
      </c>
      <c r="Y420" s="597">
        <v>45291</v>
      </c>
      <c r="Z420" s="691" t="s">
        <v>5703</v>
      </c>
      <c r="AA420" s="691">
        <v>0.3</v>
      </c>
      <c r="AB420" s="692">
        <v>0</v>
      </c>
      <c r="AC420" s="692">
        <f t="shared" ref="AC420:AC438" si="29">AA420*AB420</f>
        <v>0</v>
      </c>
    </row>
    <row r="421" spans="1:29" s="577" customFormat="1" ht="15" customHeight="1">
      <c r="A421" s="561" t="s">
        <v>258</v>
      </c>
      <c r="B421" s="594" t="s">
        <v>5528</v>
      </c>
      <c r="C421" s="563" t="s">
        <v>5574</v>
      </c>
      <c r="D421" s="563" t="s">
        <v>71</v>
      </c>
      <c r="E421" s="561" t="s">
        <v>5695</v>
      </c>
      <c r="F421" s="561" t="s">
        <v>5696</v>
      </c>
      <c r="G421" s="624" t="s">
        <v>165</v>
      </c>
      <c r="H421" s="564" t="s">
        <v>5697</v>
      </c>
      <c r="I421" s="565" t="e">
        <f>VLOOKUP(H421,'合同高级查询数据-10月新返回合同'!A:A,1,0)</f>
        <v>#N/A</v>
      </c>
      <c r="J421" s="566" t="s">
        <v>3724</v>
      </c>
      <c r="K421" s="561" t="s">
        <v>5704</v>
      </c>
      <c r="L421" s="624" t="s">
        <v>5705</v>
      </c>
      <c r="M421" s="596"/>
      <c r="N421" s="597" t="s">
        <v>5706</v>
      </c>
      <c r="O421" s="624" t="s">
        <v>5707</v>
      </c>
      <c r="P421" s="676">
        <v>9000</v>
      </c>
      <c r="Q421" s="630"/>
      <c r="R421" s="678">
        <f t="shared" si="25"/>
        <v>0</v>
      </c>
      <c r="S421" s="570">
        <v>202310</v>
      </c>
      <c r="T421" s="571" t="s">
        <v>5708</v>
      </c>
      <c r="U421" s="626"/>
      <c r="V421" s="636">
        <v>0</v>
      </c>
      <c r="W421" s="680"/>
      <c r="X421" s="597">
        <v>44562</v>
      </c>
      <c r="Y421" s="597">
        <v>45291</v>
      </c>
      <c r="Z421" s="691" t="s">
        <v>5709</v>
      </c>
      <c r="AA421" s="691">
        <v>0.3</v>
      </c>
      <c r="AB421" s="692">
        <v>0</v>
      </c>
      <c r="AC421" s="692">
        <f t="shared" si="29"/>
        <v>0</v>
      </c>
    </row>
    <row r="422" spans="1:29" s="577" customFormat="1" ht="15" customHeight="1">
      <c r="A422" s="561" t="s">
        <v>258</v>
      </c>
      <c r="B422" s="594" t="s">
        <v>5528</v>
      </c>
      <c r="C422" s="563" t="s">
        <v>5574</v>
      </c>
      <c r="D422" s="563" t="s">
        <v>71</v>
      </c>
      <c r="E422" s="561" t="s">
        <v>5695</v>
      </c>
      <c r="F422" s="561" t="s">
        <v>5696</v>
      </c>
      <c r="G422" s="624" t="s">
        <v>165</v>
      </c>
      <c r="H422" s="564" t="s">
        <v>5697</v>
      </c>
      <c r="I422" s="565" t="e">
        <f>VLOOKUP(H422,'合同高级查询数据-10月新返回合同'!A:A,1,0)</f>
        <v>#N/A</v>
      </c>
      <c r="J422" s="566" t="s">
        <v>3724</v>
      </c>
      <c r="K422" s="561" t="s">
        <v>5710</v>
      </c>
      <c r="L422" s="624" t="s">
        <v>5711</v>
      </c>
      <c r="M422" s="596"/>
      <c r="N422" s="597" t="s">
        <v>5712</v>
      </c>
      <c r="O422" s="624" t="s">
        <v>5199</v>
      </c>
      <c r="P422" s="676">
        <v>9000</v>
      </c>
      <c r="Q422" s="630"/>
      <c r="R422" s="678">
        <f t="shared" si="25"/>
        <v>0</v>
      </c>
      <c r="S422" s="570">
        <v>202310</v>
      </c>
      <c r="T422" s="571" t="s">
        <v>5713</v>
      </c>
      <c r="U422" s="626"/>
      <c r="V422" s="636">
        <v>0</v>
      </c>
      <c r="W422" s="680"/>
      <c r="X422" s="597">
        <v>44562</v>
      </c>
      <c r="Y422" s="597">
        <v>45291</v>
      </c>
      <c r="Z422" s="691" t="s">
        <v>5714</v>
      </c>
      <c r="AA422" s="691"/>
      <c r="AB422" s="692"/>
      <c r="AC422" s="692">
        <f t="shared" si="29"/>
        <v>0</v>
      </c>
    </row>
    <row r="423" spans="1:29" s="577" customFormat="1" ht="15" customHeight="1">
      <c r="A423" s="561" t="s">
        <v>258</v>
      </c>
      <c r="B423" s="594" t="s">
        <v>5528</v>
      </c>
      <c r="C423" s="563" t="s">
        <v>5574</v>
      </c>
      <c r="D423" s="563" t="s">
        <v>71</v>
      </c>
      <c r="E423" s="561" t="s">
        <v>5695</v>
      </c>
      <c r="F423" s="561" t="s">
        <v>5696</v>
      </c>
      <c r="G423" s="624" t="s">
        <v>165</v>
      </c>
      <c r="H423" s="564" t="s">
        <v>5697</v>
      </c>
      <c r="I423" s="565" t="e">
        <f>VLOOKUP(H423,'合同高级查询数据-10月新返回合同'!A:A,1,0)</f>
        <v>#N/A</v>
      </c>
      <c r="J423" s="566" t="s">
        <v>3724</v>
      </c>
      <c r="K423" s="561" t="s">
        <v>5715</v>
      </c>
      <c r="L423" s="624" t="s">
        <v>5716</v>
      </c>
      <c r="M423" s="596"/>
      <c r="N423" s="597" t="s">
        <v>5717</v>
      </c>
      <c r="O423" s="624" t="s">
        <v>5525</v>
      </c>
      <c r="P423" s="676">
        <v>9000</v>
      </c>
      <c r="Q423" s="630"/>
      <c r="R423" s="678">
        <f t="shared" si="25"/>
        <v>0</v>
      </c>
      <c r="S423" s="570">
        <v>202310</v>
      </c>
      <c r="T423" s="571" t="s">
        <v>5718</v>
      </c>
      <c r="U423" s="626"/>
      <c r="V423" s="636">
        <v>0</v>
      </c>
      <c r="W423" s="680"/>
      <c r="X423" s="597">
        <v>44562</v>
      </c>
      <c r="Y423" s="597">
        <v>45291</v>
      </c>
      <c r="Z423" s="691" t="s">
        <v>5719</v>
      </c>
      <c r="AA423" s="691"/>
      <c r="AB423" s="692">
        <v>0</v>
      </c>
      <c r="AC423" s="692">
        <f t="shared" si="29"/>
        <v>0</v>
      </c>
    </row>
    <row r="424" spans="1:29" s="577" customFormat="1" ht="15" customHeight="1">
      <c r="A424" s="561" t="s">
        <v>258</v>
      </c>
      <c r="B424" s="594" t="s">
        <v>5528</v>
      </c>
      <c r="C424" s="563" t="s">
        <v>5574</v>
      </c>
      <c r="D424" s="563" t="s">
        <v>71</v>
      </c>
      <c r="E424" s="561" t="s">
        <v>5695</v>
      </c>
      <c r="F424" s="561" t="s">
        <v>5696</v>
      </c>
      <c r="G424" s="624" t="s">
        <v>165</v>
      </c>
      <c r="H424" s="564" t="s">
        <v>5697</v>
      </c>
      <c r="I424" s="565" t="e">
        <f>VLOOKUP(H424,'合同高级查询数据-10月新返回合同'!A:A,1,0)</f>
        <v>#N/A</v>
      </c>
      <c r="J424" s="566" t="s">
        <v>3724</v>
      </c>
      <c r="K424" s="561" t="s">
        <v>5720</v>
      </c>
      <c r="L424" s="624" t="s">
        <v>5721</v>
      </c>
      <c r="M424" s="596"/>
      <c r="N424" s="597" t="s">
        <v>5722</v>
      </c>
      <c r="O424" s="624" t="s">
        <v>5199</v>
      </c>
      <c r="P424" s="676">
        <v>9000</v>
      </c>
      <c r="Q424" s="630"/>
      <c r="R424" s="678">
        <f t="shared" si="25"/>
        <v>0</v>
      </c>
      <c r="S424" s="570">
        <v>202310</v>
      </c>
      <c r="T424" s="571" t="s">
        <v>5723</v>
      </c>
      <c r="U424" s="626"/>
      <c r="V424" s="636">
        <v>0</v>
      </c>
      <c r="W424" s="680"/>
      <c r="X424" s="597">
        <v>44562</v>
      </c>
      <c r="Y424" s="597">
        <v>45291</v>
      </c>
      <c r="Z424" s="691" t="s">
        <v>5724</v>
      </c>
      <c r="AA424" s="691"/>
      <c r="AB424" s="692">
        <v>0</v>
      </c>
      <c r="AC424" s="692">
        <f t="shared" si="29"/>
        <v>0</v>
      </c>
    </row>
    <row r="425" spans="1:29" s="577" customFormat="1" ht="15" customHeight="1">
      <c r="A425" s="561" t="s">
        <v>258</v>
      </c>
      <c r="B425" s="594" t="s">
        <v>5528</v>
      </c>
      <c r="C425" s="563" t="s">
        <v>5574</v>
      </c>
      <c r="D425" s="563" t="s">
        <v>71</v>
      </c>
      <c r="E425" s="561" t="s">
        <v>5695</v>
      </c>
      <c r="F425" s="561" t="s">
        <v>5696</v>
      </c>
      <c r="G425" s="624" t="s">
        <v>165</v>
      </c>
      <c r="H425" s="564" t="s">
        <v>5697</v>
      </c>
      <c r="I425" s="565" t="e">
        <f>VLOOKUP(H425,'合同高级查询数据-10月新返回合同'!A:A,1,0)</f>
        <v>#N/A</v>
      </c>
      <c r="J425" s="566" t="s">
        <v>3724</v>
      </c>
      <c r="K425" s="561" t="s">
        <v>5725</v>
      </c>
      <c r="L425" s="624" t="s">
        <v>5726</v>
      </c>
      <c r="M425" s="596"/>
      <c r="N425" s="597" t="s">
        <v>5727</v>
      </c>
      <c r="O425" s="624" t="s">
        <v>5525</v>
      </c>
      <c r="P425" s="676">
        <v>9000</v>
      </c>
      <c r="Q425" s="630"/>
      <c r="R425" s="678">
        <f t="shared" si="25"/>
        <v>0</v>
      </c>
      <c r="S425" s="570">
        <v>202310</v>
      </c>
      <c r="T425" s="571" t="s">
        <v>5728</v>
      </c>
      <c r="U425" s="626"/>
      <c r="V425" s="636">
        <v>0</v>
      </c>
      <c r="W425" s="680"/>
      <c r="X425" s="597">
        <v>44562</v>
      </c>
      <c r="Y425" s="597">
        <v>45291</v>
      </c>
      <c r="Z425" s="691" t="s">
        <v>5729</v>
      </c>
      <c r="AA425" s="691"/>
      <c r="AB425" s="692">
        <v>0</v>
      </c>
      <c r="AC425" s="692">
        <f t="shared" si="29"/>
        <v>0</v>
      </c>
    </row>
    <row r="426" spans="1:29" s="577" customFormat="1" ht="15" customHeight="1">
      <c r="A426" s="561" t="s">
        <v>258</v>
      </c>
      <c r="B426" s="594" t="s">
        <v>5528</v>
      </c>
      <c r="C426" s="563" t="s">
        <v>5574</v>
      </c>
      <c r="D426" s="563" t="s">
        <v>71</v>
      </c>
      <c r="E426" s="561" t="s">
        <v>5695</v>
      </c>
      <c r="F426" s="561" t="s">
        <v>5696</v>
      </c>
      <c r="G426" s="624" t="s">
        <v>165</v>
      </c>
      <c r="H426" s="564" t="s">
        <v>5697</v>
      </c>
      <c r="I426" s="565" t="e">
        <f>VLOOKUP(H426,'合同高级查询数据-10月新返回合同'!A:A,1,0)</f>
        <v>#N/A</v>
      </c>
      <c r="J426" s="566" t="s">
        <v>3724</v>
      </c>
      <c r="K426" s="561" t="s">
        <v>5730</v>
      </c>
      <c r="L426" s="624" t="s">
        <v>5731</v>
      </c>
      <c r="M426" s="596"/>
      <c r="N426" s="597" t="s">
        <v>5732</v>
      </c>
      <c r="O426" s="624" t="s">
        <v>5733</v>
      </c>
      <c r="P426" s="676">
        <v>9000</v>
      </c>
      <c r="Q426" s="630">
        <v>0.35000000000000142</v>
      </c>
      <c r="R426" s="678">
        <f t="shared" si="25"/>
        <v>3150</v>
      </c>
      <c r="S426" s="570">
        <v>202306</v>
      </c>
      <c r="T426" s="571" t="s">
        <v>5734</v>
      </c>
      <c r="U426" s="626"/>
      <c r="V426" s="636"/>
      <c r="W426" s="680"/>
      <c r="X426" s="597">
        <v>44562</v>
      </c>
      <c r="Y426" s="597">
        <v>45291</v>
      </c>
      <c r="Z426" s="691"/>
      <c r="AA426" s="691"/>
      <c r="AB426" s="692"/>
      <c r="AC426" s="692"/>
    </row>
    <row r="427" spans="1:29" s="577" customFormat="1" ht="15" customHeight="1">
      <c r="A427" s="561" t="s">
        <v>258</v>
      </c>
      <c r="B427" s="594" t="s">
        <v>5528</v>
      </c>
      <c r="C427" s="563" t="s">
        <v>5574</v>
      </c>
      <c r="D427" s="563" t="s">
        <v>71</v>
      </c>
      <c r="E427" s="561" t="s">
        <v>5695</v>
      </c>
      <c r="F427" s="561" t="s">
        <v>5696</v>
      </c>
      <c r="G427" s="624" t="s">
        <v>165</v>
      </c>
      <c r="H427" s="564" t="s">
        <v>5697</v>
      </c>
      <c r="I427" s="565" t="e">
        <f>VLOOKUP(H427,'合同高级查询数据-10月新返回合同'!A:A,1,0)</f>
        <v>#N/A</v>
      </c>
      <c r="J427" s="566" t="s">
        <v>3724</v>
      </c>
      <c r="K427" s="561" t="s">
        <v>5730</v>
      </c>
      <c r="L427" s="624" t="s">
        <v>5731</v>
      </c>
      <c r="M427" s="596"/>
      <c r="N427" s="597" t="s">
        <v>5732</v>
      </c>
      <c r="O427" s="624" t="s">
        <v>5733</v>
      </c>
      <c r="P427" s="676">
        <v>9000</v>
      </c>
      <c r="Q427" s="630">
        <v>0.38000000000000256</v>
      </c>
      <c r="R427" s="678">
        <f t="shared" si="25"/>
        <v>3420</v>
      </c>
      <c r="S427" s="570">
        <v>202307</v>
      </c>
      <c r="T427" s="571" t="s">
        <v>5735</v>
      </c>
      <c r="U427" s="626"/>
      <c r="V427" s="636"/>
      <c r="W427" s="680"/>
      <c r="X427" s="597">
        <v>44562</v>
      </c>
      <c r="Y427" s="597">
        <v>45291</v>
      </c>
      <c r="Z427" s="691"/>
      <c r="AA427" s="691"/>
      <c r="AB427" s="692"/>
      <c r="AC427" s="692"/>
    </row>
    <row r="428" spans="1:29" s="577" customFormat="1" ht="15" customHeight="1">
      <c r="A428" s="561" t="s">
        <v>258</v>
      </c>
      <c r="B428" s="594" t="s">
        <v>5528</v>
      </c>
      <c r="C428" s="563" t="s">
        <v>5574</v>
      </c>
      <c r="D428" s="563" t="s">
        <v>71</v>
      </c>
      <c r="E428" s="561" t="s">
        <v>5695</v>
      </c>
      <c r="F428" s="561" t="s">
        <v>5696</v>
      </c>
      <c r="G428" s="624" t="s">
        <v>165</v>
      </c>
      <c r="H428" s="564" t="s">
        <v>5697</v>
      </c>
      <c r="I428" s="565" t="e">
        <f>VLOOKUP(H428,'合同高级查询数据-10月新返回合同'!A:A,1,0)</f>
        <v>#N/A</v>
      </c>
      <c r="J428" s="566" t="s">
        <v>3724</v>
      </c>
      <c r="K428" s="561" t="s">
        <v>5730</v>
      </c>
      <c r="L428" s="624" t="s">
        <v>5731</v>
      </c>
      <c r="M428" s="596"/>
      <c r="N428" s="597" t="s">
        <v>5732</v>
      </c>
      <c r="O428" s="624" t="s">
        <v>5733</v>
      </c>
      <c r="P428" s="676">
        <v>9000</v>
      </c>
      <c r="Q428" s="630">
        <v>0.11500000000000199</v>
      </c>
      <c r="R428" s="678">
        <f t="shared" si="25"/>
        <v>1035</v>
      </c>
      <c r="S428" s="570">
        <v>202308</v>
      </c>
      <c r="T428" s="571" t="s">
        <v>5736</v>
      </c>
      <c r="U428" s="626"/>
      <c r="V428" s="636"/>
      <c r="W428" s="680"/>
      <c r="X428" s="597">
        <v>44562</v>
      </c>
      <c r="Y428" s="597">
        <v>45291</v>
      </c>
      <c r="Z428" s="691"/>
      <c r="AA428" s="691"/>
      <c r="AB428" s="692"/>
      <c r="AC428" s="692"/>
    </row>
    <row r="429" spans="1:29" s="577" customFormat="1" ht="15" customHeight="1">
      <c r="A429" s="561" t="s">
        <v>258</v>
      </c>
      <c r="B429" s="594" t="s">
        <v>5528</v>
      </c>
      <c r="C429" s="563" t="s">
        <v>5574</v>
      </c>
      <c r="D429" s="563" t="s">
        <v>71</v>
      </c>
      <c r="E429" s="561" t="s">
        <v>5695</v>
      </c>
      <c r="F429" s="561" t="s">
        <v>5696</v>
      </c>
      <c r="G429" s="624" t="s">
        <v>165</v>
      </c>
      <c r="H429" s="564" t="s">
        <v>5697</v>
      </c>
      <c r="I429" s="565" t="e">
        <f>VLOOKUP(H429,'合同高级查询数据-10月新返回合同'!A:A,1,0)</f>
        <v>#N/A</v>
      </c>
      <c r="J429" s="566" t="s">
        <v>3724</v>
      </c>
      <c r="K429" s="561" t="s">
        <v>5730</v>
      </c>
      <c r="L429" s="624" t="s">
        <v>5731</v>
      </c>
      <c r="M429" s="596"/>
      <c r="N429" s="597" t="s">
        <v>5732</v>
      </c>
      <c r="O429" s="624" t="s">
        <v>5733</v>
      </c>
      <c r="P429" s="676">
        <v>9000</v>
      </c>
      <c r="Q429" s="630">
        <v>0.32000000000000028</v>
      </c>
      <c r="R429" s="678">
        <f t="shared" si="25"/>
        <v>2880</v>
      </c>
      <c r="S429" s="570">
        <v>202309</v>
      </c>
      <c r="T429" s="571" t="s">
        <v>5737</v>
      </c>
      <c r="U429" s="626"/>
      <c r="V429" s="636"/>
      <c r="W429" s="680"/>
      <c r="X429" s="597">
        <v>44562</v>
      </c>
      <c r="Y429" s="597">
        <v>45291</v>
      </c>
      <c r="Z429" s="691"/>
      <c r="AA429" s="691"/>
      <c r="AB429" s="692"/>
      <c r="AC429" s="692"/>
    </row>
    <row r="430" spans="1:29" s="577" customFormat="1" ht="15" customHeight="1">
      <c r="A430" s="561" t="s">
        <v>258</v>
      </c>
      <c r="B430" s="594" t="s">
        <v>5528</v>
      </c>
      <c r="C430" s="563" t="s">
        <v>5574</v>
      </c>
      <c r="D430" s="563" t="s">
        <v>71</v>
      </c>
      <c r="E430" s="561" t="s">
        <v>5695</v>
      </c>
      <c r="F430" s="561" t="s">
        <v>5696</v>
      </c>
      <c r="G430" s="624" t="s">
        <v>165</v>
      </c>
      <c r="H430" s="564" t="s">
        <v>5697</v>
      </c>
      <c r="I430" s="565" t="e">
        <f>VLOOKUP(H430,'合同高级查询数据-10月新返回合同'!A:A,1,0)</f>
        <v>#N/A</v>
      </c>
      <c r="J430" s="566" t="s">
        <v>3724</v>
      </c>
      <c r="K430" s="561" t="s">
        <v>5730</v>
      </c>
      <c r="L430" s="624" t="s">
        <v>5731</v>
      </c>
      <c r="M430" s="596"/>
      <c r="N430" s="603" t="s">
        <v>5732</v>
      </c>
      <c r="O430" s="607" t="s">
        <v>5733</v>
      </c>
      <c r="P430" s="676">
        <v>9000</v>
      </c>
      <c r="Q430" s="630">
        <v>19.59</v>
      </c>
      <c r="R430" s="678">
        <f t="shared" si="25"/>
        <v>176310</v>
      </c>
      <c r="S430" s="570">
        <v>202310</v>
      </c>
      <c r="T430" s="571" t="s">
        <v>5738</v>
      </c>
      <c r="U430" s="626"/>
      <c r="V430" s="636">
        <v>19.589121246000001</v>
      </c>
      <c r="W430" s="628"/>
      <c r="X430" s="597">
        <v>44562</v>
      </c>
      <c r="Y430" s="597">
        <v>45291</v>
      </c>
      <c r="Z430" s="691" t="s">
        <v>5739</v>
      </c>
      <c r="AA430" s="691">
        <v>0.3</v>
      </c>
      <c r="AB430" s="692">
        <v>60</v>
      </c>
      <c r="AC430" s="692">
        <f t="shared" si="29"/>
        <v>18</v>
      </c>
    </row>
    <row r="431" spans="1:29" s="385" customFormat="1" ht="15" customHeight="1">
      <c r="A431" s="386" t="s">
        <v>258</v>
      </c>
      <c r="B431" s="423" t="s">
        <v>5528</v>
      </c>
      <c r="C431" s="388" t="s">
        <v>5574</v>
      </c>
      <c r="D431" s="388" t="s">
        <v>71</v>
      </c>
      <c r="E431" s="386" t="s">
        <v>5695</v>
      </c>
      <c r="F431" s="386" t="s">
        <v>5740</v>
      </c>
      <c r="G431" s="402" t="s">
        <v>165</v>
      </c>
      <c r="H431" s="389" t="s">
        <v>5741</v>
      </c>
      <c r="I431" s="369" t="e">
        <f>VLOOKUP(H431,'合同高级查询数据-10月新返回合同'!A:A,1,0)</f>
        <v>#N/A</v>
      </c>
      <c r="J431" s="390" t="s">
        <v>3724</v>
      </c>
      <c r="K431" s="386" t="s">
        <v>5742</v>
      </c>
      <c r="L431" s="402" t="s">
        <v>5743</v>
      </c>
      <c r="M431" s="403"/>
      <c r="N431" s="425" t="s">
        <v>5744</v>
      </c>
      <c r="O431" s="402" t="s">
        <v>5745</v>
      </c>
      <c r="P431" s="508">
        <v>9000</v>
      </c>
      <c r="Q431" s="460"/>
      <c r="R431" s="509">
        <f t="shared" si="25"/>
        <v>0</v>
      </c>
      <c r="S431" s="378">
        <v>202310</v>
      </c>
      <c r="T431" s="394" t="s">
        <v>5746</v>
      </c>
      <c r="U431" s="443"/>
      <c r="V431" s="503">
        <v>0</v>
      </c>
      <c r="W431" s="515"/>
      <c r="X431" s="425"/>
      <c r="Y431" s="425"/>
      <c r="Z431" s="511" t="s">
        <v>5747</v>
      </c>
      <c r="AA431" s="511">
        <v>0.3</v>
      </c>
      <c r="AB431" s="512"/>
      <c r="AC431" s="512">
        <f t="shared" si="29"/>
        <v>0</v>
      </c>
    </row>
    <row r="432" spans="1:29" s="385" customFormat="1" ht="15" customHeight="1">
      <c r="A432" s="386" t="s">
        <v>258</v>
      </c>
      <c r="B432" s="423" t="s">
        <v>5528</v>
      </c>
      <c r="C432" s="388" t="s">
        <v>5574</v>
      </c>
      <c r="D432" s="388" t="s">
        <v>71</v>
      </c>
      <c r="E432" s="386" t="s">
        <v>5695</v>
      </c>
      <c r="F432" s="386" t="s">
        <v>5748</v>
      </c>
      <c r="G432" s="402" t="s">
        <v>165</v>
      </c>
      <c r="H432" s="389" t="s">
        <v>5741</v>
      </c>
      <c r="I432" s="369" t="e">
        <f>VLOOKUP(H432,'合同高级查询数据-10月新返回合同'!A:A,1,0)</f>
        <v>#N/A</v>
      </c>
      <c r="J432" s="390" t="s">
        <v>3724</v>
      </c>
      <c r="K432" s="386" t="s">
        <v>5749</v>
      </c>
      <c r="L432" s="402" t="s">
        <v>5750</v>
      </c>
      <c r="M432" s="403"/>
      <c r="N432" s="425" t="s">
        <v>5751</v>
      </c>
      <c r="O432" s="402" t="s">
        <v>5199</v>
      </c>
      <c r="P432" s="508">
        <v>9000</v>
      </c>
      <c r="Q432" s="460"/>
      <c r="R432" s="509">
        <f t="shared" si="25"/>
        <v>0</v>
      </c>
      <c r="S432" s="378">
        <v>202310</v>
      </c>
      <c r="T432" s="394" t="s">
        <v>5752</v>
      </c>
      <c r="U432" s="443"/>
      <c r="V432" s="503">
        <v>0</v>
      </c>
      <c r="W432" s="515"/>
      <c r="X432" s="425"/>
      <c r="Y432" s="425"/>
      <c r="Z432" s="511" t="s">
        <v>5753</v>
      </c>
      <c r="AA432" s="511">
        <v>0.3</v>
      </c>
      <c r="AB432" s="512"/>
      <c r="AC432" s="512">
        <f t="shared" si="29"/>
        <v>0</v>
      </c>
    </row>
    <row r="433" spans="1:29" s="577" customFormat="1" ht="15" customHeight="1">
      <c r="A433" s="563" t="s">
        <v>258</v>
      </c>
      <c r="B433" s="593" t="s">
        <v>5559</v>
      </c>
      <c r="C433" s="563" t="s">
        <v>5621</v>
      </c>
      <c r="D433" s="561" t="s">
        <v>71</v>
      </c>
      <c r="E433" s="563" t="s">
        <v>5754</v>
      </c>
      <c r="F433" s="563" t="s">
        <v>5755</v>
      </c>
      <c r="G433" s="563" t="s">
        <v>165</v>
      </c>
      <c r="H433" s="564" t="s">
        <v>5756</v>
      </c>
      <c r="I433" s="565" t="e">
        <f>VLOOKUP(H433,'合同高级查询数据-10月新返回合同'!A:A,1,0)</f>
        <v>#N/A</v>
      </c>
      <c r="J433" s="674" t="s">
        <v>3724</v>
      </c>
      <c r="K433" s="563" t="s">
        <v>5625</v>
      </c>
      <c r="L433" s="675" t="s">
        <v>5757</v>
      </c>
      <c r="M433" s="596" t="s">
        <v>5758</v>
      </c>
      <c r="N433" s="597">
        <v>43466</v>
      </c>
      <c r="O433" s="624" t="s">
        <v>2509</v>
      </c>
      <c r="P433" s="676">
        <v>11500</v>
      </c>
      <c r="Q433" s="630">
        <v>1</v>
      </c>
      <c r="R433" s="678">
        <f t="shared" si="25"/>
        <v>11500</v>
      </c>
      <c r="S433" s="570">
        <v>202310</v>
      </c>
      <c r="T433" s="693" t="s">
        <v>5759</v>
      </c>
      <c r="U433" s="688"/>
      <c r="V433" s="636">
        <v>0.57513273099999995</v>
      </c>
      <c r="W433" s="680"/>
      <c r="X433" s="597">
        <v>44927</v>
      </c>
      <c r="Y433" s="597">
        <v>45291</v>
      </c>
      <c r="Z433" s="691" t="s">
        <v>5760</v>
      </c>
      <c r="AA433" s="691">
        <v>0.1</v>
      </c>
      <c r="AB433" s="692">
        <v>10</v>
      </c>
      <c r="AC433" s="692">
        <f t="shared" si="29"/>
        <v>1</v>
      </c>
    </row>
    <row r="434" spans="1:29" s="577" customFormat="1" ht="15" customHeight="1">
      <c r="A434" s="593" t="s">
        <v>258</v>
      </c>
      <c r="B434" s="594" t="s">
        <v>5428</v>
      </c>
      <c r="C434" s="594" t="s">
        <v>5601</v>
      </c>
      <c r="D434" s="594" t="s">
        <v>71</v>
      </c>
      <c r="E434" s="593" t="s">
        <v>5761</v>
      </c>
      <c r="F434" s="593" t="s">
        <v>5762</v>
      </c>
      <c r="G434" s="593" t="s">
        <v>165</v>
      </c>
      <c r="H434" s="564" t="s">
        <v>5763</v>
      </c>
      <c r="I434" s="565" t="e">
        <f>VLOOKUP(H434,'合同高级查询数据-10月新返回合同'!A:A,1,0)</f>
        <v>#N/A</v>
      </c>
      <c r="J434" s="674" t="s">
        <v>3724</v>
      </c>
      <c r="K434" s="593" t="s">
        <v>5764</v>
      </c>
      <c r="L434" s="595" t="s">
        <v>5762</v>
      </c>
      <c r="M434" s="596"/>
      <c r="N434" s="597" t="s">
        <v>5765</v>
      </c>
      <c r="O434" s="597" t="s">
        <v>5766</v>
      </c>
      <c r="P434" s="676">
        <v>9000</v>
      </c>
      <c r="Q434" s="630">
        <v>69.400000000000006</v>
      </c>
      <c r="R434" s="678">
        <f t="shared" si="25"/>
        <v>624600</v>
      </c>
      <c r="S434" s="570">
        <v>202310</v>
      </c>
      <c r="T434" s="687" t="s">
        <v>9555</v>
      </c>
      <c r="U434" s="679"/>
      <c r="V434" s="636">
        <v>68.177478179999994</v>
      </c>
      <c r="W434" s="705">
        <v>70.5</v>
      </c>
      <c r="X434" s="597">
        <v>44713</v>
      </c>
      <c r="Y434" s="597">
        <v>45443</v>
      </c>
      <c r="Z434" s="691" t="s">
        <v>5767</v>
      </c>
      <c r="AA434" s="691">
        <v>0.3</v>
      </c>
      <c r="AB434" s="692">
        <v>220</v>
      </c>
      <c r="AC434" s="692">
        <f t="shared" si="29"/>
        <v>66</v>
      </c>
    </row>
    <row r="435" spans="1:29" s="577" customFormat="1" ht="15" customHeight="1">
      <c r="A435" s="593" t="s">
        <v>258</v>
      </c>
      <c r="B435" s="594" t="s">
        <v>5428</v>
      </c>
      <c r="C435" s="594" t="s">
        <v>5601</v>
      </c>
      <c r="D435" s="594" t="s">
        <v>71</v>
      </c>
      <c r="E435" s="593" t="s">
        <v>5761</v>
      </c>
      <c r="F435" s="593" t="s">
        <v>5762</v>
      </c>
      <c r="G435" s="593" t="s">
        <v>165</v>
      </c>
      <c r="H435" s="564" t="s">
        <v>5763</v>
      </c>
      <c r="I435" s="565" t="e">
        <f>VLOOKUP(H435,'合同高级查询数据-10月新返回合同'!A:A,1,0)</f>
        <v>#N/A</v>
      </c>
      <c r="J435" s="674" t="s">
        <v>3724</v>
      </c>
      <c r="K435" s="593" t="s">
        <v>5768</v>
      </c>
      <c r="L435" s="595" t="s">
        <v>5769</v>
      </c>
      <c r="M435" s="596"/>
      <c r="N435" s="597" t="s">
        <v>5770</v>
      </c>
      <c r="O435" s="597" t="s">
        <v>5771</v>
      </c>
      <c r="P435" s="676">
        <v>9000</v>
      </c>
      <c r="Q435" s="630"/>
      <c r="R435" s="678">
        <f t="shared" si="25"/>
        <v>0</v>
      </c>
      <c r="S435" s="570">
        <v>202310</v>
      </c>
      <c r="T435" s="687" t="s">
        <v>5772</v>
      </c>
      <c r="U435" s="679"/>
      <c r="V435" s="636">
        <v>0</v>
      </c>
      <c r="W435" s="688"/>
      <c r="X435" s="597">
        <v>44713</v>
      </c>
      <c r="Y435" s="597">
        <v>45443</v>
      </c>
      <c r="Z435" s="691" t="s">
        <v>5773</v>
      </c>
      <c r="AA435" s="691">
        <v>0.3</v>
      </c>
      <c r="AB435" s="692">
        <v>0</v>
      </c>
      <c r="AC435" s="692">
        <f t="shared" si="29"/>
        <v>0</v>
      </c>
    </row>
    <row r="436" spans="1:29" s="385" customFormat="1" ht="15" customHeight="1">
      <c r="A436" s="422" t="s">
        <v>258</v>
      </c>
      <c r="B436" s="423" t="s">
        <v>5428</v>
      </c>
      <c r="C436" s="423" t="s">
        <v>5601</v>
      </c>
      <c r="D436" s="423" t="s">
        <v>71</v>
      </c>
      <c r="E436" s="422" t="s">
        <v>5761</v>
      </c>
      <c r="F436" s="422" t="s">
        <v>5762</v>
      </c>
      <c r="G436" s="422" t="s">
        <v>165</v>
      </c>
      <c r="H436" s="389" t="s">
        <v>5774</v>
      </c>
      <c r="I436" s="369" t="e">
        <f>VLOOKUP(H436,'合同高级查询数据-10月新返回合同'!A:A,1,0)</f>
        <v>#N/A</v>
      </c>
      <c r="J436" s="499" t="s">
        <v>3724</v>
      </c>
      <c r="K436" s="422" t="s">
        <v>5764</v>
      </c>
      <c r="L436" s="424" t="s">
        <v>5775</v>
      </c>
      <c r="M436" s="403"/>
      <c r="N436" s="373" t="s">
        <v>5776</v>
      </c>
      <c r="O436" s="373" t="s">
        <v>5777</v>
      </c>
      <c r="P436" s="508">
        <v>0</v>
      </c>
      <c r="Q436" s="460"/>
      <c r="R436" s="509">
        <f t="shared" si="25"/>
        <v>0</v>
      </c>
      <c r="S436" s="378">
        <v>202310</v>
      </c>
      <c r="T436" s="452" t="s">
        <v>5778</v>
      </c>
      <c r="U436" s="502"/>
      <c r="V436" s="503">
        <v>0</v>
      </c>
      <c r="W436" s="510"/>
      <c r="X436" s="425"/>
      <c r="Y436" s="425"/>
      <c r="Z436" s="511" t="s">
        <v>5779</v>
      </c>
      <c r="AA436" s="511">
        <v>0.3</v>
      </c>
      <c r="AB436" s="512">
        <v>0</v>
      </c>
      <c r="AC436" s="512">
        <f t="shared" si="29"/>
        <v>0</v>
      </c>
    </row>
    <row r="437" spans="1:29" s="577" customFormat="1" ht="15" customHeight="1">
      <c r="A437" s="593" t="s">
        <v>258</v>
      </c>
      <c r="B437" s="594" t="s">
        <v>5428</v>
      </c>
      <c r="C437" s="594" t="s">
        <v>5601</v>
      </c>
      <c r="D437" s="594" t="s">
        <v>71</v>
      </c>
      <c r="E437" s="593" t="s">
        <v>5761</v>
      </c>
      <c r="F437" s="593" t="s">
        <v>5762</v>
      </c>
      <c r="G437" s="593" t="s">
        <v>165</v>
      </c>
      <c r="H437" s="564" t="s">
        <v>5780</v>
      </c>
      <c r="I437" s="565" t="str">
        <f>VLOOKUP(H437,'合同高级查询数据-10月新返回合同'!A:A,1,0)</f>
        <v>182315IDC00521</v>
      </c>
      <c r="J437" s="674" t="s">
        <v>3724</v>
      </c>
      <c r="K437" s="593" t="s">
        <v>5764</v>
      </c>
      <c r="L437" s="595" t="s">
        <v>5781</v>
      </c>
      <c r="M437" s="596" t="s">
        <v>5782</v>
      </c>
      <c r="N437" s="597">
        <v>45047</v>
      </c>
      <c r="O437" s="597" t="s">
        <v>1542</v>
      </c>
      <c r="P437" s="676">
        <v>9000</v>
      </c>
      <c r="Q437" s="630">
        <v>64.2</v>
      </c>
      <c r="R437" s="678">
        <f t="shared" si="25"/>
        <v>577800</v>
      </c>
      <c r="S437" s="570">
        <v>202310</v>
      </c>
      <c r="T437" s="687" t="s">
        <v>5783</v>
      </c>
      <c r="U437" s="679"/>
      <c r="V437" s="636">
        <v>64.113264811999997</v>
      </c>
      <c r="W437" s="688"/>
      <c r="X437" s="597">
        <v>45047</v>
      </c>
      <c r="Y437" s="597">
        <v>45412</v>
      </c>
      <c r="Z437" s="691" t="s">
        <v>5784</v>
      </c>
      <c r="AA437" s="691">
        <v>0.3</v>
      </c>
      <c r="AB437" s="692">
        <v>200</v>
      </c>
      <c r="AC437" s="692">
        <f t="shared" si="29"/>
        <v>60</v>
      </c>
    </row>
    <row r="438" spans="1:29" s="577" customFormat="1" ht="15" customHeight="1">
      <c r="A438" s="593" t="s">
        <v>258</v>
      </c>
      <c r="B438" s="594" t="s">
        <v>5428</v>
      </c>
      <c r="C438" s="594" t="s">
        <v>5601</v>
      </c>
      <c r="D438" s="594" t="s">
        <v>71</v>
      </c>
      <c r="E438" s="593" t="s">
        <v>5785</v>
      </c>
      <c r="F438" s="593" t="s">
        <v>5786</v>
      </c>
      <c r="G438" s="593" t="s">
        <v>165</v>
      </c>
      <c r="H438" s="564" t="s">
        <v>5787</v>
      </c>
      <c r="I438" s="565" t="e">
        <f>VLOOKUP(H438,'合同高级查询数据-10月新返回合同'!A:A,1,0)</f>
        <v>#N/A</v>
      </c>
      <c r="J438" s="674" t="s">
        <v>3724</v>
      </c>
      <c r="K438" s="593" t="s">
        <v>5788</v>
      </c>
      <c r="L438" s="595" t="s">
        <v>5789</v>
      </c>
      <c r="M438" s="596"/>
      <c r="N438" s="597" t="s">
        <v>5790</v>
      </c>
      <c r="O438" s="597" t="s">
        <v>5791</v>
      </c>
      <c r="P438" s="676">
        <v>9000</v>
      </c>
      <c r="Q438" s="630">
        <v>26.5</v>
      </c>
      <c r="R438" s="678">
        <f t="shared" si="25"/>
        <v>238500</v>
      </c>
      <c r="S438" s="570">
        <v>202310</v>
      </c>
      <c r="T438" s="687" t="s">
        <v>9556</v>
      </c>
      <c r="U438" s="679"/>
      <c r="V438" s="636">
        <v>25.898030127999998</v>
      </c>
      <c r="W438" s="705">
        <v>26.93</v>
      </c>
      <c r="X438" s="597">
        <v>44682</v>
      </c>
      <c r="Y438" s="597">
        <v>45412</v>
      </c>
      <c r="Z438" s="691" t="s">
        <v>5792</v>
      </c>
      <c r="AA438" s="691">
        <v>0.3</v>
      </c>
      <c r="AB438" s="692">
        <v>80</v>
      </c>
      <c r="AC438" s="692">
        <f t="shared" si="29"/>
        <v>24</v>
      </c>
    </row>
    <row r="439" spans="1:29" s="577" customFormat="1" ht="15" customHeight="1">
      <c r="A439" s="593" t="s">
        <v>258</v>
      </c>
      <c r="B439" s="593" t="s">
        <v>5559</v>
      </c>
      <c r="C439" s="593" t="s">
        <v>5560</v>
      </c>
      <c r="D439" s="594" t="s">
        <v>71</v>
      </c>
      <c r="E439" s="593" t="s">
        <v>5793</v>
      </c>
      <c r="F439" s="593" t="s">
        <v>5794</v>
      </c>
      <c r="G439" s="593" t="s">
        <v>165</v>
      </c>
      <c r="H439" s="564" t="s">
        <v>5795</v>
      </c>
      <c r="I439" s="565" t="e">
        <f>VLOOKUP(H439,'合同高级查询数据-10月新返回合同'!A:A,1,0)</f>
        <v>#N/A</v>
      </c>
      <c r="J439" s="674" t="s">
        <v>3724</v>
      </c>
      <c r="K439" s="593" t="s">
        <v>5796</v>
      </c>
      <c r="L439" s="595" t="s">
        <v>5794</v>
      </c>
      <c r="M439" s="596" t="s">
        <v>5797</v>
      </c>
      <c r="N439" s="597" t="s">
        <v>5798</v>
      </c>
      <c r="O439" s="593" t="s">
        <v>5799</v>
      </c>
      <c r="P439" s="676">
        <v>9000</v>
      </c>
      <c r="Q439" s="630">
        <v>7.0000000000000007E-2</v>
      </c>
      <c r="R439" s="678">
        <f t="shared" ref="R439:R491" si="30">ROUND(P439*Q439,2)</f>
        <v>630</v>
      </c>
      <c r="S439" s="570">
        <v>202309</v>
      </c>
      <c r="T439" s="706" t="s">
        <v>5800</v>
      </c>
      <c r="U439" s="688"/>
      <c r="V439" s="680"/>
      <c r="W439" s="688"/>
      <c r="X439" s="597">
        <v>44197</v>
      </c>
      <c r="Y439" s="597">
        <v>45291</v>
      </c>
      <c r="Z439" s="691"/>
      <c r="AA439" s="688"/>
      <c r="AB439" s="688"/>
      <c r="AC439" s="688"/>
    </row>
    <row r="440" spans="1:29" s="577" customFormat="1" ht="15" customHeight="1">
      <c r="A440" s="593" t="s">
        <v>258</v>
      </c>
      <c r="B440" s="593" t="s">
        <v>5559</v>
      </c>
      <c r="C440" s="593" t="s">
        <v>5560</v>
      </c>
      <c r="D440" s="594" t="s">
        <v>71</v>
      </c>
      <c r="E440" s="593" t="s">
        <v>5793</v>
      </c>
      <c r="F440" s="593" t="s">
        <v>5794</v>
      </c>
      <c r="G440" s="593" t="s">
        <v>165</v>
      </c>
      <c r="H440" s="564" t="s">
        <v>5795</v>
      </c>
      <c r="I440" s="565" t="e">
        <f>VLOOKUP(H440,'合同高级查询数据-10月新返回合同'!A:A,1,0)</f>
        <v>#N/A</v>
      </c>
      <c r="J440" s="674" t="s">
        <v>3724</v>
      </c>
      <c r="K440" s="593" t="s">
        <v>5796</v>
      </c>
      <c r="L440" s="595" t="s">
        <v>5794</v>
      </c>
      <c r="M440" s="596" t="s">
        <v>5797</v>
      </c>
      <c r="N440" s="597" t="s">
        <v>5798</v>
      </c>
      <c r="O440" s="593" t="s">
        <v>5799</v>
      </c>
      <c r="P440" s="676">
        <v>9000</v>
      </c>
      <c r="Q440" s="630">
        <v>6.8</v>
      </c>
      <c r="R440" s="678">
        <f t="shared" si="30"/>
        <v>61200</v>
      </c>
      <c r="S440" s="570">
        <v>202310</v>
      </c>
      <c r="T440" s="706" t="s">
        <v>9557</v>
      </c>
      <c r="U440" s="688"/>
      <c r="V440" s="636">
        <v>6.6336191180000004</v>
      </c>
      <c r="W440" s="688">
        <v>6.9</v>
      </c>
      <c r="X440" s="597">
        <v>44197</v>
      </c>
      <c r="Y440" s="597">
        <v>45291</v>
      </c>
      <c r="Z440" s="691" t="s">
        <v>5801</v>
      </c>
      <c r="AA440" s="691">
        <v>0.3</v>
      </c>
      <c r="AB440" s="692">
        <v>20</v>
      </c>
      <c r="AC440" s="692">
        <f>AA440*AB440</f>
        <v>6</v>
      </c>
    </row>
    <row r="441" spans="1:29" s="577" customFormat="1" ht="15" customHeight="1">
      <c r="A441" s="593" t="s">
        <v>258</v>
      </c>
      <c r="B441" s="594" t="s">
        <v>5428</v>
      </c>
      <c r="C441" s="594" t="s">
        <v>5601</v>
      </c>
      <c r="D441" s="594" t="s">
        <v>71</v>
      </c>
      <c r="E441" s="593" t="s">
        <v>5802</v>
      </c>
      <c r="F441" s="593" t="s">
        <v>5803</v>
      </c>
      <c r="G441" s="593" t="s">
        <v>165</v>
      </c>
      <c r="H441" s="564" t="s">
        <v>5804</v>
      </c>
      <c r="I441" s="565" t="e">
        <f>VLOOKUP(H441,'合同高级查询数据-10月新返回合同'!A:A,1,0)</f>
        <v>#N/A</v>
      </c>
      <c r="J441" s="674" t="s">
        <v>3858</v>
      </c>
      <c r="K441" s="593" t="s">
        <v>5805</v>
      </c>
      <c r="L441" s="595" t="s">
        <v>5806</v>
      </c>
      <c r="M441" s="596"/>
      <c r="N441" s="597" t="s">
        <v>5807</v>
      </c>
      <c r="O441" s="597" t="s">
        <v>5808</v>
      </c>
      <c r="P441" s="676">
        <v>15416.66</v>
      </c>
      <c r="Q441" s="630">
        <v>1.6</v>
      </c>
      <c r="R441" s="678">
        <f t="shared" si="30"/>
        <v>24666.66</v>
      </c>
      <c r="S441" s="570">
        <v>202309</v>
      </c>
      <c r="T441" s="687" t="s">
        <v>5809</v>
      </c>
      <c r="U441" s="679"/>
      <c r="V441" s="680"/>
      <c r="W441" s="688"/>
      <c r="X441" s="597">
        <v>44531</v>
      </c>
      <c r="Y441" s="597">
        <v>45260</v>
      </c>
      <c r="Z441" s="691"/>
      <c r="AA441" s="688"/>
      <c r="AB441" s="688"/>
      <c r="AC441" s="688"/>
    </row>
    <row r="442" spans="1:29" s="577" customFormat="1" ht="15" customHeight="1">
      <c r="A442" s="593" t="s">
        <v>258</v>
      </c>
      <c r="B442" s="594" t="s">
        <v>5428</v>
      </c>
      <c r="C442" s="594" t="s">
        <v>5601</v>
      </c>
      <c r="D442" s="594" t="s">
        <v>71</v>
      </c>
      <c r="E442" s="593" t="s">
        <v>5802</v>
      </c>
      <c r="F442" s="593" t="s">
        <v>5803</v>
      </c>
      <c r="G442" s="593" t="s">
        <v>165</v>
      </c>
      <c r="H442" s="564" t="s">
        <v>5804</v>
      </c>
      <c r="I442" s="565" t="e">
        <f>VLOOKUP(H442,'合同高级查询数据-10月新返回合同'!A:A,1,0)</f>
        <v>#N/A</v>
      </c>
      <c r="J442" s="594" t="s">
        <v>3858</v>
      </c>
      <c r="K442" s="593" t="s">
        <v>5805</v>
      </c>
      <c r="L442" s="595" t="s">
        <v>5806</v>
      </c>
      <c r="M442" s="596"/>
      <c r="N442" s="597" t="s">
        <v>5807</v>
      </c>
      <c r="O442" s="597" t="s">
        <v>5808</v>
      </c>
      <c r="P442" s="676">
        <v>15416.66</v>
      </c>
      <c r="Q442" s="630">
        <v>66</v>
      </c>
      <c r="R442" s="678">
        <f t="shared" si="30"/>
        <v>1017499.56</v>
      </c>
      <c r="S442" s="570">
        <v>202310</v>
      </c>
      <c r="T442" s="687" t="s">
        <v>9558</v>
      </c>
      <c r="U442" s="679"/>
      <c r="V442" s="636">
        <v>64.418673498000004</v>
      </c>
      <c r="W442" s="688">
        <v>67.5</v>
      </c>
      <c r="X442" s="597">
        <v>44531</v>
      </c>
      <c r="Y442" s="597">
        <v>45260</v>
      </c>
      <c r="Z442" s="691" t="s">
        <v>5810</v>
      </c>
      <c r="AA442" s="691">
        <v>0.2</v>
      </c>
      <c r="AB442" s="692">
        <v>300</v>
      </c>
      <c r="AC442" s="692">
        <f>AA442*AB442</f>
        <v>60</v>
      </c>
    </row>
    <row r="443" spans="1:29" s="577" customFormat="1" ht="15" customHeight="1">
      <c r="A443" s="593" t="s">
        <v>258</v>
      </c>
      <c r="B443" s="594" t="s">
        <v>5428</v>
      </c>
      <c r="C443" s="594" t="s">
        <v>5538</v>
      </c>
      <c r="D443" s="594" t="s">
        <v>71</v>
      </c>
      <c r="E443" s="593" t="s">
        <v>5811</v>
      </c>
      <c r="F443" s="593" t="s">
        <v>5812</v>
      </c>
      <c r="G443" s="593" t="s">
        <v>165</v>
      </c>
      <c r="H443" s="564" t="s">
        <v>5813</v>
      </c>
      <c r="I443" s="565" t="e">
        <f>VLOOKUP(H443,'合同高级查询数据-10月新返回合同'!A:A,1,0)</f>
        <v>#N/A</v>
      </c>
      <c r="J443" s="674" t="s">
        <v>3724</v>
      </c>
      <c r="K443" s="593" t="s">
        <v>5814</v>
      </c>
      <c r="L443" s="595" t="s">
        <v>5815</v>
      </c>
      <c r="M443" s="596"/>
      <c r="N443" s="603" t="s">
        <v>5816</v>
      </c>
      <c r="O443" s="597" t="s">
        <v>5476</v>
      </c>
      <c r="P443" s="676">
        <v>9000</v>
      </c>
      <c r="Q443" s="630">
        <v>6.4</v>
      </c>
      <c r="R443" s="678">
        <f t="shared" si="30"/>
        <v>57600</v>
      </c>
      <c r="S443" s="570">
        <v>202310</v>
      </c>
      <c r="T443" s="687" t="s">
        <v>5817</v>
      </c>
      <c r="U443" s="679"/>
      <c r="V443" s="636">
        <v>6.2631171800000001</v>
      </c>
      <c r="W443" s="688">
        <v>6.46</v>
      </c>
      <c r="X443" s="597">
        <v>44958</v>
      </c>
      <c r="Y443" s="597">
        <v>45322</v>
      </c>
      <c r="Z443" s="691" t="s">
        <v>5818</v>
      </c>
      <c r="AA443" s="691">
        <v>0.3</v>
      </c>
      <c r="AB443" s="692">
        <v>20</v>
      </c>
      <c r="AC443" s="692">
        <f>AA443*AB443</f>
        <v>6</v>
      </c>
    </row>
    <row r="444" spans="1:29" s="385" customFormat="1" ht="15" customHeight="1">
      <c r="A444" s="422" t="s">
        <v>258</v>
      </c>
      <c r="B444" s="423" t="s">
        <v>5428</v>
      </c>
      <c r="C444" s="423" t="s">
        <v>5538</v>
      </c>
      <c r="D444" s="423" t="s">
        <v>71</v>
      </c>
      <c r="E444" s="422" t="s">
        <v>5811</v>
      </c>
      <c r="F444" s="422" t="s">
        <v>5812</v>
      </c>
      <c r="G444" s="422" t="s">
        <v>165</v>
      </c>
      <c r="H444" s="389" t="s">
        <v>5819</v>
      </c>
      <c r="I444" s="369" t="e">
        <f>VLOOKUP(H444,'合同高级查询数据-10月新返回合同'!A:A,1,0)</f>
        <v>#N/A</v>
      </c>
      <c r="J444" s="499" t="s">
        <v>3724</v>
      </c>
      <c r="K444" s="525" t="s">
        <v>5820</v>
      </c>
      <c r="L444" s="424" t="s">
        <v>5821</v>
      </c>
      <c r="M444" s="403" t="s">
        <v>5822</v>
      </c>
      <c r="N444" s="425">
        <v>45117</v>
      </c>
      <c r="O444" s="425" t="s">
        <v>4764</v>
      </c>
      <c r="P444" s="508">
        <v>9000</v>
      </c>
      <c r="Q444" s="460">
        <v>102.1</v>
      </c>
      <c r="R444" s="509">
        <f t="shared" si="30"/>
        <v>918900</v>
      </c>
      <c r="S444" s="378">
        <v>202310</v>
      </c>
      <c r="T444" s="452" t="s">
        <v>5823</v>
      </c>
      <c r="U444" s="502"/>
      <c r="V444" s="503">
        <v>102.088477187</v>
      </c>
      <c r="W444" s="510"/>
      <c r="X444" s="425"/>
      <c r="Y444" s="425"/>
      <c r="Z444" s="511" t="s">
        <v>5824</v>
      </c>
      <c r="AA444" s="511">
        <v>0.3</v>
      </c>
      <c r="AB444" s="512">
        <v>160</v>
      </c>
      <c r="AC444" s="512">
        <f>AA444*AB444</f>
        <v>48</v>
      </c>
    </row>
    <row r="445" spans="1:29" s="385" customFormat="1" ht="15" customHeight="1">
      <c r="A445" s="386" t="s">
        <v>45</v>
      </c>
      <c r="B445" s="423" t="s">
        <v>5528</v>
      </c>
      <c r="C445" s="388" t="s">
        <v>5529</v>
      </c>
      <c r="D445" s="388" t="s">
        <v>71</v>
      </c>
      <c r="E445" s="386" t="s">
        <v>5825</v>
      </c>
      <c r="F445" s="386" t="s">
        <v>5826</v>
      </c>
      <c r="G445" s="402" t="s">
        <v>165</v>
      </c>
      <c r="H445" s="423" t="s">
        <v>5827</v>
      </c>
      <c r="I445" s="369" t="e">
        <f>VLOOKUP(H445,'合同高级查询数据-10月新返回合同'!A:A,1,0)</f>
        <v>#N/A</v>
      </c>
      <c r="J445" s="390" t="s">
        <v>3724</v>
      </c>
      <c r="K445" s="386" t="s">
        <v>5828</v>
      </c>
      <c r="L445" s="402" t="s">
        <v>5829</v>
      </c>
      <c r="M445" s="403" t="s">
        <v>5830</v>
      </c>
      <c r="N445" s="425" t="s">
        <v>4299</v>
      </c>
      <c r="O445" s="402" t="s">
        <v>5831</v>
      </c>
      <c r="P445" s="508">
        <v>6740</v>
      </c>
      <c r="Q445" s="460"/>
      <c r="R445" s="509">
        <f t="shared" si="30"/>
        <v>0</v>
      </c>
      <c r="S445" s="378">
        <v>202310</v>
      </c>
      <c r="T445" s="394" t="s">
        <v>5832</v>
      </c>
      <c r="U445" s="443"/>
      <c r="V445" s="503">
        <v>0</v>
      </c>
      <c r="W445" s="515"/>
      <c r="X445" s="425"/>
      <c r="Y445" s="425"/>
      <c r="Z445" s="511" t="s">
        <v>5833</v>
      </c>
      <c r="AA445" s="511"/>
      <c r="AB445" s="512"/>
      <c r="AC445" s="512">
        <f>AB445*AA445</f>
        <v>0</v>
      </c>
    </row>
    <row r="446" spans="1:29" s="385" customFormat="1" ht="15" customHeight="1">
      <c r="A446" s="386" t="s">
        <v>45</v>
      </c>
      <c r="B446" s="423" t="s">
        <v>5528</v>
      </c>
      <c r="C446" s="388" t="s">
        <v>5529</v>
      </c>
      <c r="D446" s="388" t="s">
        <v>71</v>
      </c>
      <c r="E446" s="386" t="s">
        <v>5825</v>
      </c>
      <c r="F446" s="386" t="s">
        <v>5826</v>
      </c>
      <c r="G446" s="402" t="s">
        <v>165</v>
      </c>
      <c r="H446" s="423" t="s">
        <v>5827</v>
      </c>
      <c r="I446" s="369" t="e">
        <f>VLOOKUP(H446,'合同高级查询数据-10月新返回合同'!A:A,1,0)</f>
        <v>#N/A</v>
      </c>
      <c r="J446" s="390" t="s">
        <v>3724</v>
      </c>
      <c r="K446" s="386" t="s">
        <v>5828</v>
      </c>
      <c r="L446" s="402" t="s">
        <v>5834</v>
      </c>
      <c r="M446" s="403"/>
      <c r="N446" s="425" t="s">
        <v>5835</v>
      </c>
      <c r="O446" s="402" t="s">
        <v>4845</v>
      </c>
      <c r="P446" s="508">
        <v>6740</v>
      </c>
      <c r="Q446" s="460"/>
      <c r="R446" s="509">
        <f t="shared" si="30"/>
        <v>0</v>
      </c>
      <c r="S446" s="378">
        <v>202310</v>
      </c>
      <c r="T446" s="394" t="s">
        <v>5836</v>
      </c>
      <c r="U446" s="443"/>
      <c r="V446" s="503">
        <v>0</v>
      </c>
      <c r="W446" s="515"/>
      <c r="X446" s="425"/>
      <c r="Y446" s="425"/>
      <c r="Z446" s="511" t="s">
        <v>5837</v>
      </c>
      <c r="AA446" s="511">
        <v>0</v>
      </c>
      <c r="AB446" s="512">
        <v>0</v>
      </c>
      <c r="AC446" s="512">
        <f>AA446*AB446</f>
        <v>0</v>
      </c>
    </row>
    <row r="447" spans="1:29" s="385" customFormat="1" ht="15" customHeight="1">
      <c r="A447" s="386" t="s">
        <v>45</v>
      </c>
      <c r="B447" s="423" t="s">
        <v>5528</v>
      </c>
      <c r="C447" s="388" t="s">
        <v>5529</v>
      </c>
      <c r="D447" s="388" t="s">
        <v>71</v>
      </c>
      <c r="E447" s="386" t="s">
        <v>5825</v>
      </c>
      <c r="F447" s="386" t="s">
        <v>5826</v>
      </c>
      <c r="G447" s="402" t="s">
        <v>165</v>
      </c>
      <c r="H447" s="423" t="s">
        <v>5827</v>
      </c>
      <c r="I447" s="369" t="e">
        <f>VLOOKUP(H447,'合同高级查询数据-10月新返回合同'!A:A,1,0)</f>
        <v>#N/A</v>
      </c>
      <c r="J447" s="390" t="s">
        <v>4013</v>
      </c>
      <c r="K447" s="386" t="s">
        <v>5838</v>
      </c>
      <c r="L447" s="402" t="s">
        <v>5839</v>
      </c>
      <c r="M447" s="403"/>
      <c r="N447" s="425">
        <v>42236</v>
      </c>
      <c r="O447" s="402" t="s">
        <v>3847</v>
      </c>
      <c r="P447" s="508">
        <v>6740</v>
      </c>
      <c r="Q447" s="460">
        <v>3.0599999999999987</v>
      </c>
      <c r="R447" s="509">
        <f t="shared" si="30"/>
        <v>20624.400000000001</v>
      </c>
      <c r="S447" s="378">
        <v>202310</v>
      </c>
      <c r="T447" s="394" t="s">
        <v>5840</v>
      </c>
      <c r="U447" s="443"/>
      <c r="V447" s="503">
        <v>0.5</v>
      </c>
      <c r="W447" s="515"/>
      <c r="X447" s="425"/>
      <c r="Y447" s="425"/>
      <c r="Z447" s="511" t="s">
        <v>5841</v>
      </c>
      <c r="AA447" s="511">
        <v>0.4</v>
      </c>
      <c r="AB447" s="512">
        <v>20</v>
      </c>
      <c r="AC447" s="512">
        <f>AA447*AB447</f>
        <v>8</v>
      </c>
    </row>
    <row r="448" spans="1:29" s="385" customFormat="1" ht="15" customHeight="1">
      <c r="A448" s="386" t="s">
        <v>45</v>
      </c>
      <c r="B448" s="423" t="s">
        <v>5528</v>
      </c>
      <c r="C448" s="388" t="s">
        <v>5529</v>
      </c>
      <c r="D448" s="388" t="s">
        <v>71</v>
      </c>
      <c r="E448" s="386" t="s">
        <v>5825</v>
      </c>
      <c r="F448" s="386" t="s">
        <v>5826</v>
      </c>
      <c r="G448" s="402" t="s">
        <v>165</v>
      </c>
      <c r="H448" s="423" t="s">
        <v>5827</v>
      </c>
      <c r="I448" s="369" t="e">
        <f>VLOOKUP(H448,'合同高级查询数据-10月新返回合同'!A:A,1,0)</f>
        <v>#N/A</v>
      </c>
      <c r="J448" s="390" t="s">
        <v>3724</v>
      </c>
      <c r="K448" s="386" t="s">
        <v>5842</v>
      </c>
      <c r="L448" s="402" t="s">
        <v>5826</v>
      </c>
      <c r="M448" s="403"/>
      <c r="N448" s="425" t="s">
        <v>5843</v>
      </c>
      <c r="O448" s="402" t="s">
        <v>5844</v>
      </c>
      <c r="P448" s="508">
        <v>6740</v>
      </c>
      <c r="Q448" s="460"/>
      <c r="R448" s="509">
        <f t="shared" si="30"/>
        <v>0</v>
      </c>
      <c r="S448" s="378">
        <v>202310</v>
      </c>
      <c r="T448" s="394" t="s">
        <v>5845</v>
      </c>
      <c r="U448" s="443"/>
      <c r="V448" s="503">
        <v>0</v>
      </c>
      <c r="W448" s="408"/>
      <c r="X448" s="425"/>
      <c r="Y448" s="425"/>
      <c r="Z448" s="511" t="s">
        <v>5846</v>
      </c>
      <c r="AA448" s="511"/>
      <c r="AB448" s="512">
        <v>0</v>
      </c>
      <c r="AC448" s="512">
        <f>AA448*AB448</f>
        <v>0</v>
      </c>
    </row>
    <row r="449" spans="1:29" s="385" customFormat="1" ht="15" customHeight="1">
      <c r="A449" s="386" t="s">
        <v>45</v>
      </c>
      <c r="B449" s="423" t="s">
        <v>5528</v>
      </c>
      <c r="C449" s="388" t="s">
        <v>5529</v>
      </c>
      <c r="D449" s="388" t="s">
        <v>71</v>
      </c>
      <c r="E449" s="386" t="s">
        <v>5825</v>
      </c>
      <c r="F449" s="386" t="s">
        <v>5826</v>
      </c>
      <c r="G449" s="402" t="s">
        <v>165</v>
      </c>
      <c r="H449" s="423" t="s">
        <v>5827</v>
      </c>
      <c r="I449" s="369" t="e">
        <f>VLOOKUP(H449,'合同高级查询数据-10月新返回合同'!A:A,1,0)</f>
        <v>#N/A</v>
      </c>
      <c r="J449" s="390" t="s">
        <v>3724</v>
      </c>
      <c r="K449" s="386" t="s">
        <v>5847</v>
      </c>
      <c r="L449" s="402" t="s">
        <v>5848</v>
      </c>
      <c r="M449" s="403"/>
      <c r="N449" s="373" t="s">
        <v>5849</v>
      </c>
      <c r="O449" s="402" t="s">
        <v>5850</v>
      </c>
      <c r="P449" s="508">
        <v>6740</v>
      </c>
      <c r="Q449" s="460">
        <v>20.94</v>
      </c>
      <c r="R449" s="509">
        <f t="shared" si="30"/>
        <v>141135.6</v>
      </c>
      <c r="S449" s="378">
        <v>202310</v>
      </c>
      <c r="T449" s="401" t="s">
        <v>5851</v>
      </c>
      <c r="U449" s="443"/>
      <c r="V449" s="503">
        <v>20.935832977</v>
      </c>
      <c r="W449" s="515"/>
      <c r="X449" s="425"/>
      <c r="Y449" s="425"/>
      <c r="Z449" s="511" t="s">
        <v>5852</v>
      </c>
      <c r="AA449" s="511">
        <v>0.4</v>
      </c>
      <c r="AB449" s="512">
        <v>40</v>
      </c>
      <c r="AC449" s="512">
        <f>AA449*AB449</f>
        <v>16</v>
      </c>
    </row>
    <row r="450" spans="1:29" s="385" customFormat="1" ht="15" customHeight="1">
      <c r="A450" s="386" t="s">
        <v>45</v>
      </c>
      <c r="B450" s="423" t="s">
        <v>5528</v>
      </c>
      <c r="C450" s="388" t="s">
        <v>5529</v>
      </c>
      <c r="D450" s="388" t="s">
        <v>71</v>
      </c>
      <c r="E450" s="386" t="s">
        <v>5825</v>
      </c>
      <c r="F450" s="386" t="s">
        <v>5826</v>
      </c>
      <c r="G450" s="402" t="s">
        <v>165</v>
      </c>
      <c r="H450" s="423" t="s">
        <v>5827</v>
      </c>
      <c r="I450" s="369" t="e">
        <f>VLOOKUP(H450,'合同高级查询数据-10月新返回合同'!A:A,1,0)</f>
        <v>#N/A</v>
      </c>
      <c r="J450" s="390" t="s">
        <v>3724</v>
      </c>
      <c r="K450" s="386" t="s">
        <v>5828</v>
      </c>
      <c r="L450" s="402" t="s">
        <v>5853</v>
      </c>
      <c r="M450" s="403" t="s">
        <v>5854</v>
      </c>
      <c r="N450" s="373">
        <v>44873</v>
      </c>
      <c r="O450" s="402" t="s">
        <v>1542</v>
      </c>
      <c r="P450" s="508">
        <v>6740</v>
      </c>
      <c r="Q450" s="460">
        <v>0.9</v>
      </c>
      <c r="R450" s="509">
        <f t="shared" si="30"/>
        <v>6066</v>
      </c>
      <c r="S450" s="378">
        <v>202309</v>
      </c>
      <c r="T450" s="401" t="s">
        <v>5855</v>
      </c>
      <c r="U450" s="443"/>
      <c r="V450" s="503"/>
      <c r="W450" s="515"/>
      <c r="X450" s="425"/>
      <c r="Y450" s="425"/>
      <c r="Z450" s="511"/>
      <c r="AA450" s="511"/>
      <c r="AB450" s="512"/>
      <c r="AC450" s="512"/>
    </row>
    <row r="451" spans="1:29" s="385" customFormat="1" ht="15" customHeight="1">
      <c r="A451" s="386" t="s">
        <v>45</v>
      </c>
      <c r="B451" s="423" t="s">
        <v>5528</v>
      </c>
      <c r="C451" s="388" t="s">
        <v>5529</v>
      </c>
      <c r="D451" s="388" t="s">
        <v>71</v>
      </c>
      <c r="E451" s="386" t="s">
        <v>5825</v>
      </c>
      <c r="F451" s="386" t="s">
        <v>5826</v>
      </c>
      <c r="G451" s="402" t="s">
        <v>165</v>
      </c>
      <c r="H451" s="423" t="s">
        <v>5827</v>
      </c>
      <c r="I451" s="369" t="e">
        <f>VLOOKUP(H451,'合同高级查询数据-10月新返回合同'!A:A,1,0)</f>
        <v>#N/A</v>
      </c>
      <c r="J451" s="390" t="s">
        <v>3724</v>
      </c>
      <c r="K451" s="386" t="s">
        <v>5828</v>
      </c>
      <c r="L451" s="402" t="s">
        <v>5853</v>
      </c>
      <c r="M451" s="403" t="s">
        <v>5854</v>
      </c>
      <c r="N451" s="425">
        <v>44873</v>
      </c>
      <c r="O451" s="402" t="s">
        <v>1542</v>
      </c>
      <c r="P451" s="508">
        <v>6740</v>
      </c>
      <c r="Q451" s="460">
        <v>106.88</v>
      </c>
      <c r="R451" s="509">
        <f t="shared" si="30"/>
        <v>720371.19999999995</v>
      </c>
      <c r="S451" s="378">
        <v>202310</v>
      </c>
      <c r="T451" s="452" t="s">
        <v>5856</v>
      </c>
      <c r="U451" s="443"/>
      <c r="V451" s="503">
        <v>106.884624872</v>
      </c>
      <c r="W451" s="515"/>
      <c r="X451" s="425"/>
      <c r="Y451" s="425"/>
      <c r="Z451" s="511" t="s">
        <v>5857</v>
      </c>
      <c r="AA451" s="511">
        <v>0.4</v>
      </c>
      <c r="AB451" s="512">
        <v>200</v>
      </c>
      <c r="AC451" s="512">
        <f>AA451*AB451</f>
        <v>80</v>
      </c>
    </row>
    <row r="452" spans="1:29" s="385" customFormat="1" ht="15" customHeight="1">
      <c r="A452" s="386" t="s">
        <v>45</v>
      </c>
      <c r="B452" s="423" t="s">
        <v>5528</v>
      </c>
      <c r="C452" s="388" t="s">
        <v>5529</v>
      </c>
      <c r="D452" s="388" t="s">
        <v>71</v>
      </c>
      <c r="E452" s="386" t="s">
        <v>5825</v>
      </c>
      <c r="F452" s="386" t="s">
        <v>5826</v>
      </c>
      <c r="G452" s="402" t="s">
        <v>165</v>
      </c>
      <c r="H452" s="423" t="s">
        <v>5827</v>
      </c>
      <c r="I452" s="369" t="e">
        <f>VLOOKUP(H452,'合同高级查询数据-10月新返回合同'!A:A,1,0)</f>
        <v>#N/A</v>
      </c>
      <c r="J452" s="390" t="s">
        <v>3724</v>
      </c>
      <c r="K452" s="386" t="s">
        <v>5828</v>
      </c>
      <c r="L452" s="402" t="s">
        <v>5858</v>
      </c>
      <c r="M452" s="403" t="s">
        <v>5854</v>
      </c>
      <c r="N452" s="425">
        <v>44866</v>
      </c>
      <c r="O452" s="402" t="s">
        <v>1542</v>
      </c>
      <c r="P452" s="508">
        <v>6740</v>
      </c>
      <c r="Q452" s="460">
        <v>0.78</v>
      </c>
      <c r="R452" s="509">
        <f t="shared" si="30"/>
        <v>5257.2</v>
      </c>
      <c r="S452" s="378">
        <v>202309</v>
      </c>
      <c r="T452" s="452" t="s">
        <v>5859</v>
      </c>
      <c r="U452" s="443"/>
      <c r="V452" s="410"/>
      <c r="W452" s="515"/>
      <c r="X452" s="425"/>
      <c r="Y452" s="425"/>
      <c r="Z452" s="511"/>
      <c r="AA452" s="511"/>
      <c r="AB452" s="512"/>
      <c r="AC452" s="512"/>
    </row>
    <row r="453" spans="1:29" s="385" customFormat="1" ht="15" customHeight="1">
      <c r="A453" s="386" t="s">
        <v>45</v>
      </c>
      <c r="B453" s="423" t="s">
        <v>5528</v>
      </c>
      <c r="C453" s="388" t="s">
        <v>5529</v>
      </c>
      <c r="D453" s="388" t="s">
        <v>71</v>
      </c>
      <c r="E453" s="386" t="s">
        <v>5825</v>
      </c>
      <c r="F453" s="386" t="s">
        <v>5826</v>
      </c>
      <c r="G453" s="402" t="s">
        <v>165</v>
      </c>
      <c r="H453" s="423" t="s">
        <v>5827</v>
      </c>
      <c r="I453" s="369" t="e">
        <f>VLOOKUP(H453,'合同高级查询数据-10月新返回合同'!A:A,1,0)</f>
        <v>#N/A</v>
      </c>
      <c r="J453" s="390" t="s">
        <v>3724</v>
      </c>
      <c r="K453" s="386" t="s">
        <v>5828</v>
      </c>
      <c r="L453" s="402" t="s">
        <v>5858</v>
      </c>
      <c r="M453" s="403" t="s">
        <v>5854</v>
      </c>
      <c r="N453" s="425">
        <v>44866</v>
      </c>
      <c r="O453" s="402" t="s">
        <v>1542</v>
      </c>
      <c r="P453" s="508">
        <v>6740</v>
      </c>
      <c r="Q453" s="460">
        <v>114.44</v>
      </c>
      <c r="R453" s="509">
        <f t="shared" si="30"/>
        <v>771325.6</v>
      </c>
      <c r="S453" s="378">
        <v>202310</v>
      </c>
      <c r="T453" s="452" t="s">
        <v>5860</v>
      </c>
      <c r="U453" s="443"/>
      <c r="V453" s="503">
        <v>114.43943781500001</v>
      </c>
      <c r="W453" s="515"/>
      <c r="X453" s="425"/>
      <c r="Y453" s="425"/>
      <c r="Z453" s="511" t="s">
        <v>5861</v>
      </c>
      <c r="AA453" s="511">
        <v>0.4</v>
      </c>
      <c r="AB453" s="512">
        <v>200</v>
      </c>
      <c r="AC453" s="512">
        <f>AA453*AB453</f>
        <v>80</v>
      </c>
    </row>
    <row r="454" spans="1:29" s="577" customFormat="1" ht="15" customHeight="1">
      <c r="A454" s="593" t="s">
        <v>45</v>
      </c>
      <c r="B454" s="594" t="s">
        <v>5428</v>
      </c>
      <c r="C454" s="594" t="s">
        <v>5501</v>
      </c>
      <c r="D454" s="594" t="s">
        <v>71</v>
      </c>
      <c r="E454" s="593" t="s">
        <v>5862</v>
      </c>
      <c r="F454" s="593" t="s">
        <v>5863</v>
      </c>
      <c r="G454" s="593" t="s">
        <v>165</v>
      </c>
      <c r="H454" s="564" t="s">
        <v>5864</v>
      </c>
      <c r="I454" s="565" t="str">
        <f>VLOOKUP(H454,'合同高级查询数据-10月新返回合同'!A:A,1,0)</f>
        <v>182315IDC00520</v>
      </c>
      <c r="J454" s="674" t="s">
        <v>3724</v>
      </c>
      <c r="K454" s="593" t="s">
        <v>5865</v>
      </c>
      <c r="L454" s="595" t="s">
        <v>5866</v>
      </c>
      <c r="M454" s="596" t="s">
        <v>5867</v>
      </c>
      <c r="N454" s="603" t="s">
        <v>5868</v>
      </c>
      <c r="O454" s="597" t="s">
        <v>5869</v>
      </c>
      <c r="P454" s="676">
        <v>6740</v>
      </c>
      <c r="Q454" s="630">
        <v>17.61</v>
      </c>
      <c r="R454" s="678">
        <f t="shared" si="30"/>
        <v>118691.4</v>
      </c>
      <c r="S454" s="570">
        <v>202310</v>
      </c>
      <c r="T454" s="687" t="s">
        <v>5870</v>
      </c>
      <c r="U454" s="679"/>
      <c r="V454" s="636">
        <v>17.611082076999999</v>
      </c>
      <c r="W454" s="688"/>
      <c r="X454" s="597">
        <v>45108</v>
      </c>
      <c r="Y454" s="597">
        <v>45473</v>
      </c>
      <c r="Z454" s="691" t="s">
        <v>5871</v>
      </c>
      <c r="AA454" s="691">
        <v>0.4</v>
      </c>
      <c r="AB454" s="692">
        <v>30</v>
      </c>
      <c r="AC454" s="692">
        <f>AA454*AB454</f>
        <v>12</v>
      </c>
    </row>
    <row r="455" spans="1:29" s="385" customFormat="1" ht="15" customHeight="1">
      <c r="A455" s="422" t="s">
        <v>45</v>
      </c>
      <c r="B455" s="423" t="s">
        <v>5428</v>
      </c>
      <c r="C455" s="423" t="s">
        <v>5501</v>
      </c>
      <c r="D455" s="423" t="s">
        <v>71</v>
      </c>
      <c r="E455" s="422" t="s">
        <v>5862</v>
      </c>
      <c r="F455" s="422" t="s">
        <v>5863</v>
      </c>
      <c r="G455" s="422" t="s">
        <v>165</v>
      </c>
      <c r="H455" s="389" t="s">
        <v>5872</v>
      </c>
      <c r="I455" s="369" t="e">
        <f>VLOOKUP(H455,'合同高级查询数据-10月新返回合同'!A:A,1,0)</f>
        <v>#N/A</v>
      </c>
      <c r="J455" s="499" t="s">
        <v>3724</v>
      </c>
      <c r="K455" s="422" t="s">
        <v>5873</v>
      </c>
      <c r="L455" s="424" t="s">
        <v>5874</v>
      </c>
      <c r="M455" s="403" t="s">
        <v>5867</v>
      </c>
      <c r="N455" s="373">
        <v>45139</v>
      </c>
      <c r="O455" s="425" t="s">
        <v>2187</v>
      </c>
      <c r="P455" s="508">
        <v>6740</v>
      </c>
      <c r="Q455" s="460">
        <v>2.97</v>
      </c>
      <c r="R455" s="509">
        <f t="shared" si="30"/>
        <v>20017.8</v>
      </c>
      <c r="S455" s="378">
        <v>202309</v>
      </c>
      <c r="T455" s="452" t="s">
        <v>5875</v>
      </c>
      <c r="U455" s="502"/>
      <c r="V455" s="503"/>
      <c r="W455" s="510"/>
      <c r="X455" s="425"/>
      <c r="Y455" s="425"/>
      <c r="Z455" s="511"/>
      <c r="AA455" s="511"/>
      <c r="AB455" s="512"/>
      <c r="AC455" s="512"/>
    </row>
    <row r="456" spans="1:29" s="385" customFormat="1" ht="15" customHeight="1">
      <c r="A456" s="422" t="s">
        <v>45</v>
      </c>
      <c r="B456" s="423" t="s">
        <v>5428</v>
      </c>
      <c r="C456" s="423" t="s">
        <v>5501</v>
      </c>
      <c r="D456" s="423" t="s">
        <v>71</v>
      </c>
      <c r="E456" s="422" t="s">
        <v>5862</v>
      </c>
      <c r="F456" s="422" t="s">
        <v>5863</v>
      </c>
      <c r="G456" s="422" t="s">
        <v>165</v>
      </c>
      <c r="H456" s="389" t="s">
        <v>5872</v>
      </c>
      <c r="I456" s="369" t="e">
        <f>VLOOKUP(H456,'合同高级查询数据-10月新返回合同'!A:A,1,0)</f>
        <v>#N/A</v>
      </c>
      <c r="J456" s="499" t="s">
        <v>3724</v>
      </c>
      <c r="K456" s="422" t="s">
        <v>5873</v>
      </c>
      <c r="L456" s="424" t="s">
        <v>5874</v>
      </c>
      <c r="M456" s="403" t="s">
        <v>5867</v>
      </c>
      <c r="N456" s="373">
        <v>45139</v>
      </c>
      <c r="O456" s="425" t="s">
        <v>2187</v>
      </c>
      <c r="P456" s="508">
        <v>6740</v>
      </c>
      <c r="Q456" s="460">
        <v>42.57</v>
      </c>
      <c r="R456" s="447">
        <f t="shared" si="30"/>
        <v>286921.8</v>
      </c>
      <c r="S456" s="378">
        <v>202310</v>
      </c>
      <c r="T456" s="452" t="s">
        <v>5876</v>
      </c>
      <c r="U456" s="502"/>
      <c r="V456" s="503">
        <v>42.573896134000002</v>
      </c>
      <c r="W456" s="510"/>
      <c r="X456" s="425"/>
      <c r="Y456" s="425"/>
      <c r="Z456" s="511" t="s">
        <v>5877</v>
      </c>
      <c r="AA456" s="511">
        <v>0.4</v>
      </c>
      <c r="AB456" s="512">
        <v>100</v>
      </c>
      <c r="AC456" s="512">
        <f>AA456*AB456</f>
        <v>40</v>
      </c>
    </row>
    <row r="457" spans="1:29" s="577" customFormat="1" ht="15" customHeight="1">
      <c r="A457" s="561" t="s">
        <v>45</v>
      </c>
      <c r="B457" s="594" t="s">
        <v>5528</v>
      </c>
      <c r="C457" s="563" t="s">
        <v>5574</v>
      </c>
      <c r="D457" s="563" t="s">
        <v>71</v>
      </c>
      <c r="E457" s="561" t="s">
        <v>5878</v>
      </c>
      <c r="F457" s="561" t="s">
        <v>5879</v>
      </c>
      <c r="G457" s="624" t="s">
        <v>165</v>
      </c>
      <c r="H457" s="594" t="s">
        <v>5880</v>
      </c>
      <c r="I457" s="565" t="e">
        <f>VLOOKUP(H457,'合同高级查询数据-10月新返回合同'!A:A,1,0)</f>
        <v>#N/A</v>
      </c>
      <c r="J457" s="566" t="s">
        <v>3724</v>
      </c>
      <c r="K457" s="561" t="s">
        <v>5881</v>
      </c>
      <c r="L457" s="624" t="s">
        <v>5882</v>
      </c>
      <c r="M457" s="596"/>
      <c r="N457" s="597" t="s">
        <v>5883</v>
      </c>
      <c r="O457" s="624" t="s">
        <v>5884</v>
      </c>
      <c r="P457" s="676">
        <v>6740</v>
      </c>
      <c r="Q457" s="630"/>
      <c r="R457" s="678">
        <f t="shared" si="30"/>
        <v>0</v>
      </c>
      <c r="S457" s="570">
        <v>202310</v>
      </c>
      <c r="T457" s="687" t="s">
        <v>5885</v>
      </c>
      <c r="U457" s="626"/>
      <c r="V457" s="636">
        <v>0</v>
      </c>
      <c r="W457" s="575"/>
      <c r="X457" s="597">
        <v>44197</v>
      </c>
      <c r="Y457" s="597">
        <v>44926</v>
      </c>
      <c r="Z457" s="691" t="s">
        <v>5886</v>
      </c>
      <c r="AA457" s="691">
        <v>0.4</v>
      </c>
      <c r="AB457" s="692">
        <v>0</v>
      </c>
      <c r="AC457" s="692">
        <f>AA457*AB457</f>
        <v>0</v>
      </c>
    </row>
    <row r="458" spans="1:29" s="577" customFormat="1" ht="15" customHeight="1">
      <c r="A458" s="561" t="s">
        <v>45</v>
      </c>
      <c r="B458" s="594" t="s">
        <v>5528</v>
      </c>
      <c r="C458" s="563" t="s">
        <v>5574</v>
      </c>
      <c r="D458" s="563" t="s">
        <v>71</v>
      </c>
      <c r="E458" s="561" t="s">
        <v>5878</v>
      </c>
      <c r="F458" s="561" t="s">
        <v>5879</v>
      </c>
      <c r="G458" s="624" t="s">
        <v>165</v>
      </c>
      <c r="H458" s="594" t="s">
        <v>5880</v>
      </c>
      <c r="I458" s="565" t="e">
        <f>VLOOKUP(H458,'合同高级查询数据-10月新返回合同'!A:A,1,0)</f>
        <v>#N/A</v>
      </c>
      <c r="J458" s="566" t="s">
        <v>3724</v>
      </c>
      <c r="K458" s="561" t="s">
        <v>5887</v>
      </c>
      <c r="L458" s="624" t="s">
        <v>5879</v>
      </c>
      <c r="M458" s="596"/>
      <c r="N458" s="597">
        <v>43922</v>
      </c>
      <c r="O458" s="624" t="s">
        <v>5888</v>
      </c>
      <c r="P458" s="676">
        <v>6740</v>
      </c>
      <c r="Q458" s="630"/>
      <c r="R458" s="678">
        <f t="shared" si="30"/>
        <v>0</v>
      </c>
      <c r="S458" s="570">
        <v>202310</v>
      </c>
      <c r="T458" s="687" t="s">
        <v>5889</v>
      </c>
      <c r="U458" s="626"/>
      <c r="V458" s="636">
        <v>0</v>
      </c>
      <c r="W458" s="628"/>
      <c r="X458" s="597">
        <v>44197</v>
      </c>
      <c r="Y458" s="597">
        <v>44926</v>
      </c>
      <c r="Z458" s="691" t="s">
        <v>5890</v>
      </c>
      <c r="AA458" s="691"/>
      <c r="AB458" s="692">
        <v>0</v>
      </c>
      <c r="AC458" s="692">
        <f>AA458*AB458</f>
        <v>0</v>
      </c>
    </row>
    <row r="459" spans="1:29" s="577" customFormat="1" ht="15" customHeight="1">
      <c r="A459" s="561" t="s">
        <v>45</v>
      </c>
      <c r="B459" s="594" t="s">
        <v>5528</v>
      </c>
      <c r="C459" s="563" t="s">
        <v>5574</v>
      </c>
      <c r="D459" s="563" t="s">
        <v>71</v>
      </c>
      <c r="E459" s="561" t="s">
        <v>5891</v>
      </c>
      <c r="F459" s="561" t="s">
        <v>5892</v>
      </c>
      <c r="G459" s="624" t="s">
        <v>165</v>
      </c>
      <c r="H459" s="594" t="s">
        <v>5893</v>
      </c>
      <c r="I459" s="565" t="e">
        <f>VLOOKUP(H459,'合同高级查询数据-10月新返回合同'!A:A,1,0)</f>
        <v>#N/A</v>
      </c>
      <c r="J459" s="566" t="s">
        <v>3724</v>
      </c>
      <c r="K459" s="561" t="s">
        <v>5894</v>
      </c>
      <c r="L459" s="624" t="s">
        <v>5892</v>
      </c>
      <c r="M459" s="596"/>
      <c r="N459" s="597" t="s">
        <v>5895</v>
      </c>
      <c r="O459" s="624" t="s">
        <v>5896</v>
      </c>
      <c r="P459" s="676">
        <v>6740</v>
      </c>
      <c r="Q459" s="630"/>
      <c r="R459" s="678">
        <f t="shared" si="30"/>
        <v>0</v>
      </c>
      <c r="S459" s="570">
        <v>202310</v>
      </c>
      <c r="T459" s="687" t="s">
        <v>5897</v>
      </c>
      <c r="U459" s="626"/>
      <c r="V459" s="636">
        <v>0</v>
      </c>
      <c r="W459" s="708"/>
      <c r="X459" s="597">
        <v>44197</v>
      </c>
      <c r="Y459" s="597">
        <v>44926</v>
      </c>
      <c r="Z459" s="691" t="s">
        <v>5898</v>
      </c>
      <c r="AA459" s="691">
        <v>0.4</v>
      </c>
      <c r="AB459" s="692">
        <v>0</v>
      </c>
      <c r="AC459" s="692">
        <f>AA459*AB459</f>
        <v>0</v>
      </c>
    </row>
    <row r="460" spans="1:29" s="577" customFormat="1" ht="15" customHeight="1">
      <c r="A460" s="561" t="s">
        <v>45</v>
      </c>
      <c r="B460" s="594" t="s">
        <v>5528</v>
      </c>
      <c r="C460" s="563" t="s">
        <v>5574</v>
      </c>
      <c r="D460" s="561" t="s">
        <v>71</v>
      </c>
      <c r="E460" s="561" t="s">
        <v>5899</v>
      </c>
      <c r="F460" s="561" t="s">
        <v>5900</v>
      </c>
      <c r="G460" s="561" t="s">
        <v>165</v>
      </c>
      <c r="H460" s="594" t="s">
        <v>5901</v>
      </c>
      <c r="I460" s="565" t="str">
        <f>VLOOKUP(H460,'合同高级查询数据-10月新返回合同'!A:A,1,0)</f>
        <v>182315IDC00551</v>
      </c>
      <c r="J460" s="566" t="s">
        <v>3724</v>
      </c>
      <c r="K460" s="561" t="s">
        <v>5902</v>
      </c>
      <c r="L460" s="561" t="s">
        <v>5900</v>
      </c>
      <c r="M460" s="596"/>
      <c r="N460" s="574" t="s">
        <v>5903</v>
      </c>
      <c r="O460" s="561" t="s">
        <v>5904</v>
      </c>
      <c r="P460" s="676">
        <v>6740</v>
      </c>
      <c r="Q460" s="630"/>
      <c r="R460" s="633">
        <f t="shared" si="30"/>
        <v>0</v>
      </c>
      <c r="S460" s="570">
        <v>202310</v>
      </c>
      <c r="T460" s="687" t="s">
        <v>5905</v>
      </c>
      <c r="U460" s="561"/>
      <c r="V460" s="636">
        <v>0</v>
      </c>
      <c r="W460" s="680"/>
      <c r="X460" s="597">
        <v>45108</v>
      </c>
      <c r="Y460" s="597">
        <v>45473</v>
      </c>
      <c r="Z460" s="691" t="s">
        <v>5906</v>
      </c>
      <c r="AA460" s="683"/>
      <c r="AB460" s="709"/>
      <c r="AC460" s="692">
        <f t="shared" ref="AC460:AC469" si="31">AA460*AB460</f>
        <v>0</v>
      </c>
    </row>
    <row r="461" spans="1:29" s="577" customFormat="1" ht="15" customHeight="1">
      <c r="A461" s="561" t="s">
        <v>45</v>
      </c>
      <c r="B461" s="594" t="s">
        <v>5528</v>
      </c>
      <c r="C461" s="563" t="s">
        <v>5574</v>
      </c>
      <c r="D461" s="561" t="s">
        <v>71</v>
      </c>
      <c r="E461" s="561" t="s">
        <v>5899</v>
      </c>
      <c r="F461" s="561" t="s">
        <v>5900</v>
      </c>
      <c r="G461" s="561" t="s">
        <v>165</v>
      </c>
      <c r="H461" s="594" t="s">
        <v>5901</v>
      </c>
      <c r="I461" s="565" t="str">
        <f>VLOOKUP(H461,'合同高级查询数据-10月新返回合同'!A:A,1,0)</f>
        <v>182315IDC00551</v>
      </c>
      <c r="J461" s="566" t="s">
        <v>3724</v>
      </c>
      <c r="K461" s="561" t="s">
        <v>5907</v>
      </c>
      <c r="L461" s="561" t="s">
        <v>5908</v>
      </c>
      <c r="M461" s="596"/>
      <c r="N461" s="574">
        <v>42236</v>
      </c>
      <c r="O461" s="561" t="s">
        <v>5909</v>
      </c>
      <c r="P461" s="676">
        <v>6740</v>
      </c>
      <c r="Q461" s="630">
        <v>0.03</v>
      </c>
      <c r="R461" s="633">
        <f t="shared" si="30"/>
        <v>202.2</v>
      </c>
      <c r="S461" s="570">
        <v>202309</v>
      </c>
      <c r="T461" s="687" t="s">
        <v>5910</v>
      </c>
      <c r="U461" s="561"/>
      <c r="V461" s="636"/>
      <c r="W461" s="680"/>
      <c r="X461" s="597">
        <v>45108</v>
      </c>
      <c r="Y461" s="597">
        <v>45473</v>
      </c>
      <c r="Z461" s="691"/>
      <c r="AA461" s="683"/>
      <c r="AB461" s="709"/>
      <c r="AC461" s="692"/>
    </row>
    <row r="462" spans="1:29" s="577" customFormat="1" ht="15" customHeight="1">
      <c r="A462" s="561" t="s">
        <v>45</v>
      </c>
      <c r="B462" s="594" t="s">
        <v>5528</v>
      </c>
      <c r="C462" s="563" t="s">
        <v>5574</v>
      </c>
      <c r="D462" s="563" t="s">
        <v>71</v>
      </c>
      <c r="E462" s="561" t="s">
        <v>5899</v>
      </c>
      <c r="F462" s="561" t="s">
        <v>5900</v>
      </c>
      <c r="G462" s="624" t="s">
        <v>165</v>
      </c>
      <c r="H462" s="594" t="s">
        <v>5901</v>
      </c>
      <c r="I462" s="565" t="str">
        <f>VLOOKUP(H462,'合同高级查询数据-10月新返回合同'!A:A,1,0)</f>
        <v>182315IDC00551</v>
      </c>
      <c r="J462" s="566" t="s">
        <v>3724</v>
      </c>
      <c r="K462" s="561" t="s">
        <v>5907</v>
      </c>
      <c r="L462" s="624" t="s">
        <v>5908</v>
      </c>
      <c r="M462" s="596"/>
      <c r="N462" s="597">
        <v>42236</v>
      </c>
      <c r="O462" s="624" t="s">
        <v>5909</v>
      </c>
      <c r="P462" s="676">
        <v>6740</v>
      </c>
      <c r="Q462" s="630">
        <v>55.93</v>
      </c>
      <c r="R462" s="633">
        <f t="shared" si="30"/>
        <v>376968.2</v>
      </c>
      <c r="S462" s="570">
        <v>202310</v>
      </c>
      <c r="T462" s="687" t="s">
        <v>5911</v>
      </c>
      <c r="U462" s="626"/>
      <c r="V462" s="636">
        <v>55.934932709000002</v>
      </c>
      <c r="W462" s="680"/>
      <c r="X462" s="597">
        <v>45108</v>
      </c>
      <c r="Y462" s="597">
        <v>45473</v>
      </c>
      <c r="Z462" s="691" t="s">
        <v>5912</v>
      </c>
      <c r="AA462" s="691">
        <v>0.4</v>
      </c>
      <c r="AB462" s="692">
        <v>120</v>
      </c>
      <c r="AC462" s="692">
        <f t="shared" si="31"/>
        <v>48</v>
      </c>
    </row>
    <row r="463" spans="1:29" s="577" customFormat="1" ht="15" customHeight="1">
      <c r="A463" s="561" t="s">
        <v>45</v>
      </c>
      <c r="B463" s="594" t="s">
        <v>5528</v>
      </c>
      <c r="C463" s="563" t="s">
        <v>5574</v>
      </c>
      <c r="D463" s="563" t="s">
        <v>71</v>
      </c>
      <c r="E463" s="561" t="s">
        <v>5899</v>
      </c>
      <c r="F463" s="561" t="s">
        <v>5900</v>
      </c>
      <c r="G463" s="624" t="s">
        <v>165</v>
      </c>
      <c r="H463" s="594" t="s">
        <v>5901</v>
      </c>
      <c r="I463" s="565" t="str">
        <f>VLOOKUP(H463,'合同高级查询数据-10月新返回合同'!A:A,1,0)</f>
        <v>182315IDC00551</v>
      </c>
      <c r="J463" s="566" t="s">
        <v>3724</v>
      </c>
      <c r="K463" s="561" t="s">
        <v>5913</v>
      </c>
      <c r="L463" s="624" t="s">
        <v>5914</v>
      </c>
      <c r="M463" s="596"/>
      <c r="N463" s="597" t="s">
        <v>5915</v>
      </c>
      <c r="O463" s="624" t="s">
        <v>5916</v>
      </c>
      <c r="P463" s="676">
        <v>6740</v>
      </c>
      <c r="Q463" s="630">
        <v>0.8</v>
      </c>
      <c r="R463" s="633">
        <f t="shared" si="30"/>
        <v>5392</v>
      </c>
      <c r="S463" s="570">
        <v>202309</v>
      </c>
      <c r="T463" s="687" t="s">
        <v>5917</v>
      </c>
      <c r="U463" s="626"/>
      <c r="V463" s="636"/>
      <c r="W463" s="680"/>
      <c r="X463" s="597">
        <v>45108</v>
      </c>
      <c r="Y463" s="597">
        <v>45473</v>
      </c>
      <c r="Z463" s="691"/>
      <c r="AA463" s="691"/>
      <c r="AB463" s="692"/>
      <c r="AC463" s="692"/>
    </row>
    <row r="464" spans="1:29" s="577" customFormat="1" ht="15" customHeight="1">
      <c r="A464" s="561" t="s">
        <v>45</v>
      </c>
      <c r="B464" s="594" t="s">
        <v>5528</v>
      </c>
      <c r="C464" s="563" t="s">
        <v>5574</v>
      </c>
      <c r="D464" s="563" t="s">
        <v>71</v>
      </c>
      <c r="E464" s="561" t="s">
        <v>5899</v>
      </c>
      <c r="F464" s="561" t="s">
        <v>5900</v>
      </c>
      <c r="G464" s="624" t="s">
        <v>165</v>
      </c>
      <c r="H464" s="594" t="s">
        <v>5901</v>
      </c>
      <c r="I464" s="565" t="str">
        <f>VLOOKUP(H464,'合同高级查询数据-10月新返回合同'!A:A,1,0)</f>
        <v>182315IDC00551</v>
      </c>
      <c r="J464" s="566" t="s">
        <v>3724</v>
      </c>
      <c r="K464" s="561" t="s">
        <v>5913</v>
      </c>
      <c r="L464" s="624" t="s">
        <v>5914</v>
      </c>
      <c r="M464" s="596"/>
      <c r="N464" s="597" t="s">
        <v>5915</v>
      </c>
      <c r="O464" s="624" t="s">
        <v>5916</v>
      </c>
      <c r="P464" s="676">
        <v>6740</v>
      </c>
      <c r="Q464" s="630">
        <v>107.21</v>
      </c>
      <c r="R464" s="633">
        <f t="shared" si="30"/>
        <v>722595.4</v>
      </c>
      <c r="S464" s="570">
        <v>202310</v>
      </c>
      <c r="T464" s="663" t="s">
        <v>5918</v>
      </c>
      <c r="U464" s="626"/>
      <c r="V464" s="636">
        <v>107.214027405</v>
      </c>
      <c r="W464" s="680"/>
      <c r="X464" s="597">
        <v>45108</v>
      </c>
      <c r="Y464" s="597">
        <v>45473</v>
      </c>
      <c r="Z464" s="691" t="s">
        <v>5919</v>
      </c>
      <c r="AA464" s="691">
        <v>0.4</v>
      </c>
      <c r="AB464" s="692">
        <v>220</v>
      </c>
      <c r="AC464" s="692">
        <f t="shared" si="31"/>
        <v>88</v>
      </c>
    </row>
    <row r="465" spans="1:29" s="577" customFormat="1" ht="15" customHeight="1">
      <c r="A465" s="561" t="s">
        <v>45</v>
      </c>
      <c r="B465" s="594" t="s">
        <v>5528</v>
      </c>
      <c r="C465" s="563" t="s">
        <v>5574</v>
      </c>
      <c r="D465" s="563" t="s">
        <v>71</v>
      </c>
      <c r="E465" s="561" t="s">
        <v>5899</v>
      </c>
      <c r="F465" s="561" t="s">
        <v>5900</v>
      </c>
      <c r="G465" s="624" t="s">
        <v>165</v>
      </c>
      <c r="H465" s="594" t="s">
        <v>5901</v>
      </c>
      <c r="I465" s="565" t="str">
        <f>VLOOKUP(H465,'合同高级查询数据-10月新返回合同'!A:A,1,0)</f>
        <v>182315IDC00551</v>
      </c>
      <c r="J465" s="594" t="s">
        <v>3724</v>
      </c>
      <c r="K465" s="594" t="s">
        <v>5920</v>
      </c>
      <c r="L465" s="594" t="s">
        <v>5920</v>
      </c>
      <c r="M465" s="594" t="s">
        <v>5921</v>
      </c>
      <c r="N465" s="682">
        <v>45108</v>
      </c>
      <c r="O465" s="594" t="s">
        <v>1542</v>
      </c>
      <c r="P465" s="707">
        <v>6740</v>
      </c>
      <c r="Q465" s="630">
        <v>86.35</v>
      </c>
      <c r="R465" s="633">
        <f t="shared" si="30"/>
        <v>581999</v>
      </c>
      <c r="S465" s="570">
        <v>202310</v>
      </c>
      <c r="T465" s="663" t="s">
        <v>5922</v>
      </c>
      <c r="U465" s="626"/>
      <c r="V465" s="636">
        <v>86.347434997999997</v>
      </c>
      <c r="W465" s="680"/>
      <c r="X465" s="597">
        <v>45108</v>
      </c>
      <c r="Y465" s="597">
        <v>45473</v>
      </c>
      <c r="Z465" s="691" t="s">
        <v>5923</v>
      </c>
      <c r="AA465" s="691">
        <v>0.4</v>
      </c>
      <c r="AB465" s="692">
        <v>200</v>
      </c>
      <c r="AC465" s="692">
        <f t="shared" si="31"/>
        <v>80</v>
      </c>
    </row>
    <row r="466" spans="1:29" s="577" customFormat="1" ht="15" customHeight="1">
      <c r="A466" s="561" t="s">
        <v>45</v>
      </c>
      <c r="B466" s="594" t="s">
        <v>5528</v>
      </c>
      <c r="C466" s="563" t="s">
        <v>5574</v>
      </c>
      <c r="D466" s="563" t="s">
        <v>71</v>
      </c>
      <c r="E466" s="561" t="s">
        <v>5899</v>
      </c>
      <c r="F466" s="561" t="s">
        <v>5900</v>
      </c>
      <c r="G466" s="624" t="s">
        <v>165</v>
      </c>
      <c r="H466" s="594" t="s">
        <v>5901</v>
      </c>
      <c r="I466" s="565" t="str">
        <f>VLOOKUP(H466,'合同高级查询数据-10月新返回合同'!A:A,1,0)</f>
        <v>182315IDC00551</v>
      </c>
      <c r="J466" s="594" t="s">
        <v>3724</v>
      </c>
      <c r="K466" s="594" t="s">
        <v>5924</v>
      </c>
      <c r="L466" s="594" t="s">
        <v>5924</v>
      </c>
      <c r="M466" s="594"/>
      <c r="N466" s="682">
        <v>44904</v>
      </c>
      <c r="O466" s="594" t="s">
        <v>4772</v>
      </c>
      <c r="P466" s="707">
        <v>6740</v>
      </c>
      <c r="Q466" s="630">
        <v>0.05</v>
      </c>
      <c r="R466" s="633">
        <f t="shared" si="30"/>
        <v>337</v>
      </c>
      <c r="S466" s="570">
        <v>202309</v>
      </c>
      <c r="T466" s="687" t="s">
        <v>5925</v>
      </c>
      <c r="U466" s="626"/>
      <c r="V466" s="636"/>
      <c r="W466" s="680"/>
      <c r="X466" s="597">
        <v>45108</v>
      </c>
      <c r="Y466" s="597">
        <v>45473</v>
      </c>
      <c r="Z466" s="691"/>
      <c r="AA466" s="691"/>
      <c r="AB466" s="692"/>
      <c r="AC466" s="692"/>
    </row>
    <row r="467" spans="1:29" s="577" customFormat="1" ht="15" customHeight="1">
      <c r="A467" s="561" t="s">
        <v>45</v>
      </c>
      <c r="B467" s="594" t="s">
        <v>5528</v>
      </c>
      <c r="C467" s="563" t="s">
        <v>5574</v>
      </c>
      <c r="D467" s="563" t="s">
        <v>71</v>
      </c>
      <c r="E467" s="561" t="s">
        <v>5899</v>
      </c>
      <c r="F467" s="561" t="s">
        <v>5900</v>
      </c>
      <c r="G467" s="624" t="s">
        <v>165</v>
      </c>
      <c r="H467" s="594" t="s">
        <v>5901</v>
      </c>
      <c r="I467" s="565" t="str">
        <f>VLOOKUP(H467,'合同高级查询数据-10月新返回合同'!A:A,1,0)</f>
        <v>182315IDC00551</v>
      </c>
      <c r="J467" s="566" t="s">
        <v>3724</v>
      </c>
      <c r="K467" s="561" t="s">
        <v>5924</v>
      </c>
      <c r="L467" s="624" t="s">
        <v>5924</v>
      </c>
      <c r="M467" s="596"/>
      <c r="N467" s="597">
        <v>44904</v>
      </c>
      <c r="O467" s="624" t="s">
        <v>4772</v>
      </c>
      <c r="P467" s="676">
        <v>6740</v>
      </c>
      <c r="Q467" s="630">
        <v>61.53</v>
      </c>
      <c r="R467" s="633">
        <f t="shared" si="30"/>
        <v>414712.2</v>
      </c>
      <c r="S467" s="570">
        <v>202310</v>
      </c>
      <c r="T467" s="687" t="s">
        <v>5926</v>
      </c>
      <c r="U467" s="626"/>
      <c r="V467" s="636">
        <v>61.534500121999997</v>
      </c>
      <c r="W467" s="680"/>
      <c r="X467" s="597">
        <v>45108</v>
      </c>
      <c r="Y467" s="597">
        <v>45473</v>
      </c>
      <c r="Z467" s="691" t="s">
        <v>5927</v>
      </c>
      <c r="AA467" s="691">
        <v>0.4</v>
      </c>
      <c r="AB467" s="692">
        <v>120</v>
      </c>
      <c r="AC467" s="692">
        <f t="shared" si="31"/>
        <v>48</v>
      </c>
    </row>
    <row r="468" spans="1:29" s="577" customFormat="1" ht="15" customHeight="1">
      <c r="A468" s="561" t="s">
        <v>45</v>
      </c>
      <c r="B468" s="594" t="s">
        <v>5528</v>
      </c>
      <c r="C468" s="563" t="s">
        <v>5574</v>
      </c>
      <c r="D468" s="563" t="s">
        <v>71</v>
      </c>
      <c r="E468" s="561" t="s">
        <v>5899</v>
      </c>
      <c r="F468" s="561" t="s">
        <v>5900</v>
      </c>
      <c r="G468" s="624" t="s">
        <v>165</v>
      </c>
      <c r="H468" s="594" t="s">
        <v>5901</v>
      </c>
      <c r="I468" s="565" t="str">
        <f>VLOOKUP(H468,'合同高级查询数据-10月新返回合同'!A:A,1,0)</f>
        <v>182315IDC00551</v>
      </c>
      <c r="J468" s="566" t="s">
        <v>3724</v>
      </c>
      <c r="K468" s="561" t="s">
        <v>5928</v>
      </c>
      <c r="L468" s="624" t="s">
        <v>5929</v>
      </c>
      <c r="M468" s="596"/>
      <c r="N468" s="603" t="s">
        <v>5930</v>
      </c>
      <c r="O468" s="607" t="s">
        <v>5931</v>
      </c>
      <c r="P468" s="676">
        <v>6740</v>
      </c>
      <c r="Q468" s="630"/>
      <c r="R468" s="633">
        <f t="shared" si="30"/>
        <v>0</v>
      </c>
      <c r="S468" s="570">
        <v>202310</v>
      </c>
      <c r="T468" s="687" t="s">
        <v>5932</v>
      </c>
      <c r="U468" s="626"/>
      <c r="V468" s="636">
        <v>0</v>
      </c>
      <c r="W468" s="628"/>
      <c r="X468" s="597">
        <v>45108</v>
      </c>
      <c r="Y468" s="597">
        <v>45473</v>
      </c>
      <c r="Z468" s="691" t="s">
        <v>5933</v>
      </c>
      <c r="AA468" s="691">
        <v>0.4</v>
      </c>
      <c r="AB468" s="692">
        <v>0</v>
      </c>
      <c r="AC468" s="692">
        <f t="shared" si="31"/>
        <v>0</v>
      </c>
    </row>
    <row r="469" spans="1:29" s="385" customFormat="1" ht="15" customHeight="1">
      <c r="A469" s="386" t="s">
        <v>45</v>
      </c>
      <c r="B469" s="423" t="s">
        <v>5528</v>
      </c>
      <c r="C469" s="388" t="s">
        <v>5574</v>
      </c>
      <c r="D469" s="388" t="s">
        <v>71</v>
      </c>
      <c r="E469" s="386" t="s">
        <v>5899</v>
      </c>
      <c r="F469" s="386" t="s">
        <v>5900</v>
      </c>
      <c r="G469" s="402" t="s">
        <v>165</v>
      </c>
      <c r="H469" s="423" t="s">
        <v>5934</v>
      </c>
      <c r="I469" s="369" t="e">
        <f>VLOOKUP(H469,'合同高级查询数据-10月新返回合同'!A:A,1,0)</f>
        <v>#N/A</v>
      </c>
      <c r="J469" s="390" t="s">
        <v>3724</v>
      </c>
      <c r="K469" s="402" t="s">
        <v>5935</v>
      </c>
      <c r="L469" s="402" t="s">
        <v>5935</v>
      </c>
      <c r="M469" s="403" t="s">
        <v>5936</v>
      </c>
      <c r="N469" s="373">
        <v>45142</v>
      </c>
      <c r="O469" s="370" t="s">
        <v>3779</v>
      </c>
      <c r="P469" s="508">
        <v>0</v>
      </c>
      <c r="Q469" s="460"/>
      <c r="R469" s="445">
        <f t="shared" si="30"/>
        <v>0</v>
      </c>
      <c r="S469" s="378">
        <v>202310</v>
      </c>
      <c r="T469" s="452" t="s">
        <v>5937</v>
      </c>
      <c r="U469" s="443"/>
      <c r="V469" s="503">
        <v>0</v>
      </c>
      <c r="W469" s="408"/>
      <c r="X469" s="425"/>
      <c r="Y469" s="425"/>
      <c r="Z469" s="511" t="s">
        <v>5938</v>
      </c>
      <c r="AA469" s="511">
        <v>0.4</v>
      </c>
      <c r="AB469" s="512">
        <v>30</v>
      </c>
      <c r="AC469" s="512">
        <f t="shared" si="31"/>
        <v>12</v>
      </c>
    </row>
    <row r="470" spans="1:29" s="577" customFormat="1" ht="15" customHeight="1">
      <c r="A470" s="561" t="s">
        <v>45</v>
      </c>
      <c r="B470" s="594" t="s">
        <v>5528</v>
      </c>
      <c r="C470" s="563" t="s">
        <v>5574</v>
      </c>
      <c r="D470" s="563" t="s">
        <v>71</v>
      </c>
      <c r="E470" s="561" t="s">
        <v>5899</v>
      </c>
      <c r="F470" s="561" t="s">
        <v>5900</v>
      </c>
      <c r="G470" s="624" t="s">
        <v>165</v>
      </c>
      <c r="H470" s="594" t="s">
        <v>5901</v>
      </c>
      <c r="I470" s="565" t="str">
        <f>VLOOKUP(H470,'合同高级查询数据-10月新返回合同'!A:A,1,0)</f>
        <v>182315IDC00551</v>
      </c>
      <c r="J470" s="566" t="s">
        <v>3724</v>
      </c>
      <c r="K470" s="561" t="s">
        <v>5939</v>
      </c>
      <c r="L470" s="624" t="s">
        <v>5940</v>
      </c>
      <c r="M470" s="596"/>
      <c r="N470" s="597" t="s">
        <v>5903</v>
      </c>
      <c r="O470" s="624" t="s">
        <v>5941</v>
      </c>
      <c r="P470" s="676">
        <v>6740</v>
      </c>
      <c r="Q470" s="630"/>
      <c r="R470" s="633">
        <f t="shared" si="30"/>
        <v>0</v>
      </c>
      <c r="S470" s="570">
        <v>202310</v>
      </c>
      <c r="T470" s="687" t="s">
        <v>5942</v>
      </c>
      <c r="U470" s="626"/>
      <c r="V470" s="636">
        <v>0</v>
      </c>
      <c r="W470" s="680"/>
      <c r="X470" s="597">
        <v>45108</v>
      </c>
      <c r="Y470" s="597">
        <v>45473</v>
      </c>
      <c r="Z470" s="691" t="s">
        <v>5943</v>
      </c>
      <c r="AA470" s="691"/>
      <c r="AB470" s="692"/>
      <c r="AC470" s="692"/>
    </row>
    <row r="471" spans="1:29" s="577" customFormat="1" ht="15" customHeight="1">
      <c r="A471" s="561" t="s">
        <v>45</v>
      </c>
      <c r="B471" s="594" t="s">
        <v>5528</v>
      </c>
      <c r="C471" s="563" t="s">
        <v>5574</v>
      </c>
      <c r="D471" s="563" t="s">
        <v>71</v>
      </c>
      <c r="E471" s="561" t="s">
        <v>5899</v>
      </c>
      <c r="F471" s="561" t="s">
        <v>5900</v>
      </c>
      <c r="G471" s="624" t="s">
        <v>165</v>
      </c>
      <c r="H471" s="594" t="s">
        <v>5901</v>
      </c>
      <c r="I471" s="565" t="str">
        <f>VLOOKUP(H471,'合同高级查询数据-10月新返回合同'!A:A,1,0)</f>
        <v>182315IDC00551</v>
      </c>
      <c r="J471" s="566" t="s">
        <v>3724</v>
      </c>
      <c r="K471" s="561" t="s">
        <v>5944</v>
      </c>
      <c r="L471" s="624" t="s">
        <v>5945</v>
      </c>
      <c r="M471" s="596"/>
      <c r="N471" s="597" t="s">
        <v>5946</v>
      </c>
      <c r="O471" s="624" t="s">
        <v>4161</v>
      </c>
      <c r="P471" s="676">
        <v>6100</v>
      </c>
      <c r="Q471" s="630"/>
      <c r="R471" s="633">
        <f t="shared" si="30"/>
        <v>0</v>
      </c>
      <c r="S471" s="570">
        <v>202310</v>
      </c>
      <c r="T471" s="687" t="s">
        <v>5947</v>
      </c>
      <c r="U471" s="626"/>
      <c r="V471" s="636">
        <v>0</v>
      </c>
      <c r="W471" s="628"/>
      <c r="X471" s="597">
        <v>45108</v>
      </c>
      <c r="Y471" s="597">
        <v>45473</v>
      </c>
      <c r="Z471" s="691" t="s">
        <v>5948</v>
      </c>
      <c r="AA471" s="691"/>
      <c r="AB471" s="692">
        <v>0</v>
      </c>
      <c r="AC471" s="692">
        <f>AA471*AB471</f>
        <v>0</v>
      </c>
    </row>
    <row r="472" spans="1:29" s="577" customFormat="1" ht="15" customHeight="1">
      <c r="A472" s="561" t="s">
        <v>45</v>
      </c>
      <c r="B472" s="594" t="s">
        <v>5528</v>
      </c>
      <c r="C472" s="563" t="s">
        <v>5574</v>
      </c>
      <c r="D472" s="563" t="s">
        <v>71</v>
      </c>
      <c r="E472" s="561" t="s">
        <v>5878</v>
      </c>
      <c r="F472" s="561" t="s">
        <v>5879</v>
      </c>
      <c r="G472" s="624" t="s">
        <v>165</v>
      </c>
      <c r="H472" s="594" t="s">
        <v>5949</v>
      </c>
      <c r="I472" s="565" t="str">
        <f>VLOOKUP(H472,'合同高级查询数据-10月新返回合同'!A:A,1,0)</f>
        <v>182315IDC00525</v>
      </c>
      <c r="J472" s="566" t="s">
        <v>3724</v>
      </c>
      <c r="K472" s="561" t="s">
        <v>5950</v>
      </c>
      <c r="L472" s="624" t="s">
        <v>5951</v>
      </c>
      <c r="M472" s="596" t="s">
        <v>5952</v>
      </c>
      <c r="N472" s="597">
        <v>45113</v>
      </c>
      <c r="O472" s="624" t="s">
        <v>1542</v>
      </c>
      <c r="P472" s="676">
        <v>6740</v>
      </c>
      <c r="Q472" s="630">
        <v>81.599999999999994</v>
      </c>
      <c r="R472" s="633">
        <f t="shared" si="30"/>
        <v>549984</v>
      </c>
      <c r="S472" s="570">
        <v>202310</v>
      </c>
      <c r="T472" s="687" t="s">
        <v>5953</v>
      </c>
      <c r="U472" s="626"/>
      <c r="V472" s="636">
        <v>81.599801021999994</v>
      </c>
      <c r="W472" s="628"/>
      <c r="X472" s="597">
        <v>45108</v>
      </c>
      <c r="Y472" s="597">
        <v>45473</v>
      </c>
      <c r="Z472" s="691" t="s">
        <v>5954</v>
      </c>
      <c r="AA472" s="691">
        <v>0.4</v>
      </c>
      <c r="AB472" s="692">
        <v>200</v>
      </c>
      <c r="AC472" s="692">
        <f>AA472*AB472</f>
        <v>80</v>
      </c>
    </row>
    <row r="473" spans="1:29" s="577" customFormat="1" ht="15" customHeight="1">
      <c r="A473" s="561" t="s">
        <v>45</v>
      </c>
      <c r="B473" s="594" t="s">
        <v>5528</v>
      </c>
      <c r="C473" s="563" t="s">
        <v>5574</v>
      </c>
      <c r="D473" s="563" t="s">
        <v>71</v>
      </c>
      <c r="E473" s="561" t="s">
        <v>5891</v>
      </c>
      <c r="F473" s="561" t="s">
        <v>5892</v>
      </c>
      <c r="G473" s="624" t="s">
        <v>165</v>
      </c>
      <c r="H473" s="594" t="s">
        <v>5955</v>
      </c>
      <c r="I473" s="565" t="str">
        <f>VLOOKUP(H473,'合同高级查询数据-10月新返回合同'!A:A,1,0)</f>
        <v>182315IDC00526</v>
      </c>
      <c r="J473" s="566" t="s">
        <v>3724</v>
      </c>
      <c r="K473" s="561" t="s">
        <v>5956</v>
      </c>
      <c r="L473" s="624" t="s">
        <v>5957</v>
      </c>
      <c r="M473" s="596" t="s">
        <v>5958</v>
      </c>
      <c r="N473" s="597">
        <v>45115</v>
      </c>
      <c r="O473" s="624" t="s">
        <v>1542</v>
      </c>
      <c r="P473" s="676">
        <v>6740</v>
      </c>
      <c r="Q473" s="630">
        <v>82.83</v>
      </c>
      <c r="R473" s="633">
        <f t="shared" si="30"/>
        <v>558274.19999999995</v>
      </c>
      <c r="S473" s="570">
        <v>202310</v>
      </c>
      <c r="T473" s="687" t="s">
        <v>5959</v>
      </c>
      <c r="U473" s="626"/>
      <c r="V473" s="636">
        <v>82.827777153</v>
      </c>
      <c r="W473" s="628"/>
      <c r="X473" s="597">
        <v>45108</v>
      </c>
      <c r="Y473" s="597">
        <v>45473</v>
      </c>
      <c r="Z473" s="691" t="s">
        <v>5960</v>
      </c>
      <c r="AA473" s="691">
        <v>0.4</v>
      </c>
      <c r="AB473" s="692">
        <v>200</v>
      </c>
      <c r="AC473" s="692">
        <f>AA473*AB473</f>
        <v>80</v>
      </c>
    </row>
    <row r="474" spans="1:29" s="577" customFormat="1" ht="15" customHeight="1">
      <c r="A474" s="593" t="s">
        <v>45</v>
      </c>
      <c r="B474" s="594" t="s">
        <v>5428</v>
      </c>
      <c r="C474" s="594" t="s">
        <v>5538</v>
      </c>
      <c r="D474" s="594" t="s">
        <v>71</v>
      </c>
      <c r="E474" s="593" t="s">
        <v>5961</v>
      </c>
      <c r="F474" s="593" t="s">
        <v>5962</v>
      </c>
      <c r="G474" s="593" t="s">
        <v>165</v>
      </c>
      <c r="H474" s="564" t="s">
        <v>5963</v>
      </c>
      <c r="I474" s="565" t="str">
        <f>VLOOKUP(H474,'合同高级查询数据-10月新返回合同'!A:A,1,0)</f>
        <v>182315IDC00507</v>
      </c>
      <c r="J474" s="674" t="s">
        <v>3724</v>
      </c>
      <c r="K474" s="593" t="s">
        <v>5964</v>
      </c>
      <c r="L474" s="595" t="s">
        <v>5965</v>
      </c>
      <c r="M474" s="596"/>
      <c r="N474" s="597" t="s">
        <v>5966</v>
      </c>
      <c r="O474" s="597" t="s">
        <v>5967</v>
      </c>
      <c r="P474" s="676">
        <v>6740</v>
      </c>
      <c r="Q474" s="630"/>
      <c r="R474" s="678">
        <f t="shared" si="30"/>
        <v>0</v>
      </c>
      <c r="S474" s="570">
        <v>202310</v>
      </c>
      <c r="T474" s="687" t="s">
        <v>5968</v>
      </c>
      <c r="U474" s="679"/>
      <c r="V474" s="636">
        <v>0</v>
      </c>
      <c r="W474" s="688"/>
      <c r="X474" s="597">
        <v>45108</v>
      </c>
      <c r="Y474" s="597">
        <v>45473</v>
      </c>
      <c r="Z474" s="691" t="s">
        <v>5969</v>
      </c>
      <c r="AA474" s="691"/>
      <c r="AB474" s="692">
        <v>0</v>
      </c>
      <c r="AC474" s="692">
        <f t="shared" ref="AC474:AC479" si="32">AA474*AB474</f>
        <v>0</v>
      </c>
    </row>
    <row r="475" spans="1:29" s="577" customFormat="1" ht="15" customHeight="1">
      <c r="A475" s="593" t="s">
        <v>45</v>
      </c>
      <c r="B475" s="594" t="s">
        <v>5428</v>
      </c>
      <c r="C475" s="594" t="s">
        <v>5538</v>
      </c>
      <c r="D475" s="594" t="s">
        <v>71</v>
      </c>
      <c r="E475" s="593" t="s">
        <v>5961</v>
      </c>
      <c r="F475" s="593" t="s">
        <v>5962</v>
      </c>
      <c r="G475" s="593" t="s">
        <v>165</v>
      </c>
      <c r="H475" s="564" t="s">
        <v>5963</v>
      </c>
      <c r="I475" s="565" t="str">
        <f>VLOOKUP(H475,'合同高级查询数据-10月新返回合同'!A:A,1,0)</f>
        <v>182315IDC00507</v>
      </c>
      <c r="J475" s="674" t="s">
        <v>3724</v>
      </c>
      <c r="K475" s="593" t="s">
        <v>5970</v>
      </c>
      <c r="L475" s="595" t="s">
        <v>5970</v>
      </c>
      <c r="M475" s="596"/>
      <c r="N475" s="597" t="s">
        <v>5971</v>
      </c>
      <c r="O475" s="597" t="s">
        <v>5972</v>
      </c>
      <c r="P475" s="676">
        <v>6740</v>
      </c>
      <c r="Q475" s="630"/>
      <c r="R475" s="678">
        <f t="shared" si="30"/>
        <v>0</v>
      </c>
      <c r="S475" s="570">
        <v>202310</v>
      </c>
      <c r="T475" s="687" t="s">
        <v>5968</v>
      </c>
      <c r="U475" s="679"/>
      <c r="V475" s="636">
        <v>0</v>
      </c>
      <c r="W475" s="688"/>
      <c r="X475" s="597">
        <v>45108</v>
      </c>
      <c r="Y475" s="597">
        <v>45473</v>
      </c>
      <c r="Z475" s="691" t="s">
        <v>5973</v>
      </c>
      <c r="AA475" s="691"/>
      <c r="AB475" s="692">
        <v>0</v>
      </c>
      <c r="AC475" s="692">
        <f t="shared" si="32"/>
        <v>0</v>
      </c>
    </row>
    <row r="476" spans="1:29" s="577" customFormat="1" ht="15" customHeight="1">
      <c r="A476" s="593" t="s">
        <v>45</v>
      </c>
      <c r="B476" s="594" t="s">
        <v>5428</v>
      </c>
      <c r="C476" s="594" t="s">
        <v>5538</v>
      </c>
      <c r="D476" s="594" t="s">
        <v>71</v>
      </c>
      <c r="E476" s="593" t="s">
        <v>5961</v>
      </c>
      <c r="F476" s="593" t="s">
        <v>5962</v>
      </c>
      <c r="G476" s="593" t="s">
        <v>165</v>
      </c>
      <c r="H476" s="564" t="s">
        <v>5963</v>
      </c>
      <c r="I476" s="565" t="str">
        <f>VLOOKUP(H476,'合同高级查询数据-10月新返回合同'!A:A,1,0)</f>
        <v>182315IDC00507</v>
      </c>
      <c r="J476" s="674" t="s">
        <v>5372</v>
      </c>
      <c r="K476" s="593" t="s">
        <v>5974</v>
      </c>
      <c r="L476" s="595" t="s">
        <v>5975</v>
      </c>
      <c r="M476" s="596"/>
      <c r="N476" s="597" t="s">
        <v>5976</v>
      </c>
      <c r="O476" s="597" t="s">
        <v>5977</v>
      </c>
      <c r="P476" s="676">
        <v>6740</v>
      </c>
      <c r="Q476" s="630">
        <v>69.66</v>
      </c>
      <c r="R476" s="678">
        <f t="shared" si="30"/>
        <v>469508.4</v>
      </c>
      <c r="S476" s="570">
        <v>202310</v>
      </c>
      <c r="T476" s="687" t="s">
        <v>5978</v>
      </c>
      <c r="U476" s="679"/>
      <c r="V476" s="636">
        <v>69.657737732000001</v>
      </c>
      <c r="W476" s="688"/>
      <c r="X476" s="597">
        <v>45108</v>
      </c>
      <c r="Y476" s="597">
        <v>45473</v>
      </c>
      <c r="Z476" s="691" t="s">
        <v>5979</v>
      </c>
      <c r="AA476" s="691">
        <v>0.4</v>
      </c>
      <c r="AB476" s="692">
        <v>160</v>
      </c>
      <c r="AC476" s="692">
        <f t="shared" si="32"/>
        <v>64</v>
      </c>
    </row>
    <row r="477" spans="1:29" s="577" customFormat="1" ht="15" customHeight="1">
      <c r="A477" s="593" t="s">
        <v>45</v>
      </c>
      <c r="B477" s="594" t="s">
        <v>5428</v>
      </c>
      <c r="C477" s="594" t="s">
        <v>5538</v>
      </c>
      <c r="D477" s="594" t="s">
        <v>71</v>
      </c>
      <c r="E477" s="593" t="s">
        <v>5961</v>
      </c>
      <c r="F477" s="593" t="s">
        <v>5962</v>
      </c>
      <c r="G477" s="593" t="s">
        <v>165</v>
      </c>
      <c r="H477" s="564" t="s">
        <v>5963</v>
      </c>
      <c r="I477" s="565" t="str">
        <f>VLOOKUP(H477,'合同高级查询数据-10月新返回合同'!A:A,1,0)</f>
        <v>182315IDC00507</v>
      </c>
      <c r="J477" s="674" t="s">
        <v>3724</v>
      </c>
      <c r="K477" s="593" t="s">
        <v>5980</v>
      </c>
      <c r="L477" s="595" t="s">
        <v>5981</v>
      </c>
      <c r="M477" s="596" t="s">
        <v>5982</v>
      </c>
      <c r="N477" s="603" t="s">
        <v>5983</v>
      </c>
      <c r="O477" s="597" t="s">
        <v>5228</v>
      </c>
      <c r="P477" s="676">
        <v>6740</v>
      </c>
      <c r="Q477" s="630"/>
      <c r="R477" s="678">
        <f t="shared" si="30"/>
        <v>0</v>
      </c>
      <c r="S477" s="570">
        <v>202310</v>
      </c>
      <c r="T477" s="687" t="s">
        <v>5984</v>
      </c>
      <c r="U477" s="679"/>
      <c r="V477" s="636">
        <v>0</v>
      </c>
      <c r="W477" s="688"/>
      <c r="X477" s="597">
        <v>45108</v>
      </c>
      <c r="Y477" s="597">
        <v>45473</v>
      </c>
      <c r="Z477" s="691" t="s">
        <v>5985</v>
      </c>
      <c r="AA477" s="691">
        <v>0.4</v>
      </c>
      <c r="AB477" s="692">
        <v>0</v>
      </c>
      <c r="AC477" s="692">
        <f t="shared" si="32"/>
        <v>0</v>
      </c>
    </row>
    <row r="478" spans="1:29" s="577" customFormat="1" ht="15" customHeight="1">
      <c r="A478" s="593" t="s">
        <v>45</v>
      </c>
      <c r="B478" s="594" t="s">
        <v>5428</v>
      </c>
      <c r="C478" s="594" t="s">
        <v>5538</v>
      </c>
      <c r="D478" s="594" t="s">
        <v>71</v>
      </c>
      <c r="E478" s="593" t="s">
        <v>5961</v>
      </c>
      <c r="F478" s="593" t="s">
        <v>5962</v>
      </c>
      <c r="G478" s="593" t="s">
        <v>165</v>
      </c>
      <c r="H478" s="564" t="s">
        <v>5963</v>
      </c>
      <c r="I478" s="565" t="str">
        <f>VLOOKUP(H478,'合同高级查询数据-10月新返回合同'!A:A,1,0)</f>
        <v>182315IDC00507</v>
      </c>
      <c r="J478" s="674" t="s">
        <v>3724</v>
      </c>
      <c r="K478" s="593" t="s">
        <v>5986</v>
      </c>
      <c r="L478" s="595" t="s">
        <v>5987</v>
      </c>
      <c r="M478" s="596" t="s">
        <v>5982</v>
      </c>
      <c r="N478" s="597">
        <v>44899</v>
      </c>
      <c r="O478" s="597" t="s">
        <v>2187</v>
      </c>
      <c r="P478" s="676">
        <v>6740</v>
      </c>
      <c r="Q478" s="630">
        <v>43.94</v>
      </c>
      <c r="R478" s="678">
        <f t="shared" si="30"/>
        <v>296155.59999999998</v>
      </c>
      <c r="S478" s="570">
        <v>202310</v>
      </c>
      <c r="T478" s="687" t="s">
        <v>5988</v>
      </c>
      <c r="U478" s="679"/>
      <c r="V478" s="636">
        <v>43.939643859999997</v>
      </c>
      <c r="W478" s="688"/>
      <c r="X478" s="597">
        <v>45108</v>
      </c>
      <c r="Y478" s="597">
        <v>45473</v>
      </c>
      <c r="Z478" s="691" t="s">
        <v>5989</v>
      </c>
      <c r="AA478" s="691">
        <v>0.4</v>
      </c>
      <c r="AB478" s="692">
        <v>100</v>
      </c>
      <c r="AC478" s="692">
        <f t="shared" si="32"/>
        <v>40</v>
      </c>
    </row>
    <row r="479" spans="1:29" s="385" customFormat="1" ht="15" customHeight="1">
      <c r="A479" s="422" t="s">
        <v>45</v>
      </c>
      <c r="B479" s="423" t="s">
        <v>5428</v>
      </c>
      <c r="C479" s="423" t="s">
        <v>5538</v>
      </c>
      <c r="D479" s="423" t="s">
        <v>71</v>
      </c>
      <c r="E479" s="422" t="s">
        <v>5961</v>
      </c>
      <c r="F479" s="422" t="s">
        <v>5962</v>
      </c>
      <c r="G479" s="422" t="s">
        <v>165</v>
      </c>
      <c r="H479" s="389" t="s">
        <v>5990</v>
      </c>
      <c r="I479" s="369" t="e">
        <f>VLOOKUP(H479,'合同高级查询数据-10月新返回合同'!A:A,1,0)</f>
        <v>#N/A</v>
      </c>
      <c r="J479" s="499" t="s">
        <v>3724</v>
      </c>
      <c r="K479" s="422" t="s">
        <v>5991</v>
      </c>
      <c r="L479" s="424" t="s">
        <v>5992</v>
      </c>
      <c r="M479" s="403" t="s">
        <v>5982</v>
      </c>
      <c r="N479" s="425">
        <v>44986</v>
      </c>
      <c r="O479" s="425" t="s">
        <v>5263</v>
      </c>
      <c r="P479" s="508">
        <v>0</v>
      </c>
      <c r="Q479" s="460">
        <v>0</v>
      </c>
      <c r="R479" s="509">
        <f t="shared" si="30"/>
        <v>0</v>
      </c>
      <c r="S479" s="378">
        <v>202310</v>
      </c>
      <c r="T479" s="452" t="s">
        <v>5993</v>
      </c>
      <c r="U479" s="502"/>
      <c r="V479" s="503">
        <v>0</v>
      </c>
      <c r="W479" s="510"/>
      <c r="X479" s="425"/>
      <c r="Y479" s="425"/>
      <c r="Z479" s="511" t="s">
        <v>5994</v>
      </c>
      <c r="AA479" s="511">
        <v>0.4</v>
      </c>
      <c r="AB479" s="512">
        <v>80</v>
      </c>
      <c r="AC479" s="512">
        <f t="shared" si="32"/>
        <v>32</v>
      </c>
    </row>
    <row r="480" spans="1:29" s="577" customFormat="1" ht="15" customHeight="1">
      <c r="A480" s="593" t="s">
        <v>45</v>
      </c>
      <c r="B480" s="594" t="s">
        <v>5428</v>
      </c>
      <c r="C480" s="594" t="s">
        <v>5538</v>
      </c>
      <c r="D480" s="594" t="s">
        <v>71</v>
      </c>
      <c r="E480" s="593" t="s">
        <v>5961</v>
      </c>
      <c r="F480" s="593" t="s">
        <v>5962</v>
      </c>
      <c r="G480" s="593" t="s">
        <v>165</v>
      </c>
      <c r="H480" s="564" t="s">
        <v>5963</v>
      </c>
      <c r="I480" s="565" t="str">
        <f>VLOOKUP(H480,'合同高级查询数据-10月新返回合同'!A:A,1,0)</f>
        <v>182315IDC00507</v>
      </c>
      <c r="J480" s="674" t="s">
        <v>3724</v>
      </c>
      <c r="K480" s="593" t="s">
        <v>5995</v>
      </c>
      <c r="L480" s="595" t="s">
        <v>5996</v>
      </c>
      <c r="M480" s="596" t="s">
        <v>5997</v>
      </c>
      <c r="N480" s="597">
        <v>44993</v>
      </c>
      <c r="O480" s="597" t="s">
        <v>1542</v>
      </c>
      <c r="P480" s="676">
        <v>6740</v>
      </c>
      <c r="Q480" s="630">
        <v>87.42</v>
      </c>
      <c r="R480" s="678">
        <f t="shared" si="30"/>
        <v>589210.80000000005</v>
      </c>
      <c r="S480" s="570">
        <v>202310</v>
      </c>
      <c r="T480" s="687" t="s">
        <v>5998</v>
      </c>
      <c r="U480" s="679"/>
      <c r="V480" s="636">
        <v>87.423812866000006</v>
      </c>
      <c r="W480" s="688"/>
      <c r="X480" s="597">
        <v>45108</v>
      </c>
      <c r="Y480" s="597">
        <v>45473</v>
      </c>
      <c r="Z480" s="691" t="s">
        <v>5999</v>
      </c>
      <c r="AA480" s="691">
        <v>0.4</v>
      </c>
      <c r="AB480" s="692">
        <v>200</v>
      </c>
      <c r="AC480" s="692">
        <f>AA480*AB480</f>
        <v>80</v>
      </c>
    </row>
    <row r="481" spans="1:29" s="577" customFormat="1" ht="15" customHeight="1">
      <c r="A481" s="563" t="s">
        <v>45</v>
      </c>
      <c r="B481" s="593" t="s">
        <v>5559</v>
      </c>
      <c r="C481" s="563" t="s">
        <v>5560</v>
      </c>
      <c r="D481" s="561" t="s">
        <v>71</v>
      </c>
      <c r="E481" s="563" t="s">
        <v>6000</v>
      </c>
      <c r="F481" s="563" t="s">
        <v>6001</v>
      </c>
      <c r="G481" s="563" t="s">
        <v>165</v>
      </c>
      <c r="H481" s="564" t="s">
        <v>6002</v>
      </c>
      <c r="I481" s="565" t="str">
        <f>VLOOKUP(H481,'合同高级查询数据-10月新返回合同'!A:A,1,0)</f>
        <v>182315IDC00517</v>
      </c>
      <c r="J481" s="674" t="s">
        <v>3724</v>
      </c>
      <c r="K481" s="563" t="s">
        <v>5796</v>
      </c>
      <c r="L481" s="675" t="s">
        <v>6001</v>
      </c>
      <c r="M481" s="596"/>
      <c r="N481" s="574" t="s">
        <v>6003</v>
      </c>
      <c r="O481" s="561" t="s">
        <v>6004</v>
      </c>
      <c r="P481" s="676">
        <v>6740</v>
      </c>
      <c r="Q481" s="630">
        <v>31.59</v>
      </c>
      <c r="R481" s="678">
        <f t="shared" si="30"/>
        <v>212916.6</v>
      </c>
      <c r="S481" s="570">
        <v>202310</v>
      </c>
      <c r="T481" s="687" t="s">
        <v>6005</v>
      </c>
      <c r="U481" s="688"/>
      <c r="V481" s="636">
        <v>31.585903168000002</v>
      </c>
      <c r="W481" s="680"/>
      <c r="X481" s="597">
        <v>45108</v>
      </c>
      <c r="Y481" s="597">
        <v>45473</v>
      </c>
      <c r="Z481" s="691" t="s">
        <v>6006</v>
      </c>
      <c r="AA481" s="691">
        <v>0.4</v>
      </c>
      <c r="AB481" s="692">
        <v>70</v>
      </c>
      <c r="AC481" s="692">
        <f>AA481*AB481</f>
        <v>28</v>
      </c>
    </row>
    <row r="482" spans="1:29" s="385" customFormat="1" ht="15" customHeight="1">
      <c r="A482" s="422" t="s">
        <v>45</v>
      </c>
      <c r="B482" s="423" t="s">
        <v>5428</v>
      </c>
      <c r="C482" s="423" t="s">
        <v>5601</v>
      </c>
      <c r="D482" s="423" t="s">
        <v>71</v>
      </c>
      <c r="E482" s="422" t="s">
        <v>6007</v>
      </c>
      <c r="F482" s="422" t="s">
        <v>6008</v>
      </c>
      <c r="G482" s="422" t="s">
        <v>165</v>
      </c>
      <c r="H482" s="389" t="s">
        <v>6009</v>
      </c>
      <c r="I482" s="369" t="e">
        <f>VLOOKUP(H482,'合同高级查询数据-10月新返回合同'!A:A,1,0)</f>
        <v>#N/A</v>
      </c>
      <c r="J482" s="499" t="s">
        <v>3724</v>
      </c>
      <c r="K482" s="422" t="s">
        <v>6010</v>
      </c>
      <c r="L482" s="424" t="s">
        <v>6011</v>
      </c>
      <c r="M482" s="403"/>
      <c r="N482" s="425" t="s">
        <v>6012</v>
      </c>
      <c r="O482" s="425" t="s">
        <v>6013</v>
      </c>
      <c r="P482" s="508">
        <v>6740</v>
      </c>
      <c r="Q482" s="460">
        <v>0.05</v>
      </c>
      <c r="R482" s="509">
        <f t="shared" si="30"/>
        <v>337</v>
      </c>
      <c r="S482" s="378">
        <v>202309</v>
      </c>
      <c r="T482" s="452" t="s">
        <v>6014</v>
      </c>
      <c r="U482" s="502"/>
      <c r="V482" s="515"/>
      <c r="W482" s="510"/>
      <c r="X482" s="425"/>
      <c r="Y482" s="425"/>
      <c r="Z482" s="511"/>
      <c r="AA482" s="510"/>
      <c r="AB482" s="510"/>
      <c r="AC482" s="510"/>
    </row>
    <row r="483" spans="1:29" s="385" customFormat="1" ht="15" customHeight="1">
      <c r="A483" s="422" t="s">
        <v>45</v>
      </c>
      <c r="B483" s="423" t="s">
        <v>5428</v>
      </c>
      <c r="C483" s="423" t="s">
        <v>5601</v>
      </c>
      <c r="D483" s="423" t="s">
        <v>71</v>
      </c>
      <c r="E483" s="422" t="s">
        <v>6007</v>
      </c>
      <c r="F483" s="422" t="s">
        <v>6008</v>
      </c>
      <c r="G483" s="422" t="s">
        <v>165</v>
      </c>
      <c r="H483" s="389" t="s">
        <v>6009</v>
      </c>
      <c r="I483" s="369" t="e">
        <f>VLOOKUP(H483,'合同高级查询数据-10月新返回合同'!A:A,1,0)</f>
        <v>#N/A</v>
      </c>
      <c r="J483" s="499" t="s">
        <v>3724</v>
      </c>
      <c r="K483" s="422" t="s">
        <v>6010</v>
      </c>
      <c r="L483" s="424" t="s">
        <v>6011</v>
      </c>
      <c r="M483" s="403"/>
      <c r="N483" s="425" t="s">
        <v>6012</v>
      </c>
      <c r="O483" s="425" t="s">
        <v>6013</v>
      </c>
      <c r="P483" s="508">
        <v>6740</v>
      </c>
      <c r="Q483" s="460">
        <v>75.290000000000006</v>
      </c>
      <c r="R483" s="509">
        <f t="shared" si="30"/>
        <v>507454.6</v>
      </c>
      <c r="S483" s="378">
        <v>202310</v>
      </c>
      <c r="T483" s="452" t="s">
        <v>6015</v>
      </c>
      <c r="U483" s="502"/>
      <c r="V483" s="503">
        <v>75.290779114000003</v>
      </c>
      <c r="W483" s="510"/>
      <c r="X483" s="425"/>
      <c r="Y483" s="425"/>
      <c r="Z483" s="511" t="s">
        <v>6016</v>
      </c>
      <c r="AA483" s="511">
        <v>0.4</v>
      </c>
      <c r="AB483" s="512">
        <v>160</v>
      </c>
      <c r="AC483" s="512">
        <f>AA483*AB483</f>
        <v>64</v>
      </c>
    </row>
    <row r="484" spans="1:29" s="385" customFormat="1" ht="15" customHeight="1">
      <c r="A484" s="422" t="s">
        <v>45</v>
      </c>
      <c r="B484" s="423" t="s">
        <v>5428</v>
      </c>
      <c r="C484" s="423" t="s">
        <v>5601</v>
      </c>
      <c r="D484" s="423" t="s">
        <v>71</v>
      </c>
      <c r="E484" s="422" t="s">
        <v>6007</v>
      </c>
      <c r="F484" s="422" t="s">
        <v>6008</v>
      </c>
      <c r="G484" s="422" t="s">
        <v>165</v>
      </c>
      <c r="H484" s="389" t="s">
        <v>6009</v>
      </c>
      <c r="I484" s="369" t="e">
        <f>VLOOKUP(H484,'合同高级查询数据-10月新返回合同'!A:A,1,0)</f>
        <v>#N/A</v>
      </c>
      <c r="J484" s="499" t="s">
        <v>3724</v>
      </c>
      <c r="K484" s="422" t="s">
        <v>6017</v>
      </c>
      <c r="L484" s="424" t="s">
        <v>6018</v>
      </c>
      <c r="M484" s="403"/>
      <c r="N484" s="425">
        <v>43497</v>
      </c>
      <c r="O484" s="425" t="s">
        <v>5525</v>
      </c>
      <c r="P484" s="508">
        <v>6740</v>
      </c>
      <c r="Q484" s="460"/>
      <c r="R484" s="509">
        <f t="shared" si="30"/>
        <v>0</v>
      </c>
      <c r="S484" s="378">
        <v>202310</v>
      </c>
      <c r="T484" s="452" t="s">
        <v>6019</v>
      </c>
      <c r="U484" s="502"/>
      <c r="V484" s="503">
        <v>0</v>
      </c>
      <c r="W484" s="510"/>
      <c r="X484" s="425"/>
      <c r="Y484" s="425"/>
      <c r="Z484" s="511" t="s">
        <v>6020</v>
      </c>
      <c r="AA484" s="511"/>
      <c r="AB484" s="512">
        <v>0</v>
      </c>
      <c r="AC484" s="512">
        <f>AA484*AB484</f>
        <v>0</v>
      </c>
    </row>
    <row r="485" spans="1:29" s="385" customFormat="1" ht="15" customHeight="1">
      <c r="A485" s="422" t="s">
        <v>45</v>
      </c>
      <c r="B485" s="423" t="s">
        <v>5428</v>
      </c>
      <c r="C485" s="423" t="s">
        <v>5601</v>
      </c>
      <c r="D485" s="423" t="s">
        <v>71</v>
      </c>
      <c r="E485" s="422" t="s">
        <v>6007</v>
      </c>
      <c r="F485" s="422" t="s">
        <v>6008</v>
      </c>
      <c r="G485" s="422" t="s">
        <v>165</v>
      </c>
      <c r="H485" s="389" t="s">
        <v>6009</v>
      </c>
      <c r="I485" s="369" t="e">
        <f>VLOOKUP(H485,'合同高级查询数据-10月新返回合同'!A:A,1,0)</f>
        <v>#N/A</v>
      </c>
      <c r="J485" s="499" t="s">
        <v>3724</v>
      </c>
      <c r="K485" s="422" t="s">
        <v>6017</v>
      </c>
      <c r="L485" s="424" t="s">
        <v>6021</v>
      </c>
      <c r="M485" s="403"/>
      <c r="N485" s="425">
        <v>44933</v>
      </c>
      <c r="O485" s="425" t="s">
        <v>6022</v>
      </c>
      <c r="P485" s="508">
        <v>6740</v>
      </c>
      <c r="Q485" s="460">
        <v>192.72</v>
      </c>
      <c r="R485" s="509">
        <f t="shared" si="30"/>
        <v>1298932.8</v>
      </c>
      <c r="S485" s="378">
        <v>202310</v>
      </c>
      <c r="T485" s="452" t="s">
        <v>6023</v>
      </c>
      <c r="U485" s="502"/>
      <c r="V485" s="503">
        <v>192.71856097099999</v>
      </c>
      <c r="W485" s="510"/>
      <c r="X485" s="425"/>
      <c r="Y485" s="425"/>
      <c r="Z485" s="511" t="s">
        <v>6024</v>
      </c>
      <c r="AA485" s="511">
        <v>0.4</v>
      </c>
      <c r="AB485" s="512">
        <v>360</v>
      </c>
      <c r="AC485" s="512">
        <f>AA485*AB485</f>
        <v>144</v>
      </c>
    </row>
    <row r="486" spans="1:29" s="385" customFormat="1" ht="15" customHeight="1">
      <c r="A486" s="422" t="s">
        <v>45</v>
      </c>
      <c r="B486" s="423" t="s">
        <v>5428</v>
      </c>
      <c r="C486" s="423" t="s">
        <v>5601</v>
      </c>
      <c r="D486" s="423" t="s">
        <v>71</v>
      </c>
      <c r="E486" s="422" t="s">
        <v>6007</v>
      </c>
      <c r="F486" s="422" t="s">
        <v>6008</v>
      </c>
      <c r="G486" s="422" t="s">
        <v>165</v>
      </c>
      <c r="H486" s="389" t="s">
        <v>6009</v>
      </c>
      <c r="I486" s="369" t="e">
        <f>VLOOKUP(H486,'合同高级查询数据-10月新返回合同'!A:A,1,0)</f>
        <v>#N/A</v>
      </c>
      <c r="J486" s="499" t="s">
        <v>4875</v>
      </c>
      <c r="K486" s="422" t="s">
        <v>6025</v>
      </c>
      <c r="L486" s="424" t="s">
        <v>6026</v>
      </c>
      <c r="M486" s="403"/>
      <c r="N486" s="425">
        <v>44986</v>
      </c>
      <c r="O486" s="425" t="s">
        <v>4764</v>
      </c>
      <c r="P486" s="508">
        <v>6740</v>
      </c>
      <c r="Q486" s="460">
        <v>1.44</v>
      </c>
      <c r="R486" s="447">
        <f t="shared" si="30"/>
        <v>9705.6</v>
      </c>
      <c r="S486" s="378">
        <v>202309</v>
      </c>
      <c r="T486" s="452" t="s">
        <v>6027</v>
      </c>
      <c r="U486" s="502"/>
      <c r="V486" s="503"/>
      <c r="W486" s="510"/>
      <c r="X486" s="425"/>
      <c r="Y486" s="425"/>
      <c r="Z486" s="511"/>
      <c r="AA486" s="511"/>
      <c r="AB486" s="512"/>
      <c r="AC486" s="512"/>
    </row>
    <row r="487" spans="1:29" s="385" customFormat="1" ht="15" customHeight="1">
      <c r="A487" s="422" t="s">
        <v>45</v>
      </c>
      <c r="B487" s="423" t="s">
        <v>5428</v>
      </c>
      <c r="C487" s="423" t="s">
        <v>5601</v>
      </c>
      <c r="D487" s="423" t="s">
        <v>71</v>
      </c>
      <c r="E487" s="422" t="s">
        <v>6007</v>
      </c>
      <c r="F487" s="422" t="s">
        <v>6008</v>
      </c>
      <c r="G487" s="422" t="s">
        <v>165</v>
      </c>
      <c r="H487" s="389" t="s">
        <v>6009</v>
      </c>
      <c r="I487" s="369" t="e">
        <f>VLOOKUP(H487,'合同高级查询数据-10月新返回合同'!A:A,1,0)</f>
        <v>#N/A</v>
      </c>
      <c r="J487" s="499" t="s">
        <v>4875</v>
      </c>
      <c r="K487" s="422" t="s">
        <v>6025</v>
      </c>
      <c r="L487" s="424" t="s">
        <v>6026</v>
      </c>
      <c r="M487" s="403"/>
      <c r="N487" s="425">
        <v>44986</v>
      </c>
      <c r="O487" s="425" t="s">
        <v>4764</v>
      </c>
      <c r="P487" s="508">
        <v>6740</v>
      </c>
      <c r="Q487" s="460">
        <v>71.41</v>
      </c>
      <c r="R487" s="447">
        <f t="shared" si="30"/>
        <v>481303.4</v>
      </c>
      <c r="S487" s="378">
        <v>202310</v>
      </c>
      <c r="T487" s="452" t="s">
        <v>6028</v>
      </c>
      <c r="U487" s="502"/>
      <c r="V487" s="503">
        <v>71.409002480097001</v>
      </c>
      <c r="W487" s="510"/>
      <c r="X487" s="425"/>
      <c r="Y487" s="425"/>
      <c r="Z487" s="511" t="s">
        <v>6029</v>
      </c>
      <c r="AA487" s="511">
        <v>0.4</v>
      </c>
      <c r="AB487" s="512">
        <v>160</v>
      </c>
      <c r="AC487" s="512">
        <f>AA487*AB487</f>
        <v>64</v>
      </c>
    </row>
    <row r="488" spans="1:29" s="577" customFormat="1" ht="15" customHeight="1">
      <c r="A488" s="593" t="s">
        <v>45</v>
      </c>
      <c r="B488" s="594" t="s">
        <v>5428</v>
      </c>
      <c r="C488" s="594" t="s">
        <v>5601</v>
      </c>
      <c r="D488" s="594" t="s">
        <v>71</v>
      </c>
      <c r="E488" s="593" t="s">
        <v>6007</v>
      </c>
      <c r="F488" s="593" t="s">
        <v>6008</v>
      </c>
      <c r="G488" s="593" t="s">
        <v>165</v>
      </c>
      <c r="H488" s="564" t="s">
        <v>6030</v>
      </c>
      <c r="I488" s="565" t="str">
        <f>VLOOKUP(H488,'合同高级查询数据-10月新返回合同'!A:A,1,0)</f>
        <v>182315IDC00527</v>
      </c>
      <c r="J488" s="674" t="s">
        <v>3724</v>
      </c>
      <c r="K488" s="593" t="s">
        <v>6017</v>
      </c>
      <c r="L488" s="595" t="s">
        <v>6031</v>
      </c>
      <c r="M488" s="596" t="s">
        <v>6032</v>
      </c>
      <c r="N488" s="597">
        <v>45139</v>
      </c>
      <c r="O488" s="597" t="s">
        <v>1542</v>
      </c>
      <c r="P488" s="676">
        <v>6740</v>
      </c>
      <c r="Q488" s="676">
        <v>80</v>
      </c>
      <c r="R488" s="639">
        <f t="shared" si="30"/>
        <v>539200</v>
      </c>
      <c r="S488" s="570">
        <v>202310</v>
      </c>
      <c r="T488" s="687" t="s">
        <v>6033</v>
      </c>
      <c r="U488" s="679"/>
      <c r="V488" s="636">
        <v>78.912622080999995</v>
      </c>
      <c r="W488" s="688"/>
      <c r="X488" s="597">
        <v>45139</v>
      </c>
      <c r="Y488" s="597">
        <v>45473</v>
      </c>
      <c r="Z488" s="691" t="s">
        <v>6034</v>
      </c>
      <c r="AA488" s="691">
        <v>0.4</v>
      </c>
      <c r="AB488" s="692">
        <v>200</v>
      </c>
      <c r="AC488" s="692">
        <f>AA488*AB488</f>
        <v>80</v>
      </c>
    </row>
    <row r="489" spans="1:29" s="385" customFormat="1" ht="15" customHeight="1">
      <c r="A489" s="422" t="s">
        <v>45</v>
      </c>
      <c r="B489" s="423" t="s">
        <v>5428</v>
      </c>
      <c r="C489" s="423" t="s">
        <v>5601</v>
      </c>
      <c r="D489" s="423" t="s">
        <v>71</v>
      </c>
      <c r="E489" s="422" t="s">
        <v>6007</v>
      </c>
      <c r="F489" s="422" t="s">
        <v>6035</v>
      </c>
      <c r="G489" s="422" t="s">
        <v>165</v>
      </c>
      <c r="H489" s="389" t="s">
        <v>6036</v>
      </c>
      <c r="I489" s="369" t="e">
        <f>VLOOKUP(H489,'合同高级查询数据-10月新返回合同'!A:A,1,0)</f>
        <v>#N/A</v>
      </c>
      <c r="J489" s="423" t="s">
        <v>3858</v>
      </c>
      <c r="K489" s="422" t="s">
        <v>6037</v>
      </c>
      <c r="L489" s="424" t="s">
        <v>6026</v>
      </c>
      <c r="M489" s="403"/>
      <c r="N489" s="425">
        <v>43831</v>
      </c>
      <c r="O489" s="425" t="s">
        <v>6038</v>
      </c>
      <c r="P489" s="508">
        <v>15000</v>
      </c>
      <c r="Q489" s="460"/>
      <c r="R489" s="509">
        <f t="shared" si="30"/>
        <v>0</v>
      </c>
      <c r="S489" s="378">
        <v>202310</v>
      </c>
      <c r="T489" s="452" t="s">
        <v>6039</v>
      </c>
      <c r="U489" s="502"/>
      <c r="V489" s="503"/>
      <c r="W489" s="510"/>
      <c r="X489" s="425"/>
      <c r="Y489" s="425"/>
      <c r="Z489" s="511" t="s">
        <v>6040</v>
      </c>
      <c r="AA489" s="511"/>
      <c r="AB489" s="512">
        <v>0</v>
      </c>
      <c r="AC489" s="512">
        <f>AA489*AB489</f>
        <v>0</v>
      </c>
    </row>
    <row r="490" spans="1:29" s="577" customFormat="1" ht="15" customHeight="1">
      <c r="A490" s="563" t="s">
        <v>45</v>
      </c>
      <c r="B490" s="593" t="s">
        <v>5559</v>
      </c>
      <c r="C490" s="563" t="s">
        <v>5621</v>
      </c>
      <c r="D490" s="561" t="s">
        <v>71</v>
      </c>
      <c r="E490" s="563" t="s">
        <v>6041</v>
      </c>
      <c r="F490" s="563" t="s">
        <v>6042</v>
      </c>
      <c r="G490" s="563" t="s">
        <v>165</v>
      </c>
      <c r="H490" s="564" t="s">
        <v>6043</v>
      </c>
      <c r="I490" s="565" t="str">
        <f>VLOOKUP(H490,'合同高级查询数据-10月新返回合同'!A:A,1,0)</f>
        <v>182315IDC00516</v>
      </c>
      <c r="J490" s="674" t="s">
        <v>3724</v>
      </c>
      <c r="K490" s="563" t="s">
        <v>6044</v>
      </c>
      <c r="L490" s="675" t="s">
        <v>6042</v>
      </c>
      <c r="M490" s="596" t="s">
        <v>6045</v>
      </c>
      <c r="N490" s="574" t="s">
        <v>6046</v>
      </c>
      <c r="O490" s="561" t="s">
        <v>6047</v>
      </c>
      <c r="P490" s="676">
        <v>6740</v>
      </c>
      <c r="Q490" s="630">
        <v>9.4</v>
      </c>
      <c r="R490" s="678">
        <f t="shared" si="30"/>
        <v>63356</v>
      </c>
      <c r="S490" s="570">
        <v>202310</v>
      </c>
      <c r="T490" s="687" t="s">
        <v>6048</v>
      </c>
      <c r="U490" s="688"/>
      <c r="V490" s="636">
        <v>9.4018411640000004</v>
      </c>
      <c r="W490" s="680"/>
      <c r="X490" s="597">
        <v>45108</v>
      </c>
      <c r="Y490" s="597">
        <v>45473</v>
      </c>
      <c r="Z490" s="691" t="s">
        <v>6049</v>
      </c>
      <c r="AA490" s="691">
        <v>0.4</v>
      </c>
      <c r="AB490" s="692">
        <v>20</v>
      </c>
      <c r="AC490" s="692">
        <f>AA490*AB490</f>
        <v>8</v>
      </c>
    </row>
    <row r="491" spans="1:29" s="385" customFormat="1" ht="15" customHeight="1">
      <c r="A491" s="422" t="s">
        <v>45</v>
      </c>
      <c r="B491" s="423" t="s">
        <v>5428</v>
      </c>
      <c r="C491" s="423" t="s">
        <v>5501</v>
      </c>
      <c r="D491" s="423" t="s">
        <v>71</v>
      </c>
      <c r="E491" s="422" t="s">
        <v>5485</v>
      </c>
      <c r="F491" s="422" t="s">
        <v>6050</v>
      </c>
      <c r="G491" s="422" t="s">
        <v>165</v>
      </c>
      <c r="H491" s="389" t="s">
        <v>6051</v>
      </c>
      <c r="I491" s="369" t="e">
        <f>VLOOKUP(H491,'合同高级查询数据-10月新返回合同'!A:A,1,0)</f>
        <v>#N/A</v>
      </c>
      <c r="J491" s="499" t="s">
        <v>3724</v>
      </c>
      <c r="K491" s="422" t="s">
        <v>6052</v>
      </c>
      <c r="L491" s="424" t="s">
        <v>6053</v>
      </c>
      <c r="M491" s="403"/>
      <c r="N491" s="425" t="s">
        <v>6054</v>
      </c>
      <c r="O491" s="425" t="s">
        <v>4899</v>
      </c>
      <c r="P491" s="508">
        <v>4100</v>
      </c>
      <c r="Q491" s="460"/>
      <c r="R491" s="509">
        <f t="shared" si="30"/>
        <v>0</v>
      </c>
      <c r="S491" s="378">
        <v>202310</v>
      </c>
      <c r="T491" s="452" t="s">
        <v>6055</v>
      </c>
      <c r="U491" s="502"/>
      <c r="V491" s="503">
        <v>0</v>
      </c>
      <c r="W491" s="510"/>
      <c r="X491" s="425"/>
      <c r="Y491" s="425"/>
      <c r="Z491" s="511" t="s">
        <v>6056</v>
      </c>
      <c r="AA491" s="511"/>
      <c r="AB491" s="512"/>
      <c r="AC491" s="512"/>
    </row>
    <row r="492" spans="1:29" s="577" customFormat="1" ht="15" customHeight="1">
      <c r="A492" s="593" t="s">
        <v>260</v>
      </c>
      <c r="B492" s="594" t="s">
        <v>6057</v>
      </c>
      <c r="C492" s="594" t="s">
        <v>6058</v>
      </c>
      <c r="D492" s="594" t="s">
        <v>71</v>
      </c>
      <c r="E492" s="593" t="s">
        <v>6059</v>
      </c>
      <c r="F492" s="593" t="s">
        <v>6060</v>
      </c>
      <c r="G492" s="593" t="s">
        <v>165</v>
      </c>
      <c r="H492" s="564" t="s">
        <v>6061</v>
      </c>
      <c r="I492" s="565" t="e">
        <f>VLOOKUP(H492,'合同高级查询数据-10月新返回合同'!A:A,1,0)</f>
        <v>#N/A</v>
      </c>
      <c r="J492" s="674" t="s">
        <v>4875</v>
      </c>
      <c r="K492" s="593" t="s">
        <v>6062</v>
      </c>
      <c r="L492" s="595" t="s">
        <v>6063</v>
      </c>
      <c r="M492" s="596"/>
      <c r="N492" s="597" t="s">
        <v>6064</v>
      </c>
      <c r="O492" s="597" t="s">
        <v>2187</v>
      </c>
      <c r="P492" s="676">
        <v>21000</v>
      </c>
      <c r="Q492" s="630">
        <v>10</v>
      </c>
      <c r="R492" s="678">
        <f>ROUND(P492*Q492,2)</f>
        <v>210000</v>
      </c>
      <c r="S492" s="570">
        <v>202310</v>
      </c>
      <c r="T492" s="687" t="s">
        <v>6065</v>
      </c>
      <c r="U492" s="679"/>
      <c r="V492" s="636">
        <v>9.8418282236328007</v>
      </c>
      <c r="W492" s="705">
        <v>10</v>
      </c>
      <c r="X492" s="597">
        <v>43692</v>
      </c>
      <c r="Y492" s="597">
        <v>45883</v>
      </c>
      <c r="Z492" s="691" t="s">
        <v>6066</v>
      </c>
      <c r="AA492" s="691">
        <v>0.1</v>
      </c>
      <c r="AB492" s="692">
        <v>100</v>
      </c>
      <c r="AC492" s="692">
        <f t="shared" ref="AC492:AC500" si="33">AB492*AA492</f>
        <v>10</v>
      </c>
    </row>
    <row r="493" spans="1:29" s="385" customFormat="1" ht="15" customHeight="1">
      <c r="A493" s="422" t="s">
        <v>260</v>
      </c>
      <c r="B493" s="423" t="s">
        <v>6057</v>
      </c>
      <c r="C493" s="423" t="s">
        <v>6058</v>
      </c>
      <c r="D493" s="423" t="s">
        <v>71</v>
      </c>
      <c r="E493" s="422" t="s">
        <v>6059</v>
      </c>
      <c r="F493" s="422" t="s">
        <v>6060</v>
      </c>
      <c r="G493" s="422" t="s">
        <v>165</v>
      </c>
      <c r="H493" s="389" t="s">
        <v>6067</v>
      </c>
      <c r="I493" s="369" t="e">
        <f>VLOOKUP(H493,'合同高级查询数据-10月新返回合同'!A:A,1,0)</f>
        <v>#N/A</v>
      </c>
      <c r="J493" s="499" t="s">
        <v>4875</v>
      </c>
      <c r="K493" s="422" t="s">
        <v>6068</v>
      </c>
      <c r="L493" s="424" t="s">
        <v>6069</v>
      </c>
      <c r="M493" s="403"/>
      <c r="N493" s="425" t="s">
        <v>6070</v>
      </c>
      <c r="O493" s="425" t="s">
        <v>6071</v>
      </c>
      <c r="P493" s="526" t="s">
        <v>6072</v>
      </c>
      <c r="Q493" s="460">
        <v>305.3</v>
      </c>
      <c r="R493" s="509">
        <f>ROUND(60*9500+(Q493-60)*7750,2)</f>
        <v>2471075</v>
      </c>
      <c r="S493" s="378">
        <v>202310</v>
      </c>
      <c r="T493" s="452" t="s">
        <v>6073</v>
      </c>
      <c r="U493" s="502"/>
      <c r="V493" s="503">
        <v>302.5992379082</v>
      </c>
      <c r="W493" s="527">
        <v>307.94</v>
      </c>
      <c r="X493" s="425"/>
      <c r="Y493" s="425"/>
      <c r="Z493" s="511" t="s">
        <v>6074</v>
      </c>
      <c r="AA493" s="511">
        <v>0.06</v>
      </c>
      <c r="AB493" s="512">
        <v>1000</v>
      </c>
      <c r="AC493" s="512">
        <f t="shared" si="33"/>
        <v>60</v>
      </c>
    </row>
    <row r="494" spans="1:29" s="577" customFormat="1" ht="15" customHeight="1">
      <c r="A494" s="593" t="s">
        <v>260</v>
      </c>
      <c r="B494" s="594" t="s">
        <v>6057</v>
      </c>
      <c r="C494" s="594" t="s">
        <v>6058</v>
      </c>
      <c r="D494" s="594" t="s">
        <v>71</v>
      </c>
      <c r="E494" s="593" t="s">
        <v>6075</v>
      </c>
      <c r="F494" s="593" t="s">
        <v>6060</v>
      </c>
      <c r="G494" s="593" t="s">
        <v>165</v>
      </c>
      <c r="H494" s="564" t="s">
        <v>6076</v>
      </c>
      <c r="I494" s="565" t="str">
        <f>VLOOKUP(H494,'合同高级查询数据-10月新返回合同'!A:A,1,0)</f>
        <v>182315IDC00500</v>
      </c>
      <c r="J494" s="674" t="s">
        <v>3724</v>
      </c>
      <c r="K494" s="593" t="s">
        <v>6077</v>
      </c>
      <c r="L494" s="595" t="s">
        <v>6078</v>
      </c>
      <c r="M494" s="596"/>
      <c r="N494" s="597" t="s">
        <v>6079</v>
      </c>
      <c r="O494" s="597" t="s">
        <v>6080</v>
      </c>
      <c r="P494" s="676">
        <v>7750</v>
      </c>
      <c r="Q494" s="630">
        <v>6.63</v>
      </c>
      <c r="R494" s="678">
        <f t="shared" ref="R494:R517" si="34">ROUND(P494*Q494,2)</f>
        <v>51382.5</v>
      </c>
      <c r="S494" s="570">
        <v>202310</v>
      </c>
      <c r="T494" s="687" t="s">
        <v>6081</v>
      </c>
      <c r="U494" s="679"/>
      <c r="V494" s="636">
        <v>6.6259264949999999</v>
      </c>
      <c r="W494" s="688"/>
      <c r="X494" s="597">
        <v>45139</v>
      </c>
      <c r="Y494" s="597">
        <v>45504</v>
      </c>
      <c r="Z494" s="691" t="s">
        <v>6082</v>
      </c>
      <c r="AA494" s="691">
        <v>0.3</v>
      </c>
      <c r="AB494" s="692">
        <v>20</v>
      </c>
      <c r="AC494" s="692">
        <f t="shared" si="33"/>
        <v>6</v>
      </c>
    </row>
    <row r="495" spans="1:29" s="577" customFormat="1" ht="15" customHeight="1">
      <c r="A495" s="593" t="s">
        <v>260</v>
      </c>
      <c r="B495" s="594" t="s">
        <v>6057</v>
      </c>
      <c r="C495" s="594" t="s">
        <v>6058</v>
      </c>
      <c r="D495" s="594" t="s">
        <v>71</v>
      </c>
      <c r="E495" s="593" t="s">
        <v>6075</v>
      </c>
      <c r="F495" s="593" t="s">
        <v>6060</v>
      </c>
      <c r="G495" s="593" t="s">
        <v>165</v>
      </c>
      <c r="H495" s="564" t="s">
        <v>6076</v>
      </c>
      <c r="I495" s="565" t="str">
        <f>VLOOKUP(H495,'合同高级查询数据-10月新返回合同'!A:A,1,0)</f>
        <v>182315IDC00500</v>
      </c>
      <c r="J495" s="674" t="s">
        <v>4013</v>
      </c>
      <c r="K495" s="593" t="s">
        <v>6083</v>
      </c>
      <c r="L495" s="595" t="s">
        <v>6084</v>
      </c>
      <c r="M495" s="596"/>
      <c r="N495" s="597" t="s">
        <v>6085</v>
      </c>
      <c r="O495" s="597" t="s">
        <v>3847</v>
      </c>
      <c r="P495" s="676">
        <v>7750</v>
      </c>
      <c r="Q495" s="630">
        <v>5.37</v>
      </c>
      <c r="R495" s="678">
        <f t="shared" si="34"/>
        <v>41617.5</v>
      </c>
      <c r="S495" s="570">
        <v>202310</v>
      </c>
      <c r="T495" s="687" t="s">
        <v>6086</v>
      </c>
      <c r="U495" s="679"/>
      <c r="V495" s="636">
        <v>2.31</v>
      </c>
      <c r="W495" s="688"/>
      <c r="X495" s="597">
        <v>45139</v>
      </c>
      <c r="Y495" s="597">
        <v>45504</v>
      </c>
      <c r="Z495" s="691" t="s">
        <v>6083</v>
      </c>
      <c r="AA495" s="691">
        <v>0.3</v>
      </c>
      <c r="AB495" s="692">
        <v>20</v>
      </c>
      <c r="AC495" s="692">
        <f t="shared" si="33"/>
        <v>6</v>
      </c>
    </row>
    <row r="496" spans="1:29" s="577" customFormat="1" ht="15" customHeight="1">
      <c r="A496" s="593" t="s">
        <v>260</v>
      </c>
      <c r="B496" s="594" t="s">
        <v>6057</v>
      </c>
      <c r="C496" s="594" t="s">
        <v>6058</v>
      </c>
      <c r="D496" s="594" t="s">
        <v>71</v>
      </c>
      <c r="E496" s="593" t="s">
        <v>6075</v>
      </c>
      <c r="F496" s="593" t="s">
        <v>6087</v>
      </c>
      <c r="G496" s="593" t="s">
        <v>165</v>
      </c>
      <c r="H496" s="564" t="s">
        <v>6076</v>
      </c>
      <c r="I496" s="565" t="str">
        <f>VLOOKUP(H496,'合同高级查询数据-10月新返回合同'!A:A,1,0)</f>
        <v>182315IDC00500</v>
      </c>
      <c r="J496" s="674" t="s">
        <v>3724</v>
      </c>
      <c r="K496" s="593" t="s">
        <v>6088</v>
      </c>
      <c r="L496" s="595" t="s">
        <v>6089</v>
      </c>
      <c r="M496" s="596"/>
      <c r="N496" s="597" t="s">
        <v>6090</v>
      </c>
      <c r="O496" s="597" t="s">
        <v>6091</v>
      </c>
      <c r="P496" s="676">
        <v>7750</v>
      </c>
      <c r="Q496" s="630">
        <v>128.31</v>
      </c>
      <c r="R496" s="678">
        <f t="shared" si="34"/>
        <v>994402.5</v>
      </c>
      <c r="S496" s="570">
        <v>202310</v>
      </c>
      <c r="T496" s="687" t="s">
        <v>6092</v>
      </c>
      <c r="U496" s="679"/>
      <c r="V496" s="636">
        <v>128.312957764</v>
      </c>
      <c r="W496" s="688"/>
      <c r="X496" s="597">
        <v>45139</v>
      </c>
      <c r="Y496" s="597">
        <v>45504</v>
      </c>
      <c r="Z496" s="691" t="s">
        <v>6093</v>
      </c>
      <c r="AA496" s="691">
        <v>0.3</v>
      </c>
      <c r="AB496" s="692">
        <v>400</v>
      </c>
      <c r="AC496" s="692">
        <f t="shared" si="33"/>
        <v>120</v>
      </c>
    </row>
    <row r="497" spans="1:29" s="577" customFormat="1" ht="15" customHeight="1">
      <c r="A497" s="593" t="s">
        <v>260</v>
      </c>
      <c r="B497" s="594" t="s">
        <v>6057</v>
      </c>
      <c r="C497" s="594" t="s">
        <v>6058</v>
      </c>
      <c r="D497" s="594" t="s">
        <v>71</v>
      </c>
      <c r="E497" s="593" t="s">
        <v>6075</v>
      </c>
      <c r="F497" s="593" t="s">
        <v>6087</v>
      </c>
      <c r="G497" s="593" t="s">
        <v>165</v>
      </c>
      <c r="H497" s="564" t="s">
        <v>6076</v>
      </c>
      <c r="I497" s="565" t="str">
        <f>VLOOKUP(H497,'合同高级查询数据-10月新返回合同'!A:A,1,0)</f>
        <v>182315IDC00500</v>
      </c>
      <c r="J497" s="674" t="s">
        <v>3724</v>
      </c>
      <c r="K497" s="593" t="s">
        <v>6094</v>
      </c>
      <c r="L497" s="595" t="s">
        <v>6095</v>
      </c>
      <c r="M497" s="596"/>
      <c r="N497" s="597" t="s">
        <v>6096</v>
      </c>
      <c r="O497" s="597" t="s">
        <v>6097</v>
      </c>
      <c r="P497" s="676">
        <v>7750</v>
      </c>
      <c r="Q497" s="630">
        <v>0</v>
      </c>
      <c r="R497" s="678">
        <f t="shared" si="34"/>
        <v>0</v>
      </c>
      <c r="S497" s="570">
        <v>202310</v>
      </c>
      <c r="T497" s="687" t="s">
        <v>6098</v>
      </c>
      <c r="U497" s="679"/>
      <c r="V497" s="636">
        <v>0</v>
      </c>
      <c r="W497" s="688"/>
      <c r="X497" s="597">
        <v>45139</v>
      </c>
      <c r="Y497" s="597">
        <v>45504</v>
      </c>
      <c r="Z497" s="691" t="s">
        <v>6099</v>
      </c>
      <c r="AA497" s="691">
        <v>0.3</v>
      </c>
      <c r="AB497" s="692">
        <v>0</v>
      </c>
      <c r="AC497" s="692">
        <f t="shared" si="33"/>
        <v>0</v>
      </c>
    </row>
    <row r="498" spans="1:29" s="577" customFormat="1" ht="15" customHeight="1">
      <c r="A498" s="593" t="s">
        <v>260</v>
      </c>
      <c r="B498" s="594" t="s">
        <v>6057</v>
      </c>
      <c r="C498" s="594" t="s">
        <v>6058</v>
      </c>
      <c r="D498" s="594" t="s">
        <v>71</v>
      </c>
      <c r="E498" s="593" t="s">
        <v>6075</v>
      </c>
      <c r="F498" s="593" t="s">
        <v>6060</v>
      </c>
      <c r="G498" s="593" t="s">
        <v>165</v>
      </c>
      <c r="H498" s="564" t="s">
        <v>6076</v>
      </c>
      <c r="I498" s="565" t="str">
        <f>VLOOKUP(H498,'合同高级查询数据-10月新返回合同'!A:A,1,0)</f>
        <v>182315IDC00500</v>
      </c>
      <c r="J498" s="674" t="s">
        <v>3724</v>
      </c>
      <c r="K498" s="593" t="s">
        <v>6100</v>
      </c>
      <c r="L498" s="595" t="s">
        <v>6101</v>
      </c>
      <c r="M498" s="596"/>
      <c r="N498" s="597" t="s">
        <v>6102</v>
      </c>
      <c r="O498" s="597" t="s">
        <v>6103</v>
      </c>
      <c r="P498" s="676">
        <v>7750</v>
      </c>
      <c r="Q498" s="630">
        <v>0</v>
      </c>
      <c r="R498" s="678">
        <f t="shared" si="34"/>
        <v>0</v>
      </c>
      <c r="S498" s="570">
        <v>202310</v>
      </c>
      <c r="T498" s="687" t="s">
        <v>6104</v>
      </c>
      <c r="U498" s="679"/>
      <c r="V498" s="636">
        <v>0</v>
      </c>
      <c r="W498" s="688"/>
      <c r="X498" s="597">
        <v>45139</v>
      </c>
      <c r="Y498" s="597">
        <v>45504</v>
      </c>
      <c r="Z498" s="691" t="s">
        <v>6105</v>
      </c>
      <c r="AA498" s="691">
        <v>0.3</v>
      </c>
      <c r="AB498" s="692">
        <v>0</v>
      </c>
      <c r="AC498" s="692">
        <f t="shared" si="33"/>
        <v>0</v>
      </c>
    </row>
    <row r="499" spans="1:29" s="577" customFormat="1" ht="15" customHeight="1">
      <c r="A499" s="593" t="s">
        <v>260</v>
      </c>
      <c r="B499" s="594" t="s">
        <v>6057</v>
      </c>
      <c r="C499" s="594" t="s">
        <v>6058</v>
      </c>
      <c r="D499" s="594" t="s">
        <v>71</v>
      </c>
      <c r="E499" s="593" t="s">
        <v>6075</v>
      </c>
      <c r="F499" s="593" t="s">
        <v>6060</v>
      </c>
      <c r="G499" s="593" t="s">
        <v>165</v>
      </c>
      <c r="H499" s="564" t="s">
        <v>6076</v>
      </c>
      <c r="I499" s="565" t="str">
        <f>VLOOKUP(H499,'合同高级查询数据-10月新返回合同'!A:A,1,0)</f>
        <v>182315IDC00500</v>
      </c>
      <c r="J499" s="674" t="s">
        <v>3724</v>
      </c>
      <c r="K499" s="593" t="s">
        <v>6106</v>
      </c>
      <c r="L499" s="595" t="s">
        <v>6107</v>
      </c>
      <c r="M499" s="596"/>
      <c r="N499" s="597" t="s">
        <v>6108</v>
      </c>
      <c r="O499" s="597" t="s">
        <v>4304</v>
      </c>
      <c r="P499" s="676">
        <v>7750</v>
      </c>
      <c r="Q499" s="630">
        <v>112</v>
      </c>
      <c r="R499" s="678">
        <f t="shared" si="34"/>
        <v>868000</v>
      </c>
      <c r="S499" s="570">
        <v>202310</v>
      </c>
      <c r="T499" s="663" t="s">
        <v>6109</v>
      </c>
      <c r="U499" s="679"/>
      <c r="V499" s="636">
        <v>101.545051575</v>
      </c>
      <c r="W499" s="688"/>
      <c r="X499" s="597">
        <v>45139</v>
      </c>
      <c r="Y499" s="597">
        <v>45504</v>
      </c>
      <c r="Z499" s="691" t="s">
        <v>6106</v>
      </c>
      <c r="AA499" s="691">
        <v>0.4</v>
      </c>
      <c r="AB499" s="692">
        <v>280</v>
      </c>
      <c r="AC499" s="692">
        <f t="shared" si="33"/>
        <v>112</v>
      </c>
    </row>
    <row r="500" spans="1:29" s="577" customFormat="1" ht="15" customHeight="1">
      <c r="A500" s="593" t="s">
        <v>260</v>
      </c>
      <c r="B500" s="594" t="s">
        <v>6057</v>
      </c>
      <c r="C500" s="594" t="s">
        <v>6058</v>
      </c>
      <c r="D500" s="594" t="s">
        <v>71</v>
      </c>
      <c r="E500" s="593" t="s">
        <v>6075</v>
      </c>
      <c r="F500" s="593" t="s">
        <v>6060</v>
      </c>
      <c r="G500" s="593" t="s">
        <v>165</v>
      </c>
      <c r="H500" s="564" t="s">
        <v>6076</v>
      </c>
      <c r="I500" s="565" t="str">
        <f>VLOOKUP(H500,'合同高级查询数据-10月新返回合同'!A:A,1,0)</f>
        <v>182315IDC00500</v>
      </c>
      <c r="J500" s="674" t="s">
        <v>3724</v>
      </c>
      <c r="K500" s="593" t="s">
        <v>6110</v>
      </c>
      <c r="L500" s="595" t="s">
        <v>6111</v>
      </c>
      <c r="M500" s="596" t="s">
        <v>6112</v>
      </c>
      <c r="N500" s="597">
        <v>45078</v>
      </c>
      <c r="O500" s="597" t="s">
        <v>1542</v>
      </c>
      <c r="P500" s="676">
        <v>6500</v>
      </c>
      <c r="Q500" s="630">
        <v>64.510000000000005</v>
      </c>
      <c r="R500" s="678">
        <f t="shared" si="34"/>
        <v>419315</v>
      </c>
      <c r="S500" s="570">
        <v>202310</v>
      </c>
      <c r="T500" s="687" t="s">
        <v>6113</v>
      </c>
      <c r="U500" s="679"/>
      <c r="V500" s="636">
        <v>64.506477356000005</v>
      </c>
      <c r="W500" s="705">
        <v>64.67</v>
      </c>
      <c r="X500" s="597">
        <v>45139</v>
      </c>
      <c r="Y500" s="597">
        <v>45504</v>
      </c>
      <c r="Z500" s="691" t="s">
        <v>6114</v>
      </c>
      <c r="AA500" s="691">
        <v>0.3</v>
      </c>
      <c r="AB500" s="692">
        <v>200</v>
      </c>
      <c r="AC500" s="692">
        <f t="shared" si="33"/>
        <v>60</v>
      </c>
    </row>
    <row r="501" spans="1:29" s="385" customFormat="1" ht="15" customHeight="1">
      <c r="A501" s="422" t="s">
        <v>258</v>
      </c>
      <c r="B501" s="423" t="s">
        <v>6057</v>
      </c>
      <c r="C501" s="423" t="s">
        <v>6058</v>
      </c>
      <c r="D501" s="423" t="s">
        <v>71</v>
      </c>
      <c r="E501" s="422" t="s">
        <v>6115</v>
      </c>
      <c r="F501" s="422" t="s">
        <v>6116</v>
      </c>
      <c r="G501" s="422" t="s">
        <v>165</v>
      </c>
      <c r="H501" s="389" t="s">
        <v>6117</v>
      </c>
      <c r="I501" s="369" t="e">
        <f>VLOOKUP(H501,'合同高级查询数据-10月新返回合同'!A:A,1,0)</f>
        <v>#N/A</v>
      </c>
      <c r="J501" s="499" t="s">
        <v>3724</v>
      </c>
      <c r="K501" s="422" t="s">
        <v>6118</v>
      </c>
      <c r="L501" s="424" t="s">
        <v>6119</v>
      </c>
      <c r="M501" s="403"/>
      <c r="N501" s="425" t="s">
        <v>6120</v>
      </c>
      <c r="O501" s="425" t="s">
        <v>6121</v>
      </c>
      <c r="P501" s="508">
        <v>9000</v>
      </c>
      <c r="Q501" s="460">
        <v>0</v>
      </c>
      <c r="R501" s="509">
        <f t="shared" si="34"/>
        <v>0</v>
      </c>
      <c r="S501" s="378">
        <v>202310</v>
      </c>
      <c r="T501" s="452" t="s">
        <v>6122</v>
      </c>
      <c r="U501" s="502"/>
      <c r="V501" s="503">
        <v>0</v>
      </c>
      <c r="W501" s="510"/>
      <c r="X501" s="425"/>
      <c r="Y501" s="425"/>
      <c r="Z501" s="510" t="s">
        <v>6123</v>
      </c>
      <c r="AA501" s="528">
        <v>0.3</v>
      </c>
      <c r="AB501" s="512">
        <v>0</v>
      </c>
      <c r="AC501" s="512">
        <v>0</v>
      </c>
    </row>
    <row r="502" spans="1:29" s="577" customFormat="1" ht="15" customHeight="1">
      <c r="A502" s="593" t="s">
        <v>258</v>
      </c>
      <c r="B502" s="594" t="s">
        <v>6057</v>
      </c>
      <c r="C502" s="594" t="s">
        <v>6058</v>
      </c>
      <c r="D502" s="594" t="s">
        <v>71</v>
      </c>
      <c r="E502" s="593" t="s">
        <v>6115</v>
      </c>
      <c r="F502" s="593" t="s">
        <v>6116</v>
      </c>
      <c r="G502" s="593" t="s">
        <v>165</v>
      </c>
      <c r="H502" s="564" t="s">
        <v>6124</v>
      </c>
      <c r="I502" s="565" t="e">
        <f>VLOOKUP(H502,'合同高级查询数据-10月新返回合同'!A:A,1,0)</f>
        <v>#N/A</v>
      </c>
      <c r="J502" s="674" t="s">
        <v>4875</v>
      </c>
      <c r="K502" s="593" t="s">
        <v>6125</v>
      </c>
      <c r="L502" s="595" t="s">
        <v>6126</v>
      </c>
      <c r="M502" s="596"/>
      <c r="N502" s="597" t="s">
        <v>6127</v>
      </c>
      <c r="O502" s="597" t="s">
        <v>6128</v>
      </c>
      <c r="P502" s="676">
        <v>10000</v>
      </c>
      <c r="Q502" s="630">
        <v>1.6140000000000001</v>
      </c>
      <c r="R502" s="678">
        <f t="shared" si="34"/>
        <v>16140</v>
      </c>
      <c r="S502" s="570">
        <v>202309</v>
      </c>
      <c r="T502" s="687" t="s">
        <v>6129</v>
      </c>
      <c r="U502" s="679"/>
      <c r="V502" s="636"/>
      <c r="W502" s="688"/>
      <c r="X502" s="597">
        <v>43800</v>
      </c>
      <c r="Y502" s="597">
        <v>45260</v>
      </c>
      <c r="Z502" s="688"/>
      <c r="AA502" s="710"/>
      <c r="AB502" s="692"/>
      <c r="AC502" s="692"/>
    </row>
    <row r="503" spans="1:29" s="577" customFormat="1" ht="15" customHeight="1">
      <c r="A503" s="593" t="s">
        <v>258</v>
      </c>
      <c r="B503" s="594" t="s">
        <v>6057</v>
      </c>
      <c r="C503" s="594" t="s">
        <v>6058</v>
      </c>
      <c r="D503" s="594" t="s">
        <v>71</v>
      </c>
      <c r="E503" s="593" t="s">
        <v>6115</v>
      </c>
      <c r="F503" s="593" t="s">
        <v>6116</v>
      </c>
      <c r="G503" s="593" t="s">
        <v>165</v>
      </c>
      <c r="H503" s="564" t="s">
        <v>6124</v>
      </c>
      <c r="I503" s="565" t="e">
        <f>VLOOKUP(H503,'合同高级查询数据-10月新返回合同'!A:A,1,0)</f>
        <v>#N/A</v>
      </c>
      <c r="J503" s="674" t="s">
        <v>4875</v>
      </c>
      <c r="K503" s="593" t="s">
        <v>6125</v>
      </c>
      <c r="L503" s="595" t="s">
        <v>6126</v>
      </c>
      <c r="M503" s="596"/>
      <c r="N503" s="597" t="s">
        <v>6127</v>
      </c>
      <c r="O503" s="597" t="s">
        <v>6128</v>
      </c>
      <c r="P503" s="676">
        <v>10000</v>
      </c>
      <c r="Q503" s="630">
        <v>65.06</v>
      </c>
      <c r="R503" s="678">
        <f t="shared" si="34"/>
        <v>650600</v>
      </c>
      <c r="S503" s="570">
        <v>202310</v>
      </c>
      <c r="T503" s="687" t="s">
        <v>6130</v>
      </c>
      <c r="U503" s="679"/>
      <c r="V503" s="636">
        <v>63.480365667999997</v>
      </c>
      <c r="W503" s="688">
        <v>66.64</v>
      </c>
      <c r="X503" s="597">
        <v>43800</v>
      </c>
      <c r="Y503" s="597">
        <v>45260</v>
      </c>
      <c r="Z503" s="688" t="s">
        <v>6131</v>
      </c>
      <c r="AA503" s="710">
        <v>0.3</v>
      </c>
      <c r="AB503" s="692">
        <v>200</v>
      </c>
      <c r="AC503" s="692">
        <f>AA503*AB503</f>
        <v>60</v>
      </c>
    </row>
    <row r="504" spans="1:29" s="385" customFormat="1" ht="15" customHeight="1">
      <c r="A504" s="422" t="s">
        <v>258</v>
      </c>
      <c r="B504" s="423" t="s">
        <v>6057</v>
      </c>
      <c r="C504" s="423" t="s">
        <v>6058</v>
      </c>
      <c r="D504" s="423" t="s">
        <v>71</v>
      </c>
      <c r="E504" s="422" t="s">
        <v>6115</v>
      </c>
      <c r="F504" s="422" t="s">
        <v>6116</v>
      </c>
      <c r="G504" s="422" t="s">
        <v>165</v>
      </c>
      <c r="H504" s="389" t="s">
        <v>6117</v>
      </c>
      <c r="I504" s="369" t="e">
        <f>VLOOKUP(H504,'合同高级查询数据-10月新返回合同'!A:A,1,0)</f>
        <v>#N/A</v>
      </c>
      <c r="J504" s="499" t="s">
        <v>3724</v>
      </c>
      <c r="K504" s="422" t="s">
        <v>6132</v>
      </c>
      <c r="L504" s="424" t="s">
        <v>6133</v>
      </c>
      <c r="M504" s="403"/>
      <c r="N504" s="425" t="s">
        <v>6134</v>
      </c>
      <c r="O504" s="425" t="s">
        <v>6135</v>
      </c>
      <c r="P504" s="508">
        <v>9000</v>
      </c>
      <c r="Q504" s="460">
        <v>0</v>
      </c>
      <c r="R504" s="509">
        <f t="shared" si="34"/>
        <v>0</v>
      </c>
      <c r="S504" s="378">
        <v>202310</v>
      </c>
      <c r="T504" s="452" t="s">
        <v>6136</v>
      </c>
      <c r="U504" s="502"/>
      <c r="V504" s="503">
        <v>0</v>
      </c>
      <c r="W504" s="510"/>
      <c r="X504" s="425"/>
      <c r="Y504" s="425"/>
      <c r="Z504" s="510" t="s">
        <v>6132</v>
      </c>
      <c r="AA504" s="528">
        <v>0.3</v>
      </c>
      <c r="AB504" s="512">
        <v>160</v>
      </c>
      <c r="AC504" s="512">
        <f>AA504*AB504</f>
        <v>48</v>
      </c>
    </row>
    <row r="505" spans="1:29" s="385" customFormat="1" ht="15" customHeight="1">
      <c r="A505" s="422" t="s">
        <v>258</v>
      </c>
      <c r="B505" s="423" t="s">
        <v>6057</v>
      </c>
      <c r="C505" s="423" t="s">
        <v>6058</v>
      </c>
      <c r="D505" s="423" t="s">
        <v>71</v>
      </c>
      <c r="E505" s="422" t="s">
        <v>6115</v>
      </c>
      <c r="F505" s="422" t="s">
        <v>6116</v>
      </c>
      <c r="G505" s="422" t="s">
        <v>165</v>
      </c>
      <c r="H505" s="389" t="s">
        <v>6117</v>
      </c>
      <c r="I505" s="369" t="e">
        <f>VLOOKUP(H505,'合同高级查询数据-10月新返回合同'!A:A,1,0)</f>
        <v>#N/A</v>
      </c>
      <c r="J505" s="499" t="s">
        <v>4875</v>
      </c>
      <c r="K505" s="422" t="s">
        <v>6137</v>
      </c>
      <c r="L505" s="424" t="s">
        <v>6138</v>
      </c>
      <c r="M505" s="403"/>
      <c r="N505" s="425">
        <v>44317</v>
      </c>
      <c r="O505" s="425" t="s">
        <v>1542</v>
      </c>
      <c r="P505" s="508">
        <v>9000</v>
      </c>
      <c r="Q505" s="460">
        <v>3.61</v>
      </c>
      <c r="R505" s="509">
        <f t="shared" si="34"/>
        <v>32490</v>
      </c>
      <c r="S505" s="378">
        <v>202309</v>
      </c>
      <c r="T505" s="452" t="s">
        <v>6139</v>
      </c>
      <c r="U505" s="502"/>
      <c r="V505" s="503"/>
      <c r="W505" s="510"/>
      <c r="X505" s="425"/>
      <c r="Y505" s="425"/>
      <c r="Z505" s="510"/>
      <c r="AA505" s="528"/>
      <c r="AB505" s="512"/>
      <c r="AC505" s="512"/>
    </row>
    <row r="506" spans="1:29" s="385" customFormat="1" ht="15" customHeight="1">
      <c r="A506" s="422" t="s">
        <v>258</v>
      </c>
      <c r="B506" s="423" t="s">
        <v>6057</v>
      </c>
      <c r="C506" s="423" t="s">
        <v>6058</v>
      </c>
      <c r="D506" s="423" t="s">
        <v>71</v>
      </c>
      <c r="E506" s="422" t="s">
        <v>6115</v>
      </c>
      <c r="F506" s="422" t="s">
        <v>6116</v>
      </c>
      <c r="G506" s="422" t="s">
        <v>165</v>
      </c>
      <c r="H506" s="389" t="s">
        <v>6117</v>
      </c>
      <c r="I506" s="369" t="e">
        <f>VLOOKUP(H506,'合同高级查询数据-10月新返回合同'!A:A,1,0)</f>
        <v>#N/A</v>
      </c>
      <c r="J506" s="499" t="s">
        <v>4875</v>
      </c>
      <c r="K506" s="422" t="s">
        <v>6137</v>
      </c>
      <c r="L506" s="424" t="s">
        <v>6138</v>
      </c>
      <c r="M506" s="403"/>
      <c r="N506" s="425">
        <v>44317</v>
      </c>
      <c r="O506" s="425" t="s">
        <v>1542</v>
      </c>
      <c r="P506" s="508">
        <v>9000</v>
      </c>
      <c r="Q506" s="460">
        <v>209.1</v>
      </c>
      <c r="R506" s="509">
        <f t="shared" si="34"/>
        <v>1881900</v>
      </c>
      <c r="S506" s="378">
        <v>202310</v>
      </c>
      <c r="T506" s="452" t="s">
        <v>6140</v>
      </c>
      <c r="U506" s="502"/>
      <c r="V506" s="503">
        <v>205.31988531600001</v>
      </c>
      <c r="W506" s="510">
        <v>212.73</v>
      </c>
      <c r="X506" s="425"/>
      <c r="Y506" s="425"/>
      <c r="Z506" s="510" t="s">
        <v>6141</v>
      </c>
      <c r="AA506" s="528">
        <v>0.3</v>
      </c>
      <c r="AB506" s="512">
        <v>200</v>
      </c>
      <c r="AC506" s="512">
        <f>AA506*AB506</f>
        <v>60</v>
      </c>
    </row>
    <row r="507" spans="1:29" s="385" customFormat="1" ht="15" customHeight="1">
      <c r="A507" s="422" t="s">
        <v>258</v>
      </c>
      <c r="B507" s="423" t="s">
        <v>6057</v>
      </c>
      <c r="C507" s="423" t="s">
        <v>6058</v>
      </c>
      <c r="D507" s="423" t="s">
        <v>71</v>
      </c>
      <c r="E507" s="422" t="s">
        <v>6142</v>
      </c>
      <c r="F507" s="422" t="s">
        <v>6143</v>
      </c>
      <c r="G507" s="422" t="s">
        <v>165</v>
      </c>
      <c r="H507" s="389" t="s">
        <v>6144</v>
      </c>
      <c r="I507" s="369" t="e">
        <f>VLOOKUP(H507,'合同高级查询数据-10月新返回合同'!A:A,1,0)</f>
        <v>#N/A</v>
      </c>
      <c r="J507" s="499" t="s">
        <v>3724</v>
      </c>
      <c r="K507" s="422" t="s">
        <v>6145</v>
      </c>
      <c r="L507" s="424" t="s">
        <v>6146</v>
      </c>
      <c r="M507" s="403"/>
      <c r="N507" s="373" t="s">
        <v>6147</v>
      </c>
      <c r="O507" s="373" t="s">
        <v>6148</v>
      </c>
      <c r="P507" s="508">
        <v>9000</v>
      </c>
      <c r="Q507" s="460">
        <v>82.9</v>
      </c>
      <c r="R507" s="509">
        <f t="shared" si="34"/>
        <v>746100</v>
      </c>
      <c r="S507" s="378">
        <v>202310</v>
      </c>
      <c r="T507" s="452" t="s">
        <v>6149</v>
      </c>
      <c r="U507" s="502"/>
      <c r="V507" s="503">
        <v>80.672223967999997</v>
      </c>
      <c r="W507" s="510">
        <v>84.98</v>
      </c>
      <c r="X507" s="425"/>
      <c r="Y507" s="425"/>
      <c r="Z507" s="510" t="s">
        <v>6150</v>
      </c>
      <c r="AA507" s="528">
        <v>0.3</v>
      </c>
      <c r="AB507" s="512">
        <v>260</v>
      </c>
      <c r="AC507" s="512">
        <f>AA507*AB507</f>
        <v>78</v>
      </c>
    </row>
    <row r="508" spans="1:29" s="385" customFormat="1" ht="15" customHeight="1">
      <c r="A508" s="422" t="s">
        <v>45</v>
      </c>
      <c r="B508" s="423" t="s">
        <v>6057</v>
      </c>
      <c r="C508" s="423" t="s">
        <v>6058</v>
      </c>
      <c r="D508" s="423" t="s">
        <v>71</v>
      </c>
      <c r="E508" s="422" t="s">
        <v>6151</v>
      </c>
      <c r="F508" s="422" t="s">
        <v>6152</v>
      </c>
      <c r="G508" s="422" t="s">
        <v>165</v>
      </c>
      <c r="H508" s="389" t="s">
        <v>6153</v>
      </c>
      <c r="I508" s="369" t="e">
        <f>VLOOKUP(H508,'合同高级查询数据-10月新返回合同'!A:A,1,0)</f>
        <v>#N/A</v>
      </c>
      <c r="J508" s="499" t="s">
        <v>3724</v>
      </c>
      <c r="K508" s="422" t="s">
        <v>6154</v>
      </c>
      <c r="L508" s="424" t="s">
        <v>6155</v>
      </c>
      <c r="M508" s="403"/>
      <c r="N508" s="425" t="s">
        <v>6156</v>
      </c>
      <c r="O508" s="425" t="s">
        <v>6157</v>
      </c>
      <c r="P508" s="508">
        <v>6740</v>
      </c>
      <c r="Q508" s="460">
        <v>0.97</v>
      </c>
      <c r="R508" s="509">
        <f t="shared" si="34"/>
        <v>6537.8</v>
      </c>
      <c r="S508" s="378">
        <v>202309</v>
      </c>
      <c r="T508" s="452" t="s">
        <v>6158</v>
      </c>
      <c r="U508" s="502"/>
      <c r="V508" s="448"/>
      <c r="W508" s="510"/>
      <c r="X508" s="425"/>
      <c r="Y508" s="425"/>
      <c r="Z508" s="510"/>
      <c r="AA508" s="528"/>
      <c r="AB508" s="512"/>
      <c r="AC508" s="512"/>
    </row>
    <row r="509" spans="1:29" s="385" customFormat="1" ht="15" customHeight="1">
      <c r="A509" s="422" t="s">
        <v>45</v>
      </c>
      <c r="B509" s="423" t="s">
        <v>6057</v>
      </c>
      <c r="C509" s="423" t="s">
        <v>6058</v>
      </c>
      <c r="D509" s="423" t="s">
        <v>71</v>
      </c>
      <c r="E509" s="422" t="s">
        <v>6151</v>
      </c>
      <c r="F509" s="422" t="s">
        <v>6152</v>
      </c>
      <c r="G509" s="422" t="s">
        <v>165</v>
      </c>
      <c r="H509" s="389" t="s">
        <v>6153</v>
      </c>
      <c r="I509" s="369" t="e">
        <f>VLOOKUP(H509,'合同高级查询数据-10月新返回合同'!A:A,1,0)</f>
        <v>#N/A</v>
      </c>
      <c r="J509" s="499" t="s">
        <v>3724</v>
      </c>
      <c r="K509" s="422" t="s">
        <v>6154</v>
      </c>
      <c r="L509" s="424" t="s">
        <v>6155</v>
      </c>
      <c r="M509" s="403"/>
      <c r="N509" s="425" t="s">
        <v>6156</v>
      </c>
      <c r="O509" s="425" t="s">
        <v>6157</v>
      </c>
      <c r="P509" s="508">
        <v>6740</v>
      </c>
      <c r="Q509" s="460">
        <v>110.27</v>
      </c>
      <c r="R509" s="509">
        <f t="shared" si="34"/>
        <v>743219.8</v>
      </c>
      <c r="S509" s="378">
        <v>202310</v>
      </c>
      <c r="T509" s="452" t="s">
        <v>6159</v>
      </c>
      <c r="U509" s="502"/>
      <c r="V509" s="503">
        <v>110.268188477</v>
      </c>
      <c r="W509" s="510"/>
      <c r="X509" s="425"/>
      <c r="Y509" s="425"/>
      <c r="Z509" s="510" t="s">
        <v>6154</v>
      </c>
      <c r="AA509" s="528">
        <v>0.4</v>
      </c>
      <c r="AB509" s="512">
        <v>260</v>
      </c>
      <c r="AC509" s="512">
        <f>AA509*AB509</f>
        <v>104</v>
      </c>
    </row>
    <row r="510" spans="1:29" s="385" customFormat="1" ht="15" customHeight="1">
      <c r="A510" s="422" t="s">
        <v>45</v>
      </c>
      <c r="B510" s="423" t="s">
        <v>6057</v>
      </c>
      <c r="C510" s="423" t="s">
        <v>6058</v>
      </c>
      <c r="D510" s="423" t="s">
        <v>71</v>
      </c>
      <c r="E510" s="387" t="s">
        <v>6160</v>
      </c>
      <c r="F510" s="387" t="s">
        <v>6161</v>
      </c>
      <c r="G510" s="371" t="s">
        <v>165</v>
      </c>
      <c r="H510" s="389" t="s">
        <v>6162</v>
      </c>
      <c r="I510" s="369" t="e">
        <f>VLOOKUP(H510,'合同高级查询数据-10月新返回合同'!A:A,1,0)</f>
        <v>#N/A</v>
      </c>
      <c r="J510" s="371" t="s">
        <v>3724</v>
      </c>
      <c r="K510" s="462" t="s">
        <v>6163</v>
      </c>
      <c r="L510" s="474" t="s">
        <v>6161</v>
      </c>
      <c r="M510" s="430"/>
      <c r="N510" s="373" t="s">
        <v>6164</v>
      </c>
      <c r="O510" s="373" t="s">
        <v>4845</v>
      </c>
      <c r="P510" s="508">
        <v>6740</v>
      </c>
      <c r="Q510" s="460">
        <v>0</v>
      </c>
      <c r="R510" s="447">
        <f t="shared" si="34"/>
        <v>0</v>
      </c>
      <c r="S510" s="465">
        <v>202310</v>
      </c>
      <c r="T510" s="452" t="s">
        <v>6165</v>
      </c>
      <c r="U510" s="467"/>
      <c r="V510" s="503">
        <v>0</v>
      </c>
      <c r="W510" s="432"/>
      <c r="X510" s="425"/>
      <c r="Y510" s="425"/>
      <c r="Z510" s="386" t="s">
        <v>6166</v>
      </c>
      <c r="AA510" s="506">
        <v>0.4</v>
      </c>
      <c r="AB510" s="529">
        <v>0</v>
      </c>
      <c r="AC510" s="512">
        <f>AA510*AB510</f>
        <v>0</v>
      </c>
    </row>
    <row r="511" spans="1:29" s="385" customFormat="1" ht="15" customHeight="1">
      <c r="A511" s="422" t="s">
        <v>45</v>
      </c>
      <c r="B511" s="423" t="s">
        <v>6057</v>
      </c>
      <c r="C511" s="423" t="s">
        <v>6058</v>
      </c>
      <c r="D511" s="423" t="s">
        <v>71</v>
      </c>
      <c r="E511" s="387" t="s">
        <v>6160</v>
      </c>
      <c r="F511" s="387" t="s">
        <v>6161</v>
      </c>
      <c r="G511" s="371" t="s">
        <v>165</v>
      </c>
      <c r="H511" s="389" t="s">
        <v>6162</v>
      </c>
      <c r="I511" s="369" t="e">
        <f>VLOOKUP(H511,'合同高级查询数据-10月新返回合同'!A:A,1,0)</f>
        <v>#N/A</v>
      </c>
      <c r="J511" s="371" t="s">
        <v>3724</v>
      </c>
      <c r="K511" s="462" t="s">
        <v>6167</v>
      </c>
      <c r="L511" s="474" t="s">
        <v>6168</v>
      </c>
      <c r="M511" s="430"/>
      <c r="N511" s="373" t="s">
        <v>6169</v>
      </c>
      <c r="O511" s="373" t="s">
        <v>6170</v>
      </c>
      <c r="P511" s="508">
        <v>6740</v>
      </c>
      <c r="Q511" s="460">
        <v>0.05</v>
      </c>
      <c r="R511" s="447">
        <f t="shared" si="34"/>
        <v>337</v>
      </c>
      <c r="S511" s="465">
        <v>202309</v>
      </c>
      <c r="T511" s="452" t="s">
        <v>6171</v>
      </c>
      <c r="U511" s="467"/>
      <c r="V511" s="503"/>
      <c r="W511" s="432"/>
      <c r="X511" s="425"/>
      <c r="Y511" s="425"/>
      <c r="Z511" s="386"/>
      <c r="AA511" s="506"/>
      <c r="AB511" s="529"/>
      <c r="AC511" s="512"/>
    </row>
    <row r="512" spans="1:29" s="385" customFormat="1" ht="15" customHeight="1">
      <c r="A512" s="422" t="s">
        <v>45</v>
      </c>
      <c r="B512" s="423" t="s">
        <v>6057</v>
      </c>
      <c r="C512" s="423" t="s">
        <v>6058</v>
      </c>
      <c r="D512" s="423" t="s">
        <v>71</v>
      </c>
      <c r="E512" s="387" t="s">
        <v>6160</v>
      </c>
      <c r="F512" s="387" t="s">
        <v>6161</v>
      </c>
      <c r="G512" s="371" t="s">
        <v>165</v>
      </c>
      <c r="H512" s="389" t="s">
        <v>6162</v>
      </c>
      <c r="I512" s="369" t="e">
        <f>VLOOKUP(H512,'合同高级查询数据-10月新返回合同'!A:A,1,0)</f>
        <v>#N/A</v>
      </c>
      <c r="J512" s="371" t="s">
        <v>3724</v>
      </c>
      <c r="K512" s="462" t="s">
        <v>6167</v>
      </c>
      <c r="L512" s="474" t="s">
        <v>6168</v>
      </c>
      <c r="M512" s="430"/>
      <c r="N512" s="373" t="s">
        <v>6169</v>
      </c>
      <c r="O512" s="373" t="s">
        <v>6170</v>
      </c>
      <c r="P512" s="508">
        <v>6740</v>
      </c>
      <c r="Q512" s="460">
        <v>52.7</v>
      </c>
      <c r="R512" s="447">
        <f t="shared" si="34"/>
        <v>355198</v>
      </c>
      <c r="S512" s="465">
        <v>202310</v>
      </c>
      <c r="T512" s="452" t="s">
        <v>6172</v>
      </c>
      <c r="U512" s="467"/>
      <c r="V512" s="503">
        <v>52.698677062999998</v>
      </c>
      <c r="W512" s="432"/>
      <c r="X512" s="425"/>
      <c r="Y512" s="425"/>
      <c r="Z512" s="386" t="s">
        <v>6173</v>
      </c>
      <c r="AA512" s="506">
        <v>0.4</v>
      </c>
      <c r="AB512" s="512">
        <v>120</v>
      </c>
      <c r="AC512" s="512">
        <f>AA512*AB512</f>
        <v>48</v>
      </c>
    </row>
    <row r="513" spans="1:29" s="385" customFormat="1" ht="15" customHeight="1">
      <c r="A513" s="422" t="s">
        <v>45</v>
      </c>
      <c r="B513" s="423" t="s">
        <v>6057</v>
      </c>
      <c r="C513" s="423" t="s">
        <v>6058</v>
      </c>
      <c r="D513" s="423" t="s">
        <v>71</v>
      </c>
      <c r="E513" s="387" t="s">
        <v>6160</v>
      </c>
      <c r="F513" s="387" t="s">
        <v>6161</v>
      </c>
      <c r="G513" s="371" t="s">
        <v>165</v>
      </c>
      <c r="H513" s="389" t="s">
        <v>6162</v>
      </c>
      <c r="I513" s="369" t="e">
        <f>VLOOKUP(H513,'合同高级查询数据-10月新返回合同'!A:A,1,0)</f>
        <v>#N/A</v>
      </c>
      <c r="J513" s="371" t="s">
        <v>3724</v>
      </c>
      <c r="K513" s="462" t="s">
        <v>6167</v>
      </c>
      <c r="L513" s="474" t="s">
        <v>6174</v>
      </c>
      <c r="M513" s="430"/>
      <c r="N513" s="373" t="s">
        <v>6175</v>
      </c>
      <c r="O513" s="373" t="s">
        <v>6176</v>
      </c>
      <c r="P513" s="508">
        <v>6740</v>
      </c>
      <c r="Q513" s="460">
        <v>0.55000000000000004</v>
      </c>
      <c r="R513" s="447">
        <f t="shared" si="34"/>
        <v>3707</v>
      </c>
      <c r="S513" s="465">
        <v>202309</v>
      </c>
      <c r="T513" s="452" t="s">
        <v>6177</v>
      </c>
      <c r="U513" s="467"/>
      <c r="V513" s="503"/>
      <c r="W513" s="432"/>
      <c r="X513" s="425"/>
      <c r="Y513" s="425"/>
      <c r="Z513" s="386"/>
      <c r="AA513" s="506"/>
      <c r="AB513" s="512"/>
      <c r="AC513" s="512"/>
    </row>
    <row r="514" spans="1:29" s="385" customFormat="1" ht="15" customHeight="1">
      <c r="A514" s="422" t="s">
        <v>45</v>
      </c>
      <c r="B514" s="423" t="s">
        <v>6057</v>
      </c>
      <c r="C514" s="423" t="s">
        <v>6058</v>
      </c>
      <c r="D514" s="423" t="s">
        <v>71</v>
      </c>
      <c r="E514" s="387" t="s">
        <v>6160</v>
      </c>
      <c r="F514" s="387" t="s">
        <v>6161</v>
      </c>
      <c r="G514" s="371" t="s">
        <v>165</v>
      </c>
      <c r="H514" s="389" t="s">
        <v>6162</v>
      </c>
      <c r="I514" s="369" t="e">
        <f>VLOOKUP(H514,'合同高级查询数据-10月新返回合同'!A:A,1,0)</f>
        <v>#N/A</v>
      </c>
      <c r="J514" s="371" t="s">
        <v>3724</v>
      </c>
      <c r="K514" s="462" t="s">
        <v>6167</v>
      </c>
      <c r="L514" s="474" t="s">
        <v>6174</v>
      </c>
      <c r="M514" s="430"/>
      <c r="N514" s="373" t="s">
        <v>6175</v>
      </c>
      <c r="O514" s="373" t="s">
        <v>6176</v>
      </c>
      <c r="P514" s="508">
        <v>6740</v>
      </c>
      <c r="Q514" s="460">
        <v>62.28</v>
      </c>
      <c r="R514" s="447">
        <f t="shared" si="34"/>
        <v>419767.2</v>
      </c>
      <c r="S514" s="465">
        <v>202310</v>
      </c>
      <c r="T514" s="452" t="s">
        <v>6178</v>
      </c>
      <c r="U514" s="467"/>
      <c r="V514" s="503">
        <v>62.283775329999997</v>
      </c>
      <c r="W514" s="432"/>
      <c r="X514" s="425"/>
      <c r="Y514" s="425"/>
      <c r="Z514" s="386" t="s">
        <v>6179</v>
      </c>
      <c r="AA514" s="506">
        <v>0.4</v>
      </c>
      <c r="AB514" s="512">
        <v>140</v>
      </c>
      <c r="AC514" s="512">
        <f>AA514*AB514</f>
        <v>56</v>
      </c>
    </row>
    <row r="515" spans="1:29" s="385" customFormat="1" ht="15" customHeight="1">
      <c r="A515" s="422" t="s">
        <v>45</v>
      </c>
      <c r="B515" s="423" t="s">
        <v>6057</v>
      </c>
      <c r="C515" s="423" t="s">
        <v>6058</v>
      </c>
      <c r="D515" s="423" t="s">
        <v>71</v>
      </c>
      <c r="E515" s="387" t="s">
        <v>6180</v>
      </c>
      <c r="F515" s="387" t="s">
        <v>6181</v>
      </c>
      <c r="G515" s="371" t="s">
        <v>165</v>
      </c>
      <c r="H515" s="389" t="s">
        <v>6182</v>
      </c>
      <c r="I515" s="369" t="e">
        <f>VLOOKUP(H515,'合同高级查询数据-10月新返回合同'!A:A,1,0)</f>
        <v>#N/A</v>
      </c>
      <c r="J515" s="371" t="s">
        <v>3724</v>
      </c>
      <c r="K515" s="462" t="s">
        <v>6163</v>
      </c>
      <c r="L515" s="474" t="s">
        <v>6183</v>
      </c>
      <c r="M515" s="430" t="s">
        <v>6184</v>
      </c>
      <c r="N515" s="373">
        <v>44841</v>
      </c>
      <c r="O515" s="373" t="s">
        <v>5916</v>
      </c>
      <c r="P515" s="508">
        <v>6740</v>
      </c>
      <c r="Q515" s="460">
        <v>0.18</v>
      </c>
      <c r="R515" s="447">
        <f t="shared" si="34"/>
        <v>1213.2</v>
      </c>
      <c r="S515" s="465">
        <v>202308</v>
      </c>
      <c r="T515" s="452" t="s">
        <v>6185</v>
      </c>
      <c r="U515" s="467"/>
      <c r="V515" s="503"/>
      <c r="W515" s="432"/>
      <c r="X515" s="425"/>
      <c r="Y515" s="425"/>
      <c r="Z515" s="386"/>
      <c r="AA515" s="506"/>
      <c r="AB515" s="512"/>
      <c r="AC515" s="512"/>
    </row>
    <row r="516" spans="1:29" s="385" customFormat="1" ht="15" customHeight="1">
      <c r="A516" s="422" t="s">
        <v>45</v>
      </c>
      <c r="B516" s="423" t="s">
        <v>6057</v>
      </c>
      <c r="C516" s="423" t="s">
        <v>6058</v>
      </c>
      <c r="D516" s="423" t="s">
        <v>71</v>
      </c>
      <c r="E516" s="387" t="s">
        <v>6180</v>
      </c>
      <c r="F516" s="387" t="s">
        <v>6181</v>
      </c>
      <c r="G516" s="371" t="s">
        <v>165</v>
      </c>
      <c r="H516" s="389" t="s">
        <v>6182</v>
      </c>
      <c r="I516" s="369" t="e">
        <f>VLOOKUP(H516,'合同高级查询数据-10月新返回合同'!A:A,1,0)</f>
        <v>#N/A</v>
      </c>
      <c r="J516" s="371" t="s">
        <v>3724</v>
      </c>
      <c r="K516" s="462" t="s">
        <v>6163</v>
      </c>
      <c r="L516" s="474" t="s">
        <v>6183</v>
      </c>
      <c r="M516" s="430" t="s">
        <v>6184</v>
      </c>
      <c r="N516" s="373">
        <v>44841</v>
      </c>
      <c r="O516" s="373" t="s">
        <v>5916</v>
      </c>
      <c r="P516" s="508">
        <v>6740</v>
      </c>
      <c r="Q516" s="460">
        <v>0.02</v>
      </c>
      <c r="R516" s="447">
        <f t="shared" si="34"/>
        <v>134.80000000000001</v>
      </c>
      <c r="S516" s="465">
        <v>202309</v>
      </c>
      <c r="T516" s="452" t="s">
        <v>6186</v>
      </c>
      <c r="U516" s="467"/>
      <c r="V516" s="503"/>
      <c r="W516" s="432"/>
      <c r="X516" s="425"/>
      <c r="Y516" s="425"/>
      <c r="Z516" s="386"/>
      <c r="AA516" s="506"/>
      <c r="AB516" s="512"/>
      <c r="AC516" s="512"/>
    </row>
    <row r="517" spans="1:29" s="385" customFormat="1" ht="15" customHeight="1">
      <c r="A517" s="422" t="s">
        <v>45</v>
      </c>
      <c r="B517" s="423" t="s">
        <v>6057</v>
      </c>
      <c r="C517" s="423" t="s">
        <v>6058</v>
      </c>
      <c r="D517" s="423" t="s">
        <v>71</v>
      </c>
      <c r="E517" s="387" t="s">
        <v>6180</v>
      </c>
      <c r="F517" s="387" t="s">
        <v>6181</v>
      </c>
      <c r="G517" s="371" t="s">
        <v>165</v>
      </c>
      <c r="H517" s="371" t="s">
        <v>6182</v>
      </c>
      <c r="I517" s="369" t="e">
        <f>VLOOKUP(H517,'合同高级查询数据-10月新返回合同'!A:A,1,0)</f>
        <v>#N/A</v>
      </c>
      <c r="J517" s="371" t="s">
        <v>3724</v>
      </c>
      <c r="K517" s="462" t="s">
        <v>6163</v>
      </c>
      <c r="L517" s="474" t="s">
        <v>6183</v>
      </c>
      <c r="M517" s="430" t="s">
        <v>6184</v>
      </c>
      <c r="N517" s="373">
        <v>44841</v>
      </c>
      <c r="O517" s="373" t="s">
        <v>5916</v>
      </c>
      <c r="P517" s="508">
        <v>6740</v>
      </c>
      <c r="Q517" s="460">
        <v>129.33000000000001</v>
      </c>
      <c r="R517" s="447">
        <f t="shared" si="34"/>
        <v>871684.2</v>
      </c>
      <c r="S517" s="465">
        <v>202310</v>
      </c>
      <c r="T517" s="452" t="s">
        <v>6187</v>
      </c>
      <c r="U517" s="467"/>
      <c r="V517" s="503">
        <v>129.326782227</v>
      </c>
      <c r="W517" s="432"/>
      <c r="X517" s="475"/>
      <c r="Y517" s="475"/>
      <c r="Z517" s="386" t="s">
        <v>6188</v>
      </c>
      <c r="AA517" s="506">
        <v>0.4</v>
      </c>
      <c r="AB517" s="512">
        <v>300</v>
      </c>
      <c r="AC517" s="512">
        <f>AA517*AB517</f>
        <v>120</v>
      </c>
    </row>
    <row r="518" spans="1:29" s="577" customFormat="1" ht="15" customHeight="1">
      <c r="A518" s="593" t="s">
        <v>45</v>
      </c>
      <c r="B518" s="594" t="s">
        <v>6057</v>
      </c>
      <c r="C518" s="594" t="s">
        <v>6058</v>
      </c>
      <c r="D518" s="594" t="s">
        <v>71</v>
      </c>
      <c r="E518" s="562" t="s">
        <v>6160</v>
      </c>
      <c r="F518" s="562" t="s">
        <v>6161</v>
      </c>
      <c r="G518" s="585" t="s">
        <v>165</v>
      </c>
      <c r="H518" s="585" t="s">
        <v>6189</v>
      </c>
      <c r="I518" s="565" t="e">
        <f>VLOOKUP(H518,'合同高级查询数据-10月新返回合同'!A:A,1,0)</f>
        <v>#N/A</v>
      </c>
      <c r="J518" s="585" t="s">
        <v>4875</v>
      </c>
      <c r="K518" s="650" t="s">
        <v>6190</v>
      </c>
      <c r="L518" s="651" t="s">
        <v>6191</v>
      </c>
      <c r="M518" s="608"/>
      <c r="N518" s="603">
        <v>43815</v>
      </c>
      <c r="O518" s="603" t="s">
        <v>2187</v>
      </c>
      <c r="P518" s="711" t="s">
        <v>6192</v>
      </c>
      <c r="Q518" s="630">
        <v>30.2</v>
      </c>
      <c r="R518" s="639">
        <f>ROUND(19500*Q518,2)</f>
        <v>588900</v>
      </c>
      <c r="S518" s="654">
        <v>202310</v>
      </c>
      <c r="T518" s="663" t="s">
        <v>6193</v>
      </c>
      <c r="U518" s="656"/>
      <c r="V518" s="636">
        <v>30.126157945022001</v>
      </c>
      <c r="W518" s="615"/>
      <c r="X518" s="657">
        <v>43815</v>
      </c>
      <c r="Y518" s="657">
        <v>46006</v>
      </c>
      <c r="Z518" s="561" t="s">
        <v>6194</v>
      </c>
      <c r="AA518" s="683">
        <v>0.3</v>
      </c>
      <c r="AB518" s="692">
        <v>100</v>
      </c>
      <c r="AC518" s="692">
        <f>AA518*AB518</f>
        <v>30</v>
      </c>
    </row>
    <row r="519" spans="1:29" s="577" customFormat="1" ht="15" customHeight="1">
      <c r="A519" s="593" t="s">
        <v>45</v>
      </c>
      <c r="B519" s="594" t="s">
        <v>6057</v>
      </c>
      <c r="C519" s="594" t="s">
        <v>6058</v>
      </c>
      <c r="D519" s="594" t="s">
        <v>71</v>
      </c>
      <c r="E519" s="562" t="s">
        <v>6160</v>
      </c>
      <c r="F519" s="562" t="s">
        <v>6161</v>
      </c>
      <c r="G519" s="585" t="s">
        <v>165</v>
      </c>
      <c r="H519" s="585" t="s">
        <v>6189</v>
      </c>
      <c r="I519" s="565" t="e">
        <f>VLOOKUP(H519,'合同高级查询数据-10月新返回合同'!A:A,1,0)</f>
        <v>#N/A</v>
      </c>
      <c r="J519" s="585" t="s">
        <v>4875</v>
      </c>
      <c r="K519" s="650" t="s">
        <v>6195</v>
      </c>
      <c r="L519" s="651"/>
      <c r="M519" s="608"/>
      <c r="N519" s="603">
        <v>44873</v>
      </c>
      <c r="O519" s="603" t="s">
        <v>3194</v>
      </c>
      <c r="P519" s="711">
        <v>19500</v>
      </c>
      <c r="Q519" s="630">
        <v>1</v>
      </c>
      <c r="R519" s="639">
        <f t="shared" ref="R519:R582" si="35">ROUND(P519*Q519,2)</f>
        <v>19500</v>
      </c>
      <c r="S519" s="654">
        <v>202310</v>
      </c>
      <c r="T519" s="687" t="s">
        <v>6196</v>
      </c>
      <c r="U519" s="656"/>
      <c r="V519" s="636"/>
      <c r="W519" s="615"/>
      <c r="X519" s="657">
        <v>43815</v>
      </c>
      <c r="Y519" s="657">
        <v>46006</v>
      </c>
      <c r="Z519" s="561" t="s">
        <v>6197</v>
      </c>
      <c r="AA519" s="683">
        <v>0.3</v>
      </c>
      <c r="AB519" s="692">
        <v>1</v>
      </c>
      <c r="AC519" s="712">
        <f>AA519*AB519</f>
        <v>0.3</v>
      </c>
    </row>
    <row r="520" spans="1:29" s="385" customFormat="1" ht="15" customHeight="1">
      <c r="A520" s="422" t="s">
        <v>45</v>
      </c>
      <c r="B520" s="423" t="s">
        <v>6057</v>
      </c>
      <c r="C520" s="423" t="s">
        <v>6058</v>
      </c>
      <c r="D520" s="423" t="s">
        <v>71</v>
      </c>
      <c r="E520" s="422" t="s">
        <v>6180</v>
      </c>
      <c r="F520" s="422" t="s">
        <v>6181</v>
      </c>
      <c r="G520" s="422" t="s">
        <v>165</v>
      </c>
      <c r="H520" s="371" t="s">
        <v>6182</v>
      </c>
      <c r="I520" s="369" t="e">
        <f>VLOOKUP(H520,'合同高级查询数据-10月新返回合同'!A:A,1,0)</f>
        <v>#N/A</v>
      </c>
      <c r="J520" s="499" t="s">
        <v>3724</v>
      </c>
      <c r="K520" s="422" t="s">
        <v>6110</v>
      </c>
      <c r="L520" s="424" t="s">
        <v>6198</v>
      </c>
      <c r="M520" s="403"/>
      <c r="N520" s="425">
        <v>43896</v>
      </c>
      <c r="O520" s="425" t="s">
        <v>2187</v>
      </c>
      <c r="P520" s="508">
        <v>6740</v>
      </c>
      <c r="Q520" s="460">
        <v>0</v>
      </c>
      <c r="R520" s="509">
        <f t="shared" si="35"/>
        <v>0</v>
      </c>
      <c r="S520" s="378">
        <v>202310</v>
      </c>
      <c r="T520" s="452" t="s">
        <v>6199</v>
      </c>
      <c r="U520" s="502"/>
      <c r="V520" s="503">
        <v>0</v>
      </c>
      <c r="W520" s="510"/>
      <c r="X520" s="475"/>
      <c r="Y520" s="475"/>
      <c r="Z520" s="510" t="s">
        <v>6200</v>
      </c>
      <c r="AA520" s="506">
        <v>0.4</v>
      </c>
      <c r="AB520" s="512">
        <v>100</v>
      </c>
      <c r="AC520" s="512">
        <f>AA520*AB520</f>
        <v>40</v>
      </c>
    </row>
    <row r="521" spans="1:29" s="385" customFormat="1" ht="15" customHeight="1">
      <c r="A521" s="422" t="s">
        <v>45</v>
      </c>
      <c r="B521" s="423" t="s">
        <v>6057</v>
      </c>
      <c r="C521" s="423" t="s">
        <v>6058</v>
      </c>
      <c r="D521" s="423" t="s">
        <v>71</v>
      </c>
      <c r="E521" s="422" t="s">
        <v>6180</v>
      </c>
      <c r="F521" s="422" t="s">
        <v>6181</v>
      </c>
      <c r="G521" s="422" t="s">
        <v>165</v>
      </c>
      <c r="H521" s="371" t="s">
        <v>6182</v>
      </c>
      <c r="I521" s="369" t="e">
        <f>VLOOKUP(H521,'合同高级查询数据-10月新返回合同'!A:A,1,0)</f>
        <v>#N/A</v>
      </c>
      <c r="J521" s="499" t="s">
        <v>4875</v>
      </c>
      <c r="K521" s="422" t="s">
        <v>6201</v>
      </c>
      <c r="L521" s="424" t="s">
        <v>6202</v>
      </c>
      <c r="M521" s="403"/>
      <c r="N521" s="425" t="s">
        <v>6203</v>
      </c>
      <c r="O521" s="425" t="s">
        <v>6204</v>
      </c>
      <c r="P521" s="508">
        <v>6740</v>
      </c>
      <c r="Q521" s="460">
        <v>3.91</v>
      </c>
      <c r="R521" s="509">
        <f t="shared" si="35"/>
        <v>26353.4</v>
      </c>
      <c r="S521" s="465">
        <v>202308</v>
      </c>
      <c r="T521" s="452" t="s">
        <v>6205</v>
      </c>
      <c r="U521" s="502"/>
      <c r="V521" s="503"/>
      <c r="W521" s="510"/>
      <c r="X521" s="475"/>
      <c r="Y521" s="475"/>
      <c r="Z521" s="510"/>
      <c r="AA521" s="506"/>
      <c r="AB521" s="512"/>
      <c r="AC521" s="512"/>
    </row>
    <row r="522" spans="1:29" s="385" customFormat="1" ht="15" customHeight="1">
      <c r="A522" s="422" t="s">
        <v>45</v>
      </c>
      <c r="B522" s="423" t="s">
        <v>6057</v>
      </c>
      <c r="C522" s="423" t="s">
        <v>6058</v>
      </c>
      <c r="D522" s="423" t="s">
        <v>71</v>
      </c>
      <c r="E522" s="422" t="s">
        <v>6180</v>
      </c>
      <c r="F522" s="422" t="s">
        <v>6181</v>
      </c>
      <c r="G522" s="422" t="s">
        <v>165</v>
      </c>
      <c r="H522" s="371" t="s">
        <v>6182</v>
      </c>
      <c r="I522" s="369" t="e">
        <f>VLOOKUP(H522,'合同高级查询数据-10月新返回合同'!A:A,1,0)</f>
        <v>#N/A</v>
      </c>
      <c r="J522" s="499" t="s">
        <v>4875</v>
      </c>
      <c r="K522" s="422" t="s">
        <v>6201</v>
      </c>
      <c r="L522" s="424" t="s">
        <v>6202</v>
      </c>
      <c r="M522" s="403"/>
      <c r="N522" s="425" t="s">
        <v>6203</v>
      </c>
      <c r="O522" s="425" t="s">
        <v>6204</v>
      </c>
      <c r="P522" s="508">
        <v>6740</v>
      </c>
      <c r="Q522" s="460">
        <v>2.2400000000000002</v>
      </c>
      <c r="R522" s="509">
        <f t="shared" si="35"/>
        <v>15097.6</v>
      </c>
      <c r="S522" s="465">
        <v>202309</v>
      </c>
      <c r="T522" s="452" t="s">
        <v>6206</v>
      </c>
      <c r="U522" s="502"/>
      <c r="V522" s="503"/>
      <c r="W522" s="510"/>
      <c r="X522" s="475"/>
      <c r="Y522" s="475"/>
      <c r="Z522" s="510"/>
      <c r="AA522" s="506"/>
      <c r="AB522" s="512"/>
      <c r="AC522" s="512"/>
    </row>
    <row r="523" spans="1:29" s="385" customFormat="1" ht="15" customHeight="1">
      <c r="A523" s="422" t="s">
        <v>45</v>
      </c>
      <c r="B523" s="423" t="s">
        <v>6057</v>
      </c>
      <c r="C523" s="423" t="s">
        <v>6058</v>
      </c>
      <c r="D523" s="423" t="s">
        <v>71</v>
      </c>
      <c r="E523" s="422" t="s">
        <v>6180</v>
      </c>
      <c r="F523" s="422" t="s">
        <v>6181</v>
      </c>
      <c r="G523" s="422" t="s">
        <v>165</v>
      </c>
      <c r="H523" s="371" t="s">
        <v>6182</v>
      </c>
      <c r="I523" s="369" t="e">
        <f>VLOOKUP(H523,'合同高级查询数据-10月新返回合同'!A:A,1,0)</f>
        <v>#N/A</v>
      </c>
      <c r="J523" s="499" t="s">
        <v>4875</v>
      </c>
      <c r="K523" s="422" t="s">
        <v>6201</v>
      </c>
      <c r="L523" s="424" t="s">
        <v>6202</v>
      </c>
      <c r="M523" s="403"/>
      <c r="N523" s="425" t="s">
        <v>6203</v>
      </c>
      <c r="O523" s="373" t="s">
        <v>6204</v>
      </c>
      <c r="P523" s="508">
        <v>6740</v>
      </c>
      <c r="Q523" s="460">
        <v>217.51</v>
      </c>
      <c r="R523" s="509">
        <f t="shared" si="35"/>
        <v>1466017.4</v>
      </c>
      <c r="S523" s="378">
        <v>202310</v>
      </c>
      <c r="T523" s="452" t="s">
        <v>6207</v>
      </c>
      <c r="U523" s="502"/>
      <c r="V523" s="503">
        <v>217.51212604623001</v>
      </c>
      <c r="W523" s="432"/>
      <c r="X523" s="475"/>
      <c r="Y523" s="475"/>
      <c r="Z523" s="510" t="s">
        <v>6208</v>
      </c>
      <c r="AA523" s="506">
        <v>0.4</v>
      </c>
      <c r="AB523" s="512">
        <v>400</v>
      </c>
      <c r="AC523" s="512">
        <f>AA523*AB523</f>
        <v>160</v>
      </c>
    </row>
    <row r="524" spans="1:29" s="385" customFormat="1" ht="15" customHeight="1">
      <c r="A524" s="423" t="s">
        <v>260</v>
      </c>
      <c r="B524" s="423" t="s">
        <v>5428</v>
      </c>
      <c r="C524" s="423" t="s">
        <v>6209</v>
      </c>
      <c r="D524" s="422" t="s">
        <v>71</v>
      </c>
      <c r="E524" s="422" t="s">
        <v>6210</v>
      </c>
      <c r="F524" s="422" t="s">
        <v>6211</v>
      </c>
      <c r="G524" s="389" t="s">
        <v>165</v>
      </c>
      <c r="H524" s="389" t="s">
        <v>6212</v>
      </c>
      <c r="I524" s="369" t="e">
        <f>VLOOKUP(H524,'合同高级查询数据-10月新返回合同'!A:A,1,0)</f>
        <v>#N/A</v>
      </c>
      <c r="J524" s="422" t="s">
        <v>3724</v>
      </c>
      <c r="K524" s="424" t="s">
        <v>6213</v>
      </c>
      <c r="L524" s="403" t="s">
        <v>6211</v>
      </c>
      <c r="M524" s="425"/>
      <c r="N524" s="425">
        <v>43398</v>
      </c>
      <c r="O524" s="510" t="s">
        <v>3847</v>
      </c>
      <c r="P524" s="460">
        <v>9600</v>
      </c>
      <c r="Q524" s="447">
        <v>8.6999999999999993</v>
      </c>
      <c r="R524" s="509">
        <f t="shared" si="35"/>
        <v>83520</v>
      </c>
      <c r="S524" s="378">
        <v>202310</v>
      </c>
      <c r="T524" s="530" t="s">
        <v>6214</v>
      </c>
      <c r="U524" s="448"/>
      <c r="V524" s="503">
        <v>8.7033100129999994</v>
      </c>
      <c r="W524" s="510"/>
      <c r="X524" s="425">
        <v>44805</v>
      </c>
      <c r="Y524" s="510"/>
      <c r="Z524" s="511" t="s">
        <v>6215</v>
      </c>
      <c r="AA524" s="506">
        <v>0.4</v>
      </c>
      <c r="AB524" s="512">
        <v>20</v>
      </c>
      <c r="AC524" s="512">
        <f>AA524*AB524</f>
        <v>8</v>
      </c>
    </row>
    <row r="525" spans="1:29" s="385" customFormat="1" ht="15" customHeight="1">
      <c r="A525" s="423" t="s">
        <v>260</v>
      </c>
      <c r="B525" s="423" t="s">
        <v>5428</v>
      </c>
      <c r="C525" s="423" t="s">
        <v>6209</v>
      </c>
      <c r="D525" s="422" t="s">
        <v>71</v>
      </c>
      <c r="E525" s="422" t="s">
        <v>6210</v>
      </c>
      <c r="F525" s="422" t="s">
        <v>6211</v>
      </c>
      <c r="G525" s="389" t="s">
        <v>165</v>
      </c>
      <c r="H525" s="389" t="s">
        <v>6212</v>
      </c>
      <c r="I525" s="369" t="e">
        <f>VLOOKUP(H525,'合同高级查询数据-10月新返回合同'!A:A,1,0)</f>
        <v>#N/A</v>
      </c>
      <c r="J525" s="422" t="s">
        <v>3724</v>
      </c>
      <c r="K525" s="424" t="s">
        <v>6213</v>
      </c>
      <c r="L525" s="403" t="s">
        <v>6216</v>
      </c>
      <c r="M525" s="425"/>
      <c r="N525" s="425" t="s">
        <v>6217</v>
      </c>
      <c r="O525" s="510" t="s">
        <v>5395</v>
      </c>
      <c r="P525" s="460">
        <v>9833</v>
      </c>
      <c r="Q525" s="447">
        <v>0</v>
      </c>
      <c r="R525" s="509">
        <f t="shared" si="35"/>
        <v>0</v>
      </c>
      <c r="S525" s="378">
        <v>202310</v>
      </c>
      <c r="T525" s="530" t="s">
        <v>6218</v>
      </c>
      <c r="U525" s="448"/>
      <c r="V525" s="503">
        <v>0</v>
      </c>
      <c r="W525" s="510"/>
      <c r="X525" s="425">
        <v>44805</v>
      </c>
      <c r="Y525" s="510"/>
      <c r="Z525" s="511" t="s">
        <v>6219</v>
      </c>
      <c r="AA525" s="506">
        <v>0.4</v>
      </c>
      <c r="AB525" s="512">
        <v>0</v>
      </c>
      <c r="AC525" s="512">
        <f>AA525*AB525</f>
        <v>0</v>
      </c>
    </row>
    <row r="526" spans="1:29" s="577" customFormat="1" ht="15" customHeight="1">
      <c r="A526" s="594" t="s">
        <v>258</v>
      </c>
      <c r="B526" s="594" t="s">
        <v>5428</v>
      </c>
      <c r="C526" s="594" t="s">
        <v>6220</v>
      </c>
      <c r="D526" s="593" t="s">
        <v>71</v>
      </c>
      <c r="E526" s="593" t="s">
        <v>6221</v>
      </c>
      <c r="F526" s="593" t="s">
        <v>6222</v>
      </c>
      <c r="G526" s="564" t="s">
        <v>165</v>
      </c>
      <c r="H526" s="674" t="s">
        <v>6223</v>
      </c>
      <c r="I526" s="565" t="e">
        <f>VLOOKUP(H526,'合同高级查询数据-10月新返回合同'!A:A,1,0)</f>
        <v>#N/A</v>
      </c>
      <c r="J526" s="593" t="s">
        <v>3724</v>
      </c>
      <c r="K526" s="595" t="s">
        <v>6224</v>
      </c>
      <c r="L526" s="596" t="s">
        <v>6225</v>
      </c>
      <c r="M526" s="597"/>
      <c r="N526" s="597" t="s">
        <v>6226</v>
      </c>
      <c r="O526" s="688" t="s">
        <v>6227</v>
      </c>
      <c r="P526" s="630">
        <v>9000</v>
      </c>
      <c r="Q526" s="639">
        <v>40.799999999999997</v>
      </c>
      <c r="R526" s="678">
        <f t="shared" si="35"/>
        <v>367200</v>
      </c>
      <c r="S526" s="570">
        <v>202310</v>
      </c>
      <c r="T526" s="706" t="s">
        <v>6228</v>
      </c>
      <c r="U526" s="713"/>
      <c r="V526" s="636">
        <v>39.959617385000001</v>
      </c>
      <c r="W526" s="688">
        <v>41.5</v>
      </c>
      <c r="X526" s="597">
        <v>44256</v>
      </c>
      <c r="Y526" s="597">
        <v>45350</v>
      </c>
      <c r="Z526" s="691" t="s">
        <v>6229</v>
      </c>
      <c r="AA526" s="683">
        <v>0.3</v>
      </c>
      <c r="AB526" s="692">
        <v>120</v>
      </c>
      <c r="AC526" s="692">
        <f>AA526*AB526</f>
        <v>36</v>
      </c>
    </row>
    <row r="527" spans="1:29" s="385" customFormat="1" ht="15" customHeight="1">
      <c r="A527" s="423" t="s">
        <v>258</v>
      </c>
      <c r="B527" s="423" t="s">
        <v>5428</v>
      </c>
      <c r="C527" s="423" t="s">
        <v>6220</v>
      </c>
      <c r="D527" s="422" t="s">
        <v>71</v>
      </c>
      <c r="E527" s="422" t="s">
        <v>6221</v>
      </c>
      <c r="F527" s="422" t="s">
        <v>6222</v>
      </c>
      <c r="G527" s="389" t="s">
        <v>165</v>
      </c>
      <c r="H527" s="499" t="s">
        <v>6230</v>
      </c>
      <c r="I527" s="369" t="e">
        <f>VLOOKUP(H527,'合同高级查询数据-10月新返回合同'!A:A,1,0)</f>
        <v>#N/A</v>
      </c>
      <c r="J527" s="422" t="s">
        <v>3724</v>
      </c>
      <c r="K527" s="424" t="s">
        <v>6231</v>
      </c>
      <c r="L527" s="403" t="s">
        <v>6232</v>
      </c>
      <c r="M527" s="425"/>
      <c r="N527" s="425">
        <v>44378</v>
      </c>
      <c r="O527" s="510" t="s">
        <v>4796</v>
      </c>
      <c r="P527" s="460">
        <v>9000</v>
      </c>
      <c r="Q527" s="447">
        <v>0</v>
      </c>
      <c r="R527" s="509">
        <f t="shared" si="35"/>
        <v>0</v>
      </c>
      <c r="S527" s="378">
        <v>202310</v>
      </c>
      <c r="T527" s="530" t="s">
        <v>6233</v>
      </c>
      <c r="U527" s="448"/>
      <c r="V527" s="503">
        <v>0</v>
      </c>
      <c r="W527" s="510"/>
      <c r="X527" s="425">
        <v>44378</v>
      </c>
      <c r="Y527" s="510"/>
      <c r="Z527" s="511" t="s">
        <v>6234</v>
      </c>
      <c r="AA527" s="506">
        <v>0</v>
      </c>
      <c r="AB527" s="512">
        <v>40</v>
      </c>
      <c r="AC527" s="512">
        <f>AA527*AB527</f>
        <v>0</v>
      </c>
    </row>
    <row r="528" spans="1:29" s="577" customFormat="1" ht="15" customHeight="1">
      <c r="A528" s="594" t="s">
        <v>258</v>
      </c>
      <c r="B528" s="594" t="s">
        <v>5428</v>
      </c>
      <c r="C528" s="594" t="s">
        <v>6220</v>
      </c>
      <c r="D528" s="593" t="s">
        <v>71</v>
      </c>
      <c r="E528" s="593" t="s">
        <v>6221</v>
      </c>
      <c r="F528" s="593" t="s">
        <v>6222</v>
      </c>
      <c r="G528" s="564" t="s">
        <v>165</v>
      </c>
      <c r="H528" s="674" t="s">
        <v>6223</v>
      </c>
      <c r="I528" s="565" t="e">
        <f>VLOOKUP(H528,'合同高级查询数据-10月新返回合同'!A:A,1,0)</f>
        <v>#N/A</v>
      </c>
      <c r="J528" s="593" t="s">
        <v>3724</v>
      </c>
      <c r="K528" s="595" t="s">
        <v>6235</v>
      </c>
      <c r="L528" s="596" t="s">
        <v>6236</v>
      </c>
      <c r="M528" s="597"/>
      <c r="N528" s="597">
        <v>43003</v>
      </c>
      <c r="O528" s="688" t="s">
        <v>4796</v>
      </c>
      <c r="P528" s="630">
        <v>9000</v>
      </c>
      <c r="Q528" s="639">
        <v>0.2</v>
      </c>
      <c r="R528" s="678">
        <f t="shared" si="35"/>
        <v>1800</v>
      </c>
      <c r="S528" s="570">
        <v>202309</v>
      </c>
      <c r="T528" s="706" t="s">
        <v>6237</v>
      </c>
      <c r="U528" s="713"/>
      <c r="V528" s="636"/>
      <c r="W528" s="688"/>
      <c r="X528" s="597">
        <v>44256</v>
      </c>
      <c r="Y528" s="597">
        <v>45350</v>
      </c>
      <c r="Z528" s="691"/>
      <c r="AA528" s="683"/>
      <c r="AB528" s="692"/>
      <c r="AC528" s="692"/>
    </row>
    <row r="529" spans="1:29" s="577" customFormat="1" ht="15" customHeight="1">
      <c r="A529" s="594" t="s">
        <v>258</v>
      </c>
      <c r="B529" s="594" t="s">
        <v>5428</v>
      </c>
      <c r="C529" s="594" t="s">
        <v>6220</v>
      </c>
      <c r="D529" s="593" t="s">
        <v>71</v>
      </c>
      <c r="E529" s="593" t="s">
        <v>6221</v>
      </c>
      <c r="F529" s="593" t="s">
        <v>6222</v>
      </c>
      <c r="G529" s="564" t="s">
        <v>165</v>
      </c>
      <c r="H529" s="674" t="s">
        <v>6223</v>
      </c>
      <c r="I529" s="565" t="e">
        <f>VLOOKUP(H529,'合同高级查询数据-10月新返回合同'!A:A,1,0)</f>
        <v>#N/A</v>
      </c>
      <c r="J529" s="593" t="s">
        <v>3724</v>
      </c>
      <c r="K529" s="595" t="s">
        <v>6235</v>
      </c>
      <c r="L529" s="596" t="s">
        <v>6236</v>
      </c>
      <c r="M529" s="597"/>
      <c r="N529" s="597">
        <v>43003</v>
      </c>
      <c r="O529" s="688" t="s">
        <v>4796</v>
      </c>
      <c r="P529" s="630">
        <v>9000</v>
      </c>
      <c r="Q529" s="639">
        <v>16.899999999999999</v>
      </c>
      <c r="R529" s="678">
        <f t="shared" si="35"/>
        <v>152100</v>
      </c>
      <c r="S529" s="570">
        <v>202310</v>
      </c>
      <c r="T529" s="706" t="s">
        <v>6238</v>
      </c>
      <c r="U529" s="713"/>
      <c r="V529" s="636">
        <v>16.484203451999999</v>
      </c>
      <c r="W529" s="688">
        <v>17.2</v>
      </c>
      <c r="X529" s="597">
        <v>44256</v>
      </c>
      <c r="Y529" s="597">
        <v>45350</v>
      </c>
      <c r="Z529" s="691" t="s">
        <v>6239</v>
      </c>
      <c r="AA529" s="683">
        <v>0.3</v>
      </c>
      <c r="AB529" s="692">
        <v>40</v>
      </c>
      <c r="AC529" s="692">
        <f>AA529*AB529</f>
        <v>12</v>
      </c>
    </row>
    <row r="530" spans="1:29" s="577" customFormat="1" ht="15" customHeight="1">
      <c r="A530" s="594" t="s">
        <v>258</v>
      </c>
      <c r="B530" s="594" t="s">
        <v>5428</v>
      </c>
      <c r="C530" s="594" t="s">
        <v>6220</v>
      </c>
      <c r="D530" s="593" t="s">
        <v>71</v>
      </c>
      <c r="E530" s="593" t="s">
        <v>6221</v>
      </c>
      <c r="F530" s="593" t="s">
        <v>6222</v>
      </c>
      <c r="G530" s="564" t="s">
        <v>165</v>
      </c>
      <c r="H530" s="674" t="s">
        <v>6223</v>
      </c>
      <c r="I530" s="565" t="e">
        <f>VLOOKUP(H530,'合同高级查询数据-10月新返回合同'!A:A,1,0)</f>
        <v>#N/A</v>
      </c>
      <c r="J530" s="593" t="s">
        <v>3724</v>
      </c>
      <c r="K530" s="595" t="s">
        <v>6240</v>
      </c>
      <c r="L530" s="596" t="s">
        <v>6222</v>
      </c>
      <c r="M530" s="597"/>
      <c r="N530" s="597">
        <v>43047</v>
      </c>
      <c r="O530" s="688">
        <v>0</v>
      </c>
      <c r="P530" s="630">
        <v>9000</v>
      </c>
      <c r="Q530" s="639">
        <v>0</v>
      </c>
      <c r="R530" s="678">
        <f t="shared" si="35"/>
        <v>0</v>
      </c>
      <c r="S530" s="570">
        <v>202310</v>
      </c>
      <c r="T530" s="706" t="s">
        <v>6241</v>
      </c>
      <c r="U530" s="713"/>
      <c r="V530" s="636">
        <v>0</v>
      </c>
      <c r="W530" s="688"/>
      <c r="X530" s="597">
        <v>44256</v>
      </c>
      <c r="Y530" s="597">
        <v>45350</v>
      </c>
      <c r="Z530" s="691" t="s">
        <v>6242</v>
      </c>
      <c r="AA530" s="683">
        <v>0.3</v>
      </c>
      <c r="AB530" s="692">
        <v>0</v>
      </c>
      <c r="AC530" s="692">
        <f>AA530*AB530</f>
        <v>0</v>
      </c>
    </row>
    <row r="531" spans="1:29" s="385" customFormat="1" ht="15" customHeight="1">
      <c r="A531" s="423" t="s">
        <v>258</v>
      </c>
      <c r="B531" s="423" t="s">
        <v>5428</v>
      </c>
      <c r="C531" s="423" t="s">
        <v>6220</v>
      </c>
      <c r="D531" s="422" t="s">
        <v>71</v>
      </c>
      <c r="E531" s="422" t="s">
        <v>6221</v>
      </c>
      <c r="F531" s="422" t="s">
        <v>6222</v>
      </c>
      <c r="G531" s="389" t="s">
        <v>165</v>
      </c>
      <c r="H531" s="499" t="s">
        <v>6243</v>
      </c>
      <c r="I531" s="369" t="e">
        <f>VLOOKUP(H531,'合同高级查询数据-10月新返回合同'!A:A,1,0)</f>
        <v>#N/A</v>
      </c>
      <c r="J531" s="422" t="s">
        <v>3724</v>
      </c>
      <c r="K531" s="424" t="s">
        <v>6244</v>
      </c>
      <c r="L531" s="403" t="s">
        <v>6245</v>
      </c>
      <c r="M531" s="425"/>
      <c r="N531" s="425">
        <v>45078</v>
      </c>
      <c r="O531" s="510" t="s">
        <v>4796</v>
      </c>
      <c r="P531" s="460">
        <v>0</v>
      </c>
      <c r="Q531" s="447">
        <v>0</v>
      </c>
      <c r="R531" s="509">
        <f t="shared" si="35"/>
        <v>0</v>
      </c>
      <c r="S531" s="378">
        <v>202310</v>
      </c>
      <c r="T531" s="530" t="s">
        <v>6246</v>
      </c>
      <c r="U531" s="448"/>
      <c r="V531" s="503">
        <v>0</v>
      </c>
      <c r="W531" s="510"/>
      <c r="X531" s="425"/>
      <c r="Y531" s="425"/>
      <c r="Z531" s="511" t="s">
        <v>6247</v>
      </c>
      <c r="AA531" s="506">
        <v>0.3</v>
      </c>
      <c r="AB531" s="512">
        <v>40</v>
      </c>
      <c r="AC531" s="512">
        <f>AA531*AB531</f>
        <v>12</v>
      </c>
    </row>
    <row r="532" spans="1:29" s="577" customFormat="1" ht="15" customHeight="1">
      <c r="A532" s="594" t="s">
        <v>258</v>
      </c>
      <c r="B532" s="594" t="s">
        <v>5428</v>
      </c>
      <c r="C532" s="594" t="s">
        <v>6209</v>
      </c>
      <c r="D532" s="593" t="s">
        <v>71</v>
      </c>
      <c r="E532" s="593" t="s">
        <v>6248</v>
      </c>
      <c r="F532" s="593" t="s">
        <v>6249</v>
      </c>
      <c r="G532" s="564" t="s">
        <v>165</v>
      </c>
      <c r="H532" s="674" t="s">
        <v>6250</v>
      </c>
      <c r="I532" s="565" t="e">
        <f>VLOOKUP(H532,'合同高级查询数据-10月新返回合同'!A:A,1,0)</f>
        <v>#N/A</v>
      </c>
      <c r="J532" s="593" t="s">
        <v>3724</v>
      </c>
      <c r="K532" s="595" t="s">
        <v>6213</v>
      </c>
      <c r="L532" s="596" t="s">
        <v>6251</v>
      </c>
      <c r="M532" s="597"/>
      <c r="N532" s="597">
        <v>43444</v>
      </c>
      <c r="O532" s="688" t="s">
        <v>4796</v>
      </c>
      <c r="P532" s="630">
        <v>9500</v>
      </c>
      <c r="Q532" s="639">
        <v>16.2</v>
      </c>
      <c r="R532" s="678">
        <f t="shared" si="35"/>
        <v>153900</v>
      </c>
      <c r="S532" s="570">
        <v>202310</v>
      </c>
      <c r="T532" s="706" t="s">
        <v>6252</v>
      </c>
      <c r="U532" s="713"/>
      <c r="V532" s="636">
        <v>16.180860062000001</v>
      </c>
      <c r="W532" s="688"/>
      <c r="X532" s="597">
        <v>44531</v>
      </c>
      <c r="Y532" s="681">
        <v>45260</v>
      </c>
      <c r="Z532" s="691" t="s">
        <v>6253</v>
      </c>
      <c r="AA532" s="683">
        <v>0.3</v>
      </c>
      <c r="AB532" s="692">
        <v>40</v>
      </c>
      <c r="AC532" s="692">
        <f>AA532*AB532</f>
        <v>12</v>
      </c>
    </row>
    <row r="533" spans="1:29" s="577" customFormat="1" ht="15" customHeight="1">
      <c r="A533" s="594" t="s">
        <v>45</v>
      </c>
      <c r="B533" s="594" t="s">
        <v>5428</v>
      </c>
      <c r="C533" s="594" t="s">
        <v>6220</v>
      </c>
      <c r="D533" s="593" t="s">
        <v>71</v>
      </c>
      <c r="E533" s="593" t="s">
        <v>6254</v>
      </c>
      <c r="F533" s="593" t="s">
        <v>6255</v>
      </c>
      <c r="G533" s="564" t="s">
        <v>165</v>
      </c>
      <c r="H533" s="674" t="s">
        <v>6256</v>
      </c>
      <c r="I533" s="565" t="str">
        <f>VLOOKUP(H533,'合同高级查询数据-10月新返回合同'!A:A,1,0)</f>
        <v>182315IDC00519</v>
      </c>
      <c r="J533" s="674" t="s">
        <v>3724</v>
      </c>
      <c r="K533" s="595" t="s">
        <v>6257</v>
      </c>
      <c r="L533" s="596" t="s">
        <v>6258</v>
      </c>
      <c r="M533" s="597"/>
      <c r="N533" s="597" t="s">
        <v>6259</v>
      </c>
      <c r="O533" s="688" t="s">
        <v>6260</v>
      </c>
      <c r="P533" s="630">
        <v>6740</v>
      </c>
      <c r="Q533" s="639">
        <v>0.28999999999999998</v>
      </c>
      <c r="R533" s="678">
        <f t="shared" si="35"/>
        <v>1954.6</v>
      </c>
      <c r="S533" s="570">
        <v>202309</v>
      </c>
      <c r="T533" s="706" t="s">
        <v>6261</v>
      </c>
      <c r="U533" s="713"/>
      <c r="V533" s="688"/>
      <c r="W533" s="688"/>
      <c r="X533" s="597">
        <v>45108</v>
      </c>
      <c r="Y533" s="597">
        <v>45473</v>
      </c>
      <c r="Z533" s="691"/>
      <c r="AA533" s="683"/>
      <c r="AB533" s="692"/>
      <c r="AC533" s="692"/>
    </row>
    <row r="534" spans="1:29" s="577" customFormat="1" ht="15" customHeight="1">
      <c r="A534" s="594" t="s">
        <v>45</v>
      </c>
      <c r="B534" s="594" t="s">
        <v>5428</v>
      </c>
      <c r="C534" s="594" t="s">
        <v>6220</v>
      </c>
      <c r="D534" s="593" t="s">
        <v>71</v>
      </c>
      <c r="E534" s="593" t="s">
        <v>6254</v>
      </c>
      <c r="F534" s="593" t="s">
        <v>6255</v>
      </c>
      <c r="G534" s="564" t="s">
        <v>165</v>
      </c>
      <c r="H534" s="674" t="s">
        <v>6256</v>
      </c>
      <c r="I534" s="565" t="str">
        <f>VLOOKUP(H534,'合同高级查询数据-10月新返回合同'!A:A,1,0)</f>
        <v>182315IDC00519</v>
      </c>
      <c r="J534" s="593" t="s">
        <v>3724</v>
      </c>
      <c r="K534" s="595" t="s">
        <v>6257</v>
      </c>
      <c r="L534" s="596" t="s">
        <v>6258</v>
      </c>
      <c r="M534" s="597"/>
      <c r="N534" s="597" t="s">
        <v>6259</v>
      </c>
      <c r="O534" s="688" t="s">
        <v>6260</v>
      </c>
      <c r="P534" s="630">
        <v>6740</v>
      </c>
      <c r="Q534" s="639">
        <v>56.08</v>
      </c>
      <c r="R534" s="678">
        <f t="shared" si="35"/>
        <v>377979.2</v>
      </c>
      <c r="S534" s="570">
        <v>202310</v>
      </c>
      <c r="T534" s="706" t="s">
        <v>6262</v>
      </c>
      <c r="U534" s="713"/>
      <c r="V534" s="636">
        <v>56.082416533999996</v>
      </c>
      <c r="W534" s="688"/>
      <c r="X534" s="597">
        <v>45108</v>
      </c>
      <c r="Y534" s="597">
        <v>45473</v>
      </c>
      <c r="Z534" s="691" t="s">
        <v>6263</v>
      </c>
      <c r="AA534" s="683">
        <v>0.4</v>
      </c>
      <c r="AB534" s="692">
        <v>120</v>
      </c>
      <c r="AC534" s="692">
        <f>AA534*AB534</f>
        <v>48</v>
      </c>
    </row>
    <row r="535" spans="1:29" s="385" customFormat="1" ht="15" customHeight="1">
      <c r="A535" s="423" t="s">
        <v>45</v>
      </c>
      <c r="B535" s="423" t="s">
        <v>5428</v>
      </c>
      <c r="C535" s="423" t="s">
        <v>6220</v>
      </c>
      <c r="D535" s="422" t="s">
        <v>71</v>
      </c>
      <c r="E535" s="422" t="s">
        <v>6254</v>
      </c>
      <c r="F535" s="422" t="s">
        <v>6255</v>
      </c>
      <c r="G535" s="389" t="s">
        <v>165</v>
      </c>
      <c r="H535" s="499" t="s">
        <v>6264</v>
      </c>
      <c r="I535" s="369" t="e">
        <f>VLOOKUP(H535,'合同高级查询数据-10月新返回合同'!A:A,1,0)</f>
        <v>#N/A</v>
      </c>
      <c r="J535" s="422" t="s">
        <v>3724</v>
      </c>
      <c r="K535" s="424" t="s">
        <v>6265</v>
      </c>
      <c r="L535" s="403" t="s">
        <v>6266</v>
      </c>
      <c r="M535" s="425" t="s">
        <v>6267</v>
      </c>
      <c r="N535" s="425">
        <v>45170</v>
      </c>
      <c r="O535" s="531">
        <v>400</v>
      </c>
      <c r="P535" s="460">
        <v>6740</v>
      </c>
      <c r="Q535" s="447">
        <v>318.98</v>
      </c>
      <c r="R535" s="509">
        <f t="shared" si="35"/>
        <v>2149925.2000000002</v>
      </c>
      <c r="S535" s="378">
        <v>202310</v>
      </c>
      <c r="T535" s="530" t="s">
        <v>6268</v>
      </c>
      <c r="U535" s="448"/>
      <c r="V535" s="503">
        <v>318.98284027</v>
      </c>
      <c r="W535" s="510"/>
      <c r="X535" s="425"/>
      <c r="Y535" s="425"/>
      <c r="Z535" s="511" t="s">
        <v>6269</v>
      </c>
      <c r="AA535" s="506">
        <v>0.4</v>
      </c>
      <c r="AB535" s="512">
        <v>400</v>
      </c>
      <c r="AC535" s="512">
        <f>AA535*AB535</f>
        <v>160</v>
      </c>
    </row>
    <row r="536" spans="1:29" s="577" customFormat="1" ht="15" customHeight="1">
      <c r="A536" s="594" t="s">
        <v>45</v>
      </c>
      <c r="B536" s="594" t="s">
        <v>5428</v>
      </c>
      <c r="C536" s="594" t="s">
        <v>6209</v>
      </c>
      <c r="D536" s="593" t="s">
        <v>71</v>
      </c>
      <c r="E536" s="593" t="s">
        <v>6270</v>
      </c>
      <c r="F536" s="593" t="s">
        <v>6271</v>
      </c>
      <c r="G536" s="564" t="s">
        <v>165</v>
      </c>
      <c r="H536" s="674" t="s">
        <v>6272</v>
      </c>
      <c r="I536" s="565" t="str">
        <f>VLOOKUP(H536,'合同高级查询数据-10月新返回合同'!A:A,1,0)</f>
        <v>182315IDC00515</v>
      </c>
      <c r="J536" s="593" t="s">
        <v>3724</v>
      </c>
      <c r="K536" s="595" t="s">
        <v>6273</v>
      </c>
      <c r="L536" s="596" t="s">
        <v>6274</v>
      </c>
      <c r="M536" s="597"/>
      <c r="N536" s="597" t="s">
        <v>6275</v>
      </c>
      <c r="O536" s="688" t="s">
        <v>6276</v>
      </c>
      <c r="P536" s="630">
        <v>6740</v>
      </c>
      <c r="Q536" s="639">
        <v>0.37</v>
      </c>
      <c r="R536" s="678">
        <f t="shared" si="35"/>
        <v>2493.8000000000002</v>
      </c>
      <c r="S536" s="570">
        <v>202309</v>
      </c>
      <c r="T536" s="706" t="s">
        <v>6277</v>
      </c>
      <c r="U536" s="713"/>
      <c r="V536" s="688"/>
      <c r="W536" s="688"/>
      <c r="X536" s="597">
        <v>45108</v>
      </c>
      <c r="Y536" s="597">
        <v>45473</v>
      </c>
      <c r="Z536" s="691"/>
      <c r="AA536" s="683"/>
      <c r="AB536" s="692"/>
      <c r="AC536" s="692"/>
    </row>
    <row r="537" spans="1:29" s="577" customFormat="1" ht="15" customHeight="1">
      <c r="A537" s="594" t="s">
        <v>45</v>
      </c>
      <c r="B537" s="594" t="s">
        <v>5428</v>
      </c>
      <c r="C537" s="594" t="s">
        <v>6209</v>
      </c>
      <c r="D537" s="593" t="s">
        <v>71</v>
      </c>
      <c r="E537" s="593" t="s">
        <v>6270</v>
      </c>
      <c r="F537" s="593" t="s">
        <v>6271</v>
      </c>
      <c r="G537" s="564" t="s">
        <v>165</v>
      </c>
      <c r="H537" s="674" t="s">
        <v>6272</v>
      </c>
      <c r="I537" s="565" t="str">
        <f>VLOOKUP(H537,'合同高级查询数据-10月新返回合同'!A:A,1,0)</f>
        <v>182315IDC00515</v>
      </c>
      <c r="J537" s="593" t="s">
        <v>3724</v>
      </c>
      <c r="K537" s="595" t="s">
        <v>6273</v>
      </c>
      <c r="L537" s="596" t="s">
        <v>6274</v>
      </c>
      <c r="M537" s="597"/>
      <c r="N537" s="597" t="s">
        <v>6275</v>
      </c>
      <c r="O537" s="688" t="s">
        <v>6276</v>
      </c>
      <c r="P537" s="630">
        <v>6740</v>
      </c>
      <c r="Q537" s="639">
        <v>36.549999999999997</v>
      </c>
      <c r="R537" s="678">
        <f t="shared" si="35"/>
        <v>246347</v>
      </c>
      <c r="S537" s="570">
        <v>202310</v>
      </c>
      <c r="T537" s="706" t="s">
        <v>6278</v>
      </c>
      <c r="U537" s="713"/>
      <c r="V537" s="636">
        <v>36.553787231000001</v>
      </c>
      <c r="W537" s="688"/>
      <c r="X537" s="597">
        <v>45108</v>
      </c>
      <c r="Y537" s="597">
        <v>45473</v>
      </c>
      <c r="Z537" s="691" t="s">
        <v>6279</v>
      </c>
      <c r="AA537" s="683">
        <v>0.4</v>
      </c>
      <c r="AB537" s="692">
        <v>80</v>
      </c>
      <c r="AC537" s="692">
        <f t="shared" ref="AC537:AC542" si="36">AA537*AB537</f>
        <v>32</v>
      </c>
    </row>
    <row r="538" spans="1:29" s="385" customFormat="1" ht="15" customHeight="1">
      <c r="A538" s="423" t="s">
        <v>260</v>
      </c>
      <c r="B538" s="423" t="s">
        <v>5428</v>
      </c>
      <c r="C538" s="422" t="s">
        <v>6280</v>
      </c>
      <c r="D538" s="422" t="s">
        <v>71</v>
      </c>
      <c r="E538" s="422" t="s">
        <v>6281</v>
      </c>
      <c r="F538" s="389" t="s">
        <v>6282</v>
      </c>
      <c r="G538" s="499" t="s">
        <v>165</v>
      </c>
      <c r="H538" s="422" t="s">
        <v>6283</v>
      </c>
      <c r="I538" s="369" t="e">
        <f>VLOOKUP(H538,'合同高级查询数据-10月新返回合同'!A:A,1,0)</f>
        <v>#N/A</v>
      </c>
      <c r="J538" s="424" t="s">
        <v>3724</v>
      </c>
      <c r="K538" s="403" t="s">
        <v>6282</v>
      </c>
      <c r="L538" s="425" t="s">
        <v>6284</v>
      </c>
      <c r="M538" s="425"/>
      <c r="N538" s="425" t="s">
        <v>6285</v>
      </c>
      <c r="O538" s="501" t="s">
        <v>4982</v>
      </c>
      <c r="P538" s="447">
        <v>5000</v>
      </c>
      <c r="Q538" s="509"/>
      <c r="R538" s="447">
        <f t="shared" si="35"/>
        <v>0</v>
      </c>
      <c r="S538" s="378">
        <v>202310</v>
      </c>
      <c r="T538" s="530" t="s">
        <v>6286</v>
      </c>
      <c r="U538" s="510"/>
      <c r="V538" s="503">
        <v>0</v>
      </c>
      <c r="W538" s="510"/>
      <c r="X538" s="425"/>
      <c r="Y538" s="425"/>
      <c r="Z538" s="511" t="s">
        <v>6287</v>
      </c>
      <c r="AA538" s="506">
        <v>0.3</v>
      </c>
      <c r="AB538" s="512">
        <v>0</v>
      </c>
      <c r="AC538" s="512">
        <f t="shared" si="36"/>
        <v>0</v>
      </c>
    </row>
    <row r="539" spans="1:29" s="577" customFormat="1" ht="15" customHeight="1">
      <c r="A539" s="594" t="s">
        <v>260</v>
      </c>
      <c r="B539" s="594" t="s">
        <v>5428</v>
      </c>
      <c r="C539" s="593" t="s">
        <v>6280</v>
      </c>
      <c r="D539" s="593" t="s">
        <v>71</v>
      </c>
      <c r="E539" s="593" t="s">
        <v>6288</v>
      </c>
      <c r="F539" s="564" t="s">
        <v>6289</v>
      </c>
      <c r="G539" s="674" t="s">
        <v>165</v>
      </c>
      <c r="H539" s="593" t="s">
        <v>6290</v>
      </c>
      <c r="I539" s="565" t="e">
        <f>VLOOKUP(H539,'合同高级查询数据-10月新返回合同'!A:A,1,0)</f>
        <v>#N/A</v>
      </c>
      <c r="J539" s="595" t="s">
        <v>3724</v>
      </c>
      <c r="K539" s="596" t="s">
        <v>6289</v>
      </c>
      <c r="L539" s="597" t="s">
        <v>6289</v>
      </c>
      <c r="M539" s="597"/>
      <c r="N539" s="603" t="s">
        <v>6291</v>
      </c>
      <c r="O539" s="677" t="s">
        <v>6292</v>
      </c>
      <c r="P539" s="639">
        <v>9500</v>
      </c>
      <c r="Q539" s="678">
        <v>0</v>
      </c>
      <c r="R539" s="639">
        <f t="shared" si="35"/>
        <v>0</v>
      </c>
      <c r="S539" s="570">
        <v>202310</v>
      </c>
      <c r="T539" s="706" t="s">
        <v>6293</v>
      </c>
      <c r="U539" s="688"/>
      <c r="V539" s="636">
        <v>0</v>
      </c>
      <c r="W539" s="688"/>
      <c r="X539" s="597">
        <v>44652</v>
      </c>
      <c r="Y539" s="597">
        <v>45382</v>
      </c>
      <c r="Z539" s="691" t="s">
        <v>6294</v>
      </c>
      <c r="AA539" s="683">
        <v>0.3</v>
      </c>
      <c r="AB539" s="692">
        <v>0</v>
      </c>
      <c r="AC539" s="692">
        <f t="shared" si="36"/>
        <v>0</v>
      </c>
    </row>
    <row r="540" spans="1:29" s="385" customFormat="1" ht="15" customHeight="1">
      <c r="A540" s="423" t="s">
        <v>260</v>
      </c>
      <c r="B540" s="423" t="s">
        <v>5428</v>
      </c>
      <c r="C540" s="422" t="s">
        <v>6280</v>
      </c>
      <c r="D540" s="422" t="s">
        <v>71</v>
      </c>
      <c r="E540" s="422" t="s">
        <v>6288</v>
      </c>
      <c r="F540" s="389" t="s">
        <v>6289</v>
      </c>
      <c r="G540" s="499" t="s">
        <v>165</v>
      </c>
      <c r="H540" s="422" t="s">
        <v>6295</v>
      </c>
      <c r="I540" s="369" t="e">
        <f>VLOOKUP(H540,'合同高级查询数据-10月新返回合同'!A:A,1,0)</f>
        <v>#N/A</v>
      </c>
      <c r="J540" s="424" t="s">
        <v>3724</v>
      </c>
      <c r="K540" s="403" t="s">
        <v>6289</v>
      </c>
      <c r="L540" s="425" t="s">
        <v>6296</v>
      </c>
      <c r="M540" s="425"/>
      <c r="N540" s="425" t="s">
        <v>6297</v>
      </c>
      <c r="O540" s="501" t="s">
        <v>4245</v>
      </c>
      <c r="P540" s="447">
        <v>9500</v>
      </c>
      <c r="Q540" s="509">
        <v>0</v>
      </c>
      <c r="R540" s="447">
        <f t="shared" si="35"/>
        <v>0</v>
      </c>
      <c r="S540" s="378">
        <v>202310</v>
      </c>
      <c r="T540" s="530" t="s">
        <v>6298</v>
      </c>
      <c r="U540" s="510"/>
      <c r="V540" s="503">
        <v>0</v>
      </c>
      <c r="W540" s="510"/>
      <c r="X540" s="425"/>
      <c r="Y540" s="425"/>
      <c r="Z540" s="511" t="s">
        <v>6299</v>
      </c>
      <c r="AA540" s="506">
        <v>0</v>
      </c>
      <c r="AB540" s="512">
        <v>0</v>
      </c>
      <c r="AC540" s="512">
        <f t="shared" si="36"/>
        <v>0</v>
      </c>
    </row>
    <row r="541" spans="1:29" s="385" customFormat="1" ht="15" customHeight="1">
      <c r="A541" s="423" t="s">
        <v>260</v>
      </c>
      <c r="B541" s="423" t="s">
        <v>5428</v>
      </c>
      <c r="C541" s="422" t="s">
        <v>6280</v>
      </c>
      <c r="D541" s="422" t="s">
        <v>71</v>
      </c>
      <c r="E541" s="422" t="s">
        <v>6300</v>
      </c>
      <c r="F541" s="389" t="s">
        <v>6301</v>
      </c>
      <c r="G541" s="499" t="s">
        <v>165</v>
      </c>
      <c r="H541" s="422" t="s">
        <v>6302</v>
      </c>
      <c r="I541" s="369" t="e">
        <f>VLOOKUP(H541,'合同高级查询数据-10月新返回合同'!A:A,1,0)</f>
        <v>#N/A</v>
      </c>
      <c r="J541" s="424" t="s">
        <v>3724</v>
      </c>
      <c r="K541" s="403" t="s">
        <v>6303</v>
      </c>
      <c r="L541" s="425" t="s">
        <v>6301</v>
      </c>
      <c r="M541" s="425"/>
      <c r="N541" s="373" t="s">
        <v>6304</v>
      </c>
      <c r="O541" s="501" t="s">
        <v>4982</v>
      </c>
      <c r="P541" s="447">
        <v>5000</v>
      </c>
      <c r="Q541" s="509"/>
      <c r="R541" s="447">
        <f t="shared" si="35"/>
        <v>0</v>
      </c>
      <c r="S541" s="378">
        <v>202310</v>
      </c>
      <c r="T541" s="530" t="s">
        <v>6305</v>
      </c>
      <c r="U541" s="510"/>
      <c r="V541" s="503">
        <v>0</v>
      </c>
      <c r="W541" s="510"/>
      <c r="X541" s="425">
        <v>44927</v>
      </c>
      <c r="Y541" s="425"/>
      <c r="Z541" s="511" t="s">
        <v>6306</v>
      </c>
      <c r="AA541" s="532">
        <v>0.3</v>
      </c>
      <c r="AB541" s="512">
        <v>0</v>
      </c>
      <c r="AC541" s="512">
        <f t="shared" si="36"/>
        <v>0</v>
      </c>
    </row>
    <row r="542" spans="1:29" s="385" customFormat="1" ht="15" customHeight="1">
      <c r="A542" s="423" t="s">
        <v>260</v>
      </c>
      <c r="B542" s="423" t="s">
        <v>5428</v>
      </c>
      <c r="C542" s="422" t="s">
        <v>6280</v>
      </c>
      <c r="D542" s="422" t="s">
        <v>71</v>
      </c>
      <c r="E542" s="422" t="s">
        <v>6300</v>
      </c>
      <c r="F542" s="389" t="s">
        <v>6301</v>
      </c>
      <c r="G542" s="499" t="s">
        <v>165</v>
      </c>
      <c r="H542" s="422" t="s">
        <v>6302</v>
      </c>
      <c r="I542" s="369" t="e">
        <f>VLOOKUP(H542,'合同高级查询数据-10月新返回合同'!A:A,1,0)</f>
        <v>#N/A</v>
      </c>
      <c r="J542" s="424" t="s">
        <v>3724</v>
      </c>
      <c r="K542" s="403" t="s">
        <v>6303</v>
      </c>
      <c r="L542" s="425" t="s">
        <v>6307</v>
      </c>
      <c r="M542" s="425"/>
      <c r="N542" s="373" t="s">
        <v>6308</v>
      </c>
      <c r="O542" s="501" t="s">
        <v>4982</v>
      </c>
      <c r="P542" s="447">
        <v>5000</v>
      </c>
      <c r="Q542" s="509"/>
      <c r="R542" s="447">
        <f t="shared" si="35"/>
        <v>0</v>
      </c>
      <c r="S542" s="378">
        <v>202310</v>
      </c>
      <c r="T542" s="530" t="s">
        <v>6309</v>
      </c>
      <c r="U542" s="510"/>
      <c r="V542" s="503">
        <v>0</v>
      </c>
      <c r="W542" s="510"/>
      <c r="X542" s="425">
        <v>44927</v>
      </c>
      <c r="Y542" s="425"/>
      <c r="Z542" s="511" t="s">
        <v>6310</v>
      </c>
      <c r="AA542" s="532">
        <v>0.3</v>
      </c>
      <c r="AB542" s="512">
        <v>0</v>
      </c>
      <c r="AC542" s="512">
        <f t="shared" si="36"/>
        <v>0</v>
      </c>
    </row>
    <row r="543" spans="1:29" s="385" customFormat="1" ht="15" customHeight="1">
      <c r="A543" s="423" t="s">
        <v>260</v>
      </c>
      <c r="B543" s="423" t="s">
        <v>5428</v>
      </c>
      <c r="C543" s="422" t="s">
        <v>6311</v>
      </c>
      <c r="D543" s="423" t="s">
        <v>5134</v>
      </c>
      <c r="E543" s="422" t="s">
        <v>6312</v>
      </c>
      <c r="F543" s="389" t="s">
        <v>6313</v>
      </c>
      <c r="G543" s="499" t="s">
        <v>165</v>
      </c>
      <c r="H543" s="422" t="s">
        <v>6314</v>
      </c>
      <c r="I543" s="369" t="e">
        <f>VLOOKUP(H543,'合同高级查询数据-10月新返回合同'!A:A,1,0)</f>
        <v>#N/A</v>
      </c>
      <c r="J543" s="424" t="s">
        <v>3724</v>
      </c>
      <c r="K543" s="403" t="s">
        <v>6315</v>
      </c>
      <c r="L543" s="425" t="s">
        <v>6313</v>
      </c>
      <c r="M543" s="425" t="s">
        <v>6316</v>
      </c>
      <c r="N543" s="373" t="s">
        <v>6317</v>
      </c>
      <c r="O543" s="501" t="s">
        <v>6318</v>
      </c>
      <c r="P543" s="447">
        <v>9500</v>
      </c>
      <c r="Q543" s="509">
        <v>42</v>
      </c>
      <c r="R543" s="447">
        <f t="shared" si="35"/>
        <v>399000</v>
      </c>
      <c r="S543" s="378">
        <v>202310</v>
      </c>
      <c r="T543" s="530" t="s">
        <v>6319</v>
      </c>
      <c r="U543" s="510"/>
      <c r="V543" s="503">
        <v>41.986118316000002</v>
      </c>
      <c r="W543" s="510"/>
      <c r="X543" s="425"/>
      <c r="Y543" s="425"/>
      <c r="Z543" s="511" t="s">
        <v>6320</v>
      </c>
      <c r="AA543" s="511">
        <v>0.3</v>
      </c>
      <c r="AB543" s="512">
        <v>180</v>
      </c>
      <c r="AC543" s="512">
        <f>(AB543-60)*AA543</f>
        <v>36</v>
      </c>
    </row>
    <row r="544" spans="1:29" s="385" customFormat="1" ht="15" customHeight="1">
      <c r="A544" s="423" t="s">
        <v>260</v>
      </c>
      <c r="B544" s="423" t="s">
        <v>5428</v>
      </c>
      <c r="C544" s="422" t="s">
        <v>6311</v>
      </c>
      <c r="D544" s="423" t="s">
        <v>5134</v>
      </c>
      <c r="E544" s="422" t="s">
        <v>6312</v>
      </c>
      <c r="F544" s="389" t="s">
        <v>6313</v>
      </c>
      <c r="G544" s="499" t="s">
        <v>165</v>
      </c>
      <c r="H544" s="422" t="s">
        <v>6314</v>
      </c>
      <c r="I544" s="369" t="e">
        <f>VLOOKUP(H544,'合同高级查询数据-10月新返回合同'!A:A,1,0)</f>
        <v>#N/A</v>
      </c>
      <c r="J544" s="424" t="s">
        <v>3724</v>
      </c>
      <c r="K544" s="403" t="s">
        <v>6321</v>
      </c>
      <c r="L544" s="425" t="s">
        <v>6322</v>
      </c>
      <c r="M544" s="425"/>
      <c r="N544" s="425" t="s">
        <v>6323</v>
      </c>
      <c r="O544" s="501" t="s">
        <v>5199</v>
      </c>
      <c r="P544" s="447">
        <v>9500</v>
      </c>
      <c r="Q544" s="509">
        <v>0</v>
      </c>
      <c r="R544" s="447">
        <f t="shared" si="35"/>
        <v>0</v>
      </c>
      <c r="S544" s="378">
        <v>202310</v>
      </c>
      <c r="T544" s="530" t="s">
        <v>6324</v>
      </c>
      <c r="U544" s="510"/>
      <c r="V544" s="503">
        <v>0</v>
      </c>
      <c r="W544" s="510"/>
      <c r="X544" s="425"/>
      <c r="Y544" s="425"/>
      <c r="Z544" s="511" t="s">
        <v>6325</v>
      </c>
      <c r="AA544" s="511">
        <v>0.3</v>
      </c>
      <c r="AB544" s="512">
        <v>0</v>
      </c>
      <c r="AC544" s="512">
        <f t="shared" ref="AC544:AC564" si="37">AA544*AB544</f>
        <v>0</v>
      </c>
    </row>
    <row r="545" spans="1:29" s="385" customFormat="1" ht="15" customHeight="1">
      <c r="A545" s="423" t="s">
        <v>260</v>
      </c>
      <c r="B545" s="423" t="s">
        <v>5428</v>
      </c>
      <c r="C545" s="422" t="s">
        <v>6311</v>
      </c>
      <c r="D545" s="423" t="s">
        <v>5134</v>
      </c>
      <c r="E545" s="422" t="s">
        <v>6312</v>
      </c>
      <c r="F545" s="389" t="s">
        <v>6313</v>
      </c>
      <c r="G545" s="499" t="s">
        <v>165</v>
      </c>
      <c r="H545" s="422" t="s">
        <v>6314</v>
      </c>
      <c r="I545" s="369" t="e">
        <f>VLOOKUP(H545,'合同高级查询数据-10月新返回合同'!A:A,1,0)</f>
        <v>#N/A</v>
      </c>
      <c r="J545" s="424" t="s">
        <v>3724</v>
      </c>
      <c r="K545" s="403" t="s">
        <v>6326</v>
      </c>
      <c r="L545" s="425" t="s">
        <v>6327</v>
      </c>
      <c r="M545" s="425"/>
      <c r="N545" s="425" t="s">
        <v>6328</v>
      </c>
      <c r="O545" s="501" t="s">
        <v>6329</v>
      </c>
      <c r="P545" s="447">
        <v>9500</v>
      </c>
      <c r="Q545" s="509">
        <v>0</v>
      </c>
      <c r="R545" s="447">
        <f t="shared" si="35"/>
        <v>0</v>
      </c>
      <c r="S545" s="378">
        <v>202310</v>
      </c>
      <c r="T545" s="530" t="s">
        <v>6330</v>
      </c>
      <c r="U545" s="510"/>
      <c r="V545" s="503">
        <v>0</v>
      </c>
      <c r="W545" s="510"/>
      <c r="X545" s="425"/>
      <c r="Y545" s="425"/>
      <c r="Z545" s="511" t="s">
        <v>6331</v>
      </c>
      <c r="AA545" s="511">
        <v>0.3</v>
      </c>
      <c r="AB545" s="512">
        <v>0</v>
      </c>
      <c r="AC545" s="512">
        <f t="shared" si="37"/>
        <v>0</v>
      </c>
    </row>
    <row r="546" spans="1:29" s="385" customFormat="1" ht="15" customHeight="1">
      <c r="A546" s="423" t="s">
        <v>260</v>
      </c>
      <c r="B546" s="423" t="s">
        <v>5428</v>
      </c>
      <c r="C546" s="422" t="s">
        <v>6311</v>
      </c>
      <c r="D546" s="423" t="s">
        <v>5134</v>
      </c>
      <c r="E546" s="422" t="s">
        <v>6312</v>
      </c>
      <c r="F546" s="389" t="s">
        <v>6313</v>
      </c>
      <c r="G546" s="499" t="s">
        <v>165</v>
      </c>
      <c r="H546" s="422" t="s">
        <v>6314</v>
      </c>
      <c r="I546" s="369" t="e">
        <f>VLOOKUP(H546,'合同高级查询数据-10月新返回合同'!A:A,1,0)</f>
        <v>#N/A</v>
      </c>
      <c r="J546" s="424" t="s">
        <v>4013</v>
      </c>
      <c r="K546" s="403" t="s">
        <v>6311</v>
      </c>
      <c r="L546" s="425" t="s">
        <v>6332</v>
      </c>
      <c r="M546" s="425"/>
      <c r="N546" s="425">
        <v>43753</v>
      </c>
      <c r="O546" s="501" t="s">
        <v>2509</v>
      </c>
      <c r="P546" s="447">
        <v>9500</v>
      </c>
      <c r="Q546" s="509">
        <v>0.3</v>
      </c>
      <c r="R546" s="447">
        <f t="shared" si="35"/>
        <v>2850</v>
      </c>
      <c r="S546" s="378">
        <v>202310</v>
      </c>
      <c r="T546" s="530" t="s">
        <v>6333</v>
      </c>
      <c r="U546" s="510"/>
      <c r="V546" s="503">
        <v>0.230325536</v>
      </c>
      <c r="W546" s="510"/>
      <c r="X546" s="425"/>
      <c r="Y546" s="425"/>
      <c r="Z546" s="511" t="s">
        <v>6334</v>
      </c>
      <c r="AA546" s="511">
        <v>0.3</v>
      </c>
      <c r="AB546" s="512">
        <v>10</v>
      </c>
      <c r="AC546" s="512">
        <f t="shared" si="37"/>
        <v>3</v>
      </c>
    </row>
    <row r="547" spans="1:29" s="385" customFormat="1" ht="15" customHeight="1">
      <c r="A547" s="423" t="s">
        <v>260</v>
      </c>
      <c r="B547" s="423" t="s">
        <v>5428</v>
      </c>
      <c r="C547" s="422" t="s">
        <v>6335</v>
      </c>
      <c r="D547" s="422" t="s">
        <v>71</v>
      </c>
      <c r="E547" s="422" t="s">
        <v>6336</v>
      </c>
      <c r="F547" s="389" t="s">
        <v>6337</v>
      </c>
      <c r="G547" s="499" t="s">
        <v>165</v>
      </c>
      <c r="H547" s="422" t="s">
        <v>6338</v>
      </c>
      <c r="I547" s="369" t="e">
        <f>VLOOKUP(H547,'合同高级查询数据-10月新返回合同'!A:A,1,0)</f>
        <v>#N/A</v>
      </c>
      <c r="J547" s="424" t="s">
        <v>3724</v>
      </c>
      <c r="K547" s="403" t="s">
        <v>6339</v>
      </c>
      <c r="L547" s="425" t="s">
        <v>6339</v>
      </c>
      <c r="M547" s="425"/>
      <c r="N547" s="425">
        <v>43101</v>
      </c>
      <c r="O547" s="501">
        <v>0</v>
      </c>
      <c r="P547" s="447">
        <v>9500</v>
      </c>
      <c r="Q547" s="509">
        <v>0</v>
      </c>
      <c r="R547" s="447">
        <f t="shared" si="35"/>
        <v>0</v>
      </c>
      <c r="S547" s="378">
        <v>202310</v>
      </c>
      <c r="T547" s="530" t="s">
        <v>6340</v>
      </c>
      <c r="U547" s="510"/>
      <c r="V547" s="503">
        <v>0</v>
      </c>
      <c r="W547" s="510"/>
      <c r="X547" s="425"/>
      <c r="Y547" s="425"/>
      <c r="Z547" s="511" t="s">
        <v>6341</v>
      </c>
      <c r="AA547" s="511">
        <v>0.3</v>
      </c>
      <c r="AB547" s="512">
        <v>0</v>
      </c>
      <c r="AC547" s="512">
        <f t="shared" si="37"/>
        <v>0</v>
      </c>
    </row>
    <row r="548" spans="1:29" s="385" customFormat="1" ht="15" customHeight="1">
      <c r="A548" s="423" t="s">
        <v>260</v>
      </c>
      <c r="B548" s="423" t="s">
        <v>5428</v>
      </c>
      <c r="C548" s="422" t="s">
        <v>6335</v>
      </c>
      <c r="D548" s="422" t="s">
        <v>71</v>
      </c>
      <c r="E548" s="422" t="s">
        <v>6336</v>
      </c>
      <c r="F548" s="389" t="s">
        <v>6337</v>
      </c>
      <c r="G548" s="499" t="s">
        <v>165</v>
      </c>
      <c r="H548" s="422" t="s">
        <v>6338</v>
      </c>
      <c r="I548" s="369" t="e">
        <f>VLOOKUP(H548,'合同高级查询数据-10月新返回合同'!A:A,1,0)</f>
        <v>#N/A</v>
      </c>
      <c r="J548" s="424" t="s">
        <v>3724</v>
      </c>
      <c r="K548" s="403" t="s">
        <v>6342</v>
      </c>
      <c r="L548" s="425" t="s">
        <v>6342</v>
      </c>
      <c r="M548" s="425"/>
      <c r="N548" s="425" t="s">
        <v>6343</v>
      </c>
      <c r="O548" s="501" t="s">
        <v>6344</v>
      </c>
      <c r="P548" s="447">
        <v>9500</v>
      </c>
      <c r="Q548" s="509">
        <v>13.08</v>
      </c>
      <c r="R548" s="447">
        <f t="shared" si="35"/>
        <v>124260</v>
      </c>
      <c r="S548" s="378">
        <v>202310</v>
      </c>
      <c r="T548" s="530" t="s">
        <v>6345</v>
      </c>
      <c r="U548" s="510"/>
      <c r="V548" s="503">
        <v>13.075604438999999</v>
      </c>
      <c r="W548" s="510"/>
      <c r="X548" s="425"/>
      <c r="Y548" s="425"/>
      <c r="Z548" s="511" t="s">
        <v>6346</v>
      </c>
      <c r="AA548" s="511">
        <v>0.3</v>
      </c>
      <c r="AB548" s="512">
        <v>40</v>
      </c>
      <c r="AC548" s="512">
        <f t="shared" si="37"/>
        <v>12</v>
      </c>
    </row>
    <row r="549" spans="1:29" s="385" customFormat="1" ht="15" customHeight="1">
      <c r="A549" s="423" t="s">
        <v>260</v>
      </c>
      <c r="B549" s="423" t="s">
        <v>5428</v>
      </c>
      <c r="C549" s="422" t="s">
        <v>6335</v>
      </c>
      <c r="D549" s="422" t="s">
        <v>71</v>
      </c>
      <c r="E549" s="422" t="s">
        <v>6336</v>
      </c>
      <c r="F549" s="389" t="s">
        <v>6337</v>
      </c>
      <c r="G549" s="499" t="s">
        <v>165</v>
      </c>
      <c r="H549" s="422" t="s">
        <v>6338</v>
      </c>
      <c r="I549" s="369" t="e">
        <f>VLOOKUP(H549,'合同高级查询数据-10月新返回合同'!A:A,1,0)</f>
        <v>#N/A</v>
      </c>
      <c r="J549" s="424" t="s">
        <v>3724</v>
      </c>
      <c r="K549" s="403" t="s">
        <v>6347</v>
      </c>
      <c r="L549" s="425" t="s">
        <v>6347</v>
      </c>
      <c r="M549" s="425" t="s">
        <v>6348</v>
      </c>
      <c r="N549" s="425" t="s">
        <v>6349</v>
      </c>
      <c r="O549" s="501" t="s">
        <v>4988</v>
      </c>
      <c r="P549" s="447">
        <v>0</v>
      </c>
      <c r="Q549" s="509">
        <v>0</v>
      </c>
      <c r="R549" s="447">
        <f t="shared" si="35"/>
        <v>0</v>
      </c>
      <c r="S549" s="378">
        <v>202310</v>
      </c>
      <c r="T549" s="530" t="s">
        <v>6350</v>
      </c>
      <c r="U549" s="510"/>
      <c r="V549" s="503">
        <v>0</v>
      </c>
      <c r="W549" s="510"/>
      <c r="X549" s="425"/>
      <c r="Y549" s="425"/>
      <c r="Z549" s="511" t="s">
        <v>6351</v>
      </c>
      <c r="AA549" s="511">
        <v>0.3</v>
      </c>
      <c r="AB549" s="512">
        <v>0</v>
      </c>
      <c r="AC549" s="512">
        <f t="shared" si="37"/>
        <v>0</v>
      </c>
    </row>
    <row r="550" spans="1:29" s="577" customFormat="1" ht="15" customHeight="1">
      <c r="A550" s="594" t="s">
        <v>258</v>
      </c>
      <c r="B550" s="594" t="s">
        <v>5428</v>
      </c>
      <c r="C550" s="593" t="s">
        <v>6352</v>
      </c>
      <c r="D550" s="593" t="s">
        <v>71</v>
      </c>
      <c r="E550" s="593" t="s">
        <v>6353</v>
      </c>
      <c r="F550" s="564" t="s">
        <v>6354</v>
      </c>
      <c r="G550" s="674" t="s">
        <v>165</v>
      </c>
      <c r="H550" s="593" t="s">
        <v>6355</v>
      </c>
      <c r="I550" s="565" t="e">
        <f>VLOOKUP(H550,'合同高级查询数据-10月新返回合同'!A:A,1,0)</f>
        <v>#N/A</v>
      </c>
      <c r="J550" s="595" t="s">
        <v>3724</v>
      </c>
      <c r="K550" s="596" t="s">
        <v>6356</v>
      </c>
      <c r="L550" s="597" t="s">
        <v>6357</v>
      </c>
      <c r="M550" s="597"/>
      <c r="N550" s="597" t="s">
        <v>6358</v>
      </c>
      <c r="O550" s="714" t="s">
        <v>6359</v>
      </c>
      <c r="P550" s="639">
        <v>9000</v>
      </c>
      <c r="Q550" s="678">
        <v>25.1</v>
      </c>
      <c r="R550" s="639">
        <f t="shared" si="35"/>
        <v>225900</v>
      </c>
      <c r="S550" s="570">
        <v>202310</v>
      </c>
      <c r="T550" s="706" t="s">
        <v>6360</v>
      </c>
      <c r="U550" s="688"/>
      <c r="V550" s="636">
        <v>25.075818785999999</v>
      </c>
      <c r="W550" s="688"/>
      <c r="X550" s="597">
        <v>44256</v>
      </c>
      <c r="Y550" s="597">
        <v>45350</v>
      </c>
      <c r="Z550" s="691" t="s">
        <v>6361</v>
      </c>
      <c r="AA550" s="691">
        <v>0.3</v>
      </c>
      <c r="AB550" s="692">
        <v>80</v>
      </c>
      <c r="AC550" s="692">
        <f t="shared" si="37"/>
        <v>24</v>
      </c>
    </row>
    <row r="551" spans="1:29" s="385" customFormat="1" ht="15" customHeight="1">
      <c r="A551" s="423" t="s">
        <v>258</v>
      </c>
      <c r="B551" s="423" t="s">
        <v>5428</v>
      </c>
      <c r="C551" s="422" t="s">
        <v>6352</v>
      </c>
      <c r="D551" s="422" t="s">
        <v>71</v>
      </c>
      <c r="E551" s="422" t="s">
        <v>6353</v>
      </c>
      <c r="F551" s="389" t="s">
        <v>6354</v>
      </c>
      <c r="G551" s="499" t="s">
        <v>165</v>
      </c>
      <c r="H551" s="422" t="s">
        <v>6362</v>
      </c>
      <c r="I551" s="369" t="e">
        <f>VLOOKUP(H551,'合同高级查询数据-10月新返回合同'!A:A,1,0)</f>
        <v>#N/A</v>
      </c>
      <c r="J551" s="424" t="s">
        <v>3724</v>
      </c>
      <c r="K551" s="403" t="s">
        <v>6356</v>
      </c>
      <c r="L551" s="425" t="s">
        <v>6363</v>
      </c>
      <c r="M551" s="425"/>
      <c r="N551" s="425">
        <v>44197</v>
      </c>
      <c r="O551" s="501" t="s">
        <v>5228</v>
      </c>
      <c r="P551" s="447">
        <v>0</v>
      </c>
      <c r="Q551" s="509">
        <v>0</v>
      </c>
      <c r="R551" s="447">
        <f t="shared" si="35"/>
        <v>0</v>
      </c>
      <c r="S551" s="378">
        <v>202310</v>
      </c>
      <c r="T551" s="530" t="s">
        <v>6364</v>
      </c>
      <c r="U551" s="510"/>
      <c r="V551" s="503">
        <v>0</v>
      </c>
      <c r="W551" s="510"/>
      <c r="X551" s="425"/>
      <c r="Y551" s="425"/>
      <c r="Z551" s="511" t="s">
        <v>6365</v>
      </c>
      <c r="AA551" s="511">
        <v>0.3</v>
      </c>
      <c r="AB551" s="512">
        <v>0</v>
      </c>
      <c r="AC551" s="512">
        <f t="shared" si="37"/>
        <v>0</v>
      </c>
    </row>
    <row r="552" spans="1:29" s="385" customFormat="1" ht="15" customHeight="1">
      <c r="A552" s="423" t="s">
        <v>258</v>
      </c>
      <c r="B552" s="423" t="s">
        <v>5428</v>
      </c>
      <c r="C552" s="422" t="s">
        <v>6352</v>
      </c>
      <c r="D552" s="422" t="s">
        <v>71</v>
      </c>
      <c r="E552" s="422" t="s">
        <v>6353</v>
      </c>
      <c r="F552" s="389" t="s">
        <v>6354</v>
      </c>
      <c r="G552" s="499" t="s">
        <v>165</v>
      </c>
      <c r="H552" s="422" t="s">
        <v>6366</v>
      </c>
      <c r="I552" s="369" t="e">
        <f>VLOOKUP(H552,'合同高级查询数据-10月新返回合同'!A:A,1,0)</f>
        <v>#N/A</v>
      </c>
      <c r="J552" s="424" t="s">
        <v>3724</v>
      </c>
      <c r="K552" s="403" t="s">
        <v>6356</v>
      </c>
      <c r="L552" s="425" t="s">
        <v>6367</v>
      </c>
      <c r="M552" s="425"/>
      <c r="N552" s="425" t="s">
        <v>6368</v>
      </c>
      <c r="O552" s="501" t="s">
        <v>4845</v>
      </c>
      <c r="P552" s="447">
        <v>0</v>
      </c>
      <c r="Q552" s="509">
        <v>0</v>
      </c>
      <c r="R552" s="447">
        <f t="shared" si="35"/>
        <v>0</v>
      </c>
      <c r="S552" s="378">
        <v>202310</v>
      </c>
      <c r="T552" s="530" t="s">
        <v>6369</v>
      </c>
      <c r="U552" s="510"/>
      <c r="V552" s="503">
        <v>0</v>
      </c>
      <c r="W552" s="510"/>
      <c r="X552" s="425"/>
      <c r="Y552" s="425"/>
      <c r="Z552" s="511" t="s">
        <v>6370</v>
      </c>
      <c r="AA552" s="511">
        <v>0</v>
      </c>
      <c r="AB552" s="512">
        <v>0</v>
      </c>
      <c r="AC552" s="512">
        <f t="shared" si="37"/>
        <v>0</v>
      </c>
    </row>
    <row r="553" spans="1:29" s="385" customFormat="1" ht="15" customHeight="1">
      <c r="A553" s="423" t="s">
        <v>258</v>
      </c>
      <c r="B553" s="423" t="s">
        <v>5428</v>
      </c>
      <c r="C553" s="422" t="s">
        <v>6352</v>
      </c>
      <c r="D553" s="422" t="s">
        <v>71</v>
      </c>
      <c r="E553" s="422" t="s">
        <v>6353</v>
      </c>
      <c r="F553" s="389" t="s">
        <v>6354</v>
      </c>
      <c r="G553" s="499" t="s">
        <v>165</v>
      </c>
      <c r="H553" s="422" t="s">
        <v>6371</v>
      </c>
      <c r="I553" s="369" t="e">
        <f>VLOOKUP(H553,'合同高级查询数据-10月新返回合同'!A:A,1,0)</f>
        <v>#N/A</v>
      </c>
      <c r="J553" s="424" t="s">
        <v>3724</v>
      </c>
      <c r="K553" s="403" t="s">
        <v>6356</v>
      </c>
      <c r="L553" s="425" t="s">
        <v>6372</v>
      </c>
      <c r="M553" s="425" t="s">
        <v>6373</v>
      </c>
      <c r="N553" s="425">
        <v>45139</v>
      </c>
      <c r="O553" s="501" t="s">
        <v>5440</v>
      </c>
      <c r="P553" s="447">
        <v>0</v>
      </c>
      <c r="Q553" s="509"/>
      <c r="R553" s="447">
        <f t="shared" si="35"/>
        <v>0</v>
      </c>
      <c r="S553" s="378">
        <v>202310</v>
      </c>
      <c r="T553" s="530" t="s">
        <v>6374</v>
      </c>
      <c r="U553" s="510"/>
      <c r="V553" s="503">
        <v>0</v>
      </c>
      <c r="W553" s="510"/>
      <c r="X553" s="425"/>
      <c r="Y553" s="425"/>
      <c r="Z553" s="511" t="s">
        <v>6375</v>
      </c>
      <c r="AA553" s="511">
        <v>0</v>
      </c>
      <c r="AB553" s="512">
        <v>60</v>
      </c>
      <c r="AC553" s="512">
        <f t="shared" si="37"/>
        <v>0</v>
      </c>
    </row>
    <row r="554" spans="1:29" s="385" customFormat="1" ht="15" customHeight="1">
      <c r="A554" s="423" t="s">
        <v>258</v>
      </c>
      <c r="B554" s="423" t="s">
        <v>5428</v>
      </c>
      <c r="C554" s="422" t="s">
        <v>6352</v>
      </c>
      <c r="D554" s="422" t="s">
        <v>71</v>
      </c>
      <c r="E554" s="422" t="s">
        <v>6376</v>
      </c>
      <c r="F554" s="389" t="s">
        <v>6377</v>
      </c>
      <c r="G554" s="499" t="s">
        <v>165</v>
      </c>
      <c r="H554" s="422" t="s">
        <v>6378</v>
      </c>
      <c r="I554" s="369" t="e">
        <f>VLOOKUP(H554,'合同高级查询数据-10月新返回合同'!A:A,1,0)</f>
        <v>#N/A</v>
      </c>
      <c r="J554" s="424" t="s">
        <v>3724</v>
      </c>
      <c r="K554" s="403" t="s">
        <v>6379</v>
      </c>
      <c r="L554" s="425" t="s">
        <v>6377</v>
      </c>
      <c r="M554" s="425"/>
      <c r="N554" s="373" t="s">
        <v>6380</v>
      </c>
      <c r="O554" s="533" t="s">
        <v>6381</v>
      </c>
      <c r="P554" s="447">
        <v>9000</v>
      </c>
      <c r="Q554" s="509"/>
      <c r="R554" s="447">
        <f t="shared" si="35"/>
        <v>0</v>
      </c>
      <c r="S554" s="378">
        <v>202310</v>
      </c>
      <c r="T554" s="530" t="s">
        <v>6382</v>
      </c>
      <c r="U554" s="510"/>
      <c r="V554" s="503">
        <v>0</v>
      </c>
      <c r="W554" s="510"/>
      <c r="X554" s="425">
        <v>44986</v>
      </c>
      <c r="Y554" s="425"/>
      <c r="Z554" s="511" t="s">
        <v>6383</v>
      </c>
      <c r="AA554" s="511">
        <v>0.3</v>
      </c>
      <c r="AB554" s="512">
        <v>0</v>
      </c>
      <c r="AC554" s="512">
        <f t="shared" si="37"/>
        <v>0</v>
      </c>
    </row>
    <row r="555" spans="1:29" s="385" customFormat="1" ht="15" customHeight="1">
      <c r="A555" s="423" t="s">
        <v>258</v>
      </c>
      <c r="B555" s="423" t="s">
        <v>5428</v>
      </c>
      <c r="C555" s="422" t="s">
        <v>6352</v>
      </c>
      <c r="D555" s="422" t="s">
        <v>71</v>
      </c>
      <c r="E555" s="422" t="s">
        <v>6376</v>
      </c>
      <c r="F555" s="389" t="s">
        <v>6377</v>
      </c>
      <c r="G555" s="499" t="s">
        <v>165</v>
      </c>
      <c r="H555" s="422" t="s">
        <v>6378</v>
      </c>
      <c r="I555" s="369" t="e">
        <f>VLOOKUP(H555,'合同高级查询数据-10月新返回合同'!A:A,1,0)</f>
        <v>#N/A</v>
      </c>
      <c r="J555" s="424" t="s">
        <v>3724</v>
      </c>
      <c r="K555" s="403" t="s">
        <v>6379</v>
      </c>
      <c r="L555" s="425" t="s">
        <v>6384</v>
      </c>
      <c r="M555" s="425"/>
      <c r="N555" s="425">
        <v>44197</v>
      </c>
      <c r="O555" s="501" t="s">
        <v>5151</v>
      </c>
      <c r="P555" s="447">
        <v>0</v>
      </c>
      <c r="Q555" s="509">
        <v>0</v>
      </c>
      <c r="R555" s="447">
        <f t="shared" si="35"/>
        <v>0</v>
      </c>
      <c r="S555" s="378">
        <v>202310</v>
      </c>
      <c r="T555" s="530" t="s">
        <v>6385</v>
      </c>
      <c r="U555" s="510"/>
      <c r="V555" s="503">
        <v>0</v>
      </c>
      <c r="W555" s="510"/>
      <c r="X555" s="425">
        <v>44986</v>
      </c>
      <c r="Y555" s="425"/>
      <c r="Z555" s="511" t="s">
        <v>6386</v>
      </c>
      <c r="AA555" s="511">
        <v>0.3</v>
      </c>
      <c r="AB555" s="512">
        <v>0</v>
      </c>
      <c r="AC555" s="512">
        <f t="shared" si="37"/>
        <v>0</v>
      </c>
    </row>
    <row r="556" spans="1:29" s="385" customFormat="1" ht="15" customHeight="1">
      <c r="A556" s="423" t="s">
        <v>258</v>
      </c>
      <c r="B556" s="423" t="s">
        <v>5428</v>
      </c>
      <c r="C556" s="422" t="s">
        <v>6352</v>
      </c>
      <c r="D556" s="422" t="s">
        <v>71</v>
      </c>
      <c r="E556" s="422" t="s">
        <v>6376</v>
      </c>
      <c r="F556" s="389" t="s">
        <v>6377</v>
      </c>
      <c r="G556" s="499" t="s">
        <v>165</v>
      </c>
      <c r="H556" s="422" t="s">
        <v>6387</v>
      </c>
      <c r="I556" s="369" t="e">
        <f>VLOOKUP(H556,'合同高级查询数据-10月新返回合同'!A:A,1,0)</f>
        <v>#N/A</v>
      </c>
      <c r="J556" s="424" t="s">
        <v>3724</v>
      </c>
      <c r="K556" s="403" t="s">
        <v>6379</v>
      </c>
      <c r="L556" s="425" t="s">
        <v>6388</v>
      </c>
      <c r="M556" s="425" t="s">
        <v>6389</v>
      </c>
      <c r="N556" s="425" t="s">
        <v>6390</v>
      </c>
      <c r="O556" s="501" t="s">
        <v>4988</v>
      </c>
      <c r="P556" s="447">
        <v>0</v>
      </c>
      <c r="Q556" s="509">
        <v>0</v>
      </c>
      <c r="R556" s="447">
        <f t="shared" si="35"/>
        <v>0</v>
      </c>
      <c r="S556" s="378">
        <v>202310</v>
      </c>
      <c r="T556" s="530" t="s">
        <v>6391</v>
      </c>
      <c r="U556" s="510"/>
      <c r="V556" s="503">
        <v>0</v>
      </c>
      <c r="W556" s="510"/>
      <c r="X556" s="425">
        <v>44562</v>
      </c>
      <c r="Y556" s="425"/>
      <c r="Z556" s="511" t="s">
        <v>6392</v>
      </c>
      <c r="AA556" s="511">
        <v>0</v>
      </c>
      <c r="AB556" s="512">
        <v>0</v>
      </c>
      <c r="AC556" s="512">
        <f t="shared" si="37"/>
        <v>0</v>
      </c>
    </row>
    <row r="557" spans="1:29" s="577" customFormat="1" ht="15" customHeight="1">
      <c r="A557" s="594" t="s">
        <v>258</v>
      </c>
      <c r="B557" s="594" t="s">
        <v>5428</v>
      </c>
      <c r="C557" s="593" t="s">
        <v>6280</v>
      </c>
      <c r="D557" s="593" t="s">
        <v>71</v>
      </c>
      <c r="E557" s="593" t="s">
        <v>6393</v>
      </c>
      <c r="F557" s="564" t="s">
        <v>6394</v>
      </c>
      <c r="G557" s="674" t="s">
        <v>165</v>
      </c>
      <c r="H557" s="593" t="s">
        <v>6395</v>
      </c>
      <c r="I557" s="565" t="e">
        <f>VLOOKUP(H557,'合同高级查询数据-10月新返回合同'!A:A,1,0)</f>
        <v>#N/A</v>
      </c>
      <c r="J557" s="595" t="s">
        <v>3724</v>
      </c>
      <c r="K557" s="596" t="s">
        <v>6303</v>
      </c>
      <c r="L557" s="597" t="s">
        <v>6396</v>
      </c>
      <c r="M557" s="597"/>
      <c r="N557" s="597" t="s">
        <v>6397</v>
      </c>
      <c r="O557" s="677" t="s">
        <v>6398</v>
      </c>
      <c r="P557" s="639">
        <v>9000</v>
      </c>
      <c r="Q557" s="678">
        <v>0</v>
      </c>
      <c r="R557" s="639">
        <f t="shared" si="35"/>
        <v>0</v>
      </c>
      <c r="S557" s="570">
        <v>202310</v>
      </c>
      <c r="T557" s="706" t="s">
        <v>6399</v>
      </c>
      <c r="U557" s="688"/>
      <c r="V557" s="636">
        <v>0</v>
      </c>
      <c r="W557" s="688"/>
      <c r="X557" s="597">
        <v>44378</v>
      </c>
      <c r="Y557" s="597">
        <v>45291</v>
      </c>
      <c r="Z557" s="691" t="s">
        <v>6400</v>
      </c>
      <c r="AA557" s="691">
        <v>0.3</v>
      </c>
      <c r="AB557" s="692">
        <v>0</v>
      </c>
      <c r="AC557" s="692">
        <f t="shared" si="37"/>
        <v>0</v>
      </c>
    </row>
    <row r="558" spans="1:29" s="577" customFormat="1" ht="15" customHeight="1">
      <c r="A558" s="594" t="s">
        <v>258</v>
      </c>
      <c r="B558" s="594" t="s">
        <v>5428</v>
      </c>
      <c r="C558" s="593" t="s">
        <v>6280</v>
      </c>
      <c r="D558" s="593" t="s">
        <v>71</v>
      </c>
      <c r="E558" s="593" t="s">
        <v>6393</v>
      </c>
      <c r="F558" s="564" t="s">
        <v>6394</v>
      </c>
      <c r="G558" s="674" t="s">
        <v>165</v>
      </c>
      <c r="H558" s="593" t="s">
        <v>6395</v>
      </c>
      <c r="I558" s="565" t="e">
        <f>VLOOKUP(H558,'合同高级查询数据-10月新返回合同'!A:A,1,0)</f>
        <v>#N/A</v>
      </c>
      <c r="J558" s="595" t="s">
        <v>3724</v>
      </c>
      <c r="K558" s="596" t="s">
        <v>6401</v>
      </c>
      <c r="L558" s="597" t="s">
        <v>6402</v>
      </c>
      <c r="M558" s="597"/>
      <c r="N558" s="597" t="s">
        <v>6403</v>
      </c>
      <c r="O558" s="677" t="s">
        <v>5199</v>
      </c>
      <c r="P558" s="639">
        <v>9000</v>
      </c>
      <c r="Q558" s="678">
        <v>0</v>
      </c>
      <c r="R558" s="639">
        <f t="shared" si="35"/>
        <v>0</v>
      </c>
      <c r="S558" s="570">
        <v>202310</v>
      </c>
      <c r="T558" s="706" t="s">
        <v>6404</v>
      </c>
      <c r="U558" s="688"/>
      <c r="V558" s="636">
        <v>0</v>
      </c>
      <c r="W558" s="688"/>
      <c r="X558" s="597">
        <v>44378</v>
      </c>
      <c r="Y558" s="597">
        <v>45291</v>
      </c>
      <c r="Z558" s="691" t="s">
        <v>6405</v>
      </c>
      <c r="AA558" s="691">
        <v>0.3</v>
      </c>
      <c r="AB558" s="692">
        <v>0</v>
      </c>
      <c r="AC558" s="692">
        <f t="shared" si="37"/>
        <v>0</v>
      </c>
    </row>
    <row r="559" spans="1:29" s="577" customFormat="1" ht="15" customHeight="1">
      <c r="A559" s="594" t="s">
        <v>258</v>
      </c>
      <c r="B559" s="594" t="s">
        <v>5428</v>
      </c>
      <c r="C559" s="593" t="s">
        <v>6280</v>
      </c>
      <c r="D559" s="593" t="s">
        <v>71</v>
      </c>
      <c r="E559" s="593" t="s">
        <v>6393</v>
      </c>
      <c r="F559" s="564" t="s">
        <v>6394</v>
      </c>
      <c r="G559" s="674" t="s">
        <v>165</v>
      </c>
      <c r="H559" s="593" t="s">
        <v>6395</v>
      </c>
      <c r="I559" s="565" t="e">
        <f>VLOOKUP(H559,'合同高级查询数据-10月新返回合同'!A:A,1,0)</f>
        <v>#N/A</v>
      </c>
      <c r="J559" s="595" t="s">
        <v>4013</v>
      </c>
      <c r="K559" s="596" t="s">
        <v>6303</v>
      </c>
      <c r="L559" s="597" t="s">
        <v>6406</v>
      </c>
      <c r="M559" s="597"/>
      <c r="N559" s="597" t="s">
        <v>6407</v>
      </c>
      <c r="O559" s="677" t="s">
        <v>6408</v>
      </c>
      <c r="P559" s="639">
        <v>9000</v>
      </c>
      <c r="Q559" s="678">
        <v>3</v>
      </c>
      <c r="R559" s="639">
        <f t="shared" si="35"/>
        <v>27000</v>
      </c>
      <c r="S559" s="570">
        <v>202310</v>
      </c>
      <c r="T559" s="706" t="s">
        <v>6409</v>
      </c>
      <c r="U559" s="688"/>
      <c r="V559" s="636">
        <v>0.82</v>
      </c>
      <c r="W559" s="688"/>
      <c r="X559" s="597">
        <v>44378</v>
      </c>
      <c r="Y559" s="597">
        <v>45291</v>
      </c>
      <c r="Z559" s="691" t="s">
        <v>6410</v>
      </c>
      <c r="AA559" s="691">
        <v>0.3</v>
      </c>
      <c r="AB559" s="692">
        <v>10</v>
      </c>
      <c r="AC559" s="692">
        <f t="shared" si="37"/>
        <v>3</v>
      </c>
    </row>
    <row r="560" spans="1:29" s="577" customFormat="1" ht="15" customHeight="1">
      <c r="A560" s="594" t="s">
        <v>258</v>
      </c>
      <c r="B560" s="594" t="s">
        <v>5428</v>
      </c>
      <c r="C560" s="593" t="s">
        <v>6280</v>
      </c>
      <c r="D560" s="593" t="s">
        <v>71</v>
      </c>
      <c r="E560" s="593" t="s">
        <v>6393</v>
      </c>
      <c r="F560" s="564" t="s">
        <v>6394</v>
      </c>
      <c r="G560" s="674" t="s">
        <v>165</v>
      </c>
      <c r="H560" s="593" t="s">
        <v>6395</v>
      </c>
      <c r="I560" s="565" t="e">
        <f>VLOOKUP(H560,'合同高级查询数据-10月新返回合同'!A:A,1,0)</f>
        <v>#N/A</v>
      </c>
      <c r="J560" s="595" t="s">
        <v>3724</v>
      </c>
      <c r="K560" s="596" t="s">
        <v>6303</v>
      </c>
      <c r="L560" s="597" t="s">
        <v>6411</v>
      </c>
      <c r="M560" s="597" t="s">
        <v>6412</v>
      </c>
      <c r="N560" s="597" t="s">
        <v>6413</v>
      </c>
      <c r="O560" s="677" t="s">
        <v>6414</v>
      </c>
      <c r="P560" s="639">
        <v>9000</v>
      </c>
      <c r="Q560" s="678">
        <v>0</v>
      </c>
      <c r="R560" s="639">
        <f t="shared" si="35"/>
        <v>0</v>
      </c>
      <c r="S560" s="570">
        <v>202310</v>
      </c>
      <c r="T560" s="706" t="s">
        <v>6415</v>
      </c>
      <c r="U560" s="688"/>
      <c r="V560" s="636">
        <v>0</v>
      </c>
      <c r="W560" s="688"/>
      <c r="X560" s="597">
        <v>44378</v>
      </c>
      <c r="Y560" s="597">
        <v>45291</v>
      </c>
      <c r="Z560" s="691" t="s">
        <v>6416</v>
      </c>
      <c r="AA560" s="691">
        <v>0.3</v>
      </c>
      <c r="AB560" s="692">
        <v>0</v>
      </c>
      <c r="AC560" s="692">
        <f t="shared" si="37"/>
        <v>0</v>
      </c>
    </row>
    <row r="561" spans="1:29" s="385" customFormat="1" ht="15" customHeight="1">
      <c r="A561" s="423" t="s">
        <v>258</v>
      </c>
      <c r="B561" s="423" t="s">
        <v>5428</v>
      </c>
      <c r="C561" s="422" t="s">
        <v>6311</v>
      </c>
      <c r="D561" s="423" t="s">
        <v>5134</v>
      </c>
      <c r="E561" s="422" t="s">
        <v>6417</v>
      </c>
      <c r="F561" s="389" t="s">
        <v>6418</v>
      </c>
      <c r="G561" s="499" t="s">
        <v>165</v>
      </c>
      <c r="H561" s="422" t="s">
        <v>6419</v>
      </c>
      <c r="I561" s="369" t="e">
        <f>VLOOKUP(H561,'合同高级查询数据-10月新返回合同'!A:A,1,0)</f>
        <v>#N/A</v>
      </c>
      <c r="J561" s="424" t="s">
        <v>3724</v>
      </c>
      <c r="K561" s="403" t="s">
        <v>6420</v>
      </c>
      <c r="L561" s="425" t="s">
        <v>6421</v>
      </c>
      <c r="M561" s="425"/>
      <c r="N561" s="425" t="s">
        <v>6422</v>
      </c>
      <c r="O561" s="501" t="s">
        <v>6423</v>
      </c>
      <c r="P561" s="447">
        <v>9000</v>
      </c>
      <c r="Q561" s="509">
        <v>14.7</v>
      </c>
      <c r="R561" s="447">
        <f t="shared" si="35"/>
        <v>132300</v>
      </c>
      <c r="S561" s="378">
        <v>202310</v>
      </c>
      <c r="T561" s="530" t="s">
        <v>6424</v>
      </c>
      <c r="U561" s="510"/>
      <c r="V561" s="503">
        <v>14.627562827</v>
      </c>
      <c r="W561" s="510"/>
      <c r="X561" s="425">
        <v>44927</v>
      </c>
      <c r="Y561" s="425"/>
      <c r="Z561" s="511" t="s">
        <v>6425</v>
      </c>
      <c r="AA561" s="532">
        <v>0.3</v>
      </c>
      <c r="AB561" s="512">
        <v>40</v>
      </c>
      <c r="AC561" s="512">
        <f t="shared" si="37"/>
        <v>12</v>
      </c>
    </row>
    <row r="562" spans="1:29" s="385" customFormat="1" ht="15" customHeight="1">
      <c r="A562" s="423" t="s">
        <v>258</v>
      </c>
      <c r="B562" s="423" t="s">
        <v>5428</v>
      </c>
      <c r="C562" s="422" t="s">
        <v>6311</v>
      </c>
      <c r="D562" s="423" t="s">
        <v>5134</v>
      </c>
      <c r="E562" s="422" t="s">
        <v>6417</v>
      </c>
      <c r="F562" s="389" t="s">
        <v>6418</v>
      </c>
      <c r="G562" s="499" t="s">
        <v>165</v>
      </c>
      <c r="H562" s="422" t="s">
        <v>6419</v>
      </c>
      <c r="I562" s="369" t="e">
        <f>VLOOKUP(H562,'合同高级查询数据-10月新返回合同'!A:A,1,0)</f>
        <v>#N/A</v>
      </c>
      <c r="J562" s="424" t="s">
        <v>4013</v>
      </c>
      <c r="K562" s="403" t="s">
        <v>6426</v>
      </c>
      <c r="L562" s="425" t="s">
        <v>6427</v>
      </c>
      <c r="M562" s="425"/>
      <c r="N562" s="425">
        <v>44392</v>
      </c>
      <c r="O562" s="501" t="s">
        <v>2509</v>
      </c>
      <c r="P562" s="447">
        <v>9000</v>
      </c>
      <c r="Q562" s="509">
        <v>0.8</v>
      </c>
      <c r="R562" s="447">
        <f t="shared" si="35"/>
        <v>7200</v>
      </c>
      <c r="S562" s="378">
        <v>202310</v>
      </c>
      <c r="T562" s="530" t="s">
        <v>6428</v>
      </c>
      <c r="U562" s="510"/>
      <c r="V562" s="503">
        <v>0.79</v>
      </c>
      <c r="W562" s="510"/>
      <c r="X562" s="425">
        <v>44927</v>
      </c>
      <c r="Y562" s="425"/>
      <c r="Z562" s="511" t="s">
        <v>6429</v>
      </c>
      <c r="AA562" s="532">
        <v>0.3</v>
      </c>
      <c r="AB562" s="512">
        <v>10</v>
      </c>
      <c r="AC562" s="512">
        <f t="shared" si="37"/>
        <v>3</v>
      </c>
    </row>
    <row r="563" spans="1:29" s="385" customFormat="1" ht="15" customHeight="1">
      <c r="A563" s="423" t="s">
        <v>258</v>
      </c>
      <c r="B563" s="423" t="s">
        <v>5428</v>
      </c>
      <c r="C563" s="422" t="s">
        <v>6311</v>
      </c>
      <c r="D563" s="423" t="s">
        <v>5134</v>
      </c>
      <c r="E563" s="422" t="s">
        <v>6417</v>
      </c>
      <c r="F563" s="389" t="s">
        <v>6418</v>
      </c>
      <c r="G563" s="499" t="s">
        <v>165</v>
      </c>
      <c r="H563" s="422" t="s">
        <v>6419</v>
      </c>
      <c r="I563" s="369" t="e">
        <f>VLOOKUP(H563,'合同高级查询数据-10月新返回合同'!A:A,1,0)</f>
        <v>#N/A</v>
      </c>
      <c r="J563" s="424" t="s">
        <v>3724</v>
      </c>
      <c r="K563" s="403" t="s">
        <v>6311</v>
      </c>
      <c r="L563" s="425" t="s">
        <v>6430</v>
      </c>
      <c r="M563" s="425" t="s">
        <v>6426</v>
      </c>
      <c r="N563" s="425">
        <v>44228</v>
      </c>
      <c r="O563" s="501" t="s">
        <v>5228</v>
      </c>
      <c r="P563" s="447">
        <v>0</v>
      </c>
      <c r="Q563" s="509">
        <v>0</v>
      </c>
      <c r="R563" s="447">
        <f t="shared" si="35"/>
        <v>0</v>
      </c>
      <c r="S563" s="378">
        <v>202310</v>
      </c>
      <c r="T563" s="530" t="s">
        <v>6431</v>
      </c>
      <c r="U563" s="510"/>
      <c r="V563" s="503">
        <v>0</v>
      </c>
      <c r="W563" s="510"/>
      <c r="X563" s="425">
        <v>44927</v>
      </c>
      <c r="Y563" s="425"/>
      <c r="Z563" s="511" t="s">
        <v>6432</v>
      </c>
      <c r="AA563" s="532">
        <v>0.3</v>
      </c>
      <c r="AB563" s="512">
        <v>0</v>
      </c>
      <c r="AC563" s="512">
        <f t="shared" si="37"/>
        <v>0</v>
      </c>
    </row>
    <row r="564" spans="1:29" s="577" customFormat="1" ht="15" customHeight="1">
      <c r="A564" s="594" t="s">
        <v>258</v>
      </c>
      <c r="B564" s="594" t="s">
        <v>5428</v>
      </c>
      <c r="C564" s="593" t="s">
        <v>6311</v>
      </c>
      <c r="D564" s="594" t="s">
        <v>5134</v>
      </c>
      <c r="E564" s="593" t="s">
        <v>6417</v>
      </c>
      <c r="F564" s="564" t="s">
        <v>6418</v>
      </c>
      <c r="G564" s="674" t="s">
        <v>165</v>
      </c>
      <c r="H564" s="593" t="s">
        <v>6433</v>
      </c>
      <c r="I564" s="565" t="e">
        <f>VLOOKUP(H564,'合同高级查询数据-10月新返回合同'!A:A,1,0)</f>
        <v>#N/A</v>
      </c>
      <c r="J564" s="595" t="s">
        <v>3724</v>
      </c>
      <c r="K564" s="596" t="s">
        <v>6434</v>
      </c>
      <c r="L564" s="597" t="s">
        <v>6435</v>
      </c>
      <c r="M564" s="597" t="s">
        <v>6436</v>
      </c>
      <c r="N564" s="603" t="s">
        <v>6437</v>
      </c>
      <c r="O564" s="677" t="s">
        <v>6438</v>
      </c>
      <c r="P564" s="639">
        <v>9000</v>
      </c>
      <c r="Q564" s="678">
        <v>33.799999999999997</v>
      </c>
      <c r="R564" s="639">
        <f t="shared" si="35"/>
        <v>304200</v>
      </c>
      <c r="S564" s="570">
        <v>202310</v>
      </c>
      <c r="T564" s="706" t="s">
        <v>6439</v>
      </c>
      <c r="U564" s="688"/>
      <c r="V564" s="636">
        <v>33.746496530000002</v>
      </c>
      <c r="W564" s="688"/>
      <c r="X564" s="597">
        <v>44927</v>
      </c>
      <c r="Y564" s="597">
        <v>45291</v>
      </c>
      <c r="Z564" s="691" t="s">
        <v>6440</v>
      </c>
      <c r="AA564" s="715">
        <v>0.3</v>
      </c>
      <c r="AB564" s="692">
        <v>100</v>
      </c>
      <c r="AC564" s="692">
        <f t="shared" si="37"/>
        <v>30</v>
      </c>
    </row>
    <row r="565" spans="1:29" s="385" customFormat="1" ht="15" customHeight="1">
      <c r="A565" s="423" t="s">
        <v>258</v>
      </c>
      <c r="B565" s="423" t="s">
        <v>5428</v>
      </c>
      <c r="C565" s="422" t="s">
        <v>6311</v>
      </c>
      <c r="D565" s="423" t="s">
        <v>5134</v>
      </c>
      <c r="E565" s="422" t="s">
        <v>6417</v>
      </c>
      <c r="F565" s="389" t="s">
        <v>6418</v>
      </c>
      <c r="G565" s="499" t="s">
        <v>165</v>
      </c>
      <c r="H565" s="422" t="s">
        <v>6441</v>
      </c>
      <c r="I565" s="369" t="e">
        <f>VLOOKUP(H565,'合同高级查询数据-10月新返回合同'!A:A,1,0)</f>
        <v>#N/A</v>
      </c>
      <c r="J565" s="424" t="s">
        <v>3724</v>
      </c>
      <c r="K565" s="403" t="s">
        <v>6442</v>
      </c>
      <c r="L565" s="425" t="s">
        <v>6443</v>
      </c>
      <c r="M565" s="425" t="s">
        <v>6426</v>
      </c>
      <c r="N565" s="373">
        <v>45058</v>
      </c>
      <c r="O565" s="501" t="s">
        <v>6444</v>
      </c>
      <c r="P565" s="447">
        <v>9000</v>
      </c>
      <c r="Q565" s="509">
        <v>2.2999999999999998</v>
      </c>
      <c r="R565" s="447">
        <f t="shared" si="35"/>
        <v>20700</v>
      </c>
      <c r="S565" s="378">
        <v>202309</v>
      </c>
      <c r="T565" s="452" t="s">
        <v>6445</v>
      </c>
      <c r="U565" s="510"/>
      <c r="V565" s="503"/>
      <c r="W565" s="510"/>
      <c r="X565" s="425"/>
      <c r="Y565" s="425"/>
      <c r="Z565" s="511"/>
      <c r="AA565" s="532"/>
      <c r="AB565" s="512"/>
      <c r="AC565" s="512"/>
    </row>
    <row r="566" spans="1:29" s="385" customFormat="1" ht="15" customHeight="1">
      <c r="A566" s="423" t="s">
        <v>258</v>
      </c>
      <c r="B566" s="423" t="s">
        <v>5428</v>
      </c>
      <c r="C566" s="422" t="s">
        <v>6311</v>
      </c>
      <c r="D566" s="423" t="s">
        <v>5134</v>
      </c>
      <c r="E566" s="422" t="s">
        <v>6417</v>
      </c>
      <c r="F566" s="389" t="s">
        <v>6418</v>
      </c>
      <c r="G566" s="499" t="s">
        <v>165</v>
      </c>
      <c r="H566" s="422" t="s">
        <v>6441</v>
      </c>
      <c r="I566" s="369" t="e">
        <f>VLOOKUP(H566,'合同高级查询数据-10月新返回合同'!A:A,1,0)</f>
        <v>#N/A</v>
      </c>
      <c r="J566" s="424" t="s">
        <v>3724</v>
      </c>
      <c r="K566" s="430" t="s">
        <v>6442</v>
      </c>
      <c r="L566" s="425" t="s">
        <v>6443</v>
      </c>
      <c r="M566" s="425" t="s">
        <v>6426</v>
      </c>
      <c r="N566" s="373">
        <v>45058</v>
      </c>
      <c r="O566" s="501" t="s">
        <v>6444</v>
      </c>
      <c r="P566" s="447">
        <v>9000</v>
      </c>
      <c r="Q566" s="509">
        <v>155.80000000000001</v>
      </c>
      <c r="R566" s="447">
        <f t="shared" si="35"/>
        <v>1402200</v>
      </c>
      <c r="S566" s="378">
        <v>202310</v>
      </c>
      <c r="T566" s="530" t="s">
        <v>6446</v>
      </c>
      <c r="U566" s="510"/>
      <c r="V566" s="503">
        <v>155.79363235599999</v>
      </c>
      <c r="W566" s="510"/>
      <c r="X566" s="425"/>
      <c r="Y566" s="425"/>
      <c r="Z566" s="511" t="s">
        <v>6447</v>
      </c>
      <c r="AA566" s="532">
        <v>0.3</v>
      </c>
      <c r="AB566" s="512">
        <v>310</v>
      </c>
      <c r="AC566" s="512">
        <f>AB566*AA566</f>
        <v>93</v>
      </c>
    </row>
    <row r="567" spans="1:29" s="385" customFormat="1" ht="15" customHeight="1">
      <c r="A567" s="423" t="s">
        <v>258</v>
      </c>
      <c r="B567" s="423" t="s">
        <v>5428</v>
      </c>
      <c r="C567" s="422" t="s">
        <v>6311</v>
      </c>
      <c r="D567" s="423" t="s">
        <v>5134</v>
      </c>
      <c r="E567" s="422" t="s">
        <v>6417</v>
      </c>
      <c r="F567" s="389" t="s">
        <v>6418</v>
      </c>
      <c r="G567" s="499" t="s">
        <v>165</v>
      </c>
      <c r="H567" s="422" t="s">
        <v>6441</v>
      </c>
      <c r="I567" s="369" t="e">
        <f>VLOOKUP(H567,'合同高级查询数据-10月新返回合同'!A:A,1,0)</f>
        <v>#N/A</v>
      </c>
      <c r="J567" s="424" t="s">
        <v>3724</v>
      </c>
      <c r="K567" s="430" t="s">
        <v>6448</v>
      </c>
      <c r="L567" s="425" t="s">
        <v>6449</v>
      </c>
      <c r="M567" s="425" t="s">
        <v>6426</v>
      </c>
      <c r="N567" s="373">
        <v>45058</v>
      </c>
      <c r="O567" s="501" t="s">
        <v>3874</v>
      </c>
      <c r="P567" s="447">
        <v>9000</v>
      </c>
      <c r="Q567" s="509"/>
      <c r="R567" s="447">
        <f t="shared" si="35"/>
        <v>0</v>
      </c>
      <c r="S567" s="378">
        <v>202310</v>
      </c>
      <c r="T567" s="530" t="s">
        <v>6450</v>
      </c>
      <c r="U567" s="510"/>
      <c r="V567" s="503">
        <v>0</v>
      </c>
      <c r="W567" s="510"/>
      <c r="X567" s="425"/>
      <c r="Y567" s="425"/>
      <c r="Z567" s="511" t="s">
        <v>6451</v>
      </c>
      <c r="AA567" s="532">
        <v>0.3</v>
      </c>
      <c r="AB567" s="512">
        <v>0</v>
      </c>
      <c r="AC567" s="512">
        <f>AB567*AA567</f>
        <v>0</v>
      </c>
    </row>
    <row r="568" spans="1:29" s="385" customFormat="1" ht="15" customHeight="1">
      <c r="A568" s="423" t="s">
        <v>258</v>
      </c>
      <c r="B568" s="423" t="s">
        <v>5428</v>
      </c>
      <c r="C568" s="422" t="s">
        <v>6311</v>
      </c>
      <c r="D568" s="422" t="s">
        <v>5134</v>
      </c>
      <c r="E568" s="422" t="s">
        <v>6417</v>
      </c>
      <c r="F568" s="389" t="s">
        <v>6418</v>
      </c>
      <c r="G568" s="499" t="s">
        <v>165</v>
      </c>
      <c r="H568" s="422" t="s">
        <v>6441</v>
      </c>
      <c r="I568" s="369" t="e">
        <f>VLOOKUP(H568,'合同高级查询数据-10月新返回合同'!A:A,1,0)</f>
        <v>#N/A</v>
      </c>
      <c r="J568" s="499" t="s">
        <v>3724</v>
      </c>
      <c r="K568" s="430" t="s">
        <v>6452</v>
      </c>
      <c r="L568" s="425" t="s">
        <v>6453</v>
      </c>
      <c r="M568" s="425" t="s">
        <v>6426</v>
      </c>
      <c r="N568" s="373">
        <v>45170</v>
      </c>
      <c r="O568" s="501" t="s">
        <v>5263</v>
      </c>
      <c r="P568" s="447">
        <v>9000</v>
      </c>
      <c r="Q568" s="509">
        <v>1.55</v>
      </c>
      <c r="R568" s="447">
        <f t="shared" si="35"/>
        <v>13950</v>
      </c>
      <c r="S568" s="378">
        <v>202309</v>
      </c>
      <c r="T568" s="452" t="s">
        <v>6454</v>
      </c>
      <c r="U568" s="510"/>
      <c r="V568" s="510"/>
      <c r="W568" s="510"/>
      <c r="X568" s="425"/>
      <c r="Y568" s="425"/>
      <c r="Z568" s="511"/>
      <c r="AA568" s="532"/>
      <c r="AB568" s="512"/>
      <c r="AC568" s="512"/>
    </row>
    <row r="569" spans="1:29" s="385" customFormat="1" ht="15" customHeight="1">
      <c r="A569" s="423" t="s">
        <v>258</v>
      </c>
      <c r="B569" s="423" t="s">
        <v>5428</v>
      </c>
      <c r="C569" s="422" t="s">
        <v>6311</v>
      </c>
      <c r="D569" s="423" t="s">
        <v>5134</v>
      </c>
      <c r="E569" s="422" t="s">
        <v>6417</v>
      </c>
      <c r="F569" s="389" t="s">
        <v>6418</v>
      </c>
      <c r="G569" s="499" t="s">
        <v>165</v>
      </c>
      <c r="H569" s="422" t="s">
        <v>6441</v>
      </c>
      <c r="I569" s="369" t="e">
        <f>VLOOKUP(H569,'合同高级查询数据-10月新返回合同'!A:A,1,0)</f>
        <v>#N/A</v>
      </c>
      <c r="J569" s="499" t="s">
        <v>3724</v>
      </c>
      <c r="K569" s="430" t="s">
        <v>6452</v>
      </c>
      <c r="L569" s="425" t="s">
        <v>6453</v>
      </c>
      <c r="M569" s="425" t="s">
        <v>6426</v>
      </c>
      <c r="N569" s="373">
        <v>45170</v>
      </c>
      <c r="O569" s="501" t="s">
        <v>5263</v>
      </c>
      <c r="P569" s="447">
        <v>9000</v>
      </c>
      <c r="Q569" s="509">
        <v>25.6</v>
      </c>
      <c r="R569" s="509">
        <f t="shared" si="35"/>
        <v>230400</v>
      </c>
      <c r="S569" s="378">
        <v>202310</v>
      </c>
      <c r="T569" s="452" t="s">
        <v>6455</v>
      </c>
      <c r="U569" s="510"/>
      <c r="V569" s="503">
        <v>0</v>
      </c>
      <c r="W569" s="510">
        <v>27.2</v>
      </c>
      <c r="X569" s="425"/>
      <c r="Y569" s="425"/>
      <c r="Z569" s="511" t="s">
        <v>6456</v>
      </c>
      <c r="AA569" s="532">
        <v>0.3</v>
      </c>
      <c r="AB569" s="512">
        <v>80</v>
      </c>
      <c r="AC569" s="512">
        <f>AB569*AA569</f>
        <v>24</v>
      </c>
    </row>
    <row r="570" spans="1:29" s="385" customFormat="1" ht="15" customHeight="1">
      <c r="A570" s="423" t="s">
        <v>45</v>
      </c>
      <c r="B570" s="423" t="s">
        <v>5428</v>
      </c>
      <c r="C570" s="422" t="s">
        <v>6352</v>
      </c>
      <c r="D570" s="422" t="s">
        <v>71</v>
      </c>
      <c r="E570" s="422" t="s">
        <v>6457</v>
      </c>
      <c r="F570" s="389" t="s">
        <v>6458</v>
      </c>
      <c r="G570" s="499" t="s">
        <v>165</v>
      </c>
      <c r="H570" s="422" t="s">
        <v>6459</v>
      </c>
      <c r="I570" s="369" t="e">
        <f>VLOOKUP(H570,'合同高级查询数据-10月新返回合同'!A:A,1,0)</f>
        <v>#N/A</v>
      </c>
      <c r="J570" s="424" t="s">
        <v>3724</v>
      </c>
      <c r="K570" s="403" t="s">
        <v>6460</v>
      </c>
      <c r="L570" s="425" t="s">
        <v>6461</v>
      </c>
      <c r="M570" s="425"/>
      <c r="N570" s="373" t="s">
        <v>6462</v>
      </c>
      <c r="O570" s="533" t="s">
        <v>6463</v>
      </c>
      <c r="P570" s="447">
        <v>6740</v>
      </c>
      <c r="Q570" s="509">
        <v>67.38</v>
      </c>
      <c r="R570" s="447">
        <f t="shared" si="35"/>
        <v>454141.2</v>
      </c>
      <c r="S570" s="378">
        <v>202310</v>
      </c>
      <c r="T570" s="530" t="s">
        <v>6464</v>
      </c>
      <c r="U570" s="510"/>
      <c r="V570" s="503">
        <v>67.378242493000002</v>
      </c>
      <c r="W570" s="510"/>
      <c r="X570" s="425"/>
      <c r="Y570" s="425"/>
      <c r="Z570" s="511" t="s">
        <v>6465</v>
      </c>
      <c r="AA570" s="532">
        <v>0.4</v>
      </c>
      <c r="AB570" s="512">
        <v>160</v>
      </c>
      <c r="AC570" s="512">
        <f>AA570*AB570</f>
        <v>64</v>
      </c>
    </row>
    <row r="571" spans="1:29" s="385" customFormat="1" ht="15" customHeight="1">
      <c r="A571" s="423" t="s">
        <v>45</v>
      </c>
      <c r="B571" s="423" t="s">
        <v>5428</v>
      </c>
      <c r="C571" s="422" t="s">
        <v>6352</v>
      </c>
      <c r="D571" s="422" t="s">
        <v>71</v>
      </c>
      <c r="E571" s="422" t="s">
        <v>6457</v>
      </c>
      <c r="F571" s="389" t="s">
        <v>6458</v>
      </c>
      <c r="G571" s="499" t="s">
        <v>165</v>
      </c>
      <c r="H571" s="422" t="s">
        <v>6466</v>
      </c>
      <c r="I571" s="369" t="e">
        <f>VLOOKUP(H571,'合同高级查询数据-10月新返回合同'!A:A,1,0)</f>
        <v>#N/A</v>
      </c>
      <c r="J571" s="424" t="s">
        <v>3724</v>
      </c>
      <c r="K571" s="403" t="s">
        <v>6460</v>
      </c>
      <c r="L571" s="425" t="s">
        <v>6467</v>
      </c>
      <c r="M571" s="425" t="s">
        <v>6468</v>
      </c>
      <c r="N571" s="425">
        <v>45078</v>
      </c>
      <c r="O571" s="501" t="s">
        <v>4029</v>
      </c>
      <c r="P571" s="447">
        <v>6740</v>
      </c>
      <c r="Q571" s="509">
        <v>58.69</v>
      </c>
      <c r="R571" s="447">
        <f t="shared" si="35"/>
        <v>395570.6</v>
      </c>
      <c r="S571" s="378">
        <v>202310</v>
      </c>
      <c r="T571" s="530" t="s">
        <v>6469</v>
      </c>
      <c r="U571" s="510"/>
      <c r="V571" s="503">
        <v>58.686634064000003</v>
      </c>
      <c r="W571" s="510"/>
      <c r="X571" s="425"/>
      <c r="Y571" s="425"/>
      <c r="Z571" s="511" t="s">
        <v>6470</v>
      </c>
      <c r="AA571" s="532">
        <v>0.4</v>
      </c>
      <c r="AB571" s="512">
        <v>140</v>
      </c>
      <c r="AC571" s="512">
        <f>AA571*AB571</f>
        <v>56</v>
      </c>
    </row>
    <row r="572" spans="1:29" s="385" customFormat="1" ht="15" customHeight="1">
      <c r="A572" s="423" t="s">
        <v>45</v>
      </c>
      <c r="B572" s="423" t="s">
        <v>5428</v>
      </c>
      <c r="C572" s="422" t="s">
        <v>6352</v>
      </c>
      <c r="D572" s="422" t="s">
        <v>71</v>
      </c>
      <c r="E572" s="422" t="s">
        <v>6457</v>
      </c>
      <c r="F572" s="389" t="s">
        <v>6458</v>
      </c>
      <c r="G572" s="499" t="s">
        <v>165</v>
      </c>
      <c r="H572" s="422" t="s">
        <v>6471</v>
      </c>
      <c r="I572" s="369" t="e">
        <f>VLOOKUP(H572,'合同高级查询数据-10月新返回合同'!A:A,1,0)</f>
        <v>#N/A</v>
      </c>
      <c r="J572" s="424" t="s">
        <v>3724</v>
      </c>
      <c r="K572" s="403" t="s">
        <v>6472</v>
      </c>
      <c r="L572" s="425" t="s">
        <v>6473</v>
      </c>
      <c r="M572" s="425" t="s">
        <v>6474</v>
      </c>
      <c r="N572" s="425">
        <v>45146</v>
      </c>
      <c r="O572" s="501" t="s">
        <v>4772</v>
      </c>
      <c r="P572" s="447">
        <v>0</v>
      </c>
      <c r="Q572" s="509"/>
      <c r="R572" s="447">
        <f t="shared" si="35"/>
        <v>0</v>
      </c>
      <c r="S572" s="378">
        <v>202310</v>
      </c>
      <c r="T572" s="530" t="s">
        <v>6475</v>
      </c>
      <c r="U572" s="510"/>
      <c r="V572" s="503">
        <v>0</v>
      </c>
      <c r="W572" s="510"/>
      <c r="X572" s="425"/>
      <c r="Y572" s="425"/>
      <c r="Z572" s="511" t="s">
        <v>6476</v>
      </c>
      <c r="AA572" s="532">
        <v>0</v>
      </c>
      <c r="AB572" s="512">
        <v>120</v>
      </c>
      <c r="AC572" s="512">
        <f>AA572*AB572</f>
        <v>0</v>
      </c>
    </row>
    <row r="573" spans="1:29" s="577" customFormat="1" ht="15" customHeight="1">
      <c r="A573" s="594" t="s">
        <v>45</v>
      </c>
      <c r="B573" s="594" t="s">
        <v>5428</v>
      </c>
      <c r="C573" s="593" t="s">
        <v>6335</v>
      </c>
      <c r="D573" s="593" t="s">
        <v>71</v>
      </c>
      <c r="E573" s="593" t="s">
        <v>6477</v>
      </c>
      <c r="F573" s="564" t="s">
        <v>6478</v>
      </c>
      <c r="G573" s="674" t="s">
        <v>165</v>
      </c>
      <c r="H573" s="593" t="s">
        <v>6479</v>
      </c>
      <c r="I573" s="565" t="e">
        <f>VLOOKUP(H573,'合同高级查询数据-10月新返回合同'!A:A,1,0)</f>
        <v>#N/A</v>
      </c>
      <c r="J573" s="595" t="s">
        <v>3724</v>
      </c>
      <c r="K573" s="596" t="s">
        <v>6480</v>
      </c>
      <c r="L573" s="597" t="s">
        <v>6481</v>
      </c>
      <c r="M573" s="597"/>
      <c r="N573" s="597" t="s">
        <v>6482</v>
      </c>
      <c r="O573" s="677" t="s">
        <v>5395</v>
      </c>
      <c r="P573" s="639">
        <v>6740</v>
      </c>
      <c r="Q573" s="678">
        <v>0</v>
      </c>
      <c r="R573" s="639">
        <f t="shared" si="35"/>
        <v>0</v>
      </c>
      <c r="S573" s="570">
        <v>202310</v>
      </c>
      <c r="T573" s="706" t="s">
        <v>6483</v>
      </c>
      <c r="U573" s="688"/>
      <c r="V573" s="636">
        <v>0</v>
      </c>
      <c r="W573" s="688"/>
      <c r="X573" s="597"/>
      <c r="Y573" s="597"/>
      <c r="Z573" s="691" t="s">
        <v>6484</v>
      </c>
      <c r="AA573" s="715">
        <v>0.4</v>
      </c>
      <c r="AB573" s="692">
        <v>0</v>
      </c>
      <c r="AC573" s="692">
        <f>AA573*AB573</f>
        <v>0</v>
      </c>
    </row>
    <row r="574" spans="1:29" s="385" customFormat="1" ht="15" customHeight="1">
      <c r="A574" s="423" t="s">
        <v>45</v>
      </c>
      <c r="B574" s="423" t="s">
        <v>5428</v>
      </c>
      <c r="C574" s="422" t="s">
        <v>6335</v>
      </c>
      <c r="D574" s="422" t="s">
        <v>71</v>
      </c>
      <c r="E574" s="422" t="s">
        <v>6477</v>
      </c>
      <c r="F574" s="389" t="s">
        <v>6478</v>
      </c>
      <c r="G574" s="499" t="s">
        <v>165</v>
      </c>
      <c r="H574" s="422" t="s">
        <v>6485</v>
      </c>
      <c r="I574" s="369" t="e">
        <f>VLOOKUP(H574,'合同高级查询数据-10月新返回合同'!A:A,1,0)</f>
        <v>#N/A</v>
      </c>
      <c r="J574" s="424" t="s">
        <v>3724</v>
      </c>
      <c r="K574" s="403" t="s">
        <v>6480</v>
      </c>
      <c r="L574" s="425" t="s">
        <v>6486</v>
      </c>
      <c r="M574" s="425"/>
      <c r="N574" s="373" t="s">
        <v>6487</v>
      </c>
      <c r="O574" s="533" t="s">
        <v>6488</v>
      </c>
      <c r="P574" s="447">
        <v>6740</v>
      </c>
      <c r="Q574" s="509">
        <v>18</v>
      </c>
      <c r="R574" s="447">
        <f t="shared" si="35"/>
        <v>121320</v>
      </c>
      <c r="S574" s="378">
        <v>202310</v>
      </c>
      <c r="T574" s="530" t="s">
        <v>6489</v>
      </c>
      <c r="U574" s="510"/>
      <c r="V574" s="503">
        <v>18.002433777</v>
      </c>
      <c r="W574" s="510"/>
      <c r="X574" s="425"/>
      <c r="Y574" s="425"/>
      <c r="Z574" s="511" t="s">
        <v>6490</v>
      </c>
      <c r="AA574" s="532">
        <v>0.4</v>
      </c>
      <c r="AB574" s="512">
        <v>40</v>
      </c>
      <c r="AC574" s="512">
        <f>AA574*AB574</f>
        <v>16</v>
      </c>
    </row>
    <row r="575" spans="1:29" s="385" customFormat="1" ht="15" customHeight="1">
      <c r="A575" s="423" t="s">
        <v>45</v>
      </c>
      <c r="B575" s="423" t="s">
        <v>5428</v>
      </c>
      <c r="C575" s="422" t="s">
        <v>6335</v>
      </c>
      <c r="D575" s="422" t="s">
        <v>71</v>
      </c>
      <c r="E575" s="422" t="s">
        <v>6491</v>
      </c>
      <c r="F575" s="389" t="s">
        <v>6492</v>
      </c>
      <c r="G575" s="499" t="s">
        <v>165</v>
      </c>
      <c r="H575" s="422" t="s">
        <v>6493</v>
      </c>
      <c r="I575" s="369" t="e">
        <f>VLOOKUP(H575,'合同高级查询数据-10月新返回合同'!A:A,1,0)</f>
        <v>#N/A</v>
      </c>
      <c r="J575" s="424" t="s">
        <v>3724</v>
      </c>
      <c r="K575" s="403" t="s">
        <v>6335</v>
      </c>
      <c r="L575" s="425" t="s">
        <v>6494</v>
      </c>
      <c r="M575" s="425" t="s">
        <v>6495</v>
      </c>
      <c r="N575" s="373">
        <v>45113</v>
      </c>
      <c r="O575" s="533" t="s">
        <v>1542</v>
      </c>
      <c r="P575" s="447">
        <v>6740</v>
      </c>
      <c r="Q575" s="509">
        <v>7.0000000000000007E-2</v>
      </c>
      <c r="R575" s="447">
        <f t="shared" si="35"/>
        <v>471.8</v>
      </c>
      <c r="S575" s="378">
        <v>202308</v>
      </c>
      <c r="T575" s="530" t="s">
        <v>6496</v>
      </c>
      <c r="U575" s="510"/>
      <c r="V575" s="503"/>
      <c r="W575" s="510"/>
      <c r="X575" s="425"/>
      <c r="Y575" s="425"/>
      <c r="Z575" s="511"/>
      <c r="AA575" s="532"/>
      <c r="AB575" s="512"/>
      <c r="AC575" s="512"/>
    </row>
    <row r="576" spans="1:29" s="385" customFormat="1" ht="15" customHeight="1">
      <c r="A576" s="423" t="s">
        <v>45</v>
      </c>
      <c r="B576" s="423" t="s">
        <v>5428</v>
      </c>
      <c r="C576" s="422" t="s">
        <v>6335</v>
      </c>
      <c r="D576" s="422" t="s">
        <v>71</v>
      </c>
      <c r="E576" s="422" t="s">
        <v>6491</v>
      </c>
      <c r="F576" s="389" t="s">
        <v>6492</v>
      </c>
      <c r="G576" s="499" t="s">
        <v>165</v>
      </c>
      <c r="H576" s="422" t="s">
        <v>6493</v>
      </c>
      <c r="I576" s="369" t="e">
        <f>VLOOKUP(H576,'合同高级查询数据-10月新返回合同'!A:A,1,0)</f>
        <v>#N/A</v>
      </c>
      <c r="J576" s="424" t="s">
        <v>3724</v>
      </c>
      <c r="K576" s="403" t="s">
        <v>6335</v>
      </c>
      <c r="L576" s="425" t="s">
        <v>6494</v>
      </c>
      <c r="M576" s="425" t="s">
        <v>6495</v>
      </c>
      <c r="N576" s="373">
        <v>45113</v>
      </c>
      <c r="O576" s="533" t="s">
        <v>1542</v>
      </c>
      <c r="P576" s="447">
        <v>6740</v>
      </c>
      <c r="Q576" s="509">
        <v>80</v>
      </c>
      <c r="R576" s="447">
        <f t="shared" si="35"/>
        <v>539200</v>
      </c>
      <c r="S576" s="378">
        <v>202310</v>
      </c>
      <c r="T576" s="530" t="s">
        <v>6497</v>
      </c>
      <c r="U576" s="510"/>
      <c r="V576" s="503">
        <v>66.350807212999996</v>
      </c>
      <c r="W576" s="510"/>
      <c r="X576" s="425"/>
      <c r="Y576" s="425"/>
      <c r="Z576" s="511" t="s">
        <v>6498</v>
      </c>
      <c r="AA576" s="532">
        <v>0.4</v>
      </c>
      <c r="AB576" s="512">
        <v>200</v>
      </c>
      <c r="AC576" s="512">
        <f>AA576*AB576</f>
        <v>80</v>
      </c>
    </row>
    <row r="577" spans="1:29" s="385" customFormat="1" ht="15" customHeight="1">
      <c r="A577" s="423" t="s">
        <v>45</v>
      </c>
      <c r="B577" s="423" t="s">
        <v>5428</v>
      </c>
      <c r="C577" s="422" t="s">
        <v>6280</v>
      </c>
      <c r="D577" s="422" t="s">
        <v>71</v>
      </c>
      <c r="E577" s="422" t="s">
        <v>6499</v>
      </c>
      <c r="F577" s="389" t="s">
        <v>6500</v>
      </c>
      <c r="G577" s="499" t="s">
        <v>165</v>
      </c>
      <c r="H577" s="422" t="s">
        <v>6501</v>
      </c>
      <c r="I577" s="369" t="e">
        <f>VLOOKUP(H577,'合同高级查询数据-10月新返回合同'!A:A,1,0)</f>
        <v>#N/A</v>
      </c>
      <c r="J577" s="499" t="s">
        <v>3724</v>
      </c>
      <c r="K577" s="403" t="s">
        <v>6502</v>
      </c>
      <c r="L577" s="425" t="s">
        <v>6503</v>
      </c>
      <c r="M577" s="425"/>
      <c r="N577" s="425" t="s">
        <v>6504</v>
      </c>
      <c r="O577" s="501" t="s">
        <v>6505</v>
      </c>
      <c r="P577" s="447">
        <v>6740</v>
      </c>
      <c r="Q577" s="509">
        <v>0.52</v>
      </c>
      <c r="R577" s="447">
        <f t="shared" si="35"/>
        <v>3504.8</v>
      </c>
      <c r="S577" s="378">
        <v>202309</v>
      </c>
      <c r="T577" s="534" t="s">
        <v>6506</v>
      </c>
      <c r="U577" s="510"/>
      <c r="V577" s="510"/>
      <c r="W577" s="510"/>
      <c r="X577" s="425"/>
      <c r="Y577" s="425"/>
      <c r="Z577" s="511"/>
      <c r="AA577" s="532"/>
      <c r="AB577" s="512"/>
      <c r="AC577" s="512"/>
    </row>
    <row r="578" spans="1:29" s="385" customFormat="1" ht="15" customHeight="1">
      <c r="A578" s="423" t="s">
        <v>45</v>
      </c>
      <c r="B578" s="423" t="s">
        <v>5428</v>
      </c>
      <c r="C578" s="422" t="s">
        <v>6280</v>
      </c>
      <c r="D578" s="422" t="s">
        <v>71</v>
      </c>
      <c r="E578" s="422" t="s">
        <v>6499</v>
      </c>
      <c r="F578" s="389" t="s">
        <v>6500</v>
      </c>
      <c r="G578" s="499" t="s">
        <v>165</v>
      </c>
      <c r="H578" s="422" t="s">
        <v>6501</v>
      </c>
      <c r="I578" s="369" t="e">
        <f>VLOOKUP(H578,'合同高级查询数据-10月新返回合同'!A:A,1,0)</f>
        <v>#N/A</v>
      </c>
      <c r="J578" s="424" t="s">
        <v>3724</v>
      </c>
      <c r="K578" s="403" t="s">
        <v>6502</v>
      </c>
      <c r="L578" s="425" t="s">
        <v>6503</v>
      </c>
      <c r="M578" s="425"/>
      <c r="N578" s="425" t="s">
        <v>6504</v>
      </c>
      <c r="O578" s="501" t="s">
        <v>6505</v>
      </c>
      <c r="P578" s="447">
        <v>6740</v>
      </c>
      <c r="Q578" s="509">
        <v>74.709999999999994</v>
      </c>
      <c r="R578" s="447">
        <f t="shared" si="35"/>
        <v>503545.4</v>
      </c>
      <c r="S578" s="378">
        <v>202310</v>
      </c>
      <c r="T578" s="530" t="s">
        <v>6507</v>
      </c>
      <c r="U578" s="510"/>
      <c r="V578" s="503">
        <v>74.711753845000004</v>
      </c>
      <c r="W578" s="510"/>
      <c r="X578" s="425"/>
      <c r="Y578" s="425"/>
      <c r="Z578" s="511" t="s">
        <v>6508</v>
      </c>
      <c r="AA578" s="532">
        <v>0.4</v>
      </c>
      <c r="AB578" s="512">
        <v>160</v>
      </c>
      <c r="AC578" s="512">
        <f>AA578*AB578</f>
        <v>64</v>
      </c>
    </row>
    <row r="579" spans="1:29" s="385" customFormat="1" ht="15" customHeight="1">
      <c r="A579" s="423" t="s">
        <v>45</v>
      </c>
      <c r="B579" s="423" t="s">
        <v>5428</v>
      </c>
      <c r="C579" s="422" t="s">
        <v>6280</v>
      </c>
      <c r="D579" s="422" t="s">
        <v>71</v>
      </c>
      <c r="E579" s="422" t="s">
        <v>6499</v>
      </c>
      <c r="F579" s="389" t="s">
        <v>6500</v>
      </c>
      <c r="G579" s="499" t="s">
        <v>165</v>
      </c>
      <c r="H579" s="422" t="s">
        <v>6501</v>
      </c>
      <c r="I579" s="369" t="e">
        <f>VLOOKUP(H579,'合同高级查询数据-10月新返回合同'!A:A,1,0)</f>
        <v>#N/A</v>
      </c>
      <c r="J579" s="424" t="s">
        <v>3724</v>
      </c>
      <c r="K579" s="403"/>
      <c r="L579" s="425" t="s">
        <v>6509</v>
      </c>
      <c r="M579" s="425"/>
      <c r="N579" s="425">
        <v>44958</v>
      </c>
      <c r="O579" s="501" t="s">
        <v>4123</v>
      </c>
      <c r="P579" s="447">
        <v>6740</v>
      </c>
      <c r="Q579" s="509">
        <v>0.14000000000000001</v>
      </c>
      <c r="R579" s="447">
        <f t="shared" si="35"/>
        <v>943.6</v>
      </c>
      <c r="S579" s="378">
        <v>202309</v>
      </c>
      <c r="T579" s="530" t="s">
        <v>6510</v>
      </c>
      <c r="U579" s="510"/>
      <c r="V579" s="503"/>
      <c r="W579" s="510"/>
      <c r="X579" s="425"/>
      <c r="Y579" s="425"/>
      <c r="Z579" s="511"/>
      <c r="AA579" s="532"/>
      <c r="AB579" s="512"/>
      <c r="AC579" s="512"/>
    </row>
    <row r="580" spans="1:29" s="385" customFormat="1" ht="15" customHeight="1">
      <c r="A580" s="423" t="s">
        <v>45</v>
      </c>
      <c r="B580" s="423" t="s">
        <v>5428</v>
      </c>
      <c r="C580" s="422" t="s">
        <v>6280</v>
      </c>
      <c r="D580" s="422" t="s">
        <v>71</v>
      </c>
      <c r="E580" s="422" t="s">
        <v>6499</v>
      </c>
      <c r="F580" s="389" t="s">
        <v>6500</v>
      </c>
      <c r="G580" s="499" t="s">
        <v>165</v>
      </c>
      <c r="H580" s="422" t="s">
        <v>6501</v>
      </c>
      <c r="I580" s="369" t="e">
        <f>VLOOKUP(H580,'合同高级查询数据-10月新返回合同'!A:A,1,0)</f>
        <v>#N/A</v>
      </c>
      <c r="J580" s="424" t="s">
        <v>3724</v>
      </c>
      <c r="K580" s="403"/>
      <c r="L580" s="425" t="s">
        <v>6509</v>
      </c>
      <c r="M580" s="425"/>
      <c r="N580" s="425">
        <v>44958</v>
      </c>
      <c r="O580" s="501" t="s">
        <v>4123</v>
      </c>
      <c r="P580" s="447">
        <v>6740</v>
      </c>
      <c r="Q580" s="509">
        <v>120.13</v>
      </c>
      <c r="R580" s="447">
        <f t="shared" si="35"/>
        <v>809676.2</v>
      </c>
      <c r="S580" s="378">
        <v>202310</v>
      </c>
      <c r="T580" s="530" t="s">
        <v>6511</v>
      </c>
      <c r="U580" s="510"/>
      <c r="V580" s="503">
        <v>120.13241118000001</v>
      </c>
      <c r="W580" s="510"/>
      <c r="X580" s="425"/>
      <c r="Y580" s="425"/>
      <c r="Z580" s="511" t="s">
        <v>6512</v>
      </c>
      <c r="AA580" s="532">
        <v>0.4</v>
      </c>
      <c r="AB580" s="512">
        <v>300</v>
      </c>
      <c r="AC580" s="512">
        <f>AA580*AB580</f>
        <v>120</v>
      </c>
    </row>
    <row r="581" spans="1:29" s="385" customFormat="1" ht="15" customHeight="1">
      <c r="A581" s="423" t="s">
        <v>45</v>
      </c>
      <c r="B581" s="423" t="s">
        <v>5428</v>
      </c>
      <c r="C581" s="422" t="s">
        <v>6311</v>
      </c>
      <c r="D581" s="423" t="s">
        <v>5134</v>
      </c>
      <c r="E581" s="422" t="s">
        <v>6513</v>
      </c>
      <c r="F581" s="389" t="s">
        <v>6514</v>
      </c>
      <c r="G581" s="499" t="s">
        <v>165</v>
      </c>
      <c r="H581" s="422" t="s">
        <v>6515</v>
      </c>
      <c r="I581" s="369" t="e">
        <f>VLOOKUP(H581,'合同高级查询数据-10月新返回合同'!A:A,1,0)</f>
        <v>#N/A</v>
      </c>
      <c r="J581" s="424" t="s">
        <v>3724</v>
      </c>
      <c r="K581" s="403" t="s">
        <v>6311</v>
      </c>
      <c r="L581" s="425" t="s">
        <v>6514</v>
      </c>
      <c r="M581" s="425"/>
      <c r="N581" s="425">
        <v>42659</v>
      </c>
      <c r="O581" s="501" t="s">
        <v>5395</v>
      </c>
      <c r="P581" s="447">
        <v>6740</v>
      </c>
      <c r="Q581" s="509">
        <v>0</v>
      </c>
      <c r="R581" s="447">
        <f t="shared" si="35"/>
        <v>0</v>
      </c>
      <c r="S581" s="378">
        <v>202310</v>
      </c>
      <c r="T581" s="535" t="s">
        <v>6516</v>
      </c>
      <c r="U581" s="510"/>
      <c r="V581" s="503">
        <v>0</v>
      </c>
      <c r="W581" s="510"/>
      <c r="X581" s="425">
        <v>44927</v>
      </c>
      <c r="Y581" s="425"/>
      <c r="Z581" s="511" t="s">
        <v>6517</v>
      </c>
      <c r="AA581" s="532">
        <v>0.4</v>
      </c>
      <c r="AB581" s="512">
        <v>0</v>
      </c>
      <c r="AC581" s="512">
        <f>AA581*AB581</f>
        <v>0</v>
      </c>
    </row>
    <row r="582" spans="1:29" s="385" customFormat="1" ht="15" customHeight="1">
      <c r="A582" s="423" t="s">
        <v>45</v>
      </c>
      <c r="B582" s="423" t="s">
        <v>5428</v>
      </c>
      <c r="C582" s="422" t="s">
        <v>6311</v>
      </c>
      <c r="D582" s="423" t="s">
        <v>5134</v>
      </c>
      <c r="E582" s="422" t="s">
        <v>6513</v>
      </c>
      <c r="F582" s="389" t="s">
        <v>6514</v>
      </c>
      <c r="G582" s="499" t="s">
        <v>165</v>
      </c>
      <c r="H582" s="422" t="s">
        <v>6515</v>
      </c>
      <c r="I582" s="369" t="e">
        <f>VLOOKUP(H582,'合同高级查询数据-10月新返回合同'!A:A,1,0)</f>
        <v>#N/A</v>
      </c>
      <c r="J582" s="424" t="s">
        <v>3724</v>
      </c>
      <c r="K582" s="403" t="s">
        <v>6518</v>
      </c>
      <c r="L582" s="425" t="s">
        <v>6519</v>
      </c>
      <c r="M582" s="425"/>
      <c r="N582" s="425" t="s">
        <v>6520</v>
      </c>
      <c r="O582" s="501" t="s">
        <v>6521</v>
      </c>
      <c r="P582" s="447">
        <v>6740</v>
      </c>
      <c r="Q582" s="509">
        <v>0</v>
      </c>
      <c r="R582" s="447">
        <f t="shared" si="35"/>
        <v>0</v>
      </c>
      <c r="S582" s="378">
        <v>202310</v>
      </c>
      <c r="T582" s="535" t="s">
        <v>6522</v>
      </c>
      <c r="U582" s="510"/>
      <c r="V582" s="503">
        <v>0</v>
      </c>
      <c r="W582" s="510"/>
      <c r="X582" s="425">
        <v>44927</v>
      </c>
      <c r="Y582" s="425"/>
      <c r="Z582" s="511" t="s">
        <v>6523</v>
      </c>
      <c r="AA582" s="532">
        <v>0.4</v>
      </c>
      <c r="AB582" s="512">
        <v>10</v>
      </c>
      <c r="AC582" s="512">
        <f>AA582*AB582</f>
        <v>4</v>
      </c>
    </row>
    <row r="583" spans="1:29" s="385" customFormat="1" ht="15" customHeight="1">
      <c r="A583" s="423" t="s">
        <v>45</v>
      </c>
      <c r="B583" s="423" t="s">
        <v>5428</v>
      </c>
      <c r="C583" s="422" t="s">
        <v>6311</v>
      </c>
      <c r="D583" s="423" t="s">
        <v>5134</v>
      </c>
      <c r="E583" s="422" t="s">
        <v>6513</v>
      </c>
      <c r="F583" s="389" t="s">
        <v>6514</v>
      </c>
      <c r="G583" s="499" t="s">
        <v>165</v>
      </c>
      <c r="H583" s="422" t="s">
        <v>6515</v>
      </c>
      <c r="I583" s="369" t="e">
        <f>VLOOKUP(H583,'合同高级查询数据-10月新返回合同'!A:A,1,0)</f>
        <v>#N/A</v>
      </c>
      <c r="J583" s="424" t="s">
        <v>3724</v>
      </c>
      <c r="K583" s="403" t="s">
        <v>6524</v>
      </c>
      <c r="L583" s="425" t="s">
        <v>6525</v>
      </c>
      <c r="M583" s="425"/>
      <c r="N583" s="425">
        <v>45017</v>
      </c>
      <c r="O583" s="501" t="s">
        <v>2509</v>
      </c>
      <c r="P583" s="447">
        <v>6740</v>
      </c>
      <c r="Q583" s="509">
        <v>6.47</v>
      </c>
      <c r="R583" s="447">
        <f t="shared" ref="R583:R599" si="38">ROUND(P583*Q583,2)</f>
        <v>43607.8</v>
      </c>
      <c r="S583" s="378">
        <v>202310</v>
      </c>
      <c r="T583" s="535" t="s">
        <v>6526</v>
      </c>
      <c r="U583" s="510"/>
      <c r="V583" s="503">
        <v>6.4698877330000002</v>
      </c>
      <c r="W583" s="510"/>
      <c r="X583" s="425">
        <v>44927</v>
      </c>
      <c r="Y583" s="425"/>
      <c r="Z583" s="511" t="s">
        <v>6527</v>
      </c>
      <c r="AA583" s="532">
        <v>0.4</v>
      </c>
      <c r="AB583" s="512">
        <v>10</v>
      </c>
      <c r="AC583" s="512">
        <f>AA583*AB583</f>
        <v>4</v>
      </c>
    </row>
    <row r="584" spans="1:29" s="385" customFormat="1" ht="15" customHeight="1">
      <c r="A584" s="423" t="s">
        <v>45</v>
      </c>
      <c r="B584" s="423" t="s">
        <v>5428</v>
      </c>
      <c r="C584" s="422" t="s">
        <v>6311</v>
      </c>
      <c r="D584" s="423" t="s">
        <v>5134</v>
      </c>
      <c r="E584" s="422" t="s">
        <v>6513</v>
      </c>
      <c r="F584" s="389" t="s">
        <v>6514</v>
      </c>
      <c r="G584" s="499" t="s">
        <v>165</v>
      </c>
      <c r="H584" s="422" t="s">
        <v>6515</v>
      </c>
      <c r="I584" s="369" t="e">
        <f>VLOOKUP(H584,'合同高级查询数据-10月新返回合同'!A:A,1,0)</f>
        <v>#N/A</v>
      </c>
      <c r="J584" s="424" t="s">
        <v>4013</v>
      </c>
      <c r="K584" s="403" t="s">
        <v>6311</v>
      </c>
      <c r="L584" s="425" t="s">
        <v>6528</v>
      </c>
      <c r="M584" s="425" t="s">
        <v>117</v>
      </c>
      <c r="N584" s="425" t="s">
        <v>6529</v>
      </c>
      <c r="O584" s="501" t="s">
        <v>4397</v>
      </c>
      <c r="P584" s="447">
        <v>6740</v>
      </c>
      <c r="Q584" s="509">
        <v>0</v>
      </c>
      <c r="R584" s="447">
        <f t="shared" si="38"/>
        <v>0</v>
      </c>
      <c r="S584" s="378">
        <v>202310</v>
      </c>
      <c r="T584" s="535" t="s">
        <v>6530</v>
      </c>
      <c r="U584" s="510"/>
      <c r="V584" s="503">
        <v>0</v>
      </c>
      <c r="W584" s="510"/>
      <c r="X584" s="425"/>
      <c r="Y584" s="425"/>
      <c r="Z584" s="511" t="s">
        <v>6531</v>
      </c>
      <c r="AA584" s="532">
        <v>0.4</v>
      </c>
      <c r="AB584" s="512">
        <v>0</v>
      </c>
      <c r="AC584" s="512">
        <f>AA584*AB584</f>
        <v>0</v>
      </c>
    </row>
    <row r="585" spans="1:29" s="577" customFormat="1" ht="15" customHeight="1">
      <c r="A585" s="594" t="s">
        <v>57</v>
      </c>
      <c r="B585" s="593" t="s">
        <v>5428</v>
      </c>
      <c r="C585" s="593" t="s">
        <v>84</v>
      </c>
      <c r="D585" s="593" t="s">
        <v>85</v>
      </c>
      <c r="E585" s="593" t="s">
        <v>6532</v>
      </c>
      <c r="F585" s="674" t="s">
        <v>6533</v>
      </c>
      <c r="G585" s="593" t="s">
        <v>165</v>
      </c>
      <c r="H585" s="595" t="s">
        <v>6534</v>
      </c>
      <c r="I585" s="565" t="e">
        <f>VLOOKUP(H585,'合同高级查询数据-10月新返回合同'!A:A,1,0)</f>
        <v>#N/A</v>
      </c>
      <c r="J585" s="596" t="s">
        <v>3724</v>
      </c>
      <c r="K585" s="597" t="s">
        <v>58</v>
      </c>
      <c r="L585" s="597" t="s">
        <v>6535</v>
      </c>
      <c r="M585" s="597" t="s">
        <v>6536</v>
      </c>
      <c r="N585" s="597" t="s">
        <v>6537</v>
      </c>
      <c r="O585" s="713" t="s">
        <v>6538</v>
      </c>
      <c r="P585" s="678">
        <v>500</v>
      </c>
      <c r="Q585" s="639">
        <v>140</v>
      </c>
      <c r="R585" s="639">
        <f t="shared" si="38"/>
        <v>70000</v>
      </c>
      <c r="S585" s="570">
        <v>202310</v>
      </c>
      <c r="T585" s="716" t="s">
        <v>6539</v>
      </c>
      <c r="U585" s="688"/>
      <c r="V585" s="636">
        <v>39.945811460999998</v>
      </c>
      <c r="W585" s="597"/>
      <c r="X585" s="574">
        <v>44197</v>
      </c>
      <c r="Y585" s="574">
        <v>45291</v>
      </c>
      <c r="Z585" s="561" t="s">
        <v>6540</v>
      </c>
      <c r="AA585" s="689">
        <v>1</v>
      </c>
      <c r="AB585" s="636">
        <v>140</v>
      </c>
      <c r="AC585" s="692">
        <f t="shared" ref="AC585:AC599" si="39">AA585*AB585</f>
        <v>140</v>
      </c>
    </row>
    <row r="586" spans="1:29" s="577" customFormat="1" ht="15" customHeight="1">
      <c r="A586" s="594" t="s">
        <v>57</v>
      </c>
      <c r="B586" s="593" t="s">
        <v>5428</v>
      </c>
      <c r="C586" s="593" t="s">
        <v>84</v>
      </c>
      <c r="D586" s="593" t="s">
        <v>85</v>
      </c>
      <c r="E586" s="593" t="s">
        <v>6532</v>
      </c>
      <c r="F586" s="674" t="s">
        <v>6533</v>
      </c>
      <c r="G586" s="593" t="s">
        <v>165</v>
      </c>
      <c r="H586" s="595" t="s">
        <v>6534</v>
      </c>
      <c r="I586" s="565" t="e">
        <f>VLOOKUP(H586,'合同高级查询数据-10月新返回合同'!A:A,1,0)</f>
        <v>#N/A</v>
      </c>
      <c r="J586" s="596" t="s">
        <v>3724</v>
      </c>
      <c r="K586" s="597" t="s">
        <v>6541</v>
      </c>
      <c r="L586" s="597" t="s">
        <v>6542</v>
      </c>
      <c r="M586" s="597" t="s">
        <v>6543</v>
      </c>
      <c r="N586" s="597" t="s">
        <v>6537</v>
      </c>
      <c r="O586" s="713" t="s">
        <v>5199</v>
      </c>
      <c r="P586" s="678">
        <v>500</v>
      </c>
      <c r="Q586" s="639">
        <v>0</v>
      </c>
      <c r="R586" s="639">
        <f t="shared" si="38"/>
        <v>0</v>
      </c>
      <c r="S586" s="570">
        <v>202310</v>
      </c>
      <c r="T586" s="717" t="s">
        <v>6544</v>
      </c>
      <c r="U586" s="688"/>
      <c r="V586" s="636"/>
      <c r="W586" s="597"/>
      <c r="X586" s="574">
        <v>44197</v>
      </c>
      <c r="Y586" s="574">
        <v>45291</v>
      </c>
      <c r="Z586" s="718">
        <v>0</v>
      </c>
      <c r="AA586" s="718">
        <v>0</v>
      </c>
      <c r="AB586" s="718">
        <v>0</v>
      </c>
      <c r="AC586" s="692">
        <f t="shared" si="39"/>
        <v>0</v>
      </c>
    </row>
    <row r="587" spans="1:29" s="577" customFormat="1" ht="15" customHeight="1">
      <c r="A587" s="594" t="s">
        <v>57</v>
      </c>
      <c r="B587" s="593" t="s">
        <v>5428</v>
      </c>
      <c r="C587" s="593" t="s">
        <v>84</v>
      </c>
      <c r="D587" s="593" t="s">
        <v>85</v>
      </c>
      <c r="E587" s="593" t="s">
        <v>6532</v>
      </c>
      <c r="F587" s="674" t="s">
        <v>6533</v>
      </c>
      <c r="G587" s="593" t="s">
        <v>165</v>
      </c>
      <c r="H587" s="595" t="s">
        <v>6534</v>
      </c>
      <c r="I587" s="565" t="e">
        <f>VLOOKUP(H587,'合同高级查询数据-10月新返回合同'!A:A,1,0)</f>
        <v>#N/A</v>
      </c>
      <c r="J587" s="596" t="s">
        <v>3724</v>
      </c>
      <c r="K587" s="597" t="s">
        <v>47</v>
      </c>
      <c r="L587" s="597" t="s">
        <v>659</v>
      </c>
      <c r="M587" s="597" t="s">
        <v>6545</v>
      </c>
      <c r="N587" s="597">
        <v>44197</v>
      </c>
      <c r="O587" s="713" t="s">
        <v>5263</v>
      </c>
      <c r="P587" s="678">
        <v>500</v>
      </c>
      <c r="Q587" s="639">
        <v>80</v>
      </c>
      <c r="R587" s="639">
        <f t="shared" si="38"/>
        <v>40000</v>
      </c>
      <c r="S587" s="570">
        <v>202310</v>
      </c>
      <c r="T587" s="717" t="s">
        <v>6546</v>
      </c>
      <c r="U587" s="688"/>
      <c r="V587" s="636">
        <v>13.286766718999999</v>
      </c>
      <c r="W587" s="597"/>
      <c r="X587" s="574">
        <v>44197</v>
      </c>
      <c r="Y587" s="574">
        <v>45291</v>
      </c>
      <c r="Z587" s="561" t="s">
        <v>661</v>
      </c>
      <c r="AA587" s="689">
        <v>1</v>
      </c>
      <c r="AB587" s="636">
        <v>80</v>
      </c>
      <c r="AC587" s="692">
        <f t="shared" si="39"/>
        <v>80</v>
      </c>
    </row>
    <row r="588" spans="1:29" s="577" customFormat="1" ht="15" customHeight="1">
      <c r="A588" s="594" t="s">
        <v>57</v>
      </c>
      <c r="B588" s="593" t="s">
        <v>5428</v>
      </c>
      <c r="C588" s="593" t="s">
        <v>84</v>
      </c>
      <c r="D588" s="593" t="s">
        <v>85</v>
      </c>
      <c r="E588" s="593" t="s">
        <v>6532</v>
      </c>
      <c r="F588" s="674" t="s">
        <v>6533</v>
      </c>
      <c r="G588" s="593" t="s">
        <v>165</v>
      </c>
      <c r="H588" s="595" t="s">
        <v>6534</v>
      </c>
      <c r="I588" s="565" t="e">
        <f>VLOOKUP(H588,'合同高级查询数据-10月新返回合同'!A:A,1,0)</f>
        <v>#N/A</v>
      </c>
      <c r="J588" s="596" t="s">
        <v>3724</v>
      </c>
      <c r="K588" s="597" t="s">
        <v>801</v>
      </c>
      <c r="L588" s="597" t="s">
        <v>6547</v>
      </c>
      <c r="M588" s="597" t="s">
        <v>6548</v>
      </c>
      <c r="N588" s="597">
        <v>44197</v>
      </c>
      <c r="O588" s="713" t="s">
        <v>4796</v>
      </c>
      <c r="P588" s="678">
        <v>500</v>
      </c>
      <c r="Q588" s="639">
        <v>40</v>
      </c>
      <c r="R588" s="639">
        <f t="shared" si="38"/>
        <v>20000</v>
      </c>
      <c r="S588" s="570">
        <v>202310</v>
      </c>
      <c r="T588" s="717" t="s">
        <v>6546</v>
      </c>
      <c r="U588" s="688"/>
      <c r="V588" s="636">
        <v>13.400560913</v>
      </c>
      <c r="W588" s="597"/>
      <c r="X588" s="574">
        <v>44197</v>
      </c>
      <c r="Y588" s="574">
        <v>45291</v>
      </c>
      <c r="Z588" s="561" t="s">
        <v>6549</v>
      </c>
      <c r="AA588" s="689">
        <v>1</v>
      </c>
      <c r="AB588" s="636">
        <v>40</v>
      </c>
      <c r="AC588" s="692">
        <f t="shared" si="39"/>
        <v>40</v>
      </c>
    </row>
    <row r="589" spans="1:29" s="577" customFormat="1" ht="15" customHeight="1">
      <c r="A589" s="594" t="s">
        <v>57</v>
      </c>
      <c r="B589" s="593" t="s">
        <v>5428</v>
      </c>
      <c r="C589" s="593" t="s">
        <v>84</v>
      </c>
      <c r="D589" s="593" t="s">
        <v>85</v>
      </c>
      <c r="E589" s="593" t="s">
        <v>6532</v>
      </c>
      <c r="F589" s="674" t="s">
        <v>6533</v>
      </c>
      <c r="G589" s="593" t="s">
        <v>165</v>
      </c>
      <c r="H589" s="595" t="s">
        <v>6534</v>
      </c>
      <c r="I589" s="565" t="e">
        <f>VLOOKUP(H589,'合同高级查询数据-10月新返回合同'!A:A,1,0)</f>
        <v>#N/A</v>
      </c>
      <c r="J589" s="596" t="s">
        <v>3724</v>
      </c>
      <c r="K589" s="597" t="s">
        <v>6303</v>
      </c>
      <c r="L589" s="597" t="s">
        <v>6550</v>
      </c>
      <c r="M589" s="597" t="s">
        <v>6551</v>
      </c>
      <c r="N589" s="597" t="s">
        <v>6537</v>
      </c>
      <c r="O589" s="713" t="s">
        <v>6552</v>
      </c>
      <c r="P589" s="678">
        <v>500</v>
      </c>
      <c r="Q589" s="639">
        <v>80</v>
      </c>
      <c r="R589" s="639">
        <f t="shared" si="38"/>
        <v>40000</v>
      </c>
      <c r="S589" s="570">
        <v>202310</v>
      </c>
      <c r="T589" s="716" t="s">
        <v>6553</v>
      </c>
      <c r="U589" s="688"/>
      <c r="V589" s="636">
        <v>20.224709623999999</v>
      </c>
      <c r="W589" s="597"/>
      <c r="X589" s="574">
        <v>44197</v>
      </c>
      <c r="Y589" s="574">
        <v>45291</v>
      </c>
      <c r="Z589" s="561" t="s">
        <v>6554</v>
      </c>
      <c r="AA589" s="689">
        <v>1</v>
      </c>
      <c r="AB589" s="636">
        <v>80</v>
      </c>
      <c r="AC589" s="692">
        <f t="shared" si="39"/>
        <v>80</v>
      </c>
    </row>
    <row r="590" spans="1:29" s="577" customFormat="1" ht="15" customHeight="1">
      <c r="A590" s="594" t="s">
        <v>57</v>
      </c>
      <c r="B590" s="593" t="s">
        <v>5428</v>
      </c>
      <c r="C590" s="593" t="s">
        <v>84</v>
      </c>
      <c r="D590" s="593" t="s">
        <v>85</v>
      </c>
      <c r="E590" s="593" t="s">
        <v>6532</v>
      </c>
      <c r="F590" s="674" t="s">
        <v>6533</v>
      </c>
      <c r="G590" s="593" t="s">
        <v>165</v>
      </c>
      <c r="H590" s="595" t="s">
        <v>6534</v>
      </c>
      <c r="I590" s="565" t="e">
        <f>VLOOKUP(H590,'合同高级查询数据-10月新返回合同'!A:A,1,0)</f>
        <v>#N/A</v>
      </c>
      <c r="J590" s="596" t="s">
        <v>3724</v>
      </c>
      <c r="K590" s="597" t="s">
        <v>6555</v>
      </c>
      <c r="L590" s="597" t="s">
        <v>6556</v>
      </c>
      <c r="M590" s="597" t="s">
        <v>6557</v>
      </c>
      <c r="N590" s="597" t="s">
        <v>6537</v>
      </c>
      <c r="O590" s="713" t="s">
        <v>6558</v>
      </c>
      <c r="P590" s="678">
        <v>500</v>
      </c>
      <c r="Q590" s="639">
        <v>140</v>
      </c>
      <c r="R590" s="639">
        <f t="shared" si="38"/>
        <v>70000</v>
      </c>
      <c r="S590" s="570">
        <v>202310</v>
      </c>
      <c r="T590" s="716" t="s">
        <v>6559</v>
      </c>
      <c r="U590" s="688"/>
      <c r="V590" s="636">
        <v>39.076247633999998</v>
      </c>
      <c r="W590" s="597"/>
      <c r="X590" s="574">
        <v>44197</v>
      </c>
      <c r="Y590" s="574">
        <v>45291</v>
      </c>
      <c r="Z590" s="561" t="s">
        <v>6560</v>
      </c>
      <c r="AA590" s="689">
        <v>1</v>
      </c>
      <c r="AB590" s="636">
        <v>140</v>
      </c>
      <c r="AC590" s="692">
        <f t="shared" si="39"/>
        <v>140</v>
      </c>
    </row>
    <row r="591" spans="1:29" s="577" customFormat="1" ht="15" customHeight="1">
      <c r="A591" s="594" t="s">
        <v>57</v>
      </c>
      <c r="B591" s="593" t="s">
        <v>5428</v>
      </c>
      <c r="C591" s="593" t="s">
        <v>84</v>
      </c>
      <c r="D591" s="593" t="s">
        <v>85</v>
      </c>
      <c r="E591" s="593" t="s">
        <v>6532</v>
      </c>
      <c r="F591" s="674" t="s">
        <v>6533</v>
      </c>
      <c r="G591" s="593" t="s">
        <v>165</v>
      </c>
      <c r="H591" s="595" t="s">
        <v>6534</v>
      </c>
      <c r="I591" s="565" t="e">
        <f>VLOOKUP(H591,'合同高级查询数据-10月新返回合同'!A:A,1,0)</f>
        <v>#N/A</v>
      </c>
      <c r="J591" s="596" t="s">
        <v>3724</v>
      </c>
      <c r="K591" s="597" t="s">
        <v>6561</v>
      </c>
      <c r="L591" s="597" t="s">
        <v>6562</v>
      </c>
      <c r="M591" s="597" t="s">
        <v>6563</v>
      </c>
      <c r="N591" s="597" t="s">
        <v>6537</v>
      </c>
      <c r="O591" s="713" t="s">
        <v>6564</v>
      </c>
      <c r="P591" s="678">
        <v>500</v>
      </c>
      <c r="Q591" s="639">
        <v>40</v>
      </c>
      <c r="R591" s="639">
        <f t="shared" si="38"/>
        <v>20000</v>
      </c>
      <c r="S591" s="570">
        <v>202310</v>
      </c>
      <c r="T591" s="716" t="s">
        <v>6565</v>
      </c>
      <c r="U591" s="688"/>
      <c r="V591" s="636">
        <v>4.8496997830000002</v>
      </c>
      <c r="W591" s="597"/>
      <c r="X591" s="574">
        <v>44197</v>
      </c>
      <c r="Y591" s="574">
        <v>45291</v>
      </c>
      <c r="Z591" s="561" t="s">
        <v>6566</v>
      </c>
      <c r="AA591" s="689">
        <v>1</v>
      </c>
      <c r="AB591" s="636">
        <v>40</v>
      </c>
      <c r="AC591" s="692">
        <f t="shared" si="39"/>
        <v>40</v>
      </c>
    </row>
    <row r="592" spans="1:29" s="577" customFormat="1" ht="15" customHeight="1">
      <c r="A592" s="594" t="s">
        <v>57</v>
      </c>
      <c r="B592" s="593" t="s">
        <v>5428</v>
      </c>
      <c r="C592" s="593" t="s">
        <v>84</v>
      </c>
      <c r="D592" s="593" t="s">
        <v>85</v>
      </c>
      <c r="E592" s="593" t="s">
        <v>6532</v>
      </c>
      <c r="F592" s="674" t="s">
        <v>6533</v>
      </c>
      <c r="G592" s="593" t="s">
        <v>165</v>
      </c>
      <c r="H592" s="595" t="s">
        <v>6534</v>
      </c>
      <c r="I592" s="565" t="e">
        <f>VLOOKUP(H592,'合同高级查询数据-10月新返回合同'!A:A,1,0)</f>
        <v>#N/A</v>
      </c>
      <c r="J592" s="596" t="s">
        <v>3724</v>
      </c>
      <c r="K592" s="597" t="s">
        <v>6567</v>
      </c>
      <c r="L592" s="597" t="s">
        <v>6568</v>
      </c>
      <c r="M592" s="597" t="s">
        <v>6569</v>
      </c>
      <c r="N592" s="597" t="s">
        <v>6537</v>
      </c>
      <c r="O592" s="713" t="s">
        <v>4213</v>
      </c>
      <c r="P592" s="678">
        <v>500</v>
      </c>
      <c r="Q592" s="639">
        <v>20</v>
      </c>
      <c r="R592" s="639">
        <f t="shared" si="38"/>
        <v>10000</v>
      </c>
      <c r="S592" s="570">
        <v>202310</v>
      </c>
      <c r="T592" s="716" t="s">
        <v>6570</v>
      </c>
      <c r="U592" s="688"/>
      <c r="V592" s="636">
        <v>3.2275051779999999</v>
      </c>
      <c r="W592" s="597"/>
      <c r="X592" s="574">
        <v>44197</v>
      </c>
      <c r="Y592" s="574">
        <v>45291</v>
      </c>
      <c r="Z592" s="561" t="s">
        <v>6571</v>
      </c>
      <c r="AA592" s="689">
        <v>1</v>
      </c>
      <c r="AB592" s="636">
        <v>20</v>
      </c>
      <c r="AC592" s="713">
        <f t="shared" si="39"/>
        <v>20</v>
      </c>
    </row>
    <row r="593" spans="1:29" s="577" customFormat="1" ht="15" customHeight="1">
      <c r="A593" s="594" t="s">
        <v>57</v>
      </c>
      <c r="B593" s="593" t="s">
        <v>5428</v>
      </c>
      <c r="C593" s="593" t="s">
        <v>58</v>
      </c>
      <c r="D593" s="593" t="s">
        <v>85</v>
      </c>
      <c r="E593" s="593" t="s">
        <v>6572</v>
      </c>
      <c r="F593" s="674" t="s">
        <v>6573</v>
      </c>
      <c r="G593" s="593" t="s">
        <v>165</v>
      </c>
      <c r="H593" s="595" t="s">
        <v>6574</v>
      </c>
      <c r="I593" s="565" t="e">
        <f>VLOOKUP(H593,'合同高级查询数据-10月新返回合同'!A:A,1,0)</f>
        <v>#N/A</v>
      </c>
      <c r="J593" s="596" t="s">
        <v>3776</v>
      </c>
      <c r="K593" s="597" t="s">
        <v>6575</v>
      </c>
      <c r="L593" s="597" t="s">
        <v>6576</v>
      </c>
      <c r="M593" s="597" t="s">
        <v>6577</v>
      </c>
      <c r="N593" s="597" t="s">
        <v>6578</v>
      </c>
      <c r="O593" s="713" t="s">
        <v>6579</v>
      </c>
      <c r="P593" s="678">
        <v>1000</v>
      </c>
      <c r="Q593" s="639">
        <v>55.6</v>
      </c>
      <c r="R593" s="639">
        <f t="shared" si="38"/>
        <v>55600</v>
      </c>
      <c r="S593" s="570">
        <v>202310</v>
      </c>
      <c r="T593" s="706" t="s">
        <v>6580</v>
      </c>
      <c r="U593" s="688"/>
      <c r="V593" s="636">
        <v>55.599970683000002</v>
      </c>
      <c r="W593" s="597"/>
      <c r="X593" s="574">
        <v>44501</v>
      </c>
      <c r="Y593" s="574">
        <v>45291</v>
      </c>
      <c r="Z593" s="561" t="s">
        <v>6581</v>
      </c>
      <c r="AA593" s="689">
        <v>0</v>
      </c>
      <c r="AB593" s="636">
        <v>200</v>
      </c>
      <c r="AC593" s="713">
        <f t="shared" si="39"/>
        <v>0</v>
      </c>
    </row>
    <row r="594" spans="1:29" s="577" customFormat="1" ht="15" customHeight="1">
      <c r="A594" s="594" t="s">
        <v>57</v>
      </c>
      <c r="B594" s="593" t="s">
        <v>5428</v>
      </c>
      <c r="C594" s="593" t="s">
        <v>6541</v>
      </c>
      <c r="D594" s="593" t="s">
        <v>85</v>
      </c>
      <c r="E594" s="593" t="s">
        <v>6572</v>
      </c>
      <c r="F594" s="674" t="s">
        <v>6573</v>
      </c>
      <c r="G594" s="593" t="s">
        <v>165</v>
      </c>
      <c r="H594" s="595" t="s">
        <v>6574</v>
      </c>
      <c r="I594" s="565" t="e">
        <f>VLOOKUP(H594,'合同高级查询数据-10月新返回合同'!A:A,1,0)</f>
        <v>#N/A</v>
      </c>
      <c r="J594" s="596" t="s">
        <v>3776</v>
      </c>
      <c r="K594" s="597" t="s">
        <v>6582</v>
      </c>
      <c r="L594" s="597" t="s">
        <v>6583</v>
      </c>
      <c r="M594" s="597" t="s">
        <v>6584</v>
      </c>
      <c r="N594" s="597" t="s">
        <v>6585</v>
      </c>
      <c r="O594" s="713" t="s">
        <v>6586</v>
      </c>
      <c r="P594" s="678">
        <v>1000</v>
      </c>
      <c r="Q594" s="639">
        <v>19.7</v>
      </c>
      <c r="R594" s="639">
        <f t="shared" si="38"/>
        <v>19700</v>
      </c>
      <c r="S594" s="570">
        <v>202310</v>
      </c>
      <c r="T594" s="706" t="s">
        <v>6587</v>
      </c>
      <c r="U594" s="688"/>
      <c r="V594" s="636">
        <v>19.645496744999999</v>
      </c>
      <c r="W594" s="597"/>
      <c r="X594" s="574">
        <v>44501</v>
      </c>
      <c r="Y594" s="574">
        <v>45291</v>
      </c>
      <c r="Z594" s="561" t="s">
        <v>6588</v>
      </c>
      <c r="AA594" s="689">
        <v>0</v>
      </c>
      <c r="AB594" s="636">
        <v>80</v>
      </c>
      <c r="AC594" s="713">
        <f t="shared" si="39"/>
        <v>0</v>
      </c>
    </row>
    <row r="595" spans="1:29" s="385" customFormat="1" ht="15" customHeight="1">
      <c r="A595" s="423" t="s">
        <v>57</v>
      </c>
      <c r="B595" s="422" t="s">
        <v>5428</v>
      </c>
      <c r="C595" s="422" t="s">
        <v>84</v>
      </c>
      <c r="D595" s="422" t="s">
        <v>85</v>
      </c>
      <c r="E595" s="422" t="s">
        <v>6589</v>
      </c>
      <c r="F595" s="499" t="s">
        <v>6590</v>
      </c>
      <c r="G595" s="422" t="s">
        <v>165</v>
      </c>
      <c r="H595" s="424" t="s">
        <v>6591</v>
      </c>
      <c r="I595" s="369" t="e">
        <f>VLOOKUP(H595,'合同高级查询数据-10月新返回合同'!A:A,1,0)</f>
        <v>#N/A</v>
      </c>
      <c r="J595" s="403" t="s">
        <v>3776</v>
      </c>
      <c r="K595" s="425" t="s">
        <v>6592</v>
      </c>
      <c r="L595" s="425" t="s">
        <v>6593</v>
      </c>
      <c r="M595" s="425" t="s">
        <v>6594</v>
      </c>
      <c r="N595" s="425">
        <v>39630</v>
      </c>
      <c r="O595" s="448" t="s">
        <v>4796</v>
      </c>
      <c r="P595" s="509">
        <v>50000</v>
      </c>
      <c r="Q595" s="447">
        <v>8.5</v>
      </c>
      <c r="R595" s="447">
        <f t="shared" si="38"/>
        <v>425000</v>
      </c>
      <c r="S595" s="378">
        <v>202310</v>
      </c>
      <c r="T595" s="530" t="s">
        <v>6595</v>
      </c>
      <c r="U595" s="510"/>
      <c r="V595" s="503">
        <v>16.556159807</v>
      </c>
      <c r="W595" s="425"/>
      <c r="X595" s="383"/>
      <c r="Y595" s="383"/>
      <c r="Z595" s="386" t="s">
        <v>6596</v>
      </c>
      <c r="AA595" s="536">
        <v>0.21249999999999999</v>
      </c>
      <c r="AB595" s="503">
        <v>40</v>
      </c>
      <c r="AC595" s="448">
        <f t="shared" si="39"/>
        <v>8.5</v>
      </c>
    </row>
    <row r="596" spans="1:29" s="385" customFormat="1" ht="15" customHeight="1">
      <c r="A596" s="423" t="s">
        <v>57</v>
      </c>
      <c r="B596" s="422" t="s">
        <v>5428</v>
      </c>
      <c r="C596" s="422" t="s">
        <v>84</v>
      </c>
      <c r="D596" s="422" t="s">
        <v>85</v>
      </c>
      <c r="E596" s="422" t="s">
        <v>6589</v>
      </c>
      <c r="F596" s="499" t="s">
        <v>6590</v>
      </c>
      <c r="G596" s="422" t="s">
        <v>165</v>
      </c>
      <c r="H596" s="424" t="s">
        <v>6597</v>
      </c>
      <c r="I596" s="369" t="e">
        <f>VLOOKUP(H596,'合同高级查询数据-10月新返回合同'!A:A,1,0)</f>
        <v>#N/A</v>
      </c>
      <c r="J596" s="403" t="s">
        <v>3776</v>
      </c>
      <c r="K596" s="425" t="s">
        <v>6598</v>
      </c>
      <c r="L596" s="425" t="s">
        <v>6599</v>
      </c>
      <c r="M596" s="425" t="s">
        <v>6600</v>
      </c>
      <c r="N596" s="425">
        <v>42347</v>
      </c>
      <c r="O596" s="448" t="s">
        <v>3847</v>
      </c>
      <c r="P596" s="509">
        <v>50000</v>
      </c>
      <c r="Q596" s="447">
        <v>0</v>
      </c>
      <c r="R596" s="447">
        <f t="shared" si="38"/>
        <v>0</v>
      </c>
      <c r="S596" s="378">
        <v>202310</v>
      </c>
      <c r="T596" s="530" t="s">
        <v>6601</v>
      </c>
      <c r="U596" s="510"/>
      <c r="V596" s="503">
        <v>1.7332120289999999</v>
      </c>
      <c r="W596" s="425"/>
      <c r="X596" s="383"/>
      <c r="Y596" s="386"/>
      <c r="Z596" s="386" t="s">
        <v>6602</v>
      </c>
      <c r="AA596" s="536">
        <v>0</v>
      </c>
      <c r="AB596" s="503">
        <v>20</v>
      </c>
      <c r="AC596" s="448">
        <f t="shared" si="39"/>
        <v>0</v>
      </c>
    </row>
    <row r="597" spans="1:29" s="385" customFormat="1" ht="15" customHeight="1">
      <c r="A597" s="423" t="s">
        <v>57</v>
      </c>
      <c r="B597" s="422" t="s">
        <v>5428</v>
      </c>
      <c r="C597" s="422" t="s">
        <v>84</v>
      </c>
      <c r="D597" s="422" t="s">
        <v>85</v>
      </c>
      <c r="E597" s="422" t="s">
        <v>6589</v>
      </c>
      <c r="F597" s="499" t="s">
        <v>6590</v>
      </c>
      <c r="G597" s="422" t="s">
        <v>165</v>
      </c>
      <c r="H597" s="424" t="s">
        <v>6591</v>
      </c>
      <c r="I597" s="369" t="e">
        <f>VLOOKUP(H597,'合同高级查询数据-10月新返回合同'!A:A,1,0)</f>
        <v>#N/A</v>
      </c>
      <c r="J597" s="403" t="s">
        <v>3724</v>
      </c>
      <c r="K597" s="425" t="s">
        <v>6603</v>
      </c>
      <c r="L597" s="425" t="s">
        <v>6604</v>
      </c>
      <c r="M597" s="425" t="s">
        <v>6605</v>
      </c>
      <c r="N597" s="425" t="s">
        <v>6606</v>
      </c>
      <c r="O597" s="448" t="s">
        <v>2187</v>
      </c>
      <c r="P597" s="509">
        <v>7286</v>
      </c>
      <c r="Q597" s="447">
        <v>28</v>
      </c>
      <c r="R597" s="447">
        <f t="shared" si="38"/>
        <v>204008</v>
      </c>
      <c r="S597" s="378">
        <v>202310</v>
      </c>
      <c r="T597" s="530" t="s">
        <v>6607</v>
      </c>
      <c r="U597" s="510"/>
      <c r="V597" s="503">
        <v>24.759050789</v>
      </c>
      <c r="W597" s="425"/>
      <c r="X597" s="383"/>
      <c r="Y597" s="383"/>
      <c r="Z597" s="386" t="s">
        <v>6608</v>
      </c>
      <c r="AA597" s="536">
        <v>0.28000000000000003</v>
      </c>
      <c r="AB597" s="503">
        <v>100</v>
      </c>
      <c r="AC597" s="448">
        <f t="shared" si="39"/>
        <v>28.000000000000004</v>
      </c>
    </row>
    <row r="598" spans="1:29" s="385" customFormat="1" ht="15" customHeight="1">
      <c r="A598" s="423" t="s">
        <v>57</v>
      </c>
      <c r="B598" s="422" t="s">
        <v>5428</v>
      </c>
      <c r="C598" s="422" t="s">
        <v>58</v>
      </c>
      <c r="D598" s="422" t="s">
        <v>85</v>
      </c>
      <c r="E598" s="422" t="s">
        <v>6589</v>
      </c>
      <c r="F598" s="499" t="s">
        <v>6590</v>
      </c>
      <c r="G598" s="422" t="s">
        <v>165</v>
      </c>
      <c r="H598" s="424" t="s">
        <v>6609</v>
      </c>
      <c r="I598" s="369" t="e">
        <f>VLOOKUP(H598,'合同高级查询数据-10月新返回合同'!A:A,1,0)</f>
        <v>#N/A</v>
      </c>
      <c r="J598" s="403" t="s">
        <v>3724</v>
      </c>
      <c r="K598" s="425"/>
      <c r="L598" s="425" t="s">
        <v>6610</v>
      </c>
      <c r="M598" s="425" t="s">
        <v>6611</v>
      </c>
      <c r="N598" s="425" t="s">
        <v>6612</v>
      </c>
      <c r="O598" s="448" t="s">
        <v>2509</v>
      </c>
      <c r="P598" s="509">
        <v>0</v>
      </c>
      <c r="Q598" s="447">
        <v>0</v>
      </c>
      <c r="R598" s="447">
        <f t="shared" si="38"/>
        <v>0</v>
      </c>
      <c r="S598" s="378">
        <v>202310</v>
      </c>
      <c r="T598" s="530" t="s">
        <v>6613</v>
      </c>
      <c r="U598" s="510"/>
      <c r="V598" s="503">
        <v>0</v>
      </c>
      <c r="W598" s="425"/>
      <c r="X598" s="383"/>
      <c r="Y598" s="386"/>
      <c r="Z598" s="386" t="s">
        <v>6614</v>
      </c>
      <c r="AA598" s="536">
        <v>0</v>
      </c>
      <c r="AB598" s="503">
        <v>10</v>
      </c>
      <c r="AC598" s="448">
        <f t="shared" si="39"/>
        <v>0</v>
      </c>
    </row>
    <row r="599" spans="1:29" s="385" customFormat="1" ht="15" customHeight="1">
      <c r="A599" s="423" t="s">
        <v>57</v>
      </c>
      <c r="B599" s="422" t="s">
        <v>5528</v>
      </c>
      <c r="C599" s="422" t="s">
        <v>814</v>
      </c>
      <c r="D599" s="422" t="s">
        <v>85</v>
      </c>
      <c r="E599" s="422" t="s">
        <v>6615</v>
      </c>
      <c r="F599" s="499" t="s">
        <v>6616</v>
      </c>
      <c r="G599" s="422" t="s">
        <v>165</v>
      </c>
      <c r="H599" s="424" t="s">
        <v>6617</v>
      </c>
      <c r="I599" s="369" t="e">
        <f>VLOOKUP(H599,'合同高级查询数据-10月新返回合同'!A:A,1,0)</f>
        <v>#N/A</v>
      </c>
      <c r="J599" s="403" t="s">
        <v>3724</v>
      </c>
      <c r="K599" s="425" t="s">
        <v>6618</v>
      </c>
      <c r="L599" s="425" t="s">
        <v>6619</v>
      </c>
      <c r="M599" s="425" t="s">
        <v>6620</v>
      </c>
      <c r="N599" s="425">
        <v>44819</v>
      </c>
      <c r="O599" s="448" t="s">
        <v>3847</v>
      </c>
      <c r="P599" s="509">
        <v>0</v>
      </c>
      <c r="Q599" s="447">
        <v>0</v>
      </c>
      <c r="R599" s="447">
        <f t="shared" si="38"/>
        <v>0</v>
      </c>
      <c r="S599" s="378">
        <v>202310</v>
      </c>
      <c r="T599" s="530" t="s">
        <v>6621</v>
      </c>
      <c r="U599" s="510"/>
      <c r="V599" s="503">
        <v>0</v>
      </c>
      <c r="W599" s="425"/>
      <c r="X599" s="383"/>
      <c r="Y599" s="383"/>
      <c r="Z599" s="386" t="s">
        <v>6622</v>
      </c>
      <c r="AA599" s="536">
        <v>0</v>
      </c>
      <c r="AB599" s="503">
        <v>20</v>
      </c>
      <c r="AC599" s="537">
        <f t="shared" si="39"/>
        <v>0</v>
      </c>
    </row>
    <row r="600" spans="1:29" s="577" customFormat="1" ht="15" customHeight="1">
      <c r="A600" s="563" t="s">
        <v>260</v>
      </c>
      <c r="B600" s="563" t="s">
        <v>6623</v>
      </c>
      <c r="C600" s="563" t="s">
        <v>6624</v>
      </c>
      <c r="D600" s="561" t="s">
        <v>6625</v>
      </c>
      <c r="E600" s="563" t="s">
        <v>6626</v>
      </c>
      <c r="F600" s="563" t="s">
        <v>6627</v>
      </c>
      <c r="G600" s="563" t="s">
        <v>165</v>
      </c>
      <c r="H600" s="564" t="s">
        <v>6628</v>
      </c>
      <c r="I600" s="565" t="e">
        <f>VLOOKUP(H600,'合同高级查询数据-10月新返回合同'!A:A,1,0)</f>
        <v>#N/A</v>
      </c>
      <c r="J600" s="674" t="s">
        <v>4013</v>
      </c>
      <c r="K600" s="563" t="s">
        <v>6629</v>
      </c>
      <c r="L600" s="675" t="s">
        <v>6630</v>
      </c>
      <c r="M600" s="596" t="s">
        <v>6631</v>
      </c>
      <c r="N600" s="657" t="s">
        <v>6632</v>
      </c>
      <c r="O600" s="563" t="s">
        <v>4397</v>
      </c>
      <c r="P600" s="719">
        <v>7083</v>
      </c>
      <c r="Q600" s="720">
        <v>0</v>
      </c>
      <c r="R600" s="719">
        <f t="shared" ref="R600:R637" si="40">ROUND(P600*Q600,2)</f>
        <v>0</v>
      </c>
      <c r="S600" s="570">
        <v>202310</v>
      </c>
      <c r="T600" s="693" t="s">
        <v>6633</v>
      </c>
      <c r="U600" s="721"/>
      <c r="V600" s="721">
        <v>0</v>
      </c>
      <c r="W600" s="721"/>
      <c r="X600" s="722">
        <v>44986</v>
      </c>
      <c r="Y600" s="722">
        <v>45351</v>
      </c>
      <c r="Z600" s="723"/>
      <c r="AA600" s="691">
        <v>0</v>
      </c>
      <c r="AB600" s="713">
        <v>0</v>
      </c>
      <c r="AC600" s="713">
        <f>AA600*AB600</f>
        <v>0</v>
      </c>
    </row>
    <row r="601" spans="1:29" s="577" customFormat="1" ht="15" customHeight="1">
      <c r="A601" s="563" t="s">
        <v>260</v>
      </c>
      <c r="B601" s="563" t="s">
        <v>6623</v>
      </c>
      <c r="C601" s="563" t="s">
        <v>6624</v>
      </c>
      <c r="D601" s="561" t="s">
        <v>6625</v>
      </c>
      <c r="E601" s="563" t="s">
        <v>6626</v>
      </c>
      <c r="F601" s="563" t="s">
        <v>6627</v>
      </c>
      <c r="G601" s="563" t="s">
        <v>165</v>
      </c>
      <c r="H601" s="564" t="s">
        <v>6628</v>
      </c>
      <c r="I601" s="565" t="e">
        <f>VLOOKUP(H601,'合同高级查询数据-10月新返回合同'!A:A,1,0)</f>
        <v>#N/A</v>
      </c>
      <c r="J601" s="674" t="s">
        <v>4013</v>
      </c>
      <c r="K601" s="563" t="s">
        <v>6634</v>
      </c>
      <c r="L601" s="675" t="s">
        <v>6635</v>
      </c>
      <c r="M601" s="596" t="s">
        <v>6636</v>
      </c>
      <c r="N601" s="657" t="s">
        <v>6637</v>
      </c>
      <c r="O601" s="563" t="s">
        <v>4397</v>
      </c>
      <c r="P601" s="719">
        <v>7083</v>
      </c>
      <c r="Q601" s="720">
        <v>0</v>
      </c>
      <c r="R601" s="719">
        <f t="shared" si="40"/>
        <v>0</v>
      </c>
      <c r="S601" s="570">
        <v>202310</v>
      </c>
      <c r="T601" s="693" t="s">
        <v>6638</v>
      </c>
      <c r="U601" s="724"/>
      <c r="V601" s="721">
        <v>0</v>
      </c>
      <c r="W601" s="721"/>
      <c r="X601" s="722">
        <v>44986</v>
      </c>
      <c r="Y601" s="722">
        <v>45351</v>
      </c>
      <c r="Z601" s="723"/>
      <c r="AA601" s="691">
        <v>0</v>
      </c>
      <c r="AB601" s="713">
        <v>0</v>
      </c>
      <c r="AC601" s="713">
        <f>AA601*AB601</f>
        <v>0</v>
      </c>
    </row>
    <row r="602" spans="1:29" s="577" customFormat="1" ht="15" customHeight="1">
      <c r="A602" s="563" t="s">
        <v>260</v>
      </c>
      <c r="B602" s="563" t="s">
        <v>6623</v>
      </c>
      <c r="C602" s="563" t="s">
        <v>6624</v>
      </c>
      <c r="D602" s="561" t="s">
        <v>6625</v>
      </c>
      <c r="E602" s="563" t="s">
        <v>6626</v>
      </c>
      <c r="F602" s="563" t="s">
        <v>6627</v>
      </c>
      <c r="G602" s="563" t="s">
        <v>165</v>
      </c>
      <c r="H602" s="564" t="s">
        <v>6628</v>
      </c>
      <c r="I602" s="565" t="e">
        <f>VLOOKUP(H602,'合同高级查询数据-10月新返回合同'!A:A,1,0)</f>
        <v>#N/A</v>
      </c>
      <c r="J602" s="674" t="s">
        <v>3724</v>
      </c>
      <c r="K602" s="563" t="s">
        <v>6639</v>
      </c>
      <c r="L602" s="675" t="s">
        <v>6640</v>
      </c>
      <c r="M602" s="596" t="s">
        <v>6641</v>
      </c>
      <c r="N602" s="657" t="s">
        <v>6642</v>
      </c>
      <c r="O602" s="563" t="s">
        <v>6643</v>
      </c>
      <c r="P602" s="719">
        <v>7083</v>
      </c>
      <c r="Q602" s="720">
        <v>43.82</v>
      </c>
      <c r="R602" s="719">
        <f t="shared" si="40"/>
        <v>310377.06</v>
      </c>
      <c r="S602" s="570">
        <v>202310</v>
      </c>
      <c r="T602" s="693" t="s">
        <v>6644</v>
      </c>
      <c r="U602" s="713"/>
      <c r="V602" s="721">
        <v>43.815677643000001</v>
      </c>
      <c r="W602" s="721"/>
      <c r="X602" s="722">
        <v>44986</v>
      </c>
      <c r="Y602" s="722">
        <v>45351</v>
      </c>
      <c r="Z602" s="561" t="s">
        <v>6645</v>
      </c>
      <c r="AA602" s="683">
        <v>0.2</v>
      </c>
      <c r="AB602" s="582">
        <v>180</v>
      </c>
      <c r="AC602" s="713">
        <f>AA602*AB602</f>
        <v>36</v>
      </c>
    </row>
    <row r="603" spans="1:29" s="577" customFormat="1" ht="15" customHeight="1">
      <c r="A603" s="563" t="s">
        <v>260</v>
      </c>
      <c r="B603" s="563" t="s">
        <v>6623</v>
      </c>
      <c r="C603" s="563" t="s">
        <v>6624</v>
      </c>
      <c r="D603" s="561" t="s">
        <v>6625</v>
      </c>
      <c r="E603" s="563" t="s">
        <v>6626</v>
      </c>
      <c r="F603" s="563" t="s">
        <v>6627</v>
      </c>
      <c r="G603" s="563" t="s">
        <v>165</v>
      </c>
      <c r="H603" s="564" t="s">
        <v>6628</v>
      </c>
      <c r="I603" s="565" t="e">
        <f>VLOOKUP(H603,'合同高级查询数据-10月新返回合同'!A:A,1,0)</f>
        <v>#N/A</v>
      </c>
      <c r="J603" s="674" t="s">
        <v>3724</v>
      </c>
      <c r="K603" s="563" t="s">
        <v>6646</v>
      </c>
      <c r="L603" s="675" t="s">
        <v>6647</v>
      </c>
      <c r="M603" s="596" t="s">
        <v>6648</v>
      </c>
      <c r="N603" s="597" t="s">
        <v>6649</v>
      </c>
      <c r="O603" s="563" t="s">
        <v>6650</v>
      </c>
      <c r="P603" s="719">
        <v>7333</v>
      </c>
      <c r="Q603" s="720">
        <v>101.6</v>
      </c>
      <c r="R603" s="719">
        <f t="shared" si="40"/>
        <v>745032.8</v>
      </c>
      <c r="S603" s="570">
        <v>202310</v>
      </c>
      <c r="T603" s="693" t="s">
        <v>6651</v>
      </c>
      <c r="U603" s="713"/>
      <c r="V603" s="721">
        <v>101.604431152</v>
      </c>
      <c r="W603" s="721"/>
      <c r="X603" s="722">
        <v>44986</v>
      </c>
      <c r="Y603" s="722">
        <v>45351</v>
      </c>
      <c r="Z603" s="561" t="s">
        <v>6652</v>
      </c>
      <c r="AA603" s="683">
        <v>0.2</v>
      </c>
      <c r="AB603" s="582">
        <v>280</v>
      </c>
      <c r="AC603" s="713">
        <f>AA603*AB603</f>
        <v>56</v>
      </c>
    </row>
    <row r="604" spans="1:29" s="577" customFormat="1" ht="15" customHeight="1">
      <c r="A604" s="563" t="s">
        <v>260</v>
      </c>
      <c r="B604" s="563" t="s">
        <v>6623</v>
      </c>
      <c r="C604" s="563" t="s">
        <v>6624</v>
      </c>
      <c r="D604" s="561" t="s">
        <v>6625</v>
      </c>
      <c r="E604" s="563" t="s">
        <v>6626</v>
      </c>
      <c r="F604" s="563" t="s">
        <v>6627</v>
      </c>
      <c r="G604" s="563" t="s">
        <v>165</v>
      </c>
      <c r="H604" s="564" t="s">
        <v>6628</v>
      </c>
      <c r="I604" s="565" t="e">
        <f>VLOOKUP(H604,'合同高级查询数据-10月新返回合同'!A:A,1,0)</f>
        <v>#N/A</v>
      </c>
      <c r="J604" s="674" t="s">
        <v>3724</v>
      </c>
      <c r="K604" s="563" t="s">
        <v>6639</v>
      </c>
      <c r="L604" s="675" t="s">
        <v>6640</v>
      </c>
      <c r="M604" s="596" t="s">
        <v>6641</v>
      </c>
      <c r="N604" s="657" t="s">
        <v>6642</v>
      </c>
      <c r="O604" s="563" t="s">
        <v>6643</v>
      </c>
      <c r="P604" s="719">
        <v>7083</v>
      </c>
      <c r="Q604" s="720">
        <v>0.3</v>
      </c>
      <c r="R604" s="719">
        <f t="shared" si="40"/>
        <v>2124.9</v>
      </c>
      <c r="S604" s="570">
        <v>202309</v>
      </c>
      <c r="T604" s="693" t="s">
        <v>6653</v>
      </c>
      <c r="U604" s="713"/>
      <c r="V604" s="713"/>
      <c r="W604" s="713"/>
      <c r="X604" s="722"/>
      <c r="Y604" s="722"/>
      <c r="Z604" s="561"/>
      <c r="AA604" s="683"/>
      <c r="AB604" s="582"/>
      <c r="AC604" s="582"/>
    </row>
    <row r="605" spans="1:29" s="577" customFormat="1" ht="15" customHeight="1">
      <c r="A605" s="563" t="s">
        <v>260</v>
      </c>
      <c r="B605" s="563" t="s">
        <v>6623</v>
      </c>
      <c r="C605" s="563" t="s">
        <v>6654</v>
      </c>
      <c r="D605" s="561" t="s">
        <v>6625</v>
      </c>
      <c r="E605" s="563" t="s">
        <v>6655</v>
      </c>
      <c r="F605" s="563" t="s">
        <v>6656</v>
      </c>
      <c r="G605" s="563" t="s">
        <v>165</v>
      </c>
      <c r="H605" s="564" t="s">
        <v>6657</v>
      </c>
      <c r="I605" s="565" t="e">
        <f>VLOOKUP(H605,'合同高级查询数据-10月新返回合同'!A:A,1,0)</f>
        <v>#N/A</v>
      </c>
      <c r="J605" s="674" t="s">
        <v>3724</v>
      </c>
      <c r="K605" s="563" t="s">
        <v>6658</v>
      </c>
      <c r="L605" s="675" t="s">
        <v>6659</v>
      </c>
      <c r="M605" s="596" t="s">
        <v>6660</v>
      </c>
      <c r="N605" s="657" t="s">
        <v>6661</v>
      </c>
      <c r="O605" s="564" t="s">
        <v>6662</v>
      </c>
      <c r="P605" s="719">
        <v>9500</v>
      </c>
      <c r="Q605" s="720">
        <v>21.05</v>
      </c>
      <c r="R605" s="719">
        <f t="shared" si="40"/>
        <v>199975</v>
      </c>
      <c r="S605" s="570">
        <v>202310</v>
      </c>
      <c r="T605" s="693" t="s">
        <v>6663</v>
      </c>
      <c r="U605" s="713"/>
      <c r="V605" s="721">
        <v>21.054100570999999</v>
      </c>
      <c r="W605" s="721"/>
      <c r="X605" s="574">
        <v>44927</v>
      </c>
      <c r="Y605" s="574">
        <v>45291</v>
      </c>
      <c r="Z605" s="561" t="s">
        <v>6664</v>
      </c>
      <c r="AA605" s="683">
        <v>0.3</v>
      </c>
      <c r="AB605" s="582">
        <v>60</v>
      </c>
      <c r="AC605" s="713">
        <f t="shared" ref="AC605:AC625" si="41">AA605*AB605</f>
        <v>18</v>
      </c>
    </row>
    <row r="606" spans="1:29" s="577" customFormat="1" ht="15" customHeight="1">
      <c r="A606" s="563" t="s">
        <v>260</v>
      </c>
      <c r="B606" s="563" t="s">
        <v>6623</v>
      </c>
      <c r="C606" s="563" t="s">
        <v>6654</v>
      </c>
      <c r="D606" s="561" t="s">
        <v>6625</v>
      </c>
      <c r="E606" s="563" t="s">
        <v>6655</v>
      </c>
      <c r="F606" s="563" t="s">
        <v>6656</v>
      </c>
      <c r="G606" s="563" t="s">
        <v>165</v>
      </c>
      <c r="H606" s="564" t="s">
        <v>6657</v>
      </c>
      <c r="I606" s="565" t="e">
        <f>VLOOKUP(H606,'合同高级查询数据-10月新返回合同'!A:A,1,0)</f>
        <v>#N/A</v>
      </c>
      <c r="J606" s="674" t="s">
        <v>3724</v>
      </c>
      <c r="K606" s="563" t="s">
        <v>6665</v>
      </c>
      <c r="L606" s="675" t="s">
        <v>6666</v>
      </c>
      <c r="M606" s="596" t="s">
        <v>6667</v>
      </c>
      <c r="N606" s="657" t="s">
        <v>6668</v>
      </c>
      <c r="O606" s="674" t="s">
        <v>6669</v>
      </c>
      <c r="P606" s="719">
        <v>9500</v>
      </c>
      <c r="Q606" s="720">
        <v>0</v>
      </c>
      <c r="R606" s="719">
        <f t="shared" si="40"/>
        <v>0</v>
      </c>
      <c r="S606" s="570">
        <v>202310</v>
      </c>
      <c r="T606" s="693" t="s">
        <v>6670</v>
      </c>
      <c r="U606" s="713"/>
      <c r="V606" s="721">
        <v>0</v>
      </c>
      <c r="W606" s="721"/>
      <c r="X606" s="574">
        <v>44927</v>
      </c>
      <c r="Y606" s="574">
        <v>45291</v>
      </c>
      <c r="Z606" s="723"/>
      <c r="AA606" s="691">
        <v>0</v>
      </c>
      <c r="AB606" s="713">
        <v>0</v>
      </c>
      <c r="AC606" s="713">
        <f t="shared" si="41"/>
        <v>0</v>
      </c>
    </row>
    <row r="607" spans="1:29" s="577" customFormat="1" ht="15" customHeight="1">
      <c r="A607" s="563" t="s">
        <v>260</v>
      </c>
      <c r="B607" s="563" t="s">
        <v>6623</v>
      </c>
      <c r="C607" s="563" t="s">
        <v>6654</v>
      </c>
      <c r="D607" s="561" t="s">
        <v>6625</v>
      </c>
      <c r="E607" s="563" t="s">
        <v>6655</v>
      </c>
      <c r="F607" s="563" t="s">
        <v>6656</v>
      </c>
      <c r="G607" s="563" t="s">
        <v>165</v>
      </c>
      <c r="H607" s="564" t="s">
        <v>6657</v>
      </c>
      <c r="I607" s="565" t="e">
        <f>VLOOKUP(H607,'合同高级查询数据-10月新返回合同'!A:A,1,0)</f>
        <v>#N/A</v>
      </c>
      <c r="J607" s="674" t="s">
        <v>3724</v>
      </c>
      <c r="K607" s="563" t="s">
        <v>6671</v>
      </c>
      <c r="L607" s="675" t="s">
        <v>6672</v>
      </c>
      <c r="M607" s="596" t="s">
        <v>6673</v>
      </c>
      <c r="N607" s="657" t="s">
        <v>6674</v>
      </c>
      <c r="O607" s="725" t="s">
        <v>6675</v>
      </c>
      <c r="P607" s="719">
        <v>9500</v>
      </c>
      <c r="Q607" s="720">
        <v>0</v>
      </c>
      <c r="R607" s="719">
        <f t="shared" si="40"/>
        <v>0</v>
      </c>
      <c r="S607" s="570">
        <v>202310</v>
      </c>
      <c r="T607" s="693" t="s">
        <v>6676</v>
      </c>
      <c r="U607" s="713"/>
      <c r="V607" s="721">
        <v>0</v>
      </c>
      <c r="W607" s="721"/>
      <c r="X607" s="574">
        <v>44927</v>
      </c>
      <c r="Y607" s="574">
        <v>45291</v>
      </c>
      <c r="Z607" s="723"/>
      <c r="AA607" s="691">
        <v>0</v>
      </c>
      <c r="AB607" s="713">
        <v>0</v>
      </c>
      <c r="AC607" s="713">
        <f t="shared" si="41"/>
        <v>0</v>
      </c>
    </row>
    <row r="608" spans="1:29" s="577" customFormat="1" ht="15" customHeight="1">
      <c r="A608" s="563" t="s">
        <v>260</v>
      </c>
      <c r="B608" s="563" t="s">
        <v>6623</v>
      </c>
      <c r="C608" s="563" t="s">
        <v>6654</v>
      </c>
      <c r="D608" s="561" t="s">
        <v>6625</v>
      </c>
      <c r="E608" s="563" t="s">
        <v>6655</v>
      </c>
      <c r="F608" s="563" t="s">
        <v>6656</v>
      </c>
      <c r="G608" s="563" t="s">
        <v>165</v>
      </c>
      <c r="H608" s="564" t="s">
        <v>6657</v>
      </c>
      <c r="I608" s="565" t="e">
        <f>VLOOKUP(H608,'合同高级查询数据-10月新返回合同'!A:A,1,0)</f>
        <v>#N/A</v>
      </c>
      <c r="J608" s="674" t="s">
        <v>3724</v>
      </c>
      <c r="K608" s="563" t="s">
        <v>6677</v>
      </c>
      <c r="L608" s="675" t="s">
        <v>6678</v>
      </c>
      <c r="M608" s="596" t="s">
        <v>6679</v>
      </c>
      <c r="N608" s="657" t="s">
        <v>6680</v>
      </c>
      <c r="O608" s="564" t="s">
        <v>6681</v>
      </c>
      <c r="P608" s="719">
        <v>9500</v>
      </c>
      <c r="Q608" s="720">
        <v>0</v>
      </c>
      <c r="R608" s="719">
        <f t="shared" si="40"/>
        <v>0</v>
      </c>
      <c r="S608" s="570">
        <v>202310</v>
      </c>
      <c r="T608" s="693" t="s">
        <v>6682</v>
      </c>
      <c r="U608" s="713"/>
      <c r="V608" s="721">
        <v>0</v>
      </c>
      <c r="W608" s="721"/>
      <c r="X608" s="574">
        <v>44927</v>
      </c>
      <c r="Y608" s="574">
        <v>45291</v>
      </c>
      <c r="Z608" s="723"/>
      <c r="AA608" s="691">
        <v>0</v>
      </c>
      <c r="AB608" s="713">
        <v>0</v>
      </c>
      <c r="AC608" s="713">
        <f t="shared" si="41"/>
        <v>0</v>
      </c>
    </row>
    <row r="609" spans="1:29" s="577" customFormat="1" ht="15" customHeight="1">
      <c r="A609" s="563" t="s">
        <v>260</v>
      </c>
      <c r="B609" s="563" t="s">
        <v>6623</v>
      </c>
      <c r="C609" s="563" t="s">
        <v>6654</v>
      </c>
      <c r="D609" s="561" t="s">
        <v>6625</v>
      </c>
      <c r="E609" s="563" t="s">
        <v>6655</v>
      </c>
      <c r="F609" s="563" t="s">
        <v>6656</v>
      </c>
      <c r="G609" s="563" t="s">
        <v>165</v>
      </c>
      <c r="H609" s="564" t="s">
        <v>6657</v>
      </c>
      <c r="I609" s="565" t="e">
        <f>VLOOKUP(H609,'合同高级查询数据-10月新返回合同'!A:A,1,0)</f>
        <v>#N/A</v>
      </c>
      <c r="J609" s="674" t="s">
        <v>4013</v>
      </c>
      <c r="K609" s="563" t="s">
        <v>6683</v>
      </c>
      <c r="L609" s="675" t="s">
        <v>6684</v>
      </c>
      <c r="M609" s="596" t="s">
        <v>6685</v>
      </c>
      <c r="N609" s="657" t="s">
        <v>6686</v>
      </c>
      <c r="O609" s="564" t="s">
        <v>5972</v>
      </c>
      <c r="P609" s="719">
        <v>9500</v>
      </c>
      <c r="Q609" s="720">
        <v>0</v>
      </c>
      <c r="R609" s="719">
        <f t="shared" si="40"/>
        <v>0</v>
      </c>
      <c r="S609" s="570">
        <v>202310</v>
      </c>
      <c r="T609" s="693" t="s">
        <v>6687</v>
      </c>
      <c r="U609" s="713"/>
      <c r="V609" s="721">
        <v>0</v>
      </c>
      <c r="W609" s="721"/>
      <c r="X609" s="574">
        <v>44927</v>
      </c>
      <c r="Y609" s="574">
        <v>45291</v>
      </c>
      <c r="Z609" s="561"/>
      <c r="AA609" s="683">
        <v>0</v>
      </c>
      <c r="AB609" s="582">
        <v>0</v>
      </c>
      <c r="AC609" s="713">
        <f t="shared" si="41"/>
        <v>0</v>
      </c>
    </row>
    <row r="610" spans="1:29" s="577" customFormat="1" ht="15" customHeight="1">
      <c r="A610" s="563" t="s">
        <v>260</v>
      </c>
      <c r="B610" s="563" t="s">
        <v>6623</v>
      </c>
      <c r="C610" s="563" t="s">
        <v>6654</v>
      </c>
      <c r="D610" s="561" t="s">
        <v>6625</v>
      </c>
      <c r="E610" s="563" t="s">
        <v>6655</v>
      </c>
      <c r="F610" s="563" t="s">
        <v>6656</v>
      </c>
      <c r="G610" s="563" t="s">
        <v>165</v>
      </c>
      <c r="H610" s="564" t="s">
        <v>6657</v>
      </c>
      <c r="I610" s="565" t="e">
        <f>VLOOKUP(H610,'合同高级查询数据-10月新返回合同'!A:A,1,0)</f>
        <v>#N/A</v>
      </c>
      <c r="J610" s="674" t="s">
        <v>4013</v>
      </c>
      <c r="K610" s="563" t="s">
        <v>6555</v>
      </c>
      <c r="L610" s="675" t="s">
        <v>6688</v>
      </c>
      <c r="M610" s="596" t="s">
        <v>6689</v>
      </c>
      <c r="N610" s="657" t="s">
        <v>6690</v>
      </c>
      <c r="O610" s="564" t="s">
        <v>4397</v>
      </c>
      <c r="P610" s="719">
        <v>9500</v>
      </c>
      <c r="Q610" s="720">
        <v>0</v>
      </c>
      <c r="R610" s="719">
        <f t="shared" si="40"/>
        <v>0</v>
      </c>
      <c r="S610" s="570">
        <v>202310</v>
      </c>
      <c r="T610" s="693" t="s">
        <v>6691</v>
      </c>
      <c r="U610" s="713"/>
      <c r="V610" s="721">
        <v>0</v>
      </c>
      <c r="W610" s="721"/>
      <c r="X610" s="574">
        <v>44927</v>
      </c>
      <c r="Y610" s="574">
        <v>45291</v>
      </c>
      <c r="Z610" s="723"/>
      <c r="AA610" s="691">
        <v>0</v>
      </c>
      <c r="AB610" s="713">
        <v>0</v>
      </c>
      <c r="AC610" s="713">
        <f t="shared" si="41"/>
        <v>0</v>
      </c>
    </row>
    <row r="611" spans="1:29" s="577" customFormat="1" ht="15" customHeight="1">
      <c r="A611" s="563" t="s">
        <v>260</v>
      </c>
      <c r="B611" s="563" t="s">
        <v>6623</v>
      </c>
      <c r="C611" s="563" t="s">
        <v>6654</v>
      </c>
      <c r="D611" s="561" t="s">
        <v>6625</v>
      </c>
      <c r="E611" s="563" t="s">
        <v>6655</v>
      </c>
      <c r="F611" s="563" t="s">
        <v>6656</v>
      </c>
      <c r="G611" s="563" t="s">
        <v>165</v>
      </c>
      <c r="H611" s="564" t="s">
        <v>6657</v>
      </c>
      <c r="I611" s="565" t="e">
        <f>VLOOKUP(H611,'合同高级查询数据-10月新返回合同'!A:A,1,0)</f>
        <v>#N/A</v>
      </c>
      <c r="J611" s="674" t="s">
        <v>4013</v>
      </c>
      <c r="K611" s="563" t="s">
        <v>6555</v>
      </c>
      <c r="L611" s="675" t="s">
        <v>6688</v>
      </c>
      <c r="M611" s="596" t="s">
        <v>6692</v>
      </c>
      <c r="N611" s="657" t="s">
        <v>6693</v>
      </c>
      <c r="O611" s="564" t="s">
        <v>4397</v>
      </c>
      <c r="P611" s="719">
        <v>9500</v>
      </c>
      <c r="Q611" s="720">
        <v>0</v>
      </c>
      <c r="R611" s="719">
        <f t="shared" si="40"/>
        <v>0</v>
      </c>
      <c r="S611" s="570">
        <v>202310</v>
      </c>
      <c r="T611" s="693" t="s">
        <v>6694</v>
      </c>
      <c r="U611" s="713"/>
      <c r="V611" s="721">
        <v>0</v>
      </c>
      <c r="W611" s="721"/>
      <c r="X611" s="574">
        <v>44927</v>
      </c>
      <c r="Y611" s="574">
        <v>45291</v>
      </c>
      <c r="Z611" s="723"/>
      <c r="AA611" s="691">
        <v>0</v>
      </c>
      <c r="AB611" s="713">
        <v>0</v>
      </c>
      <c r="AC611" s="713">
        <f t="shared" si="41"/>
        <v>0</v>
      </c>
    </row>
    <row r="612" spans="1:29" s="577" customFormat="1" ht="15" customHeight="1">
      <c r="A612" s="563" t="s">
        <v>260</v>
      </c>
      <c r="B612" s="563" t="s">
        <v>6623</v>
      </c>
      <c r="C612" s="563" t="s">
        <v>6654</v>
      </c>
      <c r="D612" s="561" t="s">
        <v>6625</v>
      </c>
      <c r="E612" s="563" t="s">
        <v>6655</v>
      </c>
      <c r="F612" s="563" t="s">
        <v>6656</v>
      </c>
      <c r="G612" s="563" t="s">
        <v>165</v>
      </c>
      <c r="H612" s="564" t="s">
        <v>6657</v>
      </c>
      <c r="I612" s="565" t="e">
        <f>VLOOKUP(H612,'合同高级查询数据-10月新返回合同'!A:A,1,0)</f>
        <v>#N/A</v>
      </c>
      <c r="J612" s="674" t="s">
        <v>3724</v>
      </c>
      <c r="K612" s="563" t="s">
        <v>6695</v>
      </c>
      <c r="L612" s="675" t="s">
        <v>6695</v>
      </c>
      <c r="M612" s="721" t="s">
        <v>6696</v>
      </c>
      <c r="N612" s="657"/>
      <c r="O612" s="713">
        <v>0</v>
      </c>
      <c r="P612" s="719">
        <v>9500</v>
      </c>
      <c r="Q612" s="720">
        <v>0</v>
      </c>
      <c r="R612" s="719">
        <f t="shared" si="40"/>
        <v>0</v>
      </c>
      <c r="S612" s="570">
        <v>202310</v>
      </c>
      <c r="T612" s="693" t="s">
        <v>6697</v>
      </c>
      <c r="U612" s="713"/>
      <c r="V612" s="721">
        <v>0</v>
      </c>
      <c r="W612" s="721"/>
      <c r="X612" s="574">
        <v>44927</v>
      </c>
      <c r="Y612" s="574">
        <v>45291</v>
      </c>
      <c r="Z612" s="723"/>
      <c r="AA612" s="691">
        <v>0</v>
      </c>
      <c r="AB612" s="713">
        <v>0</v>
      </c>
      <c r="AC612" s="713">
        <f t="shared" si="41"/>
        <v>0</v>
      </c>
    </row>
    <row r="613" spans="1:29" s="577" customFormat="1" ht="15" customHeight="1">
      <c r="A613" s="563" t="s">
        <v>260</v>
      </c>
      <c r="B613" s="563" t="s">
        <v>6623</v>
      </c>
      <c r="C613" s="563" t="s">
        <v>6654</v>
      </c>
      <c r="D613" s="561" t="s">
        <v>6625</v>
      </c>
      <c r="E613" s="563" t="s">
        <v>6655</v>
      </c>
      <c r="F613" s="563" t="s">
        <v>6656</v>
      </c>
      <c r="G613" s="563" t="s">
        <v>165</v>
      </c>
      <c r="H613" s="564" t="s">
        <v>6657</v>
      </c>
      <c r="I613" s="565" t="e">
        <f>VLOOKUP(H613,'合同高级查询数据-10月新返回合同'!A:A,1,0)</f>
        <v>#N/A</v>
      </c>
      <c r="J613" s="674" t="s">
        <v>3724</v>
      </c>
      <c r="K613" s="563" t="s">
        <v>6698</v>
      </c>
      <c r="L613" s="675" t="s">
        <v>6698</v>
      </c>
      <c r="M613" s="596" t="s">
        <v>6699</v>
      </c>
      <c r="N613" s="657" t="s">
        <v>6700</v>
      </c>
      <c r="O613" s="564" t="s">
        <v>6701</v>
      </c>
      <c r="P613" s="719">
        <v>9500</v>
      </c>
      <c r="Q613" s="720">
        <v>14.17</v>
      </c>
      <c r="R613" s="719">
        <f t="shared" si="40"/>
        <v>134615</v>
      </c>
      <c r="S613" s="570">
        <v>202310</v>
      </c>
      <c r="T613" s="693" t="s">
        <v>6702</v>
      </c>
      <c r="U613" s="713"/>
      <c r="V613" s="721">
        <v>14.168584098</v>
      </c>
      <c r="W613" s="721"/>
      <c r="X613" s="574">
        <v>44927</v>
      </c>
      <c r="Y613" s="574">
        <v>45291</v>
      </c>
      <c r="Z613" s="561" t="s">
        <v>6703</v>
      </c>
      <c r="AA613" s="683">
        <v>0.3</v>
      </c>
      <c r="AB613" s="582">
        <v>40</v>
      </c>
      <c r="AC613" s="713">
        <f t="shared" si="41"/>
        <v>12</v>
      </c>
    </row>
    <row r="614" spans="1:29" s="577" customFormat="1" ht="15" customHeight="1">
      <c r="A614" s="563" t="s">
        <v>260</v>
      </c>
      <c r="B614" s="563" t="s">
        <v>6623</v>
      </c>
      <c r="C614" s="563" t="s">
        <v>6654</v>
      </c>
      <c r="D614" s="561" t="s">
        <v>6625</v>
      </c>
      <c r="E614" s="563" t="s">
        <v>6655</v>
      </c>
      <c r="F614" s="563" t="s">
        <v>6656</v>
      </c>
      <c r="G614" s="563" t="s">
        <v>165</v>
      </c>
      <c r="H614" s="564" t="s">
        <v>6657</v>
      </c>
      <c r="I614" s="565" t="e">
        <f>VLOOKUP(H614,'合同高级查询数据-10月新返回合同'!A:A,1,0)</f>
        <v>#N/A</v>
      </c>
      <c r="J614" s="674" t="s">
        <v>4875</v>
      </c>
      <c r="K614" s="675"/>
      <c r="L614" s="675" t="s">
        <v>6704</v>
      </c>
      <c r="M614" s="596" t="s">
        <v>6600</v>
      </c>
      <c r="N614" s="726" t="s">
        <v>6705</v>
      </c>
      <c r="O614" s="674" t="s">
        <v>4351</v>
      </c>
      <c r="P614" s="719">
        <v>9500</v>
      </c>
      <c r="Q614" s="720">
        <v>111.11</v>
      </c>
      <c r="R614" s="719">
        <f t="shared" si="40"/>
        <v>1055545</v>
      </c>
      <c r="S614" s="570">
        <v>202310</v>
      </c>
      <c r="T614" s="693" t="s">
        <v>6706</v>
      </c>
      <c r="U614" s="713"/>
      <c r="V614" s="721">
        <v>111.105785342</v>
      </c>
      <c r="W614" s="721"/>
      <c r="X614" s="574">
        <v>44927</v>
      </c>
      <c r="Y614" s="574">
        <v>45291</v>
      </c>
      <c r="Z614" s="561" t="s">
        <v>6707</v>
      </c>
      <c r="AA614" s="683">
        <v>0.3</v>
      </c>
      <c r="AB614" s="582">
        <v>200</v>
      </c>
      <c r="AC614" s="713">
        <f t="shared" si="41"/>
        <v>60</v>
      </c>
    </row>
    <row r="615" spans="1:29" s="385" customFormat="1" ht="15" customHeight="1">
      <c r="A615" s="388" t="s">
        <v>260</v>
      </c>
      <c r="B615" s="388" t="s">
        <v>6623</v>
      </c>
      <c r="C615" s="388" t="s">
        <v>6654</v>
      </c>
      <c r="D615" s="386" t="s">
        <v>6625</v>
      </c>
      <c r="E615" s="388" t="s">
        <v>6655</v>
      </c>
      <c r="F615" s="388" t="s">
        <v>6656</v>
      </c>
      <c r="G615" s="388" t="s">
        <v>165</v>
      </c>
      <c r="H615" s="389" t="s">
        <v>6708</v>
      </c>
      <c r="I615" s="369" t="e">
        <f>VLOOKUP(H615,'合同高级查询数据-10月新返回合同'!A:A,1,0)</f>
        <v>#N/A</v>
      </c>
      <c r="J615" s="499" t="s">
        <v>3776</v>
      </c>
      <c r="K615" s="388" t="s">
        <v>6709</v>
      </c>
      <c r="L615" s="486" t="s">
        <v>6709</v>
      </c>
      <c r="M615" s="403" t="s">
        <v>6600</v>
      </c>
      <c r="N615" s="475" t="s">
        <v>6710</v>
      </c>
      <c r="O615" s="538" t="s">
        <v>5660</v>
      </c>
      <c r="P615" s="539">
        <v>180000</v>
      </c>
      <c r="Q615" s="540">
        <v>5.3</v>
      </c>
      <c r="R615" s="539">
        <f t="shared" si="40"/>
        <v>954000</v>
      </c>
      <c r="S615" s="378">
        <v>202310</v>
      </c>
      <c r="T615" s="514" t="s">
        <v>6711</v>
      </c>
      <c r="U615" s="448"/>
      <c r="V615" s="541">
        <v>5.2530793469999999</v>
      </c>
      <c r="W615" s="541"/>
      <c r="X615" s="383"/>
      <c r="Y615" s="383"/>
      <c r="Z615" s="386" t="s">
        <v>6712</v>
      </c>
      <c r="AA615" s="506">
        <v>0</v>
      </c>
      <c r="AB615" s="410">
        <v>40</v>
      </c>
      <c r="AC615" s="448">
        <f t="shared" si="41"/>
        <v>0</v>
      </c>
    </row>
    <row r="616" spans="1:29" s="577" customFormat="1" ht="15" customHeight="1">
      <c r="A616" s="563" t="s">
        <v>260</v>
      </c>
      <c r="B616" s="563" t="s">
        <v>6623</v>
      </c>
      <c r="C616" s="563" t="s">
        <v>6654</v>
      </c>
      <c r="D616" s="561" t="s">
        <v>6625</v>
      </c>
      <c r="E616" s="563" t="s">
        <v>6655</v>
      </c>
      <c r="F616" s="563" t="s">
        <v>6656</v>
      </c>
      <c r="G616" s="563" t="s">
        <v>165</v>
      </c>
      <c r="H616" s="564" t="s">
        <v>6713</v>
      </c>
      <c r="I616" s="565" t="e">
        <f>VLOOKUP(H616,'合同高级查询数据-10月新返回合同'!A:A,1,0)</f>
        <v>#N/A</v>
      </c>
      <c r="J616" s="674" t="s">
        <v>4875</v>
      </c>
      <c r="K616" s="563" t="s">
        <v>6714</v>
      </c>
      <c r="L616" s="675" t="s">
        <v>6714</v>
      </c>
      <c r="M616" s="596" t="s">
        <v>6600</v>
      </c>
      <c r="N616" s="657" t="s">
        <v>6715</v>
      </c>
      <c r="O616" s="725" t="s">
        <v>6716</v>
      </c>
      <c r="P616" s="719">
        <v>30000</v>
      </c>
      <c r="Q616" s="720">
        <v>64.180000000000007</v>
      </c>
      <c r="R616" s="719">
        <f t="shared" si="40"/>
        <v>1925400</v>
      </c>
      <c r="S616" s="570">
        <v>202310</v>
      </c>
      <c r="T616" s="693" t="s">
        <v>6717</v>
      </c>
      <c r="U616" s="713"/>
      <c r="V616" s="721">
        <v>64.180491681999996</v>
      </c>
      <c r="W616" s="721"/>
      <c r="X616" s="722">
        <v>44927</v>
      </c>
      <c r="Y616" s="722">
        <v>45291</v>
      </c>
      <c r="Z616" s="561" t="s">
        <v>6600</v>
      </c>
      <c r="AA616" s="683">
        <v>0.1</v>
      </c>
      <c r="AB616" s="582">
        <v>300</v>
      </c>
      <c r="AC616" s="713">
        <f t="shared" si="41"/>
        <v>30</v>
      </c>
    </row>
    <row r="617" spans="1:29" s="385" customFormat="1" ht="15" customHeight="1">
      <c r="A617" s="388" t="s">
        <v>260</v>
      </c>
      <c r="B617" s="388" t="s">
        <v>6623</v>
      </c>
      <c r="C617" s="388" t="s">
        <v>6654</v>
      </c>
      <c r="D617" s="386" t="s">
        <v>6625</v>
      </c>
      <c r="E617" s="388" t="s">
        <v>6655</v>
      </c>
      <c r="F617" s="388" t="s">
        <v>6656</v>
      </c>
      <c r="G617" s="388" t="s">
        <v>165</v>
      </c>
      <c r="H617" s="389" t="s">
        <v>6718</v>
      </c>
      <c r="I617" s="369" t="e">
        <f>VLOOKUP(H617,'合同高级查询数据-10月新返回合同'!A:A,1,0)</f>
        <v>#N/A</v>
      </c>
      <c r="J617" s="499" t="s">
        <v>3724</v>
      </c>
      <c r="K617" s="486" t="s">
        <v>6719</v>
      </c>
      <c r="L617" s="486" t="s">
        <v>6720</v>
      </c>
      <c r="M617" s="403" t="s">
        <v>6721</v>
      </c>
      <c r="N617" s="538">
        <v>45200</v>
      </c>
      <c r="O617" s="538" t="s">
        <v>2187</v>
      </c>
      <c r="P617" s="539">
        <v>9500</v>
      </c>
      <c r="Q617" s="540">
        <v>36.65</v>
      </c>
      <c r="R617" s="539">
        <f t="shared" si="40"/>
        <v>348175</v>
      </c>
      <c r="S617" s="378">
        <v>202310</v>
      </c>
      <c r="T617" s="514" t="s">
        <v>6722</v>
      </c>
      <c r="U617" s="448"/>
      <c r="V617" s="541">
        <v>36.654453738000001</v>
      </c>
      <c r="W617" s="448"/>
      <c r="X617" s="383"/>
      <c r="Y617" s="383"/>
      <c r="Z617" s="386" t="s">
        <v>6723</v>
      </c>
      <c r="AA617" s="506">
        <v>0.3</v>
      </c>
      <c r="AB617" s="410">
        <v>100</v>
      </c>
      <c r="AC617" s="410">
        <f t="shared" si="41"/>
        <v>30</v>
      </c>
    </row>
    <row r="618" spans="1:29" s="385" customFormat="1" ht="15" customHeight="1">
      <c r="A618" s="388" t="s">
        <v>260</v>
      </c>
      <c r="B618" s="388" t="s">
        <v>6623</v>
      </c>
      <c r="C618" s="388" t="s">
        <v>6724</v>
      </c>
      <c r="D618" s="386" t="s">
        <v>6625</v>
      </c>
      <c r="E618" s="388" t="s">
        <v>6725</v>
      </c>
      <c r="F618" s="388" t="s">
        <v>6726</v>
      </c>
      <c r="G618" s="388" t="s">
        <v>165</v>
      </c>
      <c r="H618" s="389" t="s">
        <v>6727</v>
      </c>
      <c r="I618" s="369" t="e">
        <f>VLOOKUP(H618,'合同高级查询数据-10月新返回合同'!A:A,1,0)</f>
        <v>#N/A</v>
      </c>
      <c r="J618" s="499" t="s">
        <v>3724</v>
      </c>
      <c r="K618" s="388" t="s">
        <v>6728</v>
      </c>
      <c r="L618" s="486" t="s">
        <v>6729</v>
      </c>
      <c r="M618" s="403" t="s">
        <v>6730</v>
      </c>
      <c r="N618" s="475" t="s">
        <v>6731</v>
      </c>
      <c r="O618" s="538" t="s">
        <v>6732</v>
      </c>
      <c r="P618" s="539">
        <v>9500</v>
      </c>
      <c r="Q618" s="540">
        <v>6.8</v>
      </c>
      <c r="R618" s="539">
        <f t="shared" si="40"/>
        <v>64600</v>
      </c>
      <c r="S618" s="378">
        <v>202310</v>
      </c>
      <c r="T618" s="542" t="s">
        <v>6733</v>
      </c>
      <c r="U618" s="448"/>
      <c r="V618" s="541">
        <v>6.7442736630000004</v>
      </c>
      <c r="W618" s="541"/>
      <c r="X618" s="391"/>
      <c r="Y618" s="391"/>
      <c r="Z618" s="386" t="s">
        <v>6734</v>
      </c>
      <c r="AA618" s="506">
        <v>0.3</v>
      </c>
      <c r="AB618" s="410">
        <v>20</v>
      </c>
      <c r="AC618" s="448">
        <f t="shared" si="41"/>
        <v>6</v>
      </c>
    </row>
    <row r="619" spans="1:29" s="385" customFormat="1" ht="15" customHeight="1">
      <c r="A619" s="388" t="s">
        <v>260</v>
      </c>
      <c r="B619" s="388" t="s">
        <v>6623</v>
      </c>
      <c r="C619" s="388" t="s">
        <v>6735</v>
      </c>
      <c r="D619" s="386" t="s">
        <v>6625</v>
      </c>
      <c r="E619" s="388" t="s">
        <v>6736</v>
      </c>
      <c r="F619" s="388" t="s">
        <v>6737</v>
      </c>
      <c r="G619" s="388" t="s">
        <v>165</v>
      </c>
      <c r="H619" s="389" t="s">
        <v>6738</v>
      </c>
      <c r="I619" s="369" t="e">
        <f>VLOOKUP(H619,'合同高级查询数据-10月新返回合同'!A:A,1,0)</f>
        <v>#N/A</v>
      </c>
      <c r="J619" s="499" t="s">
        <v>3724</v>
      </c>
      <c r="K619" s="388" t="s">
        <v>6739</v>
      </c>
      <c r="L619" s="486" t="s">
        <v>6740</v>
      </c>
      <c r="M619" s="541" t="s">
        <v>6741</v>
      </c>
      <c r="N619" s="475" t="s">
        <v>6742</v>
      </c>
      <c r="O619" s="388" t="s">
        <v>5199</v>
      </c>
      <c r="P619" s="539">
        <v>9500</v>
      </c>
      <c r="Q619" s="540">
        <v>0</v>
      </c>
      <c r="R619" s="539">
        <f t="shared" si="40"/>
        <v>0</v>
      </c>
      <c r="S619" s="378">
        <v>202310</v>
      </c>
      <c r="T619" s="514" t="s">
        <v>6743</v>
      </c>
      <c r="U619" s="543"/>
      <c r="V619" s="541">
        <v>0</v>
      </c>
      <c r="W619" s="541"/>
      <c r="X619" s="383"/>
      <c r="Y619" s="383"/>
      <c r="Z619" s="544"/>
      <c r="AA619" s="511">
        <v>0</v>
      </c>
      <c r="AB619" s="448">
        <v>0</v>
      </c>
      <c r="AC619" s="448">
        <f t="shared" si="41"/>
        <v>0</v>
      </c>
    </row>
    <row r="620" spans="1:29" s="385" customFormat="1" ht="15" customHeight="1">
      <c r="A620" s="388" t="s">
        <v>260</v>
      </c>
      <c r="B620" s="388" t="s">
        <v>6623</v>
      </c>
      <c r="C620" s="388" t="s">
        <v>6735</v>
      </c>
      <c r="D620" s="386" t="s">
        <v>6625</v>
      </c>
      <c r="E620" s="388" t="s">
        <v>6736</v>
      </c>
      <c r="F620" s="388" t="s">
        <v>6737</v>
      </c>
      <c r="G620" s="388" t="s">
        <v>165</v>
      </c>
      <c r="H620" s="389" t="s">
        <v>6738</v>
      </c>
      <c r="I620" s="369" t="e">
        <f>VLOOKUP(H620,'合同高级查询数据-10月新返回合同'!A:A,1,0)</f>
        <v>#N/A</v>
      </c>
      <c r="J620" s="499" t="s">
        <v>3724</v>
      </c>
      <c r="K620" s="388" t="s">
        <v>6744</v>
      </c>
      <c r="L620" s="486" t="s">
        <v>6745</v>
      </c>
      <c r="M620" s="403" t="s">
        <v>6746</v>
      </c>
      <c r="N620" s="475" t="s">
        <v>6747</v>
      </c>
      <c r="O620" s="388" t="s">
        <v>6748</v>
      </c>
      <c r="P620" s="539">
        <v>9500</v>
      </c>
      <c r="Q620" s="540">
        <v>7.2</v>
      </c>
      <c r="R620" s="539">
        <f t="shared" si="40"/>
        <v>68400</v>
      </c>
      <c r="S620" s="378">
        <v>202310</v>
      </c>
      <c r="T620" s="514" t="s">
        <v>6749</v>
      </c>
      <c r="U620" s="448"/>
      <c r="V620" s="541">
        <v>7.1246123309999998</v>
      </c>
      <c r="W620" s="541"/>
      <c r="X620" s="383"/>
      <c r="Y620" s="383"/>
      <c r="Z620" s="386" t="s">
        <v>6750</v>
      </c>
      <c r="AA620" s="506">
        <v>0.3</v>
      </c>
      <c r="AB620" s="410">
        <v>20</v>
      </c>
      <c r="AC620" s="448">
        <f t="shared" si="41"/>
        <v>6</v>
      </c>
    </row>
    <row r="621" spans="1:29" s="385" customFormat="1" ht="15" customHeight="1">
      <c r="A621" s="388" t="s">
        <v>260</v>
      </c>
      <c r="B621" s="388" t="s">
        <v>6623</v>
      </c>
      <c r="C621" s="388" t="s">
        <v>6735</v>
      </c>
      <c r="D621" s="386" t="s">
        <v>6625</v>
      </c>
      <c r="E621" s="388" t="s">
        <v>6736</v>
      </c>
      <c r="F621" s="388" t="s">
        <v>6737</v>
      </c>
      <c r="G621" s="388" t="s">
        <v>165</v>
      </c>
      <c r="H621" s="389" t="s">
        <v>6738</v>
      </c>
      <c r="I621" s="369" t="e">
        <f>VLOOKUP(H621,'合同高级查询数据-10月新返回合同'!A:A,1,0)</f>
        <v>#N/A</v>
      </c>
      <c r="J621" s="499" t="s">
        <v>3724</v>
      </c>
      <c r="K621" s="388" t="s">
        <v>6751</v>
      </c>
      <c r="L621" s="486" t="s">
        <v>6752</v>
      </c>
      <c r="M621" s="403" t="s">
        <v>6746</v>
      </c>
      <c r="N621" s="475" t="s">
        <v>6753</v>
      </c>
      <c r="O621" s="388" t="s">
        <v>6754</v>
      </c>
      <c r="P621" s="539">
        <v>9500</v>
      </c>
      <c r="Q621" s="540">
        <v>0</v>
      </c>
      <c r="R621" s="539">
        <f t="shared" si="40"/>
        <v>0</v>
      </c>
      <c r="S621" s="378">
        <v>202310</v>
      </c>
      <c r="T621" s="514" t="s">
        <v>6755</v>
      </c>
      <c r="U621" s="448"/>
      <c r="V621" s="541">
        <v>0</v>
      </c>
      <c r="W621" s="541"/>
      <c r="X621" s="383"/>
      <c r="Y621" s="383"/>
      <c r="Z621" s="544"/>
      <c r="AA621" s="511">
        <v>0</v>
      </c>
      <c r="AB621" s="448">
        <v>0</v>
      </c>
      <c r="AC621" s="448">
        <f t="shared" si="41"/>
        <v>0</v>
      </c>
    </row>
    <row r="622" spans="1:29" s="385" customFormat="1" ht="15" customHeight="1">
      <c r="A622" s="388" t="s">
        <v>260</v>
      </c>
      <c r="B622" s="388" t="s">
        <v>6623</v>
      </c>
      <c r="C622" s="388" t="s">
        <v>6735</v>
      </c>
      <c r="D622" s="386" t="s">
        <v>6625</v>
      </c>
      <c r="E622" s="388" t="s">
        <v>6736</v>
      </c>
      <c r="F622" s="388" t="s">
        <v>6737</v>
      </c>
      <c r="G622" s="388" t="s">
        <v>165</v>
      </c>
      <c r="H622" s="389" t="s">
        <v>6738</v>
      </c>
      <c r="I622" s="369" t="e">
        <f>VLOOKUP(H622,'合同高级查询数据-10月新返回合同'!A:A,1,0)</f>
        <v>#N/A</v>
      </c>
      <c r="J622" s="499" t="s">
        <v>3724</v>
      </c>
      <c r="K622" s="388" t="s">
        <v>6756</v>
      </c>
      <c r="L622" s="486" t="s">
        <v>6757</v>
      </c>
      <c r="M622" s="541" t="s">
        <v>6741</v>
      </c>
      <c r="N622" s="475" t="s">
        <v>6758</v>
      </c>
      <c r="O622" s="388" t="s">
        <v>6759</v>
      </c>
      <c r="P622" s="539">
        <v>9500</v>
      </c>
      <c r="Q622" s="540">
        <v>67.8</v>
      </c>
      <c r="R622" s="539">
        <f t="shared" si="40"/>
        <v>644100</v>
      </c>
      <c r="S622" s="378">
        <v>202310</v>
      </c>
      <c r="T622" s="514" t="s">
        <v>6760</v>
      </c>
      <c r="U622" s="448"/>
      <c r="V622" s="541">
        <v>67.743980407999999</v>
      </c>
      <c r="W622" s="541"/>
      <c r="X622" s="383"/>
      <c r="Y622" s="383"/>
      <c r="Z622" s="544" t="s">
        <v>6761</v>
      </c>
      <c r="AA622" s="511">
        <v>0.3</v>
      </c>
      <c r="AB622" s="448">
        <v>200</v>
      </c>
      <c r="AC622" s="448">
        <f t="shared" si="41"/>
        <v>60</v>
      </c>
    </row>
    <row r="623" spans="1:29" s="385" customFormat="1" ht="15" customHeight="1">
      <c r="A623" s="388" t="s">
        <v>260</v>
      </c>
      <c r="B623" s="388" t="s">
        <v>6623</v>
      </c>
      <c r="C623" s="388" t="s">
        <v>6735</v>
      </c>
      <c r="D623" s="386" t="s">
        <v>6625</v>
      </c>
      <c r="E623" s="388" t="s">
        <v>6736</v>
      </c>
      <c r="F623" s="388" t="s">
        <v>6737</v>
      </c>
      <c r="G623" s="388" t="s">
        <v>165</v>
      </c>
      <c r="H623" s="389" t="s">
        <v>6738</v>
      </c>
      <c r="I623" s="369" t="e">
        <f>VLOOKUP(H623,'合同高级查询数据-10月新返回合同'!A:A,1,0)</f>
        <v>#N/A</v>
      </c>
      <c r="J623" s="499" t="s">
        <v>3724</v>
      </c>
      <c r="K623" s="388" t="s">
        <v>6762</v>
      </c>
      <c r="L623" s="486" t="s">
        <v>6762</v>
      </c>
      <c r="M623" s="541" t="s">
        <v>6763</v>
      </c>
      <c r="N623" s="475" t="s">
        <v>6764</v>
      </c>
      <c r="O623" s="388" t="s">
        <v>4340</v>
      </c>
      <c r="P623" s="539">
        <v>9500</v>
      </c>
      <c r="Q623" s="540">
        <v>0</v>
      </c>
      <c r="R623" s="539">
        <f t="shared" si="40"/>
        <v>0</v>
      </c>
      <c r="S623" s="378">
        <v>202310</v>
      </c>
      <c r="T623" s="514" t="s">
        <v>6765</v>
      </c>
      <c r="U623" s="448"/>
      <c r="V623" s="541">
        <v>0</v>
      </c>
      <c r="W623" s="541"/>
      <c r="X623" s="383"/>
      <c r="Y623" s="383"/>
      <c r="Z623" s="544"/>
      <c r="AA623" s="511">
        <v>0</v>
      </c>
      <c r="AB623" s="448">
        <v>0</v>
      </c>
      <c r="AC623" s="448">
        <f t="shared" si="41"/>
        <v>0</v>
      </c>
    </row>
    <row r="624" spans="1:29" s="385" customFormat="1" ht="15" customHeight="1">
      <c r="A624" s="388" t="s">
        <v>260</v>
      </c>
      <c r="B624" s="388" t="s">
        <v>6623</v>
      </c>
      <c r="C624" s="388" t="s">
        <v>6735</v>
      </c>
      <c r="D624" s="386" t="s">
        <v>6625</v>
      </c>
      <c r="E624" s="388" t="s">
        <v>6736</v>
      </c>
      <c r="F624" s="388" t="s">
        <v>6737</v>
      </c>
      <c r="G624" s="388" t="s">
        <v>165</v>
      </c>
      <c r="H624" s="389" t="s">
        <v>6738</v>
      </c>
      <c r="I624" s="369" t="e">
        <f>VLOOKUP(H624,'合同高级查询数据-10月新返回合同'!A:A,1,0)</f>
        <v>#N/A</v>
      </c>
      <c r="J624" s="499" t="s">
        <v>3724</v>
      </c>
      <c r="K624" s="388" t="s">
        <v>6766</v>
      </c>
      <c r="L624" s="486" t="s">
        <v>6766</v>
      </c>
      <c r="M624" s="541" t="s">
        <v>6767</v>
      </c>
      <c r="N624" s="475" t="s">
        <v>6764</v>
      </c>
      <c r="O624" s="388" t="s">
        <v>5395</v>
      </c>
      <c r="P624" s="539">
        <v>9500</v>
      </c>
      <c r="Q624" s="540">
        <v>0</v>
      </c>
      <c r="R624" s="539">
        <f t="shared" si="40"/>
        <v>0</v>
      </c>
      <c r="S624" s="378">
        <v>202310</v>
      </c>
      <c r="T624" s="514" t="s">
        <v>6768</v>
      </c>
      <c r="U624" s="448"/>
      <c r="V624" s="541">
        <v>0</v>
      </c>
      <c r="W624" s="541"/>
      <c r="X624" s="383"/>
      <c r="Y624" s="383"/>
      <c r="Z624" s="544"/>
      <c r="AA624" s="511">
        <v>0</v>
      </c>
      <c r="AB624" s="448">
        <v>0</v>
      </c>
      <c r="AC624" s="448">
        <f t="shared" si="41"/>
        <v>0</v>
      </c>
    </row>
    <row r="625" spans="1:29" s="385" customFormat="1" ht="15" customHeight="1">
      <c r="A625" s="388" t="s">
        <v>260</v>
      </c>
      <c r="B625" s="388" t="s">
        <v>6623</v>
      </c>
      <c r="C625" s="388" t="s">
        <v>6735</v>
      </c>
      <c r="D625" s="386" t="s">
        <v>6625</v>
      </c>
      <c r="E625" s="388" t="s">
        <v>6736</v>
      </c>
      <c r="F625" s="388" t="s">
        <v>6737</v>
      </c>
      <c r="G625" s="388" t="s">
        <v>165</v>
      </c>
      <c r="H625" s="389" t="s">
        <v>6738</v>
      </c>
      <c r="I625" s="369" t="e">
        <f>VLOOKUP(H625,'合同高级查询数据-10月新返回合同'!A:A,1,0)</f>
        <v>#N/A</v>
      </c>
      <c r="J625" s="499" t="s">
        <v>3724</v>
      </c>
      <c r="K625" s="388" t="s">
        <v>6769</v>
      </c>
      <c r="L625" s="486" t="s">
        <v>6769</v>
      </c>
      <c r="M625" s="403" t="s">
        <v>6770</v>
      </c>
      <c r="N625" s="475" t="s">
        <v>6771</v>
      </c>
      <c r="O625" s="388" t="s">
        <v>6772</v>
      </c>
      <c r="P625" s="539">
        <v>9500</v>
      </c>
      <c r="Q625" s="540">
        <v>0</v>
      </c>
      <c r="R625" s="539">
        <f t="shared" si="40"/>
        <v>0</v>
      </c>
      <c r="S625" s="378">
        <v>202310</v>
      </c>
      <c r="T625" s="514" t="s">
        <v>6773</v>
      </c>
      <c r="U625" s="448"/>
      <c r="V625" s="541">
        <v>0</v>
      </c>
      <c r="W625" s="541"/>
      <c r="X625" s="383"/>
      <c r="Y625" s="383"/>
      <c r="Z625" s="544"/>
      <c r="AA625" s="511">
        <v>0</v>
      </c>
      <c r="AB625" s="448">
        <v>0</v>
      </c>
      <c r="AC625" s="448">
        <f t="shared" si="41"/>
        <v>0</v>
      </c>
    </row>
    <row r="626" spans="1:29" s="385" customFormat="1" ht="15" customHeight="1">
      <c r="A626" s="388" t="s">
        <v>260</v>
      </c>
      <c r="B626" s="388" t="s">
        <v>6623</v>
      </c>
      <c r="C626" s="388" t="s">
        <v>6735</v>
      </c>
      <c r="D626" s="386" t="s">
        <v>6625</v>
      </c>
      <c r="E626" s="388" t="s">
        <v>6736</v>
      </c>
      <c r="F626" s="388" t="s">
        <v>6737</v>
      </c>
      <c r="G626" s="388" t="s">
        <v>165</v>
      </c>
      <c r="H626" s="389" t="s">
        <v>6738</v>
      </c>
      <c r="I626" s="369" t="e">
        <f>VLOOKUP(H626,'合同高级查询数据-10月新返回合同'!A:A,1,0)</f>
        <v>#N/A</v>
      </c>
      <c r="J626" s="499" t="s">
        <v>3724</v>
      </c>
      <c r="K626" s="486" t="s">
        <v>6561</v>
      </c>
      <c r="L626" s="486" t="s">
        <v>6774</v>
      </c>
      <c r="M626" s="403" t="s">
        <v>6775</v>
      </c>
      <c r="N626" s="475" t="s">
        <v>6776</v>
      </c>
      <c r="O626" s="538" t="s">
        <v>6777</v>
      </c>
      <c r="P626" s="539">
        <v>9500</v>
      </c>
      <c r="Q626" s="540">
        <v>6.6</v>
      </c>
      <c r="R626" s="539">
        <f t="shared" si="40"/>
        <v>62700</v>
      </c>
      <c r="S626" s="378">
        <v>202310</v>
      </c>
      <c r="T626" s="542" t="s">
        <v>6778</v>
      </c>
      <c r="U626" s="448"/>
      <c r="V626" s="541">
        <v>6.5138836309999997</v>
      </c>
      <c r="W626" s="541"/>
      <c r="X626" s="545"/>
      <c r="Y626" s="383"/>
      <c r="Z626" s="386" t="s">
        <v>6779</v>
      </c>
      <c r="AA626" s="506">
        <v>0.3</v>
      </c>
      <c r="AB626" s="410">
        <v>20</v>
      </c>
      <c r="AC626" s="448">
        <f>AA626*AB626</f>
        <v>6</v>
      </c>
    </row>
    <row r="627" spans="1:29" s="385" customFormat="1" ht="15" customHeight="1">
      <c r="A627" s="388" t="s">
        <v>260</v>
      </c>
      <c r="B627" s="388" t="s">
        <v>6623</v>
      </c>
      <c r="C627" s="388" t="s">
        <v>6735</v>
      </c>
      <c r="D627" s="386" t="s">
        <v>6625</v>
      </c>
      <c r="E627" s="388" t="s">
        <v>6736</v>
      </c>
      <c r="F627" s="388" t="s">
        <v>6737</v>
      </c>
      <c r="G627" s="388" t="s">
        <v>165</v>
      </c>
      <c r="H627" s="389" t="s">
        <v>6780</v>
      </c>
      <c r="I627" s="369" t="e">
        <f>VLOOKUP(H627,'合同高级查询数据-10月新返回合同'!A:A,1,0)</f>
        <v>#N/A</v>
      </c>
      <c r="J627" s="499" t="s">
        <v>3724</v>
      </c>
      <c r="K627" s="486" t="s">
        <v>6561</v>
      </c>
      <c r="L627" s="486" t="s">
        <v>6781</v>
      </c>
      <c r="M627" s="403" t="s">
        <v>6782</v>
      </c>
      <c r="N627" s="475" t="s">
        <v>6783</v>
      </c>
      <c r="O627" s="538" t="s">
        <v>6784</v>
      </c>
      <c r="P627" s="539">
        <v>9500</v>
      </c>
      <c r="Q627" s="540">
        <v>0</v>
      </c>
      <c r="R627" s="539">
        <f t="shared" si="40"/>
        <v>0</v>
      </c>
      <c r="S627" s="378">
        <v>202310</v>
      </c>
      <c r="T627" s="542" t="s">
        <v>6785</v>
      </c>
      <c r="U627" s="448"/>
      <c r="V627" s="541">
        <v>0</v>
      </c>
      <c r="W627" s="541"/>
      <c r="X627" s="545"/>
      <c r="Y627" s="383"/>
      <c r="Z627" s="544"/>
      <c r="AA627" s="511">
        <v>0</v>
      </c>
      <c r="AB627" s="448">
        <v>0</v>
      </c>
      <c r="AC627" s="448">
        <f>AA627*AB627</f>
        <v>0</v>
      </c>
    </row>
    <row r="628" spans="1:29" s="385" customFormat="1" ht="15" customHeight="1">
      <c r="A628" s="388" t="s">
        <v>260</v>
      </c>
      <c r="B628" s="388" t="s">
        <v>6623</v>
      </c>
      <c r="C628" s="388" t="s">
        <v>6735</v>
      </c>
      <c r="D628" s="386" t="s">
        <v>6625</v>
      </c>
      <c r="E628" s="388" t="s">
        <v>6736</v>
      </c>
      <c r="F628" s="388" t="s">
        <v>6737</v>
      </c>
      <c r="G628" s="388" t="s">
        <v>165</v>
      </c>
      <c r="H628" s="389" t="s">
        <v>6780</v>
      </c>
      <c r="I628" s="369" t="e">
        <f>VLOOKUP(H628,'合同高级查询数据-10月新返回合同'!A:A,1,0)</f>
        <v>#N/A</v>
      </c>
      <c r="J628" s="499" t="s">
        <v>4875</v>
      </c>
      <c r="K628" s="486" t="s">
        <v>6561</v>
      </c>
      <c r="L628" s="486" t="s">
        <v>6786</v>
      </c>
      <c r="M628" s="403" t="s">
        <v>6787</v>
      </c>
      <c r="N628" s="475" t="s">
        <v>6783</v>
      </c>
      <c r="O628" s="538" t="s">
        <v>6784</v>
      </c>
      <c r="P628" s="539">
        <v>9500</v>
      </c>
      <c r="Q628" s="540">
        <v>93.6</v>
      </c>
      <c r="R628" s="539">
        <f t="shared" si="40"/>
        <v>889200</v>
      </c>
      <c r="S628" s="378">
        <v>202310</v>
      </c>
      <c r="T628" s="542" t="s">
        <v>6788</v>
      </c>
      <c r="U628" s="448"/>
      <c r="V628" s="541">
        <v>93.558264837891002</v>
      </c>
      <c r="W628" s="541"/>
      <c r="X628" s="545"/>
      <c r="Y628" s="383"/>
      <c r="Z628" s="544" t="s">
        <v>6789</v>
      </c>
      <c r="AA628" s="511">
        <v>0.3</v>
      </c>
      <c r="AB628" s="448">
        <v>280</v>
      </c>
      <c r="AC628" s="448">
        <f t="shared" ref="AC628:AC637" si="42">AA628*AB628</f>
        <v>84</v>
      </c>
    </row>
    <row r="629" spans="1:29" s="385" customFormat="1" ht="15" customHeight="1">
      <c r="A629" s="388" t="s">
        <v>260</v>
      </c>
      <c r="B629" s="388" t="s">
        <v>6623</v>
      </c>
      <c r="C629" s="388" t="s">
        <v>6735</v>
      </c>
      <c r="D629" s="386" t="s">
        <v>6625</v>
      </c>
      <c r="E629" s="388" t="s">
        <v>6736</v>
      </c>
      <c r="F629" s="388" t="s">
        <v>6737</v>
      </c>
      <c r="G629" s="388" t="s">
        <v>165</v>
      </c>
      <c r="H629" s="389" t="s">
        <v>6790</v>
      </c>
      <c r="I629" s="369" t="e">
        <f>VLOOKUP(H629,'合同高级查询数据-10月新返回合同'!A:A,1,0)</f>
        <v>#N/A</v>
      </c>
      <c r="J629" s="499" t="s">
        <v>3724</v>
      </c>
      <c r="K629" s="486" t="s">
        <v>6561</v>
      </c>
      <c r="L629" s="486" t="s">
        <v>6791</v>
      </c>
      <c r="M629" s="403" t="s">
        <v>6792</v>
      </c>
      <c r="N629" s="475">
        <v>45108</v>
      </c>
      <c r="O629" s="538" t="s">
        <v>1542</v>
      </c>
      <c r="P629" s="539">
        <v>9500</v>
      </c>
      <c r="Q629" s="540">
        <v>64</v>
      </c>
      <c r="R629" s="539">
        <f t="shared" si="40"/>
        <v>608000</v>
      </c>
      <c r="S629" s="378">
        <v>202310</v>
      </c>
      <c r="T629" s="542" t="s">
        <v>6793</v>
      </c>
      <c r="U629" s="448"/>
      <c r="V629" s="541">
        <v>64.003799438000001</v>
      </c>
      <c r="W629" s="541"/>
      <c r="X629" s="545"/>
      <c r="Y629" s="383"/>
      <c r="Z629" s="386" t="s">
        <v>6794</v>
      </c>
      <c r="AA629" s="506">
        <v>0.3</v>
      </c>
      <c r="AB629" s="410">
        <v>200</v>
      </c>
      <c r="AC629" s="410">
        <f t="shared" si="42"/>
        <v>60</v>
      </c>
    </row>
    <row r="630" spans="1:29" s="385" customFormat="1" ht="15" customHeight="1">
      <c r="A630" s="388" t="s">
        <v>260</v>
      </c>
      <c r="B630" s="388" t="s">
        <v>6623</v>
      </c>
      <c r="C630" s="388" t="s">
        <v>6567</v>
      </c>
      <c r="D630" s="386" t="s">
        <v>6625</v>
      </c>
      <c r="E630" s="388" t="s">
        <v>6795</v>
      </c>
      <c r="F630" s="388" t="s">
        <v>6796</v>
      </c>
      <c r="G630" s="388" t="s">
        <v>165</v>
      </c>
      <c r="H630" s="389" t="s">
        <v>6797</v>
      </c>
      <c r="I630" s="369" t="e">
        <f>VLOOKUP(H630,'合同高级查询数据-10月新返回合同'!A:A,1,0)</f>
        <v>#N/A</v>
      </c>
      <c r="J630" s="499" t="s">
        <v>3724</v>
      </c>
      <c r="K630" s="388" t="s">
        <v>6798</v>
      </c>
      <c r="L630" s="388" t="s">
        <v>6798</v>
      </c>
      <c r="M630" s="541"/>
      <c r="N630" s="475" t="s">
        <v>6799</v>
      </c>
      <c r="O630" s="538" t="s">
        <v>6800</v>
      </c>
      <c r="P630" s="539">
        <v>9500</v>
      </c>
      <c r="Q630" s="540">
        <v>0</v>
      </c>
      <c r="R630" s="539">
        <f t="shared" si="40"/>
        <v>0</v>
      </c>
      <c r="S630" s="378">
        <v>202310</v>
      </c>
      <c r="T630" s="514" t="s">
        <v>6801</v>
      </c>
      <c r="U630" s="448"/>
      <c r="V630" s="541">
        <v>0</v>
      </c>
      <c r="W630" s="541"/>
      <c r="X630" s="546"/>
      <c r="Y630" s="546"/>
      <c r="Z630" s="544"/>
      <c r="AA630" s="511">
        <v>0</v>
      </c>
      <c r="AB630" s="448">
        <v>0</v>
      </c>
      <c r="AC630" s="448">
        <f t="shared" si="42"/>
        <v>0</v>
      </c>
    </row>
    <row r="631" spans="1:29" s="385" customFormat="1" ht="15" customHeight="1">
      <c r="A631" s="388" t="s">
        <v>260</v>
      </c>
      <c r="B631" s="388" t="s">
        <v>6623</v>
      </c>
      <c r="C631" s="388" t="s">
        <v>6567</v>
      </c>
      <c r="D631" s="386" t="s">
        <v>6625</v>
      </c>
      <c r="E631" s="388" t="s">
        <v>6795</v>
      </c>
      <c r="F631" s="388" t="s">
        <v>6796</v>
      </c>
      <c r="G631" s="388" t="s">
        <v>165</v>
      </c>
      <c r="H631" s="389" t="s">
        <v>6797</v>
      </c>
      <c r="I631" s="369" t="e">
        <f>VLOOKUP(H631,'合同高级查询数据-10月新返回合同'!A:A,1,0)</f>
        <v>#N/A</v>
      </c>
      <c r="J631" s="499" t="s">
        <v>4013</v>
      </c>
      <c r="K631" s="388" t="s">
        <v>6802</v>
      </c>
      <c r="L631" s="388" t="s">
        <v>6802</v>
      </c>
      <c r="M631" s="541" t="s">
        <v>6803</v>
      </c>
      <c r="N631" s="475" t="s">
        <v>851</v>
      </c>
      <c r="O631" s="538" t="s">
        <v>2509</v>
      </c>
      <c r="P631" s="539">
        <v>9500</v>
      </c>
      <c r="Q631" s="540">
        <v>2.2000000000000002</v>
      </c>
      <c r="R631" s="539">
        <f t="shared" si="40"/>
        <v>20900</v>
      </c>
      <c r="S631" s="378">
        <v>202310</v>
      </c>
      <c r="T631" s="514" t="s">
        <v>6804</v>
      </c>
      <c r="U631" s="448"/>
      <c r="V631" s="541">
        <v>0.34</v>
      </c>
      <c r="W631" s="541"/>
      <c r="X631" s="546"/>
      <c r="Y631" s="546"/>
      <c r="Z631" s="386" t="s">
        <v>6805</v>
      </c>
      <c r="AA631" s="506">
        <v>0.3</v>
      </c>
      <c r="AB631" s="410">
        <v>10</v>
      </c>
      <c r="AC631" s="448">
        <f t="shared" si="42"/>
        <v>3</v>
      </c>
    </row>
    <row r="632" spans="1:29" s="385" customFormat="1" ht="15" customHeight="1">
      <c r="A632" s="388" t="s">
        <v>260</v>
      </c>
      <c r="B632" s="388" t="s">
        <v>6623</v>
      </c>
      <c r="C632" s="388" t="s">
        <v>6567</v>
      </c>
      <c r="D632" s="386" t="s">
        <v>6625</v>
      </c>
      <c r="E632" s="388" t="s">
        <v>6795</v>
      </c>
      <c r="F632" s="388" t="s">
        <v>6796</v>
      </c>
      <c r="G632" s="388" t="s">
        <v>165</v>
      </c>
      <c r="H632" s="389" t="s">
        <v>6797</v>
      </c>
      <c r="I632" s="369" t="e">
        <f>VLOOKUP(H632,'合同高级查询数据-10月新返回合同'!A:A,1,0)</f>
        <v>#N/A</v>
      </c>
      <c r="J632" s="499" t="s">
        <v>3724</v>
      </c>
      <c r="K632" s="388" t="s">
        <v>6567</v>
      </c>
      <c r="L632" s="486" t="s">
        <v>6806</v>
      </c>
      <c r="M632" s="403" t="s">
        <v>6807</v>
      </c>
      <c r="N632" s="425">
        <v>45017</v>
      </c>
      <c r="O632" s="538" t="s">
        <v>3847</v>
      </c>
      <c r="P632" s="539">
        <v>9500</v>
      </c>
      <c r="Q632" s="540">
        <v>6.8</v>
      </c>
      <c r="R632" s="539">
        <f t="shared" si="40"/>
        <v>64600</v>
      </c>
      <c r="S632" s="378">
        <v>202310</v>
      </c>
      <c r="T632" s="514" t="s">
        <v>6808</v>
      </c>
      <c r="U632" s="448"/>
      <c r="V632" s="541">
        <v>6.7583990099999998</v>
      </c>
      <c r="W632" s="541"/>
      <c r="X632" s="546"/>
      <c r="Y632" s="546"/>
      <c r="Z632" s="386" t="s">
        <v>6809</v>
      </c>
      <c r="AA632" s="506">
        <v>0.3</v>
      </c>
      <c r="AB632" s="410">
        <v>20</v>
      </c>
      <c r="AC632" s="410">
        <f t="shared" si="42"/>
        <v>6</v>
      </c>
    </row>
    <row r="633" spans="1:29" s="577" customFormat="1" ht="15" customHeight="1">
      <c r="A633" s="563" t="s">
        <v>258</v>
      </c>
      <c r="B633" s="563" t="s">
        <v>6623</v>
      </c>
      <c r="C633" s="563" t="s">
        <v>6624</v>
      </c>
      <c r="D633" s="561" t="s">
        <v>6625</v>
      </c>
      <c r="E633" s="563" t="s">
        <v>6810</v>
      </c>
      <c r="F633" s="563" t="s">
        <v>6811</v>
      </c>
      <c r="G633" s="563" t="s">
        <v>165</v>
      </c>
      <c r="H633" s="564" t="s">
        <v>6812</v>
      </c>
      <c r="I633" s="565" t="e">
        <f>VLOOKUP(H633,'合同高级查询数据-10月新返回合同'!A:A,1,0)</f>
        <v>#N/A</v>
      </c>
      <c r="J633" s="674" t="s">
        <v>3724</v>
      </c>
      <c r="K633" s="563" t="s">
        <v>6634</v>
      </c>
      <c r="L633" s="675" t="s">
        <v>6813</v>
      </c>
      <c r="M633" s="721" t="s">
        <v>6814</v>
      </c>
      <c r="N633" s="597" t="s">
        <v>6815</v>
      </c>
      <c r="O633" s="597" t="s">
        <v>6816</v>
      </c>
      <c r="P633" s="719">
        <v>6666.67</v>
      </c>
      <c r="Q633" s="720">
        <v>25.6</v>
      </c>
      <c r="R633" s="719">
        <f t="shared" si="40"/>
        <v>170666.75</v>
      </c>
      <c r="S633" s="570">
        <v>202310</v>
      </c>
      <c r="T633" s="693" t="s">
        <v>6817</v>
      </c>
      <c r="U633" s="713"/>
      <c r="V633" s="721">
        <v>25.546672553000001</v>
      </c>
      <c r="W633" s="721"/>
      <c r="X633" s="574">
        <v>44927</v>
      </c>
      <c r="Y633" s="574">
        <v>45291</v>
      </c>
      <c r="Z633" s="561" t="s">
        <v>6818</v>
      </c>
      <c r="AA633" s="683">
        <v>0.3</v>
      </c>
      <c r="AB633" s="582">
        <v>80</v>
      </c>
      <c r="AC633" s="713">
        <f t="shared" si="42"/>
        <v>24</v>
      </c>
    </row>
    <row r="634" spans="1:29" s="577" customFormat="1" ht="15" customHeight="1">
      <c r="A634" s="563" t="s">
        <v>258</v>
      </c>
      <c r="B634" s="563" t="s">
        <v>6623</v>
      </c>
      <c r="C634" s="563" t="s">
        <v>6735</v>
      </c>
      <c r="D634" s="561" t="s">
        <v>6625</v>
      </c>
      <c r="E634" s="563" t="s">
        <v>6819</v>
      </c>
      <c r="F634" s="563" t="s">
        <v>6820</v>
      </c>
      <c r="G634" s="563" t="s">
        <v>165</v>
      </c>
      <c r="H634" s="564" t="s">
        <v>6821</v>
      </c>
      <c r="I634" s="565" t="e">
        <f>VLOOKUP(H634,'合同高级查询数据-10月新返回合同'!A:A,1,0)</f>
        <v>#N/A</v>
      </c>
      <c r="J634" s="674" t="s">
        <v>3724</v>
      </c>
      <c r="K634" s="563" t="s">
        <v>6561</v>
      </c>
      <c r="L634" s="675" t="s">
        <v>6820</v>
      </c>
      <c r="M634" s="721" t="s">
        <v>6822</v>
      </c>
      <c r="N634" s="597" t="s">
        <v>6823</v>
      </c>
      <c r="O634" s="597" t="s">
        <v>6824</v>
      </c>
      <c r="P634" s="719">
        <v>9000</v>
      </c>
      <c r="Q634" s="720">
        <v>3</v>
      </c>
      <c r="R634" s="719">
        <f t="shared" si="40"/>
        <v>27000</v>
      </c>
      <c r="S634" s="570">
        <v>202310</v>
      </c>
      <c r="T634" s="693" t="s">
        <v>6825</v>
      </c>
      <c r="U634" s="713"/>
      <c r="V634" s="721">
        <v>2.7753329130000002</v>
      </c>
      <c r="W634" s="721"/>
      <c r="X634" s="574">
        <v>43831</v>
      </c>
      <c r="Y634" s="574">
        <v>45382</v>
      </c>
      <c r="Z634" s="561" t="s">
        <v>6826</v>
      </c>
      <c r="AA634" s="683">
        <v>0.3</v>
      </c>
      <c r="AB634" s="582">
        <v>10</v>
      </c>
      <c r="AC634" s="713">
        <f t="shared" si="42"/>
        <v>3</v>
      </c>
    </row>
    <row r="635" spans="1:29" s="385" customFormat="1" ht="15" customHeight="1">
      <c r="A635" s="388" t="s">
        <v>258</v>
      </c>
      <c r="B635" s="388" t="s">
        <v>6623</v>
      </c>
      <c r="C635" s="388" t="s">
        <v>6735</v>
      </c>
      <c r="D635" s="386" t="s">
        <v>6625</v>
      </c>
      <c r="E635" s="388" t="s">
        <v>6819</v>
      </c>
      <c r="F635" s="388" t="s">
        <v>6820</v>
      </c>
      <c r="G635" s="388" t="s">
        <v>165</v>
      </c>
      <c r="H635" s="389" t="s">
        <v>6827</v>
      </c>
      <c r="I635" s="369" t="e">
        <f>VLOOKUP(H635,'合同高级查询数据-10月新返回合同'!A:A,1,0)</f>
        <v>#N/A</v>
      </c>
      <c r="J635" s="499" t="s">
        <v>3724</v>
      </c>
      <c r="K635" s="388" t="s">
        <v>6561</v>
      </c>
      <c r="L635" s="486" t="s">
        <v>6828</v>
      </c>
      <c r="M635" s="541" t="s">
        <v>6782</v>
      </c>
      <c r="N635" s="425" t="s">
        <v>6829</v>
      </c>
      <c r="O635" s="388" t="s">
        <v>6830</v>
      </c>
      <c r="P635" s="539">
        <v>9000</v>
      </c>
      <c r="Q635" s="540">
        <v>0</v>
      </c>
      <c r="R635" s="539">
        <f t="shared" si="40"/>
        <v>0</v>
      </c>
      <c r="S635" s="378">
        <v>202310</v>
      </c>
      <c r="T635" s="542" t="s">
        <v>6831</v>
      </c>
      <c r="U635" s="448"/>
      <c r="V635" s="541">
        <v>0</v>
      </c>
      <c r="W635" s="541"/>
      <c r="X635" s="383"/>
      <c r="Y635" s="383"/>
      <c r="Z635" s="544"/>
      <c r="AA635" s="511">
        <v>0</v>
      </c>
      <c r="AB635" s="448">
        <v>0</v>
      </c>
      <c r="AC635" s="448">
        <f t="shared" si="42"/>
        <v>0</v>
      </c>
    </row>
    <row r="636" spans="1:29" s="385" customFormat="1" ht="15" customHeight="1">
      <c r="A636" s="388" t="s">
        <v>258</v>
      </c>
      <c r="B636" s="388" t="s">
        <v>6623</v>
      </c>
      <c r="C636" s="388" t="s">
        <v>6735</v>
      </c>
      <c r="D636" s="386" t="s">
        <v>6625</v>
      </c>
      <c r="E636" s="388" t="s">
        <v>6819</v>
      </c>
      <c r="F636" s="388" t="s">
        <v>6820</v>
      </c>
      <c r="G636" s="388" t="s">
        <v>165</v>
      </c>
      <c r="H636" s="389" t="s">
        <v>6827</v>
      </c>
      <c r="I636" s="369" t="e">
        <f>VLOOKUP(H636,'合同高级查询数据-10月新返回合同'!A:A,1,0)</f>
        <v>#N/A</v>
      </c>
      <c r="J636" s="499" t="s">
        <v>4875</v>
      </c>
      <c r="K636" s="388" t="s">
        <v>6561</v>
      </c>
      <c r="L636" s="486" t="s">
        <v>6832</v>
      </c>
      <c r="M636" s="541" t="s">
        <v>6787</v>
      </c>
      <c r="N636" s="425" t="s">
        <v>6829</v>
      </c>
      <c r="O636" s="388" t="s">
        <v>6830</v>
      </c>
      <c r="P636" s="539">
        <v>9000</v>
      </c>
      <c r="Q636" s="540">
        <v>58.8</v>
      </c>
      <c r="R636" s="539">
        <f t="shared" si="40"/>
        <v>529200</v>
      </c>
      <c r="S636" s="378">
        <v>202310</v>
      </c>
      <c r="T636" s="542" t="s">
        <v>6833</v>
      </c>
      <c r="U636" s="448"/>
      <c r="V636" s="541">
        <v>57.845726614</v>
      </c>
      <c r="W636" s="541">
        <v>59.7</v>
      </c>
      <c r="X636" s="383"/>
      <c r="Y636" s="383"/>
      <c r="Z636" s="544" t="s">
        <v>6834</v>
      </c>
      <c r="AA636" s="511">
        <v>0.3</v>
      </c>
      <c r="AB636" s="448">
        <v>180</v>
      </c>
      <c r="AC636" s="448">
        <f t="shared" si="42"/>
        <v>54</v>
      </c>
    </row>
    <row r="637" spans="1:29" s="385" customFormat="1" ht="15" customHeight="1">
      <c r="A637" s="388" t="s">
        <v>258</v>
      </c>
      <c r="B637" s="388" t="s">
        <v>6623</v>
      </c>
      <c r="C637" s="388" t="s">
        <v>6735</v>
      </c>
      <c r="D637" s="386" t="s">
        <v>6625</v>
      </c>
      <c r="E637" s="388" t="s">
        <v>6819</v>
      </c>
      <c r="F637" s="388" t="s">
        <v>6820</v>
      </c>
      <c r="G637" s="388" t="s">
        <v>165</v>
      </c>
      <c r="H637" s="389" t="s">
        <v>6835</v>
      </c>
      <c r="I637" s="369" t="e">
        <f>VLOOKUP(H637,'合同高级查询数据-10月新返回合同'!A:A,1,0)</f>
        <v>#N/A</v>
      </c>
      <c r="J637" s="499" t="s">
        <v>3776</v>
      </c>
      <c r="K637" s="388" t="s">
        <v>6561</v>
      </c>
      <c r="L637" s="486" t="s">
        <v>6836</v>
      </c>
      <c r="M637" s="541" t="s">
        <v>6787</v>
      </c>
      <c r="N637" s="425">
        <v>45080</v>
      </c>
      <c r="O637" s="388" t="s">
        <v>6837</v>
      </c>
      <c r="P637" s="539">
        <v>22900</v>
      </c>
      <c r="Q637" s="540">
        <v>1</v>
      </c>
      <c r="R637" s="539">
        <f t="shared" si="40"/>
        <v>22900</v>
      </c>
      <c r="S637" s="378">
        <v>202310</v>
      </c>
      <c r="T637" s="514" t="s">
        <v>6838</v>
      </c>
      <c r="U637" s="448"/>
      <c r="V637" s="541">
        <v>1.2123999999999999E-5</v>
      </c>
      <c r="W637" s="541"/>
      <c r="X637" s="383"/>
      <c r="Y637" s="383"/>
      <c r="Z637" s="386" t="s">
        <v>6839</v>
      </c>
      <c r="AA637" s="506">
        <v>1</v>
      </c>
      <c r="AB637" s="410">
        <v>0.1</v>
      </c>
      <c r="AC637" s="410">
        <f t="shared" si="42"/>
        <v>0.1</v>
      </c>
    </row>
    <row r="638" spans="1:29" s="385" customFormat="1" ht="15" customHeight="1">
      <c r="A638" s="388" t="s">
        <v>258</v>
      </c>
      <c r="B638" s="388" t="s">
        <v>6623</v>
      </c>
      <c r="C638" s="388" t="s">
        <v>6735</v>
      </c>
      <c r="D638" s="386" t="s">
        <v>6625</v>
      </c>
      <c r="E638" s="388" t="s">
        <v>6819</v>
      </c>
      <c r="F638" s="388" t="s">
        <v>6820</v>
      </c>
      <c r="G638" s="388" t="s">
        <v>165</v>
      </c>
      <c r="H638" s="389" t="s">
        <v>6827</v>
      </c>
      <c r="I638" s="369" t="e">
        <f>VLOOKUP(H638,'合同高级查询数据-10月新返回合同'!A:A,1,0)</f>
        <v>#N/A</v>
      </c>
      <c r="J638" s="499" t="s">
        <v>4875</v>
      </c>
      <c r="K638" s="388" t="s">
        <v>6561</v>
      </c>
      <c r="L638" s="486" t="s">
        <v>6832</v>
      </c>
      <c r="M638" s="541" t="s">
        <v>6787</v>
      </c>
      <c r="N638" s="425" t="s">
        <v>6829</v>
      </c>
      <c r="O638" s="388" t="s">
        <v>6830</v>
      </c>
      <c r="P638" s="539">
        <v>9000</v>
      </c>
      <c r="Q638" s="540">
        <v>0.65</v>
      </c>
      <c r="R638" s="539">
        <f>ROUND(P638*Q638,2)</f>
        <v>5850</v>
      </c>
      <c r="S638" s="378">
        <v>202309</v>
      </c>
      <c r="T638" s="514" t="s">
        <v>6840</v>
      </c>
      <c r="U638" s="448"/>
      <c r="V638" s="448"/>
      <c r="W638" s="448"/>
      <c r="X638" s="383"/>
      <c r="Y638" s="383"/>
      <c r="Z638" s="386"/>
      <c r="AA638" s="506"/>
      <c r="AB638" s="410"/>
      <c r="AC638" s="410"/>
    </row>
    <row r="639" spans="1:29" s="385" customFormat="1" ht="15" customHeight="1">
      <c r="A639" s="388" t="s">
        <v>258</v>
      </c>
      <c r="B639" s="388" t="s">
        <v>6623</v>
      </c>
      <c r="C639" s="388" t="s">
        <v>6735</v>
      </c>
      <c r="D639" s="386" t="s">
        <v>6625</v>
      </c>
      <c r="E639" s="388" t="s">
        <v>6819</v>
      </c>
      <c r="F639" s="388" t="s">
        <v>6820</v>
      </c>
      <c r="G639" s="388" t="s">
        <v>165</v>
      </c>
      <c r="H639" s="389" t="s">
        <v>6827</v>
      </c>
      <c r="I639" s="369" t="e">
        <f>VLOOKUP(H639,'合同高级查询数据-10月新返回合同'!A:A,1,0)</f>
        <v>#N/A</v>
      </c>
      <c r="J639" s="499" t="s">
        <v>4875</v>
      </c>
      <c r="K639" s="388" t="s">
        <v>6561</v>
      </c>
      <c r="L639" s="486" t="s">
        <v>6832</v>
      </c>
      <c r="M639" s="541" t="s">
        <v>6787</v>
      </c>
      <c r="N639" s="425" t="s">
        <v>6829</v>
      </c>
      <c r="O639" s="388" t="s">
        <v>6830</v>
      </c>
      <c r="P639" s="539">
        <v>9000</v>
      </c>
      <c r="Q639" s="540">
        <v>0.6</v>
      </c>
      <c r="R639" s="539">
        <f>ROUND(P639*Q639,2)</f>
        <v>5400</v>
      </c>
      <c r="S639" s="378">
        <v>202306</v>
      </c>
      <c r="T639" s="514" t="s">
        <v>6841</v>
      </c>
      <c r="U639" s="448"/>
      <c r="V639" s="448"/>
      <c r="W639" s="448"/>
      <c r="X639" s="383"/>
      <c r="Y639" s="383"/>
      <c r="Z639" s="386"/>
      <c r="AA639" s="506"/>
      <c r="AB639" s="410"/>
      <c r="AC639" s="410"/>
    </row>
    <row r="640" spans="1:29" s="577" customFormat="1" ht="15" customHeight="1">
      <c r="A640" s="563" t="s">
        <v>258</v>
      </c>
      <c r="B640" s="563" t="s">
        <v>6623</v>
      </c>
      <c r="C640" s="563" t="s">
        <v>6567</v>
      </c>
      <c r="D640" s="561" t="s">
        <v>6625</v>
      </c>
      <c r="E640" s="563" t="s">
        <v>6842</v>
      </c>
      <c r="F640" s="563" t="s">
        <v>6843</v>
      </c>
      <c r="G640" s="563" t="s">
        <v>165</v>
      </c>
      <c r="H640" s="564" t="s">
        <v>6844</v>
      </c>
      <c r="I640" s="565" t="e">
        <f>VLOOKUP(H640,'合同高级查询数据-10月新返回合同'!A:A,1,0)</f>
        <v>#N/A</v>
      </c>
      <c r="J640" s="674" t="s">
        <v>3724</v>
      </c>
      <c r="K640" s="675" t="s">
        <v>6567</v>
      </c>
      <c r="L640" s="675" t="s">
        <v>6845</v>
      </c>
      <c r="M640" s="596" t="s">
        <v>6846</v>
      </c>
      <c r="N640" s="597" t="s">
        <v>6847</v>
      </c>
      <c r="O640" s="597" t="s">
        <v>4982</v>
      </c>
      <c r="P640" s="719">
        <v>7916.67</v>
      </c>
      <c r="Q640" s="720">
        <v>0</v>
      </c>
      <c r="R640" s="719">
        <f t="shared" ref="R640:R665" si="43">ROUND(P640*Q640,2)</f>
        <v>0</v>
      </c>
      <c r="S640" s="570">
        <v>202310</v>
      </c>
      <c r="T640" s="693" t="s">
        <v>6848</v>
      </c>
      <c r="U640" s="713"/>
      <c r="V640" s="721">
        <v>0</v>
      </c>
      <c r="W640" s="721"/>
      <c r="X640" s="574">
        <v>44927</v>
      </c>
      <c r="Y640" s="574">
        <v>45291</v>
      </c>
      <c r="Z640" s="723"/>
      <c r="AA640" s="691">
        <v>0</v>
      </c>
      <c r="AB640" s="713">
        <v>0</v>
      </c>
      <c r="AC640" s="713">
        <f>AA640*AB640</f>
        <v>0</v>
      </c>
    </row>
    <row r="641" spans="1:29" s="577" customFormat="1" ht="15" customHeight="1">
      <c r="A641" s="563" t="s">
        <v>258</v>
      </c>
      <c r="B641" s="563" t="s">
        <v>6623</v>
      </c>
      <c r="C641" s="563" t="s">
        <v>6567</v>
      </c>
      <c r="D641" s="561" t="s">
        <v>6625</v>
      </c>
      <c r="E641" s="563" t="s">
        <v>6842</v>
      </c>
      <c r="F641" s="563" t="s">
        <v>6843</v>
      </c>
      <c r="G641" s="563" t="s">
        <v>165</v>
      </c>
      <c r="H641" s="564" t="s">
        <v>6844</v>
      </c>
      <c r="I641" s="565" t="e">
        <f>VLOOKUP(H641,'合同高级查询数据-10月新返回合同'!A:A,1,0)</f>
        <v>#N/A</v>
      </c>
      <c r="J641" s="674" t="s">
        <v>3724</v>
      </c>
      <c r="K641" s="675" t="s">
        <v>6849</v>
      </c>
      <c r="L641" s="675" t="s">
        <v>6850</v>
      </c>
      <c r="M641" s="596" t="s">
        <v>6846</v>
      </c>
      <c r="N641" s="597" t="s">
        <v>6851</v>
      </c>
      <c r="O641" s="597" t="s">
        <v>6852</v>
      </c>
      <c r="P641" s="719">
        <v>7916.67</v>
      </c>
      <c r="Q641" s="720">
        <v>13.4</v>
      </c>
      <c r="R641" s="719">
        <f t="shared" si="43"/>
        <v>106083.38</v>
      </c>
      <c r="S641" s="570">
        <v>202310</v>
      </c>
      <c r="T641" s="693" t="s">
        <v>6853</v>
      </c>
      <c r="U641" s="713"/>
      <c r="V641" s="721">
        <v>13.373362158999999</v>
      </c>
      <c r="W641" s="721"/>
      <c r="X641" s="574">
        <v>44927</v>
      </c>
      <c r="Y641" s="574">
        <v>45291</v>
      </c>
      <c r="Z641" s="561" t="s">
        <v>6854</v>
      </c>
      <c r="AA641" s="683">
        <v>0.3</v>
      </c>
      <c r="AB641" s="582">
        <v>40</v>
      </c>
      <c r="AC641" s="713">
        <f>AA641*AB641</f>
        <v>12</v>
      </c>
    </row>
    <row r="642" spans="1:29" s="577" customFormat="1" ht="15" customHeight="1">
      <c r="A642" s="563" t="s">
        <v>258</v>
      </c>
      <c r="B642" s="563" t="s">
        <v>6623</v>
      </c>
      <c r="C642" s="563" t="s">
        <v>6567</v>
      </c>
      <c r="D642" s="561" t="s">
        <v>6625</v>
      </c>
      <c r="E642" s="563" t="s">
        <v>6842</v>
      </c>
      <c r="F642" s="563" t="s">
        <v>6843</v>
      </c>
      <c r="G642" s="563" t="s">
        <v>165</v>
      </c>
      <c r="H642" s="564" t="s">
        <v>6844</v>
      </c>
      <c r="I642" s="565" t="e">
        <f>VLOOKUP(H642,'合同高级查询数据-10月新返回合同'!A:A,1,0)</f>
        <v>#N/A</v>
      </c>
      <c r="J642" s="674" t="s">
        <v>4013</v>
      </c>
      <c r="K642" s="563" t="s">
        <v>6855</v>
      </c>
      <c r="L642" s="675" t="s">
        <v>6856</v>
      </c>
      <c r="M642" s="721" t="s">
        <v>6857</v>
      </c>
      <c r="N642" s="597" t="s">
        <v>6858</v>
      </c>
      <c r="O642" s="597" t="s">
        <v>4397</v>
      </c>
      <c r="P642" s="719">
        <v>7916.67</v>
      </c>
      <c r="Q642" s="720">
        <v>0</v>
      </c>
      <c r="R642" s="719">
        <f t="shared" si="43"/>
        <v>0</v>
      </c>
      <c r="S642" s="570">
        <v>202310</v>
      </c>
      <c r="T642" s="693" t="s">
        <v>6859</v>
      </c>
      <c r="U642" s="713"/>
      <c r="V642" s="721">
        <v>0</v>
      </c>
      <c r="W642" s="721"/>
      <c r="X642" s="574">
        <v>44927</v>
      </c>
      <c r="Y642" s="574">
        <v>45291</v>
      </c>
      <c r="Z642" s="561" t="s">
        <v>6860</v>
      </c>
      <c r="AA642" s="683">
        <v>0</v>
      </c>
      <c r="AB642" s="582">
        <v>0</v>
      </c>
      <c r="AC642" s="713">
        <f>AA642*AB642</f>
        <v>0</v>
      </c>
    </row>
    <row r="643" spans="1:29" s="577" customFormat="1" ht="15" customHeight="1">
      <c r="A643" s="563" t="s">
        <v>258</v>
      </c>
      <c r="B643" s="563" t="s">
        <v>6623</v>
      </c>
      <c r="C643" s="563" t="s">
        <v>6654</v>
      </c>
      <c r="D643" s="561" t="s">
        <v>6625</v>
      </c>
      <c r="E643" s="563" t="s">
        <v>6861</v>
      </c>
      <c r="F643" s="563" t="s">
        <v>6862</v>
      </c>
      <c r="G643" s="563" t="s">
        <v>165</v>
      </c>
      <c r="H643" s="564" t="s">
        <v>6863</v>
      </c>
      <c r="I643" s="565" t="e">
        <f>VLOOKUP(H643,'合同高级查询数据-10月新返回合同'!A:A,1,0)</f>
        <v>#N/A</v>
      </c>
      <c r="J643" s="674" t="s">
        <v>3776</v>
      </c>
      <c r="K643" s="563" t="s">
        <v>6864</v>
      </c>
      <c r="L643" s="675" t="s">
        <v>6865</v>
      </c>
      <c r="M643" s="596" t="s">
        <v>6600</v>
      </c>
      <c r="N643" s="597"/>
      <c r="O643" s="597" t="s">
        <v>3847</v>
      </c>
      <c r="P643" s="719">
        <v>175000</v>
      </c>
      <c r="Q643" s="720">
        <v>2</v>
      </c>
      <c r="R643" s="719">
        <f t="shared" si="43"/>
        <v>350000</v>
      </c>
      <c r="S643" s="570">
        <v>202310</v>
      </c>
      <c r="T643" s="693" t="s">
        <v>6866</v>
      </c>
      <c r="U643" s="713"/>
      <c r="V643" s="721">
        <v>0.61846132700000001</v>
      </c>
      <c r="W643" s="721"/>
      <c r="X643" s="574">
        <v>44440</v>
      </c>
      <c r="Y643" s="574">
        <v>45535</v>
      </c>
      <c r="Z643" s="561" t="s">
        <v>6867</v>
      </c>
      <c r="AA643" s="683">
        <v>0.1</v>
      </c>
      <c r="AB643" s="582">
        <v>20</v>
      </c>
      <c r="AC643" s="713">
        <f t="shared" ref="AC643:AC648" si="44">AA643*AB643</f>
        <v>2</v>
      </c>
    </row>
    <row r="644" spans="1:29" s="577" customFormat="1" ht="15" customHeight="1">
      <c r="A644" s="563" t="s">
        <v>258</v>
      </c>
      <c r="B644" s="563" t="s">
        <v>6623</v>
      </c>
      <c r="C644" s="563" t="s">
        <v>6654</v>
      </c>
      <c r="D644" s="561" t="s">
        <v>6625</v>
      </c>
      <c r="E644" s="563" t="s">
        <v>6861</v>
      </c>
      <c r="F644" s="563" t="s">
        <v>6862</v>
      </c>
      <c r="G644" s="563" t="s">
        <v>165</v>
      </c>
      <c r="H644" s="564" t="s">
        <v>6868</v>
      </c>
      <c r="I644" s="565" t="e">
        <f>VLOOKUP(H644,'合同高级查询数据-10月新返回合同'!A:A,1,0)</f>
        <v>#N/A</v>
      </c>
      <c r="J644" s="674" t="s">
        <v>4013</v>
      </c>
      <c r="K644" s="563" t="s">
        <v>6869</v>
      </c>
      <c r="L644" s="675" t="s">
        <v>6870</v>
      </c>
      <c r="M644" s="596" t="s">
        <v>6871</v>
      </c>
      <c r="N644" s="597" t="s">
        <v>6872</v>
      </c>
      <c r="O644" s="597" t="s">
        <v>4397</v>
      </c>
      <c r="P644" s="719">
        <v>10000</v>
      </c>
      <c r="Q644" s="720">
        <v>0</v>
      </c>
      <c r="R644" s="719">
        <f t="shared" si="43"/>
        <v>0</v>
      </c>
      <c r="S644" s="570">
        <v>202310</v>
      </c>
      <c r="T644" s="693" t="s">
        <v>6873</v>
      </c>
      <c r="U644" s="713"/>
      <c r="V644" s="721">
        <v>0</v>
      </c>
      <c r="W644" s="721"/>
      <c r="X644" s="574">
        <v>44256</v>
      </c>
      <c r="Y644" s="574">
        <v>45350</v>
      </c>
      <c r="Z644" s="561" t="s">
        <v>6874</v>
      </c>
      <c r="AA644" s="683">
        <v>0</v>
      </c>
      <c r="AB644" s="582">
        <v>0</v>
      </c>
      <c r="AC644" s="713">
        <f t="shared" si="44"/>
        <v>0</v>
      </c>
    </row>
    <row r="645" spans="1:29" s="577" customFormat="1" ht="15" customHeight="1">
      <c r="A645" s="563" t="s">
        <v>258</v>
      </c>
      <c r="B645" s="563" t="s">
        <v>6623</v>
      </c>
      <c r="C645" s="563" t="s">
        <v>6654</v>
      </c>
      <c r="D645" s="561" t="s">
        <v>6625</v>
      </c>
      <c r="E645" s="563" t="s">
        <v>6861</v>
      </c>
      <c r="F645" s="563" t="s">
        <v>6875</v>
      </c>
      <c r="G645" s="563" t="s">
        <v>165</v>
      </c>
      <c r="H645" s="564" t="s">
        <v>6868</v>
      </c>
      <c r="I645" s="565" t="e">
        <f>VLOOKUP(H645,'合同高级查询数据-10月新返回合同'!A:A,1,0)</f>
        <v>#N/A</v>
      </c>
      <c r="J645" s="674" t="s">
        <v>3724</v>
      </c>
      <c r="K645" s="563" t="s">
        <v>6876</v>
      </c>
      <c r="L645" s="675" t="s">
        <v>6877</v>
      </c>
      <c r="M645" s="596" t="s">
        <v>6871</v>
      </c>
      <c r="N645" s="597" t="s">
        <v>6878</v>
      </c>
      <c r="O645" s="597" t="s">
        <v>6879</v>
      </c>
      <c r="P645" s="719">
        <v>10000</v>
      </c>
      <c r="Q645" s="720">
        <v>26.8</v>
      </c>
      <c r="R645" s="719">
        <f t="shared" si="43"/>
        <v>268000</v>
      </c>
      <c r="S645" s="570">
        <v>202310</v>
      </c>
      <c r="T645" s="693" t="s">
        <v>9176</v>
      </c>
      <c r="U645" s="713"/>
      <c r="V645" s="721">
        <v>26.421666412</v>
      </c>
      <c r="W645" s="721">
        <v>27.1</v>
      </c>
      <c r="X645" s="574">
        <v>44256</v>
      </c>
      <c r="Y645" s="574">
        <v>45350</v>
      </c>
      <c r="Z645" s="561" t="s">
        <v>6880</v>
      </c>
      <c r="AA645" s="683">
        <v>0.3</v>
      </c>
      <c r="AB645" s="582">
        <v>80</v>
      </c>
      <c r="AC645" s="713">
        <f t="shared" si="44"/>
        <v>24</v>
      </c>
    </row>
    <row r="646" spans="1:29" s="577" customFormat="1" ht="15" customHeight="1">
      <c r="A646" s="563" t="s">
        <v>258</v>
      </c>
      <c r="B646" s="563" t="s">
        <v>6623</v>
      </c>
      <c r="C646" s="563" t="s">
        <v>6654</v>
      </c>
      <c r="D646" s="561" t="s">
        <v>6625</v>
      </c>
      <c r="E646" s="563" t="s">
        <v>6861</v>
      </c>
      <c r="F646" s="563" t="s">
        <v>6875</v>
      </c>
      <c r="G646" s="563" t="s">
        <v>165</v>
      </c>
      <c r="H646" s="564" t="s">
        <v>6881</v>
      </c>
      <c r="I646" s="565" t="e">
        <f>VLOOKUP(H646,'合同高级查询数据-10月新返回合同'!A:A,1,0)</f>
        <v>#N/A</v>
      </c>
      <c r="J646" s="674" t="s">
        <v>4875</v>
      </c>
      <c r="K646" s="563" t="s">
        <v>6882</v>
      </c>
      <c r="L646" s="675" t="s">
        <v>6883</v>
      </c>
      <c r="M646" s="596" t="s">
        <v>6884</v>
      </c>
      <c r="N646" s="597"/>
      <c r="O646" s="713">
        <v>0</v>
      </c>
      <c r="P646" s="719">
        <v>24000</v>
      </c>
      <c r="Q646" s="720">
        <v>0</v>
      </c>
      <c r="R646" s="719">
        <f t="shared" si="43"/>
        <v>0</v>
      </c>
      <c r="S646" s="570">
        <v>202310</v>
      </c>
      <c r="T646" s="693" t="s">
        <v>6885</v>
      </c>
      <c r="U646" s="713"/>
      <c r="V646" s="721">
        <v>0</v>
      </c>
      <c r="W646" s="721"/>
      <c r="X646" s="574">
        <v>44228</v>
      </c>
      <c r="Y646" s="597">
        <v>45322</v>
      </c>
      <c r="Z646" s="723"/>
      <c r="AA646" s="691">
        <v>0</v>
      </c>
      <c r="AB646" s="713">
        <v>0</v>
      </c>
      <c r="AC646" s="713">
        <f t="shared" si="44"/>
        <v>0</v>
      </c>
    </row>
    <row r="647" spans="1:29" s="577" customFormat="1" ht="15" customHeight="1">
      <c r="A647" s="563" t="s">
        <v>258</v>
      </c>
      <c r="B647" s="563" t="s">
        <v>6623</v>
      </c>
      <c r="C647" s="563" t="s">
        <v>6654</v>
      </c>
      <c r="D647" s="561" t="s">
        <v>6625</v>
      </c>
      <c r="E647" s="563" t="s">
        <v>6861</v>
      </c>
      <c r="F647" s="563" t="s">
        <v>6875</v>
      </c>
      <c r="G647" s="563" t="s">
        <v>165</v>
      </c>
      <c r="H647" s="564" t="s">
        <v>6881</v>
      </c>
      <c r="I647" s="565" t="e">
        <f>VLOOKUP(H647,'合同高级查询数据-10月新返回合同'!A:A,1,0)</f>
        <v>#N/A</v>
      </c>
      <c r="J647" s="674" t="s">
        <v>4875</v>
      </c>
      <c r="K647" s="563" t="s">
        <v>6886</v>
      </c>
      <c r="L647" s="675" t="s">
        <v>6887</v>
      </c>
      <c r="M647" s="596" t="s">
        <v>6600</v>
      </c>
      <c r="N647" s="597"/>
      <c r="O647" s="624" t="s">
        <v>6888</v>
      </c>
      <c r="P647" s="719">
        <v>24000</v>
      </c>
      <c r="Q647" s="720">
        <v>24.9</v>
      </c>
      <c r="R647" s="719">
        <f t="shared" si="43"/>
        <v>597600</v>
      </c>
      <c r="S647" s="570">
        <v>202310</v>
      </c>
      <c r="T647" s="693" t="s">
        <v>6889</v>
      </c>
      <c r="U647" s="713"/>
      <c r="V647" s="721">
        <v>24.899744536</v>
      </c>
      <c r="W647" s="721"/>
      <c r="X647" s="574">
        <v>44228</v>
      </c>
      <c r="Y647" s="597">
        <v>45322</v>
      </c>
      <c r="Z647" s="561" t="s">
        <v>6890</v>
      </c>
      <c r="AA647" s="683">
        <v>0.1</v>
      </c>
      <c r="AB647" s="582">
        <v>180</v>
      </c>
      <c r="AC647" s="713">
        <f t="shared" si="44"/>
        <v>18</v>
      </c>
    </row>
    <row r="648" spans="1:29" s="577" customFormat="1" ht="15" customHeight="1">
      <c r="A648" s="561" t="s">
        <v>258</v>
      </c>
      <c r="B648" s="561" t="s">
        <v>6623</v>
      </c>
      <c r="C648" s="563" t="s">
        <v>6654</v>
      </c>
      <c r="D648" s="561" t="s">
        <v>6625</v>
      </c>
      <c r="E648" s="561" t="s">
        <v>6861</v>
      </c>
      <c r="F648" s="561" t="s">
        <v>6875</v>
      </c>
      <c r="G648" s="563" t="s">
        <v>165</v>
      </c>
      <c r="H648" s="564" t="s">
        <v>6868</v>
      </c>
      <c r="I648" s="565" t="e">
        <f>VLOOKUP(H648,'合同高级查询数据-10月新返回合同'!A:A,1,0)</f>
        <v>#N/A</v>
      </c>
      <c r="J648" s="674" t="s">
        <v>4875</v>
      </c>
      <c r="K648" s="561"/>
      <c r="L648" s="561" t="s">
        <v>6891</v>
      </c>
      <c r="M648" s="596" t="s">
        <v>6892</v>
      </c>
      <c r="N648" s="574">
        <v>44508</v>
      </c>
      <c r="O648" s="561" t="s">
        <v>2187</v>
      </c>
      <c r="P648" s="581">
        <v>10000</v>
      </c>
      <c r="Q648" s="720">
        <v>54.7</v>
      </c>
      <c r="R648" s="719">
        <f t="shared" si="43"/>
        <v>547000</v>
      </c>
      <c r="S648" s="570">
        <v>202310</v>
      </c>
      <c r="T648" s="693" t="s">
        <v>9177</v>
      </c>
      <c r="U648" s="713"/>
      <c r="V648" s="721">
        <v>53.776089341000002</v>
      </c>
      <c r="W648" s="721">
        <v>55.5</v>
      </c>
      <c r="X648" s="574">
        <v>44256</v>
      </c>
      <c r="Y648" s="574">
        <v>45350</v>
      </c>
      <c r="Z648" s="561" t="s">
        <v>6893</v>
      </c>
      <c r="AA648" s="683">
        <v>0.3</v>
      </c>
      <c r="AB648" s="582">
        <v>100</v>
      </c>
      <c r="AC648" s="713">
        <f t="shared" si="44"/>
        <v>30</v>
      </c>
    </row>
    <row r="649" spans="1:29" s="577" customFormat="1" ht="15" customHeight="1">
      <c r="A649" s="561" t="s">
        <v>258</v>
      </c>
      <c r="B649" s="561" t="s">
        <v>6623</v>
      </c>
      <c r="C649" s="563" t="s">
        <v>6654</v>
      </c>
      <c r="D649" s="561" t="s">
        <v>6625</v>
      </c>
      <c r="E649" s="561" t="s">
        <v>6861</v>
      </c>
      <c r="F649" s="561" t="s">
        <v>6875</v>
      </c>
      <c r="G649" s="561" t="s">
        <v>165</v>
      </c>
      <c r="H649" s="561" t="s">
        <v>6894</v>
      </c>
      <c r="I649" s="565" t="e">
        <f>VLOOKUP(H649,'合同高级查询数据-10月新返回合同'!A:A,1,0)</f>
        <v>#N/A</v>
      </c>
      <c r="J649" s="674" t="s">
        <v>3724</v>
      </c>
      <c r="K649" s="561" t="s">
        <v>6895</v>
      </c>
      <c r="L649" s="561" t="s">
        <v>6896</v>
      </c>
      <c r="M649" s="561" t="s">
        <v>6897</v>
      </c>
      <c r="N649" s="574" t="s">
        <v>6898</v>
      </c>
      <c r="O649" s="561" t="s">
        <v>6899</v>
      </c>
      <c r="P649" s="581">
        <v>10000</v>
      </c>
      <c r="Q649" s="720">
        <v>0</v>
      </c>
      <c r="R649" s="719">
        <f t="shared" si="43"/>
        <v>0</v>
      </c>
      <c r="S649" s="570">
        <v>202310</v>
      </c>
      <c r="T649" s="693" t="s">
        <v>6900</v>
      </c>
      <c r="U649" s="713"/>
      <c r="V649" s="721">
        <v>0</v>
      </c>
      <c r="W649" s="721"/>
      <c r="X649" s="574">
        <v>44743</v>
      </c>
      <c r="Y649" s="574">
        <v>45473</v>
      </c>
      <c r="Z649" s="723"/>
      <c r="AA649" s="691">
        <v>0</v>
      </c>
      <c r="AB649" s="713">
        <v>0</v>
      </c>
      <c r="AC649" s="713">
        <f>AA649*AB649</f>
        <v>0</v>
      </c>
    </row>
    <row r="650" spans="1:29" s="577" customFormat="1" ht="15" customHeight="1">
      <c r="A650" s="561" t="s">
        <v>258</v>
      </c>
      <c r="B650" s="561" t="s">
        <v>6623</v>
      </c>
      <c r="C650" s="563" t="s">
        <v>6654</v>
      </c>
      <c r="D650" s="561" t="s">
        <v>6625</v>
      </c>
      <c r="E650" s="561" t="s">
        <v>6861</v>
      </c>
      <c r="F650" s="561" t="s">
        <v>6875</v>
      </c>
      <c r="G650" s="561" t="s">
        <v>165</v>
      </c>
      <c r="H650" s="561" t="s">
        <v>6894</v>
      </c>
      <c r="I650" s="565" t="e">
        <f>VLOOKUP(H650,'合同高级查询数据-10月新返回合同'!A:A,1,0)</f>
        <v>#N/A</v>
      </c>
      <c r="J650" s="674" t="s">
        <v>3724</v>
      </c>
      <c r="K650" s="561" t="s">
        <v>6901</v>
      </c>
      <c r="L650" s="561" t="s">
        <v>6902</v>
      </c>
      <c r="M650" s="561" t="s">
        <v>6903</v>
      </c>
      <c r="N650" s="574" t="s">
        <v>6904</v>
      </c>
      <c r="O650" s="561" t="s">
        <v>4351</v>
      </c>
      <c r="P650" s="581">
        <v>10000</v>
      </c>
      <c r="Q650" s="720">
        <v>63.98</v>
      </c>
      <c r="R650" s="719">
        <f t="shared" si="43"/>
        <v>639800</v>
      </c>
      <c r="S650" s="570">
        <v>202310</v>
      </c>
      <c r="T650" s="693" t="s">
        <v>6905</v>
      </c>
      <c r="U650" s="713"/>
      <c r="V650" s="721">
        <v>63.978248303999997</v>
      </c>
      <c r="W650" s="721"/>
      <c r="X650" s="574">
        <v>44743</v>
      </c>
      <c r="Y650" s="574">
        <v>45473</v>
      </c>
      <c r="Z650" s="561" t="s">
        <v>6906</v>
      </c>
      <c r="AA650" s="683">
        <v>0.3</v>
      </c>
      <c r="AB650" s="582">
        <v>200</v>
      </c>
      <c r="AC650" s="713">
        <f>AA650*AB650</f>
        <v>60</v>
      </c>
    </row>
    <row r="651" spans="1:29" s="577" customFormat="1" ht="15" customHeight="1">
      <c r="A651" s="561" t="s">
        <v>258</v>
      </c>
      <c r="B651" s="561" t="s">
        <v>6623</v>
      </c>
      <c r="C651" s="563" t="s">
        <v>6654</v>
      </c>
      <c r="D651" s="561" t="s">
        <v>6625</v>
      </c>
      <c r="E651" s="561" t="s">
        <v>6861</v>
      </c>
      <c r="F651" s="561" t="s">
        <v>6875</v>
      </c>
      <c r="G651" s="561" t="s">
        <v>165</v>
      </c>
      <c r="H651" s="561" t="s">
        <v>6894</v>
      </c>
      <c r="I651" s="565" t="e">
        <f>VLOOKUP(H651,'合同高级查询数据-10月新返回合同'!A:A,1,0)</f>
        <v>#N/A</v>
      </c>
      <c r="J651" s="674" t="s">
        <v>3724</v>
      </c>
      <c r="K651" s="561" t="s">
        <v>6895</v>
      </c>
      <c r="L651" s="561" t="s">
        <v>6907</v>
      </c>
      <c r="M651" s="561" t="s">
        <v>6908</v>
      </c>
      <c r="N651" s="574">
        <v>44986</v>
      </c>
      <c r="O651" s="561" t="s">
        <v>1542</v>
      </c>
      <c r="P651" s="581">
        <v>10000</v>
      </c>
      <c r="Q651" s="720">
        <v>64.709999999999994</v>
      </c>
      <c r="R651" s="719">
        <f t="shared" si="43"/>
        <v>647100</v>
      </c>
      <c r="S651" s="570">
        <v>202310</v>
      </c>
      <c r="T651" s="693" t="s">
        <v>6909</v>
      </c>
      <c r="U651" s="713"/>
      <c r="V651" s="721">
        <v>64.705702650999996</v>
      </c>
      <c r="W651" s="721"/>
      <c r="X651" s="574">
        <v>44743</v>
      </c>
      <c r="Y651" s="574">
        <v>45473</v>
      </c>
      <c r="Z651" s="561" t="s">
        <v>6910</v>
      </c>
      <c r="AA651" s="683">
        <v>0.3</v>
      </c>
      <c r="AB651" s="582">
        <v>200</v>
      </c>
      <c r="AC651" s="582">
        <f>AA651*AB651</f>
        <v>60</v>
      </c>
    </row>
    <row r="652" spans="1:29" s="577" customFormat="1" ht="15" customHeight="1">
      <c r="A652" s="563" t="s">
        <v>258</v>
      </c>
      <c r="B652" s="563" t="s">
        <v>6623</v>
      </c>
      <c r="C652" s="563" t="s">
        <v>6654</v>
      </c>
      <c r="D652" s="561" t="s">
        <v>6625</v>
      </c>
      <c r="E652" s="563" t="s">
        <v>6861</v>
      </c>
      <c r="F652" s="563" t="s">
        <v>6875</v>
      </c>
      <c r="G652" s="563" t="s">
        <v>165</v>
      </c>
      <c r="H652" s="564" t="s">
        <v>6868</v>
      </c>
      <c r="I652" s="565" t="e">
        <f>VLOOKUP(H652,'合同高级查询数据-10月新返回合同'!A:A,1,0)</f>
        <v>#N/A</v>
      </c>
      <c r="J652" s="674" t="s">
        <v>3724</v>
      </c>
      <c r="K652" s="563" t="s">
        <v>6876</v>
      </c>
      <c r="L652" s="675" t="s">
        <v>6877</v>
      </c>
      <c r="M652" s="596" t="s">
        <v>6871</v>
      </c>
      <c r="N652" s="597" t="s">
        <v>6878</v>
      </c>
      <c r="O652" s="597" t="s">
        <v>6879</v>
      </c>
      <c r="P652" s="719">
        <v>10000</v>
      </c>
      <c r="Q652" s="720">
        <v>0.2</v>
      </c>
      <c r="R652" s="719">
        <f t="shared" si="43"/>
        <v>2000</v>
      </c>
      <c r="S652" s="570">
        <v>202309</v>
      </c>
      <c r="T652" s="693" t="s">
        <v>6911</v>
      </c>
      <c r="U652" s="713"/>
      <c r="V652" s="713"/>
      <c r="W652" s="713"/>
      <c r="X652" s="574">
        <v>44256</v>
      </c>
      <c r="Y652" s="574">
        <v>45350</v>
      </c>
      <c r="Z652" s="561"/>
      <c r="AA652" s="683"/>
      <c r="AB652" s="582"/>
      <c r="AC652" s="582"/>
    </row>
    <row r="653" spans="1:29" s="577" customFormat="1" ht="15" customHeight="1">
      <c r="A653" s="561" t="s">
        <v>258</v>
      </c>
      <c r="B653" s="561" t="s">
        <v>6623</v>
      </c>
      <c r="C653" s="563" t="s">
        <v>6654</v>
      </c>
      <c r="D653" s="561" t="s">
        <v>6625</v>
      </c>
      <c r="E653" s="561" t="s">
        <v>6861</v>
      </c>
      <c r="F653" s="561" t="s">
        <v>6875</v>
      </c>
      <c r="G653" s="563" t="s">
        <v>165</v>
      </c>
      <c r="H653" s="564" t="s">
        <v>6868</v>
      </c>
      <c r="I653" s="565" t="e">
        <f>VLOOKUP(H653,'合同高级查询数据-10月新返回合同'!A:A,1,0)</f>
        <v>#N/A</v>
      </c>
      <c r="J653" s="674" t="s">
        <v>4875</v>
      </c>
      <c r="K653" s="561"/>
      <c r="L653" s="561" t="s">
        <v>6891</v>
      </c>
      <c r="M653" s="596" t="s">
        <v>6892</v>
      </c>
      <c r="N653" s="574">
        <v>44508</v>
      </c>
      <c r="O653" s="561" t="s">
        <v>2187</v>
      </c>
      <c r="P653" s="581">
        <v>10000</v>
      </c>
      <c r="Q653" s="720">
        <v>0.6</v>
      </c>
      <c r="R653" s="719">
        <f t="shared" si="43"/>
        <v>6000</v>
      </c>
      <c r="S653" s="570">
        <v>202309</v>
      </c>
      <c r="T653" s="693" t="s">
        <v>6912</v>
      </c>
      <c r="U653" s="713"/>
      <c r="V653" s="713"/>
      <c r="W653" s="713"/>
      <c r="X653" s="574">
        <v>44256</v>
      </c>
      <c r="Y653" s="574">
        <v>45350</v>
      </c>
      <c r="Z653" s="561"/>
      <c r="AA653" s="683"/>
      <c r="AB653" s="582"/>
      <c r="AC653" s="582"/>
    </row>
    <row r="654" spans="1:29" s="577" customFormat="1" ht="15" customHeight="1">
      <c r="A654" s="563" t="s">
        <v>258</v>
      </c>
      <c r="B654" s="563" t="s">
        <v>6623</v>
      </c>
      <c r="C654" s="563" t="s">
        <v>6724</v>
      </c>
      <c r="D654" s="561" t="s">
        <v>6625</v>
      </c>
      <c r="E654" s="563" t="s">
        <v>6913</v>
      </c>
      <c r="F654" s="563" t="s">
        <v>6914</v>
      </c>
      <c r="G654" s="563" t="s">
        <v>165</v>
      </c>
      <c r="H654" s="564" t="s">
        <v>6915</v>
      </c>
      <c r="I654" s="565" t="e">
        <f>VLOOKUP(H654,'合同高级查询数据-10月新返回合同'!A:A,1,0)</f>
        <v>#N/A</v>
      </c>
      <c r="J654" s="674" t="s">
        <v>3724</v>
      </c>
      <c r="K654" s="563" t="s">
        <v>6916</v>
      </c>
      <c r="L654" s="675" t="s">
        <v>6917</v>
      </c>
      <c r="M654" s="721" t="s">
        <v>6918</v>
      </c>
      <c r="N654" s="574">
        <v>44105</v>
      </c>
      <c r="O654" s="563" t="s">
        <v>3847</v>
      </c>
      <c r="P654" s="719">
        <v>9000</v>
      </c>
      <c r="Q654" s="720">
        <v>6.7</v>
      </c>
      <c r="R654" s="719">
        <f t="shared" si="43"/>
        <v>60300</v>
      </c>
      <c r="S654" s="570">
        <v>202310</v>
      </c>
      <c r="T654" s="693" t="s">
        <v>6808</v>
      </c>
      <c r="U654" s="713"/>
      <c r="V654" s="721">
        <v>6.6316629970000003</v>
      </c>
      <c r="W654" s="721"/>
      <c r="X654" s="574">
        <v>44835</v>
      </c>
      <c r="Y654" s="574">
        <v>45473</v>
      </c>
      <c r="Z654" s="561" t="s">
        <v>6919</v>
      </c>
      <c r="AA654" s="683">
        <v>0.3</v>
      </c>
      <c r="AB654" s="582">
        <v>20</v>
      </c>
      <c r="AC654" s="713">
        <f t="shared" ref="AC654:AC660" si="45">AA654*AB654</f>
        <v>6</v>
      </c>
    </row>
    <row r="655" spans="1:29" s="385" customFormat="1" ht="15" customHeight="1">
      <c r="A655" s="388" t="s">
        <v>258</v>
      </c>
      <c r="B655" s="388" t="s">
        <v>6623</v>
      </c>
      <c r="C655" s="388" t="s">
        <v>6724</v>
      </c>
      <c r="D655" s="386" t="s">
        <v>6625</v>
      </c>
      <c r="E655" s="388" t="s">
        <v>6913</v>
      </c>
      <c r="F655" s="388" t="s">
        <v>6914</v>
      </c>
      <c r="G655" s="388" t="s">
        <v>165</v>
      </c>
      <c r="H655" s="389" t="s">
        <v>6920</v>
      </c>
      <c r="I655" s="369" t="e">
        <f>VLOOKUP(H655,'合同高级查询数据-10月新返回合同'!A:A,1,0)</f>
        <v>#N/A</v>
      </c>
      <c r="J655" s="499" t="s">
        <v>3724</v>
      </c>
      <c r="K655" s="388" t="s">
        <v>6916</v>
      </c>
      <c r="L655" s="486" t="s">
        <v>6921</v>
      </c>
      <c r="M655" s="541" t="s">
        <v>6918</v>
      </c>
      <c r="N655" s="383">
        <v>45141</v>
      </c>
      <c r="O655" s="388" t="s">
        <v>1542</v>
      </c>
      <c r="P655" s="539">
        <v>9000</v>
      </c>
      <c r="Q655" s="540">
        <v>60</v>
      </c>
      <c r="R655" s="539">
        <f t="shared" si="43"/>
        <v>540000</v>
      </c>
      <c r="S655" s="378">
        <v>202310</v>
      </c>
      <c r="T655" s="514" t="s">
        <v>6922</v>
      </c>
      <c r="U655" s="448"/>
      <c r="V655" s="541">
        <v>54.332386071999998</v>
      </c>
      <c r="W655" s="541"/>
      <c r="X655" s="383"/>
      <c r="Y655" s="425"/>
      <c r="Z655" s="386" t="s">
        <v>6923</v>
      </c>
      <c r="AA655" s="506">
        <v>0.3</v>
      </c>
      <c r="AB655" s="410">
        <v>200</v>
      </c>
      <c r="AC655" s="410">
        <f t="shared" si="45"/>
        <v>60</v>
      </c>
    </row>
    <row r="656" spans="1:29" s="577" customFormat="1" ht="15" customHeight="1">
      <c r="A656" s="563" t="s">
        <v>258</v>
      </c>
      <c r="B656" s="563" t="s">
        <v>6623</v>
      </c>
      <c r="C656" s="561" t="s">
        <v>6735</v>
      </c>
      <c r="D656" s="561" t="s">
        <v>6625</v>
      </c>
      <c r="E656" s="563" t="s">
        <v>6924</v>
      </c>
      <c r="F656" s="563" t="s">
        <v>6925</v>
      </c>
      <c r="G656" s="563" t="s">
        <v>165</v>
      </c>
      <c r="H656" s="564" t="s">
        <v>6926</v>
      </c>
      <c r="I656" s="565" t="e">
        <f>VLOOKUP(H656,'合同高级查询数据-10月新返回合同'!A:A,1,0)</f>
        <v>#N/A</v>
      </c>
      <c r="J656" s="674" t="s">
        <v>3724</v>
      </c>
      <c r="K656" s="563" t="s">
        <v>6927</v>
      </c>
      <c r="L656" s="675" t="s">
        <v>6928</v>
      </c>
      <c r="M656" s="596" t="s">
        <v>6929</v>
      </c>
      <c r="N656" s="574" t="s">
        <v>6930</v>
      </c>
      <c r="O656" s="563" t="s">
        <v>4982</v>
      </c>
      <c r="P656" s="719">
        <v>7500</v>
      </c>
      <c r="Q656" s="720">
        <v>0</v>
      </c>
      <c r="R656" s="719">
        <f t="shared" si="43"/>
        <v>0</v>
      </c>
      <c r="S656" s="570">
        <v>202310</v>
      </c>
      <c r="T656" s="693" t="s">
        <v>6931</v>
      </c>
      <c r="U656" s="713"/>
      <c r="V656" s="721">
        <v>0</v>
      </c>
      <c r="W656" s="721"/>
      <c r="X656" s="574">
        <v>43831</v>
      </c>
      <c r="Y656" s="574">
        <v>44439</v>
      </c>
      <c r="Z656" s="723"/>
      <c r="AA656" s="691">
        <v>0</v>
      </c>
      <c r="AB656" s="713">
        <v>0</v>
      </c>
      <c r="AC656" s="713">
        <f t="shared" si="45"/>
        <v>0</v>
      </c>
    </row>
    <row r="657" spans="1:29" s="385" customFormat="1" ht="15" customHeight="1">
      <c r="A657" s="388" t="s">
        <v>258</v>
      </c>
      <c r="B657" s="388" t="s">
        <v>6623</v>
      </c>
      <c r="C657" s="388" t="s">
        <v>6624</v>
      </c>
      <c r="D657" s="386" t="s">
        <v>6625</v>
      </c>
      <c r="E657" s="388" t="s">
        <v>6932</v>
      </c>
      <c r="F657" s="388" t="s">
        <v>6933</v>
      </c>
      <c r="G657" s="388" t="s">
        <v>165</v>
      </c>
      <c r="H657" s="389" t="s">
        <v>6934</v>
      </c>
      <c r="I657" s="369" t="e">
        <f>VLOOKUP(H657,'合同高级查询数据-10月新返回合同'!A:A,1,0)</f>
        <v>#N/A</v>
      </c>
      <c r="J657" s="499" t="s">
        <v>3724</v>
      </c>
      <c r="K657" s="388" t="s">
        <v>6646</v>
      </c>
      <c r="L657" s="486" t="s">
        <v>6935</v>
      </c>
      <c r="M657" s="541" t="s">
        <v>6648</v>
      </c>
      <c r="N657" s="383">
        <v>44810</v>
      </c>
      <c r="O657" s="386" t="s">
        <v>3874</v>
      </c>
      <c r="P657" s="539">
        <v>7083</v>
      </c>
      <c r="Q657" s="540">
        <v>69.7</v>
      </c>
      <c r="R657" s="539">
        <f t="shared" si="43"/>
        <v>493685.1</v>
      </c>
      <c r="S657" s="378">
        <v>202310</v>
      </c>
      <c r="T657" s="514" t="s">
        <v>6936</v>
      </c>
      <c r="U657" s="448"/>
      <c r="V657" s="541">
        <v>69.647313690000004</v>
      </c>
      <c r="W657" s="541"/>
      <c r="X657" s="546"/>
      <c r="Y657" s="546"/>
      <c r="Z657" s="386" t="s">
        <v>6937</v>
      </c>
      <c r="AA657" s="506">
        <v>0.3</v>
      </c>
      <c r="AB657" s="410">
        <v>180</v>
      </c>
      <c r="AC657" s="448">
        <f t="shared" si="45"/>
        <v>54</v>
      </c>
    </row>
    <row r="658" spans="1:29" s="577" customFormat="1" ht="15" customHeight="1">
      <c r="A658" s="563" t="s">
        <v>45</v>
      </c>
      <c r="B658" s="563" t="s">
        <v>6623</v>
      </c>
      <c r="C658" s="563" t="s">
        <v>6654</v>
      </c>
      <c r="D658" s="561" t="s">
        <v>6625</v>
      </c>
      <c r="E658" s="563" t="s">
        <v>6938</v>
      </c>
      <c r="F658" s="563" t="s">
        <v>6939</v>
      </c>
      <c r="G658" s="563" t="s">
        <v>165</v>
      </c>
      <c r="H658" s="564" t="s">
        <v>6940</v>
      </c>
      <c r="I658" s="565" t="str">
        <f>VLOOKUP(H658,'合同高级查询数据-10月新返回合同'!A:A,1,0)</f>
        <v>182315IDC00489</v>
      </c>
      <c r="J658" s="674" t="s">
        <v>3724</v>
      </c>
      <c r="K658" s="563" t="s">
        <v>6869</v>
      </c>
      <c r="L658" s="675" t="s">
        <v>6941</v>
      </c>
      <c r="M658" s="721" t="s">
        <v>6942</v>
      </c>
      <c r="N658" s="574" t="s">
        <v>6943</v>
      </c>
      <c r="O658" s="561" t="s">
        <v>6944</v>
      </c>
      <c r="P658" s="719">
        <v>6740</v>
      </c>
      <c r="Q658" s="720">
        <v>9.5</v>
      </c>
      <c r="R658" s="719">
        <f t="shared" si="43"/>
        <v>64030</v>
      </c>
      <c r="S658" s="570">
        <v>202310</v>
      </c>
      <c r="T658" s="693" t="s">
        <v>6945</v>
      </c>
      <c r="U658" s="713"/>
      <c r="V658" s="721">
        <v>9.4957257459999997</v>
      </c>
      <c r="W658" s="721"/>
      <c r="X658" s="722">
        <v>45108</v>
      </c>
      <c r="Y658" s="722">
        <v>45473</v>
      </c>
      <c r="Z658" s="561" t="s">
        <v>6946</v>
      </c>
      <c r="AA658" s="683">
        <v>0.4</v>
      </c>
      <c r="AB658" s="582">
        <v>20</v>
      </c>
      <c r="AC658" s="713">
        <f t="shared" si="45"/>
        <v>8</v>
      </c>
    </row>
    <row r="659" spans="1:29" s="577" customFormat="1" ht="15" customHeight="1">
      <c r="A659" s="563" t="s">
        <v>45</v>
      </c>
      <c r="B659" s="563" t="s">
        <v>6623</v>
      </c>
      <c r="C659" s="563" t="s">
        <v>6654</v>
      </c>
      <c r="D659" s="561" t="s">
        <v>6625</v>
      </c>
      <c r="E659" s="563" t="s">
        <v>6938</v>
      </c>
      <c r="F659" s="563" t="s">
        <v>6947</v>
      </c>
      <c r="G659" s="563" t="s">
        <v>165</v>
      </c>
      <c r="H659" s="564" t="s">
        <v>6940</v>
      </c>
      <c r="I659" s="565" t="str">
        <f>VLOOKUP(H659,'合同高级查询数据-10月新返回合同'!A:A,1,0)</f>
        <v>182315IDC00489</v>
      </c>
      <c r="J659" s="674" t="s">
        <v>4013</v>
      </c>
      <c r="K659" s="563" t="s">
        <v>6869</v>
      </c>
      <c r="L659" s="675" t="s">
        <v>6947</v>
      </c>
      <c r="M659" s="721" t="s">
        <v>6948</v>
      </c>
      <c r="N659" s="727" t="s">
        <v>6949</v>
      </c>
      <c r="O659" s="561" t="s">
        <v>6950</v>
      </c>
      <c r="P659" s="719">
        <v>6740</v>
      </c>
      <c r="Q659" s="720">
        <v>0</v>
      </c>
      <c r="R659" s="719">
        <f t="shared" si="43"/>
        <v>0</v>
      </c>
      <c r="S659" s="570">
        <v>202310</v>
      </c>
      <c r="T659" s="693" t="s">
        <v>6951</v>
      </c>
      <c r="U659" s="713"/>
      <c r="V659" s="721">
        <v>0</v>
      </c>
      <c r="W659" s="721"/>
      <c r="X659" s="722">
        <v>45108</v>
      </c>
      <c r="Y659" s="722">
        <v>45473</v>
      </c>
      <c r="Z659" s="561" t="s">
        <v>6952</v>
      </c>
      <c r="AA659" s="683">
        <v>0</v>
      </c>
      <c r="AB659" s="582">
        <v>0</v>
      </c>
      <c r="AC659" s="713">
        <f t="shared" si="45"/>
        <v>0</v>
      </c>
    </row>
    <row r="660" spans="1:29" s="577" customFormat="1" ht="15" customHeight="1">
      <c r="A660" s="563" t="s">
        <v>45</v>
      </c>
      <c r="B660" s="563" t="s">
        <v>6623</v>
      </c>
      <c r="C660" s="563" t="s">
        <v>6654</v>
      </c>
      <c r="D660" s="561" t="s">
        <v>6625</v>
      </c>
      <c r="E660" s="563" t="s">
        <v>6938</v>
      </c>
      <c r="F660" s="563" t="s">
        <v>6939</v>
      </c>
      <c r="G660" s="563" t="s">
        <v>165</v>
      </c>
      <c r="H660" s="564" t="s">
        <v>6953</v>
      </c>
      <c r="I660" s="565" t="e">
        <f>VLOOKUP(H660,'合同高级查询数据-10月新返回合同'!A:A,1,0)</f>
        <v>#N/A</v>
      </c>
      <c r="J660" s="674" t="s">
        <v>4875</v>
      </c>
      <c r="K660" s="563" t="s">
        <v>6954</v>
      </c>
      <c r="L660" s="675" t="s">
        <v>6955</v>
      </c>
      <c r="M660" s="721" t="s">
        <v>6956</v>
      </c>
      <c r="N660" s="574" t="s">
        <v>6957</v>
      </c>
      <c r="O660" s="561" t="s">
        <v>2151</v>
      </c>
      <c r="P660" s="719">
        <v>20000</v>
      </c>
      <c r="Q660" s="720">
        <v>0</v>
      </c>
      <c r="R660" s="719">
        <f t="shared" si="43"/>
        <v>0</v>
      </c>
      <c r="S660" s="570">
        <v>202310</v>
      </c>
      <c r="T660" s="693" t="s">
        <v>6958</v>
      </c>
      <c r="U660" s="713"/>
      <c r="V660" s="721">
        <v>0</v>
      </c>
      <c r="W660" s="721"/>
      <c r="X660" s="574">
        <v>43190</v>
      </c>
      <c r="Y660" s="597">
        <v>45382</v>
      </c>
      <c r="Z660" s="561" t="s">
        <v>6959</v>
      </c>
      <c r="AA660" s="683">
        <v>0</v>
      </c>
      <c r="AB660" s="582">
        <v>400</v>
      </c>
      <c r="AC660" s="713">
        <f t="shared" si="45"/>
        <v>0</v>
      </c>
    </row>
    <row r="661" spans="1:29" s="577" customFormat="1" ht="15" customHeight="1">
      <c r="A661" s="563" t="s">
        <v>45</v>
      </c>
      <c r="B661" s="563" t="s">
        <v>6623</v>
      </c>
      <c r="C661" s="563" t="s">
        <v>6654</v>
      </c>
      <c r="D661" s="561" t="s">
        <v>6625</v>
      </c>
      <c r="E661" s="563" t="s">
        <v>6938</v>
      </c>
      <c r="F661" s="563" t="s">
        <v>6939</v>
      </c>
      <c r="G661" s="563" t="s">
        <v>165</v>
      </c>
      <c r="H661" s="564" t="s">
        <v>6953</v>
      </c>
      <c r="I661" s="565" t="e">
        <f>VLOOKUP(H661,'合同高级查询数据-10月新返回合同'!A:A,1,0)</f>
        <v>#N/A</v>
      </c>
      <c r="J661" s="674" t="s">
        <v>4875</v>
      </c>
      <c r="K661" s="563" t="s">
        <v>6869</v>
      </c>
      <c r="L661" s="675" t="s">
        <v>6939</v>
      </c>
      <c r="M661" s="596" t="s">
        <v>6960</v>
      </c>
      <c r="N661" s="574">
        <v>42248</v>
      </c>
      <c r="O661" s="561" t="s">
        <v>4231</v>
      </c>
      <c r="P661" s="719">
        <v>20000</v>
      </c>
      <c r="Q661" s="720">
        <v>103</v>
      </c>
      <c r="R661" s="719">
        <f>ROUND(P661*(Q661-4),2)</f>
        <v>1980000</v>
      </c>
      <c r="S661" s="570">
        <v>202310</v>
      </c>
      <c r="T661" s="693" t="s">
        <v>6961</v>
      </c>
      <c r="U661" s="713"/>
      <c r="V661" s="721">
        <v>102.75739306200001</v>
      </c>
      <c r="W661" s="721"/>
      <c r="X661" s="574">
        <v>43190</v>
      </c>
      <c r="Y661" s="597">
        <v>45382</v>
      </c>
      <c r="Z661" s="561" t="s">
        <v>6960</v>
      </c>
      <c r="AA661" s="683" t="s">
        <v>6962</v>
      </c>
      <c r="AB661" s="582">
        <v>220</v>
      </c>
      <c r="AC661" s="582">
        <v>80</v>
      </c>
    </row>
    <row r="662" spans="1:29" s="577" customFormat="1" ht="15" customHeight="1">
      <c r="A662" s="563" t="s">
        <v>45</v>
      </c>
      <c r="B662" s="563" t="s">
        <v>6623</v>
      </c>
      <c r="C662" s="563" t="s">
        <v>6654</v>
      </c>
      <c r="D662" s="561" t="s">
        <v>6625</v>
      </c>
      <c r="E662" s="563" t="s">
        <v>6938</v>
      </c>
      <c r="F662" s="563" t="s">
        <v>6939</v>
      </c>
      <c r="G662" s="563" t="s">
        <v>165</v>
      </c>
      <c r="H662" s="564" t="s">
        <v>6940</v>
      </c>
      <c r="I662" s="565" t="str">
        <f>VLOOKUP(H662,'合同高级查询数据-10月新返回合同'!A:A,1,0)</f>
        <v>182315IDC00489</v>
      </c>
      <c r="J662" s="674" t="s">
        <v>3776</v>
      </c>
      <c r="K662" s="563" t="s">
        <v>6963</v>
      </c>
      <c r="L662" s="675" t="s">
        <v>6964</v>
      </c>
      <c r="M662" s="721" t="s">
        <v>6600</v>
      </c>
      <c r="N662" s="574" t="s">
        <v>6965</v>
      </c>
      <c r="O662" s="561" t="s">
        <v>6966</v>
      </c>
      <c r="P662" s="719">
        <v>150000</v>
      </c>
      <c r="Q662" s="720">
        <v>4</v>
      </c>
      <c r="R662" s="719">
        <f t="shared" si="43"/>
        <v>600000</v>
      </c>
      <c r="S662" s="570">
        <v>202310</v>
      </c>
      <c r="T662" s="693" t="s">
        <v>6967</v>
      </c>
      <c r="U662" s="713"/>
      <c r="V662" s="721">
        <v>3.6595831649999999</v>
      </c>
      <c r="W662" s="721"/>
      <c r="X662" s="722">
        <v>45108</v>
      </c>
      <c r="Y662" s="722">
        <v>45473</v>
      </c>
      <c r="Z662" s="561" t="s">
        <v>6968</v>
      </c>
      <c r="AA662" s="683">
        <v>0.2</v>
      </c>
      <c r="AB662" s="582">
        <v>20</v>
      </c>
      <c r="AC662" s="582">
        <f>AA662*AB662</f>
        <v>4</v>
      </c>
    </row>
    <row r="663" spans="1:29" s="577" customFormat="1" ht="15" customHeight="1">
      <c r="A663" s="563" t="s">
        <v>45</v>
      </c>
      <c r="B663" s="563" t="s">
        <v>6623</v>
      </c>
      <c r="C663" s="563" t="s">
        <v>6654</v>
      </c>
      <c r="D663" s="561" t="s">
        <v>6625</v>
      </c>
      <c r="E663" s="563" t="s">
        <v>6938</v>
      </c>
      <c r="F663" s="563" t="s">
        <v>6939</v>
      </c>
      <c r="G663" s="674" t="s">
        <v>165</v>
      </c>
      <c r="H663" s="564" t="s">
        <v>6940</v>
      </c>
      <c r="I663" s="565" t="str">
        <f>VLOOKUP(H663,'合同高级查询数据-10月新返回合同'!A:A,1,0)</f>
        <v>182315IDC00489</v>
      </c>
      <c r="J663" s="674" t="s">
        <v>4875</v>
      </c>
      <c r="K663" s="561" t="s">
        <v>6869</v>
      </c>
      <c r="L663" s="675" t="s">
        <v>6969</v>
      </c>
      <c r="M663" s="721" t="s">
        <v>6956</v>
      </c>
      <c r="N663" s="574">
        <v>44959</v>
      </c>
      <c r="O663" s="561" t="s">
        <v>2187</v>
      </c>
      <c r="P663" s="719">
        <v>6740</v>
      </c>
      <c r="Q663" s="720">
        <v>40</v>
      </c>
      <c r="R663" s="719">
        <f t="shared" si="43"/>
        <v>269600</v>
      </c>
      <c r="S663" s="570">
        <v>202310</v>
      </c>
      <c r="T663" s="693" t="s">
        <v>6970</v>
      </c>
      <c r="U663" s="713"/>
      <c r="V663" s="721">
        <v>20.048190458000001</v>
      </c>
      <c r="W663" s="721"/>
      <c r="X663" s="722">
        <v>45108</v>
      </c>
      <c r="Y663" s="722">
        <v>45473</v>
      </c>
      <c r="Z663" s="561" t="s">
        <v>6971</v>
      </c>
      <c r="AA663" s="683">
        <v>0.4</v>
      </c>
      <c r="AB663" s="582">
        <v>100</v>
      </c>
      <c r="AC663" s="582">
        <f>AA663*AB663</f>
        <v>40</v>
      </c>
    </row>
    <row r="664" spans="1:29" s="577" customFormat="1" ht="15" customHeight="1">
      <c r="A664" s="563" t="s">
        <v>45</v>
      </c>
      <c r="B664" s="563" t="s">
        <v>6623</v>
      </c>
      <c r="C664" s="563" t="s">
        <v>6654</v>
      </c>
      <c r="D664" s="561" t="s">
        <v>6625</v>
      </c>
      <c r="E664" s="563" t="s">
        <v>6938</v>
      </c>
      <c r="F664" s="563" t="s">
        <v>6939</v>
      </c>
      <c r="G664" s="674" t="s">
        <v>165</v>
      </c>
      <c r="H664" s="564" t="s">
        <v>6940</v>
      </c>
      <c r="I664" s="565" t="str">
        <f>VLOOKUP(H664,'合同高级查询数据-10月新返回合同'!A:A,1,0)</f>
        <v>182315IDC00489</v>
      </c>
      <c r="J664" s="674" t="s">
        <v>3724</v>
      </c>
      <c r="K664" s="561" t="s">
        <v>6869</v>
      </c>
      <c r="L664" s="675" t="s">
        <v>6972</v>
      </c>
      <c r="M664" s="721" t="s">
        <v>6973</v>
      </c>
      <c r="N664" s="574">
        <v>45108</v>
      </c>
      <c r="O664" s="561" t="s">
        <v>1542</v>
      </c>
      <c r="P664" s="581">
        <v>6740</v>
      </c>
      <c r="Q664" s="720">
        <v>99.51</v>
      </c>
      <c r="R664" s="719">
        <f t="shared" si="43"/>
        <v>670697.4</v>
      </c>
      <c r="S664" s="570">
        <v>202310</v>
      </c>
      <c r="T664" s="693" t="s">
        <v>6974</v>
      </c>
      <c r="U664" s="713"/>
      <c r="V664" s="721">
        <v>99.505873718000004</v>
      </c>
      <c r="W664" s="721"/>
      <c r="X664" s="722">
        <v>45108</v>
      </c>
      <c r="Y664" s="722">
        <v>45473</v>
      </c>
      <c r="Z664" s="561" t="s">
        <v>6975</v>
      </c>
      <c r="AA664" s="683">
        <v>0.4</v>
      </c>
      <c r="AB664" s="582">
        <v>200</v>
      </c>
      <c r="AC664" s="582">
        <f>AA664*AB664</f>
        <v>80</v>
      </c>
    </row>
    <row r="665" spans="1:29" s="577" customFormat="1" ht="15" customHeight="1">
      <c r="A665" s="563" t="s">
        <v>45</v>
      </c>
      <c r="B665" s="563" t="s">
        <v>6623</v>
      </c>
      <c r="C665" s="563" t="s">
        <v>6654</v>
      </c>
      <c r="D665" s="561" t="s">
        <v>6625</v>
      </c>
      <c r="E665" s="563" t="s">
        <v>6938</v>
      </c>
      <c r="F665" s="563" t="s">
        <v>6939</v>
      </c>
      <c r="G665" s="674" t="s">
        <v>165</v>
      </c>
      <c r="H665" s="564" t="s">
        <v>6940</v>
      </c>
      <c r="I665" s="565" t="str">
        <f>VLOOKUP(H665,'合同高级查询数据-10月新返回合同'!A:A,1,0)</f>
        <v>182315IDC00489</v>
      </c>
      <c r="J665" s="674" t="s">
        <v>3724</v>
      </c>
      <c r="K665" s="561" t="s">
        <v>6869</v>
      </c>
      <c r="L665" s="675" t="s">
        <v>6976</v>
      </c>
      <c r="M665" s="721" t="s">
        <v>6973</v>
      </c>
      <c r="N665" s="574">
        <v>45139</v>
      </c>
      <c r="O665" s="561" t="s">
        <v>4764</v>
      </c>
      <c r="P665" s="581">
        <v>6740</v>
      </c>
      <c r="Q665" s="720">
        <v>84.85</v>
      </c>
      <c r="R665" s="719">
        <f t="shared" si="43"/>
        <v>571889</v>
      </c>
      <c r="S665" s="570">
        <v>202310</v>
      </c>
      <c r="T665" s="693" t="s">
        <v>6977</v>
      </c>
      <c r="U665" s="713"/>
      <c r="V665" s="721">
        <v>84.854510344999994</v>
      </c>
      <c r="W665" s="721"/>
      <c r="X665" s="722">
        <v>45108</v>
      </c>
      <c r="Y665" s="722">
        <v>45473</v>
      </c>
      <c r="Z665" s="561" t="s">
        <v>6978</v>
      </c>
      <c r="AA665" s="683">
        <v>0.4</v>
      </c>
      <c r="AB665" s="582">
        <v>160</v>
      </c>
      <c r="AC665" s="582">
        <f>AA665*AB665</f>
        <v>64</v>
      </c>
    </row>
    <row r="666" spans="1:29" s="577" customFormat="1" ht="15" customHeight="1">
      <c r="A666" s="563" t="s">
        <v>45</v>
      </c>
      <c r="B666" s="563" t="s">
        <v>6623</v>
      </c>
      <c r="C666" s="563" t="s">
        <v>6654</v>
      </c>
      <c r="D666" s="561" t="s">
        <v>6625</v>
      </c>
      <c r="E666" s="563" t="s">
        <v>6938</v>
      </c>
      <c r="F666" s="563" t="s">
        <v>6939</v>
      </c>
      <c r="G666" s="563" t="s">
        <v>165</v>
      </c>
      <c r="H666" s="564" t="s">
        <v>6953</v>
      </c>
      <c r="I666" s="565" t="e">
        <f>VLOOKUP(H666,'合同高级查询数据-10月新返回合同'!A:A,1,0)</f>
        <v>#N/A</v>
      </c>
      <c r="J666" s="674" t="s">
        <v>4875</v>
      </c>
      <c r="K666" s="563" t="s">
        <v>6869</v>
      </c>
      <c r="L666" s="675" t="s">
        <v>6939</v>
      </c>
      <c r="M666" s="596" t="s">
        <v>6960</v>
      </c>
      <c r="N666" s="574">
        <v>42248</v>
      </c>
      <c r="O666" s="561" t="s">
        <v>4231</v>
      </c>
      <c r="P666" s="719">
        <v>20000</v>
      </c>
      <c r="Q666" s="720">
        <v>1</v>
      </c>
      <c r="R666" s="719">
        <f>ROUND(P666*Q666,2)</f>
        <v>20000</v>
      </c>
      <c r="S666" s="570">
        <v>202309</v>
      </c>
      <c r="T666" s="693" t="s">
        <v>6979</v>
      </c>
      <c r="U666" s="728"/>
      <c r="V666" s="582"/>
      <c r="W666" s="561"/>
      <c r="X666" s="574"/>
      <c r="Y666" s="574"/>
      <c r="Z666" s="561"/>
      <c r="AA666" s="683"/>
      <c r="AB666" s="582"/>
      <c r="AC666" s="582"/>
    </row>
    <row r="667" spans="1:29" s="577" customFormat="1" ht="15" customHeight="1">
      <c r="A667" s="563" t="s">
        <v>45</v>
      </c>
      <c r="B667" s="563" t="s">
        <v>6623</v>
      </c>
      <c r="C667" s="563" t="s">
        <v>6654</v>
      </c>
      <c r="D667" s="561" t="s">
        <v>6625</v>
      </c>
      <c r="E667" s="563" t="s">
        <v>6938</v>
      </c>
      <c r="F667" s="563" t="s">
        <v>6939</v>
      </c>
      <c r="G667" s="674" t="s">
        <v>165</v>
      </c>
      <c r="H667" s="564" t="s">
        <v>6940</v>
      </c>
      <c r="I667" s="565" t="str">
        <f>VLOOKUP(H667,'合同高级查询数据-10月新返回合同'!A:A,1,0)</f>
        <v>182315IDC00489</v>
      </c>
      <c r="J667" s="674" t="s">
        <v>3724</v>
      </c>
      <c r="K667" s="561" t="s">
        <v>6869</v>
      </c>
      <c r="L667" s="675" t="s">
        <v>6972</v>
      </c>
      <c r="M667" s="721" t="s">
        <v>6973</v>
      </c>
      <c r="N667" s="574">
        <v>45108</v>
      </c>
      <c r="O667" s="561" t="s">
        <v>1542</v>
      </c>
      <c r="P667" s="581">
        <v>6740</v>
      </c>
      <c r="Q667" s="720">
        <v>0.19</v>
      </c>
      <c r="R667" s="719">
        <f>ROUND(P667*Q667,2)</f>
        <v>1280.5999999999999</v>
      </c>
      <c r="S667" s="570">
        <v>202309</v>
      </c>
      <c r="T667" s="693" t="s">
        <v>6980</v>
      </c>
      <c r="U667" s="728"/>
      <c r="V667" s="582"/>
      <c r="W667" s="561"/>
      <c r="X667" s="574"/>
      <c r="Y667" s="574"/>
      <c r="Z667" s="561"/>
      <c r="AA667" s="683"/>
      <c r="AB667" s="582"/>
      <c r="AC667" s="582"/>
    </row>
    <row r="668" spans="1:29" s="577" customFormat="1" ht="15" customHeight="1">
      <c r="A668" s="563" t="s">
        <v>45</v>
      </c>
      <c r="B668" s="563" t="s">
        <v>6623</v>
      </c>
      <c r="C668" s="563" t="s">
        <v>6654</v>
      </c>
      <c r="D668" s="561" t="s">
        <v>6625</v>
      </c>
      <c r="E668" s="563" t="s">
        <v>6938</v>
      </c>
      <c r="F668" s="563" t="s">
        <v>6939</v>
      </c>
      <c r="G668" s="674" t="s">
        <v>165</v>
      </c>
      <c r="H668" s="564" t="s">
        <v>6940</v>
      </c>
      <c r="I668" s="565" t="str">
        <f>VLOOKUP(H668,'合同高级查询数据-10月新返回合同'!A:A,1,0)</f>
        <v>182315IDC00489</v>
      </c>
      <c r="J668" s="674" t="s">
        <v>3724</v>
      </c>
      <c r="K668" s="561" t="s">
        <v>6869</v>
      </c>
      <c r="L668" s="675" t="s">
        <v>6976</v>
      </c>
      <c r="M668" s="721" t="s">
        <v>6973</v>
      </c>
      <c r="N668" s="574">
        <v>45139</v>
      </c>
      <c r="O668" s="561" t="s">
        <v>4764</v>
      </c>
      <c r="P668" s="581">
        <v>6740</v>
      </c>
      <c r="Q668" s="720">
        <v>0.18</v>
      </c>
      <c r="R668" s="719">
        <f>ROUND(P668*Q668,2)</f>
        <v>1213.2</v>
      </c>
      <c r="S668" s="570">
        <v>202309</v>
      </c>
      <c r="T668" s="693" t="s">
        <v>6981</v>
      </c>
      <c r="U668" s="728"/>
      <c r="V668" s="582"/>
      <c r="W668" s="561"/>
      <c r="X668" s="574"/>
      <c r="Y668" s="574"/>
      <c r="Z668" s="561"/>
      <c r="AA668" s="683"/>
      <c r="AB668" s="582"/>
      <c r="AC668" s="582"/>
    </row>
    <row r="669" spans="1:29" s="577" customFormat="1" ht="15" customHeight="1">
      <c r="A669" s="563" t="s">
        <v>45</v>
      </c>
      <c r="B669" s="563" t="s">
        <v>6623</v>
      </c>
      <c r="C669" s="563" t="s">
        <v>6624</v>
      </c>
      <c r="D669" s="561" t="s">
        <v>6625</v>
      </c>
      <c r="E669" s="563" t="s">
        <v>6982</v>
      </c>
      <c r="F669" s="563" t="s">
        <v>6983</v>
      </c>
      <c r="G669" s="563" t="s">
        <v>165</v>
      </c>
      <c r="H669" s="564" t="s">
        <v>6984</v>
      </c>
      <c r="I669" s="565" t="e">
        <f>VLOOKUP(H669,'合同高级查询数据-10月新返回合同'!A:A,1,0)</f>
        <v>#N/A</v>
      </c>
      <c r="J669" s="674" t="s">
        <v>3724</v>
      </c>
      <c r="K669" s="563" t="s">
        <v>6985</v>
      </c>
      <c r="L669" s="675" t="s">
        <v>6986</v>
      </c>
      <c r="M669" s="596" t="s">
        <v>6987</v>
      </c>
      <c r="N669" s="597" t="s">
        <v>6988</v>
      </c>
      <c r="O669" s="624" t="s">
        <v>6989</v>
      </c>
      <c r="P669" s="719">
        <v>6740</v>
      </c>
      <c r="Q669" s="720">
        <v>206.78</v>
      </c>
      <c r="R669" s="719">
        <f t="shared" ref="R669:R689" si="46">ROUND(P669*Q669,2)</f>
        <v>1393697.2</v>
      </c>
      <c r="S669" s="570">
        <v>202310</v>
      </c>
      <c r="T669" s="693" t="s">
        <v>6990</v>
      </c>
      <c r="U669" s="713"/>
      <c r="V669" s="721">
        <v>206.78388977099999</v>
      </c>
      <c r="W669" s="721"/>
      <c r="X669" s="574">
        <v>45108</v>
      </c>
      <c r="Y669" s="574">
        <v>45473</v>
      </c>
      <c r="Z669" s="561" t="s">
        <v>6991</v>
      </c>
      <c r="AA669" s="683">
        <v>0.4</v>
      </c>
      <c r="AB669" s="582">
        <v>480</v>
      </c>
      <c r="AC669" s="713">
        <f t="shared" ref="AC669:AC674" si="47">AA669*AB669</f>
        <v>192</v>
      </c>
    </row>
    <row r="670" spans="1:29" s="577" customFormat="1" ht="15" customHeight="1">
      <c r="A670" s="563" t="s">
        <v>45</v>
      </c>
      <c r="B670" s="563" t="s">
        <v>6623</v>
      </c>
      <c r="C670" s="563" t="s">
        <v>6624</v>
      </c>
      <c r="D670" s="561" t="s">
        <v>6625</v>
      </c>
      <c r="E670" s="563" t="s">
        <v>6982</v>
      </c>
      <c r="F670" s="563" t="s">
        <v>6983</v>
      </c>
      <c r="G670" s="563" t="s">
        <v>165</v>
      </c>
      <c r="H670" s="564" t="s">
        <v>6984</v>
      </c>
      <c r="I670" s="565" t="e">
        <f>VLOOKUP(H670,'合同高级查询数据-10月新返回合同'!A:A,1,0)</f>
        <v>#N/A</v>
      </c>
      <c r="J670" s="674" t="s">
        <v>3724</v>
      </c>
      <c r="K670" s="563" t="s">
        <v>6992</v>
      </c>
      <c r="L670" s="675" t="s">
        <v>6993</v>
      </c>
      <c r="M670" s="596" t="s">
        <v>6987</v>
      </c>
      <c r="N670" s="597" t="s">
        <v>6994</v>
      </c>
      <c r="O670" s="624" t="s">
        <v>6995</v>
      </c>
      <c r="P670" s="719">
        <v>6740</v>
      </c>
      <c r="Q670" s="720">
        <v>0</v>
      </c>
      <c r="R670" s="719">
        <f t="shared" si="46"/>
        <v>0</v>
      </c>
      <c r="S670" s="570">
        <v>202310</v>
      </c>
      <c r="T670" s="693" t="s">
        <v>6996</v>
      </c>
      <c r="U670" s="713"/>
      <c r="V670" s="721">
        <v>0</v>
      </c>
      <c r="W670" s="721"/>
      <c r="X670" s="574">
        <v>45108</v>
      </c>
      <c r="Y670" s="574">
        <v>45473</v>
      </c>
      <c r="Z670" s="723"/>
      <c r="AA670" s="691">
        <v>0</v>
      </c>
      <c r="AB670" s="713">
        <v>0</v>
      </c>
      <c r="AC670" s="713">
        <f t="shared" si="47"/>
        <v>0</v>
      </c>
    </row>
    <row r="671" spans="1:29" s="577" customFormat="1" ht="15" customHeight="1">
      <c r="A671" s="563" t="s">
        <v>45</v>
      </c>
      <c r="B671" s="563" t="s">
        <v>6623</v>
      </c>
      <c r="C671" s="563" t="s">
        <v>6624</v>
      </c>
      <c r="D671" s="561" t="s">
        <v>6625</v>
      </c>
      <c r="E671" s="563" t="s">
        <v>6982</v>
      </c>
      <c r="F671" s="563" t="s">
        <v>6983</v>
      </c>
      <c r="G671" s="563" t="s">
        <v>165</v>
      </c>
      <c r="H671" s="564" t="s">
        <v>6984</v>
      </c>
      <c r="I671" s="565" t="e">
        <f>VLOOKUP(H671,'合同高级查询数据-10月新返回合同'!A:A,1,0)</f>
        <v>#N/A</v>
      </c>
      <c r="J671" s="674" t="s">
        <v>3724</v>
      </c>
      <c r="K671" s="563" t="s">
        <v>6997</v>
      </c>
      <c r="L671" s="675" t="s">
        <v>6998</v>
      </c>
      <c r="M671" s="596" t="s">
        <v>6999</v>
      </c>
      <c r="N671" s="597" t="s">
        <v>7000</v>
      </c>
      <c r="O671" s="624" t="s">
        <v>7001</v>
      </c>
      <c r="P671" s="719">
        <v>6740</v>
      </c>
      <c r="Q671" s="720">
        <v>17.59</v>
      </c>
      <c r="R671" s="719">
        <f t="shared" si="46"/>
        <v>118556.6</v>
      </c>
      <c r="S671" s="570">
        <v>202310</v>
      </c>
      <c r="T671" s="693" t="s">
        <v>7002</v>
      </c>
      <c r="U671" s="713"/>
      <c r="V671" s="721">
        <v>17.586105347</v>
      </c>
      <c r="W671" s="721"/>
      <c r="X671" s="574">
        <v>45108</v>
      </c>
      <c r="Y671" s="574">
        <v>45473</v>
      </c>
      <c r="Z671" s="561" t="s">
        <v>7003</v>
      </c>
      <c r="AA671" s="683">
        <v>0.4</v>
      </c>
      <c r="AB671" s="582">
        <v>40</v>
      </c>
      <c r="AC671" s="713">
        <f t="shared" si="47"/>
        <v>16</v>
      </c>
    </row>
    <row r="672" spans="1:29" s="577" customFormat="1" ht="15" customHeight="1">
      <c r="A672" s="563" t="s">
        <v>45</v>
      </c>
      <c r="B672" s="563" t="s">
        <v>6623</v>
      </c>
      <c r="C672" s="563" t="s">
        <v>6624</v>
      </c>
      <c r="D672" s="561" t="s">
        <v>6625</v>
      </c>
      <c r="E672" s="563" t="s">
        <v>6982</v>
      </c>
      <c r="F672" s="563" t="s">
        <v>7004</v>
      </c>
      <c r="G672" s="563" t="s">
        <v>165</v>
      </c>
      <c r="H672" s="564" t="s">
        <v>6984</v>
      </c>
      <c r="I672" s="565" t="e">
        <f>VLOOKUP(H672,'合同高级查询数据-10月新返回合同'!A:A,1,0)</f>
        <v>#N/A</v>
      </c>
      <c r="J672" s="674" t="s">
        <v>3724</v>
      </c>
      <c r="K672" s="563" t="s">
        <v>6639</v>
      </c>
      <c r="L672" s="675" t="s">
        <v>7004</v>
      </c>
      <c r="M672" s="596" t="s">
        <v>7005</v>
      </c>
      <c r="N672" s="657" t="s">
        <v>7006</v>
      </c>
      <c r="O672" s="563" t="s">
        <v>7007</v>
      </c>
      <c r="P672" s="719">
        <v>6740</v>
      </c>
      <c r="Q672" s="720">
        <v>0</v>
      </c>
      <c r="R672" s="719">
        <f t="shared" si="46"/>
        <v>0</v>
      </c>
      <c r="S672" s="570">
        <v>202310</v>
      </c>
      <c r="T672" s="693" t="s">
        <v>7008</v>
      </c>
      <c r="U672" s="713"/>
      <c r="V672" s="721">
        <v>0</v>
      </c>
      <c r="W672" s="721"/>
      <c r="X672" s="574">
        <v>45108</v>
      </c>
      <c r="Y672" s="574">
        <v>45473</v>
      </c>
      <c r="Z672" s="723"/>
      <c r="AA672" s="691">
        <v>0</v>
      </c>
      <c r="AB672" s="713">
        <v>0</v>
      </c>
      <c r="AC672" s="713">
        <f t="shared" si="47"/>
        <v>0</v>
      </c>
    </row>
    <row r="673" spans="1:29" s="577" customFormat="1" ht="15" customHeight="1">
      <c r="A673" s="563" t="s">
        <v>45</v>
      </c>
      <c r="B673" s="563" t="s">
        <v>6623</v>
      </c>
      <c r="C673" s="563" t="s">
        <v>6624</v>
      </c>
      <c r="D673" s="561" t="s">
        <v>6625</v>
      </c>
      <c r="E673" s="563" t="s">
        <v>6982</v>
      </c>
      <c r="F673" s="563" t="s">
        <v>6983</v>
      </c>
      <c r="G673" s="563" t="s">
        <v>165</v>
      </c>
      <c r="H673" s="564" t="s">
        <v>6984</v>
      </c>
      <c r="I673" s="565" t="e">
        <f>VLOOKUP(H673,'合同高级查询数据-10月新返回合同'!A:A,1,0)</f>
        <v>#N/A</v>
      </c>
      <c r="J673" s="674" t="s">
        <v>3724</v>
      </c>
      <c r="K673" s="563" t="s">
        <v>6646</v>
      </c>
      <c r="L673" s="675" t="s">
        <v>7009</v>
      </c>
      <c r="M673" s="596" t="s">
        <v>6648</v>
      </c>
      <c r="N673" s="657" t="s">
        <v>6649</v>
      </c>
      <c r="O673" s="563" t="s">
        <v>7010</v>
      </c>
      <c r="P673" s="719">
        <v>6740</v>
      </c>
      <c r="Q673" s="720">
        <v>111.04</v>
      </c>
      <c r="R673" s="719">
        <f t="shared" si="46"/>
        <v>748409.6</v>
      </c>
      <c r="S673" s="570">
        <v>202310</v>
      </c>
      <c r="T673" s="693" t="s">
        <v>7011</v>
      </c>
      <c r="U673" s="713"/>
      <c r="V673" s="721">
        <v>111.043174744</v>
      </c>
      <c r="W673" s="721"/>
      <c r="X673" s="574">
        <v>45108</v>
      </c>
      <c r="Y673" s="574">
        <v>45473</v>
      </c>
      <c r="Z673" s="561" t="s">
        <v>7012</v>
      </c>
      <c r="AA673" s="683">
        <v>0.4</v>
      </c>
      <c r="AB673" s="582">
        <v>260</v>
      </c>
      <c r="AC673" s="713">
        <f t="shared" si="47"/>
        <v>104</v>
      </c>
    </row>
    <row r="674" spans="1:29" s="577" customFormat="1" ht="15" customHeight="1">
      <c r="A674" s="563" t="s">
        <v>45</v>
      </c>
      <c r="B674" s="563" t="s">
        <v>6623</v>
      </c>
      <c r="C674" s="563" t="s">
        <v>6624</v>
      </c>
      <c r="D674" s="561" t="s">
        <v>6625</v>
      </c>
      <c r="E674" s="563" t="s">
        <v>6982</v>
      </c>
      <c r="F674" s="563" t="s">
        <v>6983</v>
      </c>
      <c r="G674" s="563" t="s">
        <v>165</v>
      </c>
      <c r="H674" s="564" t="s">
        <v>6984</v>
      </c>
      <c r="I674" s="565" t="e">
        <f>VLOOKUP(H674,'合同高级查询数据-10月新返回合同'!A:A,1,0)</f>
        <v>#N/A</v>
      </c>
      <c r="J674" s="674" t="s">
        <v>3724</v>
      </c>
      <c r="K674" s="563" t="s">
        <v>6646</v>
      </c>
      <c r="L674" s="675" t="s">
        <v>7013</v>
      </c>
      <c r="M674" s="596" t="s">
        <v>7014</v>
      </c>
      <c r="N674" s="657">
        <v>45108</v>
      </c>
      <c r="O674" s="563" t="s">
        <v>2151</v>
      </c>
      <c r="P674" s="719">
        <v>6740</v>
      </c>
      <c r="Q674" s="720">
        <v>185.69</v>
      </c>
      <c r="R674" s="719">
        <f t="shared" si="46"/>
        <v>1251550.6000000001</v>
      </c>
      <c r="S674" s="570">
        <v>202310</v>
      </c>
      <c r="T674" s="693" t="s">
        <v>7015</v>
      </c>
      <c r="U674" s="713"/>
      <c r="V674" s="721">
        <v>185.68522654</v>
      </c>
      <c r="W674" s="721"/>
      <c r="X674" s="574">
        <v>45108</v>
      </c>
      <c r="Y674" s="574">
        <v>45473</v>
      </c>
      <c r="Z674" s="561" t="s">
        <v>7016</v>
      </c>
      <c r="AA674" s="683">
        <v>0.4</v>
      </c>
      <c r="AB674" s="582">
        <v>400</v>
      </c>
      <c r="AC674" s="582">
        <f t="shared" si="47"/>
        <v>160</v>
      </c>
    </row>
    <row r="675" spans="1:29" s="577" customFormat="1" ht="15" customHeight="1">
      <c r="A675" s="563" t="s">
        <v>45</v>
      </c>
      <c r="B675" s="563" t="s">
        <v>6623</v>
      </c>
      <c r="C675" s="563" t="s">
        <v>6624</v>
      </c>
      <c r="D675" s="561" t="s">
        <v>6625</v>
      </c>
      <c r="E675" s="563" t="s">
        <v>6982</v>
      </c>
      <c r="F675" s="563" t="s">
        <v>6983</v>
      </c>
      <c r="G675" s="563" t="s">
        <v>165</v>
      </c>
      <c r="H675" s="564" t="s">
        <v>6984</v>
      </c>
      <c r="I675" s="565" t="e">
        <f>VLOOKUP(H675,'合同高级查询数据-10月新返回合同'!A:A,1,0)</f>
        <v>#N/A</v>
      </c>
      <c r="J675" s="674" t="s">
        <v>3724</v>
      </c>
      <c r="K675" s="563" t="s">
        <v>6992</v>
      </c>
      <c r="L675" s="675" t="s">
        <v>6993</v>
      </c>
      <c r="M675" s="596" t="s">
        <v>6987</v>
      </c>
      <c r="N675" s="597" t="s">
        <v>6994</v>
      </c>
      <c r="O675" s="624" t="s">
        <v>6995</v>
      </c>
      <c r="P675" s="719">
        <v>6740</v>
      </c>
      <c r="Q675" s="720">
        <v>1.37</v>
      </c>
      <c r="R675" s="719">
        <f t="shared" si="46"/>
        <v>9233.7999999999993</v>
      </c>
      <c r="S675" s="570">
        <v>202309</v>
      </c>
      <c r="T675" s="693" t="s">
        <v>7017</v>
      </c>
      <c r="U675" s="713"/>
      <c r="V675" s="713"/>
      <c r="W675" s="713"/>
      <c r="X675" s="574">
        <v>45108</v>
      </c>
      <c r="Y675" s="574">
        <v>45473</v>
      </c>
      <c r="Z675" s="561"/>
      <c r="AA675" s="683"/>
      <c r="AB675" s="582"/>
      <c r="AC675" s="582"/>
    </row>
    <row r="676" spans="1:29" s="577" customFormat="1" ht="15" customHeight="1">
      <c r="A676" s="563" t="s">
        <v>45</v>
      </c>
      <c r="B676" s="563" t="s">
        <v>6623</v>
      </c>
      <c r="C676" s="563" t="s">
        <v>6624</v>
      </c>
      <c r="D676" s="561" t="s">
        <v>6625</v>
      </c>
      <c r="E676" s="563" t="s">
        <v>6982</v>
      </c>
      <c r="F676" s="563" t="s">
        <v>6983</v>
      </c>
      <c r="G676" s="563" t="s">
        <v>165</v>
      </c>
      <c r="H676" s="564" t="s">
        <v>6984</v>
      </c>
      <c r="I676" s="565" t="e">
        <f>VLOOKUP(H676,'合同高级查询数据-10月新返回合同'!A:A,1,0)</f>
        <v>#N/A</v>
      </c>
      <c r="J676" s="674" t="s">
        <v>3724</v>
      </c>
      <c r="K676" s="563" t="s">
        <v>6646</v>
      </c>
      <c r="L676" s="675" t="s">
        <v>7013</v>
      </c>
      <c r="M676" s="596" t="s">
        <v>7014</v>
      </c>
      <c r="N676" s="657">
        <v>45108</v>
      </c>
      <c r="O676" s="563" t="s">
        <v>2151</v>
      </c>
      <c r="P676" s="719">
        <v>6740</v>
      </c>
      <c r="Q676" s="720">
        <v>0.02</v>
      </c>
      <c r="R676" s="719">
        <f t="shared" si="46"/>
        <v>134.80000000000001</v>
      </c>
      <c r="S676" s="570">
        <v>202309</v>
      </c>
      <c r="T676" s="693" t="s">
        <v>7018</v>
      </c>
      <c r="U676" s="713"/>
      <c r="V676" s="713"/>
      <c r="W676" s="713"/>
      <c r="X676" s="574">
        <v>45108</v>
      </c>
      <c r="Y676" s="574">
        <v>45473</v>
      </c>
      <c r="Z676" s="561"/>
      <c r="AA676" s="683"/>
      <c r="AB676" s="582"/>
      <c r="AC676" s="582"/>
    </row>
    <row r="677" spans="1:29" s="577" customFormat="1" ht="15" customHeight="1">
      <c r="A677" s="563" t="s">
        <v>45</v>
      </c>
      <c r="B677" s="563" t="s">
        <v>6623</v>
      </c>
      <c r="C677" s="563" t="s">
        <v>6567</v>
      </c>
      <c r="D677" s="561" t="s">
        <v>6625</v>
      </c>
      <c r="E677" s="563" t="s">
        <v>7019</v>
      </c>
      <c r="F677" s="563" t="s">
        <v>7020</v>
      </c>
      <c r="G677" s="563" t="s">
        <v>165</v>
      </c>
      <c r="H677" s="564" t="s">
        <v>7021</v>
      </c>
      <c r="I677" s="565" t="e">
        <f>VLOOKUP(H677,'合同高级查询数据-10月新返回合同'!A:A,1,0)</f>
        <v>#N/A</v>
      </c>
      <c r="J677" s="674" t="s">
        <v>3724</v>
      </c>
      <c r="K677" s="563" t="s">
        <v>7022</v>
      </c>
      <c r="L677" s="675" t="s">
        <v>7023</v>
      </c>
      <c r="M677" s="596" t="s">
        <v>7024</v>
      </c>
      <c r="N677" s="597" t="s">
        <v>7025</v>
      </c>
      <c r="O677" s="624" t="s">
        <v>7026</v>
      </c>
      <c r="P677" s="719">
        <v>6740</v>
      </c>
      <c r="Q677" s="720">
        <v>72</v>
      </c>
      <c r="R677" s="719">
        <f t="shared" si="46"/>
        <v>485280</v>
      </c>
      <c r="S677" s="570">
        <v>202310</v>
      </c>
      <c r="T677" s="693" t="s">
        <v>7027</v>
      </c>
      <c r="U677" s="713"/>
      <c r="V677" s="721">
        <v>72.000518799000005</v>
      </c>
      <c r="W677" s="721"/>
      <c r="X677" s="574">
        <v>45108</v>
      </c>
      <c r="Y677" s="574">
        <v>45473</v>
      </c>
      <c r="Z677" s="561" t="s">
        <v>7028</v>
      </c>
      <c r="AA677" s="683">
        <v>0.4</v>
      </c>
      <c r="AB677" s="713">
        <v>160</v>
      </c>
      <c r="AC677" s="713">
        <f t="shared" ref="AC677:AC686" si="48">AA677*AB677</f>
        <v>64</v>
      </c>
    </row>
    <row r="678" spans="1:29" s="577" customFormat="1" ht="15" customHeight="1">
      <c r="A678" s="563" t="s">
        <v>45</v>
      </c>
      <c r="B678" s="563" t="s">
        <v>6623</v>
      </c>
      <c r="C678" s="563" t="s">
        <v>6567</v>
      </c>
      <c r="D678" s="561" t="s">
        <v>6625</v>
      </c>
      <c r="E678" s="563" t="s">
        <v>7019</v>
      </c>
      <c r="F678" s="563" t="s">
        <v>7020</v>
      </c>
      <c r="G678" s="563" t="s">
        <v>165</v>
      </c>
      <c r="H678" s="564" t="s">
        <v>7021</v>
      </c>
      <c r="I678" s="565" t="e">
        <f>VLOOKUP(H678,'合同高级查询数据-10月新返回合同'!A:A,1,0)</f>
        <v>#N/A</v>
      </c>
      <c r="J678" s="674" t="s">
        <v>3724</v>
      </c>
      <c r="K678" s="563" t="s">
        <v>6567</v>
      </c>
      <c r="L678" s="675" t="s">
        <v>7029</v>
      </c>
      <c r="M678" s="596" t="s">
        <v>7030</v>
      </c>
      <c r="N678" s="597">
        <v>44927</v>
      </c>
      <c r="O678" s="624" t="s">
        <v>4764</v>
      </c>
      <c r="P678" s="719">
        <v>6740</v>
      </c>
      <c r="Q678" s="720">
        <v>70.63</v>
      </c>
      <c r="R678" s="719">
        <f t="shared" si="46"/>
        <v>476046.2</v>
      </c>
      <c r="S678" s="570">
        <v>202310</v>
      </c>
      <c r="T678" s="693"/>
      <c r="U678" s="713"/>
      <c r="V678" s="721">
        <v>70.628112793</v>
      </c>
      <c r="W678" s="721"/>
      <c r="X678" s="574">
        <v>45108</v>
      </c>
      <c r="Y678" s="574">
        <v>45473</v>
      </c>
      <c r="Z678" s="561" t="s">
        <v>7030</v>
      </c>
      <c r="AA678" s="683">
        <v>0.4</v>
      </c>
      <c r="AB678" s="582">
        <v>160</v>
      </c>
      <c r="AC678" s="713">
        <f t="shared" si="48"/>
        <v>64</v>
      </c>
    </row>
    <row r="679" spans="1:29" s="577" customFormat="1" ht="15" customHeight="1">
      <c r="A679" s="729" t="s">
        <v>45</v>
      </c>
      <c r="B679" s="729" t="s">
        <v>6623</v>
      </c>
      <c r="C679" s="729" t="s">
        <v>6567</v>
      </c>
      <c r="D679" s="561" t="s">
        <v>6625</v>
      </c>
      <c r="E679" s="729" t="s">
        <v>7019</v>
      </c>
      <c r="F679" s="729" t="s">
        <v>7020</v>
      </c>
      <c r="G679" s="729" t="s">
        <v>165</v>
      </c>
      <c r="H679" s="564" t="s">
        <v>7021</v>
      </c>
      <c r="I679" s="565" t="e">
        <f>VLOOKUP(H679,'合同高级查询数据-10月新返回合同'!A:A,1,0)</f>
        <v>#N/A</v>
      </c>
      <c r="J679" s="674" t="s">
        <v>3724</v>
      </c>
      <c r="K679" s="729" t="s">
        <v>6567</v>
      </c>
      <c r="L679" s="730" t="s">
        <v>7031</v>
      </c>
      <c r="M679" s="596" t="s">
        <v>7024</v>
      </c>
      <c r="N679" s="597" t="s">
        <v>7032</v>
      </c>
      <c r="O679" s="713" t="s">
        <v>7033</v>
      </c>
      <c r="P679" s="719">
        <v>6740</v>
      </c>
      <c r="Q679" s="720">
        <v>69.739999999999995</v>
      </c>
      <c r="R679" s="719">
        <f t="shared" si="46"/>
        <v>470047.6</v>
      </c>
      <c r="S679" s="570">
        <v>202310</v>
      </c>
      <c r="T679" s="693" t="s">
        <v>7034</v>
      </c>
      <c r="U679" s="713"/>
      <c r="V679" s="721">
        <v>69.742385863999999</v>
      </c>
      <c r="W679" s="721"/>
      <c r="X679" s="574">
        <v>45108</v>
      </c>
      <c r="Y679" s="574">
        <v>45473</v>
      </c>
      <c r="Z679" s="723" t="s">
        <v>7035</v>
      </c>
      <c r="AA679" s="683">
        <v>0.4</v>
      </c>
      <c r="AB679" s="713">
        <v>160</v>
      </c>
      <c r="AC679" s="713">
        <f t="shared" si="48"/>
        <v>64</v>
      </c>
    </row>
    <row r="680" spans="1:29" s="577" customFormat="1" ht="15" customHeight="1">
      <c r="A680" s="729" t="s">
        <v>45</v>
      </c>
      <c r="B680" s="729" t="s">
        <v>6623</v>
      </c>
      <c r="C680" s="729" t="s">
        <v>6567</v>
      </c>
      <c r="D680" s="561" t="s">
        <v>6625</v>
      </c>
      <c r="E680" s="729" t="s">
        <v>7019</v>
      </c>
      <c r="F680" s="729" t="s">
        <v>7020</v>
      </c>
      <c r="G680" s="729" t="s">
        <v>165</v>
      </c>
      <c r="H680" s="564" t="s">
        <v>7021</v>
      </c>
      <c r="I680" s="565" t="e">
        <f>VLOOKUP(H680,'合同高级查询数据-10月新返回合同'!A:A,1,0)</f>
        <v>#N/A</v>
      </c>
      <c r="J680" s="674" t="s">
        <v>4013</v>
      </c>
      <c r="K680" s="729" t="s">
        <v>6567</v>
      </c>
      <c r="L680" s="730" t="s">
        <v>7036</v>
      </c>
      <c r="M680" s="596" t="s">
        <v>7037</v>
      </c>
      <c r="N680" s="597">
        <v>44044</v>
      </c>
      <c r="O680" s="624" t="s">
        <v>3847</v>
      </c>
      <c r="P680" s="719">
        <v>6740</v>
      </c>
      <c r="Q680" s="720">
        <v>2.2599999999999998</v>
      </c>
      <c r="R680" s="719">
        <f t="shared" si="46"/>
        <v>15232.4</v>
      </c>
      <c r="S680" s="570">
        <v>202310</v>
      </c>
      <c r="T680" s="693" t="s">
        <v>7038</v>
      </c>
      <c r="U680" s="713"/>
      <c r="V680" s="721">
        <v>1.4</v>
      </c>
      <c r="W680" s="721"/>
      <c r="X680" s="574">
        <v>45108</v>
      </c>
      <c r="Y680" s="574">
        <v>45473</v>
      </c>
      <c r="Z680" s="561" t="s">
        <v>7037</v>
      </c>
      <c r="AA680" s="683">
        <v>0.4</v>
      </c>
      <c r="AB680" s="582">
        <v>20</v>
      </c>
      <c r="AC680" s="582">
        <f t="shared" si="48"/>
        <v>8</v>
      </c>
    </row>
    <row r="681" spans="1:29" s="385" customFormat="1" ht="15" customHeight="1">
      <c r="A681" s="388" t="s">
        <v>45</v>
      </c>
      <c r="B681" s="388" t="s">
        <v>6623</v>
      </c>
      <c r="C681" s="388" t="s">
        <v>6735</v>
      </c>
      <c r="D681" s="386" t="s">
        <v>6625</v>
      </c>
      <c r="E681" s="388" t="s">
        <v>7039</v>
      </c>
      <c r="F681" s="388" t="s">
        <v>7040</v>
      </c>
      <c r="G681" s="388" t="s">
        <v>165</v>
      </c>
      <c r="H681" s="389" t="s">
        <v>7041</v>
      </c>
      <c r="I681" s="369" t="e">
        <f>VLOOKUP(H681,'合同高级查询数据-10月新返回合同'!A:A,1,0)</f>
        <v>#N/A</v>
      </c>
      <c r="J681" s="499" t="s">
        <v>3724</v>
      </c>
      <c r="K681" s="388" t="s">
        <v>7042</v>
      </c>
      <c r="L681" s="486" t="s">
        <v>7043</v>
      </c>
      <c r="M681" s="403" t="s">
        <v>7044</v>
      </c>
      <c r="N681" s="425" t="s">
        <v>7045</v>
      </c>
      <c r="O681" s="402" t="s">
        <v>7046</v>
      </c>
      <c r="P681" s="539">
        <v>6740</v>
      </c>
      <c r="Q681" s="540">
        <v>62.47</v>
      </c>
      <c r="R681" s="539">
        <f t="shared" si="46"/>
        <v>421047.8</v>
      </c>
      <c r="S681" s="378">
        <v>202310</v>
      </c>
      <c r="T681" s="514" t="s">
        <v>7047</v>
      </c>
      <c r="U681" s="448"/>
      <c r="V681" s="541">
        <v>62.473899840999998</v>
      </c>
      <c r="W681" s="541"/>
      <c r="X681" s="383"/>
      <c r="Y681" s="546"/>
      <c r="Z681" s="386" t="s">
        <v>7048</v>
      </c>
      <c r="AA681" s="506">
        <v>0.4</v>
      </c>
      <c r="AB681" s="410">
        <v>140</v>
      </c>
      <c r="AC681" s="448">
        <f t="shared" si="48"/>
        <v>56</v>
      </c>
    </row>
    <row r="682" spans="1:29" s="385" customFormat="1" ht="15" customHeight="1">
      <c r="A682" s="388" t="s">
        <v>45</v>
      </c>
      <c r="B682" s="388" t="s">
        <v>6623</v>
      </c>
      <c r="C682" s="388" t="s">
        <v>6735</v>
      </c>
      <c r="D682" s="386" t="s">
        <v>6625</v>
      </c>
      <c r="E682" s="388" t="s">
        <v>7039</v>
      </c>
      <c r="F682" s="388" t="s">
        <v>7040</v>
      </c>
      <c r="G682" s="388" t="s">
        <v>165</v>
      </c>
      <c r="H682" s="389" t="s">
        <v>7041</v>
      </c>
      <c r="I682" s="369" t="e">
        <f>VLOOKUP(H682,'合同高级查询数据-10月新返回合同'!A:A,1,0)</f>
        <v>#N/A</v>
      </c>
      <c r="J682" s="499" t="s">
        <v>3724</v>
      </c>
      <c r="K682" s="388" t="s">
        <v>6561</v>
      </c>
      <c r="L682" s="486" t="s">
        <v>7049</v>
      </c>
      <c r="M682" s="403" t="s">
        <v>7044</v>
      </c>
      <c r="N682" s="425" t="s">
        <v>7050</v>
      </c>
      <c r="O682" s="402" t="s">
        <v>5692</v>
      </c>
      <c r="P682" s="539">
        <v>6740</v>
      </c>
      <c r="Q682" s="540">
        <v>60.3</v>
      </c>
      <c r="R682" s="539">
        <f t="shared" si="46"/>
        <v>406422</v>
      </c>
      <c r="S682" s="378">
        <v>202310</v>
      </c>
      <c r="T682" s="514" t="s">
        <v>7051</v>
      </c>
      <c r="U682" s="448"/>
      <c r="V682" s="541">
        <v>60.303234099999997</v>
      </c>
      <c r="W682" s="541"/>
      <c r="X682" s="383"/>
      <c r="Y682" s="546"/>
      <c r="Z682" s="386" t="s">
        <v>7052</v>
      </c>
      <c r="AA682" s="506">
        <v>0.4</v>
      </c>
      <c r="AB682" s="410">
        <v>120</v>
      </c>
      <c r="AC682" s="448">
        <f t="shared" si="48"/>
        <v>48</v>
      </c>
    </row>
    <row r="683" spans="1:29" s="385" customFormat="1" ht="15" customHeight="1">
      <c r="A683" s="388" t="s">
        <v>45</v>
      </c>
      <c r="B683" s="388" t="s">
        <v>6623</v>
      </c>
      <c r="C683" s="388" t="s">
        <v>6735</v>
      </c>
      <c r="D683" s="386" t="s">
        <v>6625</v>
      </c>
      <c r="E683" s="388" t="s">
        <v>7039</v>
      </c>
      <c r="F683" s="388" t="s">
        <v>7040</v>
      </c>
      <c r="G683" s="388" t="s">
        <v>165</v>
      </c>
      <c r="H683" s="389" t="s">
        <v>7041</v>
      </c>
      <c r="I683" s="369" t="e">
        <f>VLOOKUP(H683,'合同高级查询数据-10月新返回合同'!A:A,1,0)</f>
        <v>#N/A</v>
      </c>
      <c r="J683" s="499" t="s">
        <v>3724</v>
      </c>
      <c r="K683" s="388" t="s">
        <v>6561</v>
      </c>
      <c r="L683" s="486" t="s">
        <v>7053</v>
      </c>
      <c r="M683" s="403" t="s">
        <v>7054</v>
      </c>
      <c r="N683" s="425">
        <v>44805</v>
      </c>
      <c r="O683" s="402" t="s">
        <v>1542</v>
      </c>
      <c r="P683" s="539">
        <v>6740</v>
      </c>
      <c r="Q683" s="540">
        <v>90.92</v>
      </c>
      <c r="R683" s="539">
        <f t="shared" si="46"/>
        <v>612800.80000000005</v>
      </c>
      <c r="S683" s="378">
        <v>202310</v>
      </c>
      <c r="T683" s="514" t="s">
        <v>7055</v>
      </c>
      <c r="U683" s="448"/>
      <c r="V683" s="541">
        <v>90.915496825999995</v>
      </c>
      <c r="W683" s="541"/>
      <c r="X683" s="383"/>
      <c r="Y683" s="546"/>
      <c r="Z683" s="386" t="s">
        <v>7056</v>
      </c>
      <c r="AA683" s="506">
        <v>0.4</v>
      </c>
      <c r="AB683" s="410">
        <v>200</v>
      </c>
      <c r="AC683" s="448">
        <f t="shared" si="48"/>
        <v>80</v>
      </c>
    </row>
    <row r="684" spans="1:29" s="385" customFormat="1" ht="15" customHeight="1">
      <c r="A684" s="388" t="s">
        <v>45</v>
      </c>
      <c r="B684" s="388" t="s">
        <v>6623</v>
      </c>
      <c r="C684" s="388" t="s">
        <v>6735</v>
      </c>
      <c r="D684" s="386" t="s">
        <v>6625</v>
      </c>
      <c r="E684" s="388" t="s">
        <v>7039</v>
      </c>
      <c r="F684" s="388" t="s">
        <v>7040</v>
      </c>
      <c r="G684" s="388" t="s">
        <v>165</v>
      </c>
      <c r="H684" s="389" t="s">
        <v>7041</v>
      </c>
      <c r="I684" s="369" t="e">
        <f>VLOOKUP(H684,'合同高级查询数据-10月新返回合同'!A:A,1,0)</f>
        <v>#N/A</v>
      </c>
      <c r="J684" s="499" t="s">
        <v>3724</v>
      </c>
      <c r="K684" s="388" t="s">
        <v>6561</v>
      </c>
      <c r="L684" s="486" t="s">
        <v>7057</v>
      </c>
      <c r="M684" s="403" t="s">
        <v>7058</v>
      </c>
      <c r="N684" s="425" t="s">
        <v>7059</v>
      </c>
      <c r="O684" s="388" t="s">
        <v>6777</v>
      </c>
      <c r="P684" s="539">
        <v>6740</v>
      </c>
      <c r="Q684" s="540">
        <v>8</v>
      </c>
      <c r="R684" s="539">
        <f t="shared" si="46"/>
        <v>53920</v>
      </c>
      <c r="S684" s="378">
        <v>202310</v>
      </c>
      <c r="T684" s="514" t="s">
        <v>7060</v>
      </c>
      <c r="U684" s="448"/>
      <c r="V684" s="541">
        <v>7.418010765</v>
      </c>
      <c r="W684" s="541"/>
      <c r="X684" s="383"/>
      <c r="Y684" s="546"/>
      <c r="Z684" s="386" t="s">
        <v>7061</v>
      </c>
      <c r="AA684" s="506">
        <v>0.4</v>
      </c>
      <c r="AB684" s="410">
        <v>20</v>
      </c>
      <c r="AC684" s="448">
        <f t="shared" si="48"/>
        <v>8</v>
      </c>
    </row>
    <row r="685" spans="1:29" s="385" customFormat="1" ht="15" customHeight="1">
      <c r="A685" s="388" t="s">
        <v>45</v>
      </c>
      <c r="B685" s="388" t="s">
        <v>6623</v>
      </c>
      <c r="C685" s="388" t="s">
        <v>6735</v>
      </c>
      <c r="D685" s="386" t="s">
        <v>6625</v>
      </c>
      <c r="E685" s="388" t="s">
        <v>7039</v>
      </c>
      <c r="F685" s="388" t="s">
        <v>7040</v>
      </c>
      <c r="G685" s="388" t="s">
        <v>165</v>
      </c>
      <c r="H685" s="389" t="s">
        <v>7062</v>
      </c>
      <c r="I685" s="369" t="e">
        <f>VLOOKUP(H685,'合同高级查询数据-10月新返回合同'!A:A,1,0)</f>
        <v>#N/A</v>
      </c>
      <c r="J685" s="499" t="s">
        <v>3724</v>
      </c>
      <c r="K685" s="388" t="s">
        <v>6561</v>
      </c>
      <c r="L685" s="486" t="s">
        <v>7063</v>
      </c>
      <c r="M685" s="403" t="s">
        <v>6782</v>
      </c>
      <c r="N685" s="425" t="s">
        <v>7064</v>
      </c>
      <c r="O685" s="388" t="s">
        <v>6157</v>
      </c>
      <c r="P685" s="539">
        <v>6740</v>
      </c>
      <c r="Q685" s="540">
        <v>0</v>
      </c>
      <c r="R685" s="539">
        <f t="shared" si="46"/>
        <v>0</v>
      </c>
      <c r="S685" s="378">
        <v>202310</v>
      </c>
      <c r="T685" s="542" t="s">
        <v>7065</v>
      </c>
      <c r="U685" s="448"/>
      <c r="V685" s="541">
        <v>0</v>
      </c>
      <c r="W685" s="541"/>
      <c r="X685" s="383"/>
      <c r="Y685" s="383"/>
      <c r="Z685" s="544"/>
      <c r="AA685" s="511">
        <v>0</v>
      </c>
      <c r="AB685" s="448">
        <v>0</v>
      </c>
      <c r="AC685" s="448">
        <f t="shared" si="48"/>
        <v>0</v>
      </c>
    </row>
    <row r="686" spans="1:29" s="385" customFormat="1" ht="15" customHeight="1">
      <c r="A686" s="388" t="s">
        <v>45</v>
      </c>
      <c r="B686" s="388" t="s">
        <v>6623</v>
      </c>
      <c r="C686" s="388" t="s">
        <v>6735</v>
      </c>
      <c r="D686" s="386" t="s">
        <v>6625</v>
      </c>
      <c r="E686" s="388" t="s">
        <v>7039</v>
      </c>
      <c r="F686" s="388" t="s">
        <v>7040</v>
      </c>
      <c r="G686" s="388" t="s">
        <v>165</v>
      </c>
      <c r="H686" s="389" t="s">
        <v>7062</v>
      </c>
      <c r="I686" s="369" t="e">
        <f>VLOOKUP(H686,'合同高级查询数据-10月新返回合同'!A:A,1,0)</f>
        <v>#N/A</v>
      </c>
      <c r="J686" s="499" t="s">
        <v>4875</v>
      </c>
      <c r="K686" s="388" t="s">
        <v>6561</v>
      </c>
      <c r="L686" s="486" t="s">
        <v>7066</v>
      </c>
      <c r="M686" s="403" t="s">
        <v>6787</v>
      </c>
      <c r="N686" s="425" t="s">
        <v>7064</v>
      </c>
      <c r="O686" s="388" t="s">
        <v>6157</v>
      </c>
      <c r="P686" s="539">
        <v>6740</v>
      </c>
      <c r="Q686" s="540">
        <v>111.47</v>
      </c>
      <c r="R686" s="539">
        <f t="shared" si="46"/>
        <v>751307.8</v>
      </c>
      <c r="S686" s="378">
        <v>202310</v>
      </c>
      <c r="T686" s="542" t="s">
        <v>7067</v>
      </c>
      <c r="U686" s="448"/>
      <c r="V686" s="541">
        <v>111.47003519908</v>
      </c>
      <c r="W686" s="541"/>
      <c r="X686" s="383"/>
      <c r="Y686" s="383"/>
      <c r="Z686" s="544" t="s">
        <v>7068</v>
      </c>
      <c r="AA686" s="511">
        <v>0.4</v>
      </c>
      <c r="AB686" s="448">
        <v>260</v>
      </c>
      <c r="AC686" s="448">
        <f t="shared" si="48"/>
        <v>104</v>
      </c>
    </row>
    <row r="687" spans="1:29" s="385" customFormat="1" ht="15" customHeight="1">
      <c r="A687" s="388" t="s">
        <v>45</v>
      </c>
      <c r="B687" s="388" t="s">
        <v>6623</v>
      </c>
      <c r="C687" s="388" t="s">
        <v>6735</v>
      </c>
      <c r="D687" s="386" t="s">
        <v>6625</v>
      </c>
      <c r="E687" s="388" t="s">
        <v>7039</v>
      </c>
      <c r="F687" s="388" t="s">
        <v>7040</v>
      </c>
      <c r="G687" s="388" t="s">
        <v>165</v>
      </c>
      <c r="H687" s="389" t="s">
        <v>7062</v>
      </c>
      <c r="I687" s="369" t="e">
        <f>VLOOKUP(H687,'合同高级查询数据-10月新返回合同'!A:A,1,0)</f>
        <v>#N/A</v>
      </c>
      <c r="J687" s="499" t="s">
        <v>3776</v>
      </c>
      <c r="K687" s="388" t="s">
        <v>6561</v>
      </c>
      <c r="L687" s="486" t="s">
        <v>7069</v>
      </c>
      <c r="M687" s="403" t="s">
        <v>6787</v>
      </c>
      <c r="N687" s="425">
        <v>45108</v>
      </c>
      <c r="O687" s="388" t="s">
        <v>6837</v>
      </c>
      <c r="P687" s="539">
        <v>12000</v>
      </c>
      <c r="Q687" s="540">
        <v>1</v>
      </c>
      <c r="R687" s="539">
        <f t="shared" si="46"/>
        <v>12000</v>
      </c>
      <c r="S687" s="378">
        <v>202310</v>
      </c>
      <c r="T687" s="514" t="s">
        <v>7070</v>
      </c>
      <c r="U687" s="448"/>
      <c r="V687" s="541">
        <v>1.0370000000000001E-5</v>
      </c>
      <c r="W687" s="541"/>
      <c r="X687" s="383"/>
      <c r="Y687" s="383"/>
      <c r="Z687" s="386" t="s">
        <v>7071</v>
      </c>
      <c r="AA687" s="506">
        <v>1</v>
      </c>
      <c r="AB687" s="410">
        <v>0.1</v>
      </c>
      <c r="AC687" s="410">
        <f>AB687*AA687</f>
        <v>0.1</v>
      </c>
    </row>
    <row r="688" spans="1:29" s="385" customFormat="1" ht="15" customHeight="1">
      <c r="A688" s="388" t="s">
        <v>45</v>
      </c>
      <c r="B688" s="388" t="s">
        <v>6623</v>
      </c>
      <c r="C688" s="388" t="s">
        <v>6735</v>
      </c>
      <c r="D688" s="386" t="s">
        <v>6625</v>
      </c>
      <c r="E688" s="388" t="s">
        <v>7039</v>
      </c>
      <c r="F688" s="388" t="s">
        <v>7040</v>
      </c>
      <c r="G688" s="388" t="s">
        <v>165</v>
      </c>
      <c r="H688" s="389" t="s">
        <v>7041</v>
      </c>
      <c r="I688" s="369" t="e">
        <f>VLOOKUP(H688,'合同高级查询数据-10月新返回合同'!A:A,1,0)</f>
        <v>#N/A</v>
      </c>
      <c r="J688" s="499" t="s">
        <v>3724</v>
      </c>
      <c r="K688" s="388" t="s">
        <v>7042</v>
      </c>
      <c r="L688" s="486" t="s">
        <v>7043</v>
      </c>
      <c r="M688" s="403" t="s">
        <v>7044</v>
      </c>
      <c r="N688" s="425" t="s">
        <v>7045</v>
      </c>
      <c r="O688" s="402" t="s">
        <v>7046</v>
      </c>
      <c r="P688" s="539">
        <v>6740</v>
      </c>
      <c r="Q688" s="540">
        <v>0.36</v>
      </c>
      <c r="R688" s="539">
        <f t="shared" si="46"/>
        <v>2426.4</v>
      </c>
      <c r="S688" s="378">
        <v>202309</v>
      </c>
      <c r="T688" s="514" t="s">
        <v>7072</v>
      </c>
      <c r="U688" s="448"/>
      <c r="V688" s="448"/>
      <c r="W688" s="448"/>
      <c r="X688" s="383"/>
      <c r="Y688" s="383"/>
      <c r="Z688" s="386"/>
      <c r="AA688" s="506"/>
      <c r="AB688" s="410"/>
      <c r="AC688" s="410"/>
    </row>
    <row r="689" spans="1:29" s="385" customFormat="1" ht="15" customHeight="1">
      <c r="A689" s="388" t="s">
        <v>45</v>
      </c>
      <c r="B689" s="388" t="s">
        <v>6623</v>
      </c>
      <c r="C689" s="388" t="s">
        <v>6735</v>
      </c>
      <c r="D689" s="386" t="s">
        <v>6625</v>
      </c>
      <c r="E689" s="388" t="s">
        <v>7039</v>
      </c>
      <c r="F689" s="388" t="s">
        <v>7040</v>
      </c>
      <c r="G689" s="388" t="s">
        <v>165</v>
      </c>
      <c r="H689" s="389" t="s">
        <v>7041</v>
      </c>
      <c r="I689" s="369" t="e">
        <f>VLOOKUP(H689,'合同高级查询数据-10月新返回合同'!A:A,1,0)</f>
        <v>#N/A</v>
      </c>
      <c r="J689" s="499" t="s">
        <v>3724</v>
      </c>
      <c r="K689" s="388" t="s">
        <v>6561</v>
      </c>
      <c r="L689" s="486" t="s">
        <v>7049</v>
      </c>
      <c r="M689" s="403" t="s">
        <v>7044</v>
      </c>
      <c r="N689" s="425" t="s">
        <v>7050</v>
      </c>
      <c r="O689" s="402" t="s">
        <v>5692</v>
      </c>
      <c r="P689" s="539">
        <v>6740</v>
      </c>
      <c r="Q689" s="540">
        <v>0.41</v>
      </c>
      <c r="R689" s="539">
        <f t="shared" si="46"/>
        <v>2763.4</v>
      </c>
      <c r="S689" s="378">
        <v>202309</v>
      </c>
      <c r="T689" s="514" t="s">
        <v>7073</v>
      </c>
      <c r="U689" s="448"/>
      <c r="V689" s="448"/>
      <c r="W689" s="448"/>
      <c r="X689" s="383"/>
      <c r="Y689" s="383"/>
      <c r="Z689" s="386"/>
      <c r="AA689" s="506"/>
      <c r="AB689" s="410"/>
      <c r="AC689" s="410"/>
    </row>
    <row r="690" spans="1:29" s="385" customFormat="1" ht="15" customHeight="1">
      <c r="A690" s="388" t="s">
        <v>45</v>
      </c>
      <c r="B690" s="388" t="s">
        <v>6623</v>
      </c>
      <c r="C690" s="388" t="s">
        <v>6735</v>
      </c>
      <c r="D690" s="386" t="s">
        <v>6625</v>
      </c>
      <c r="E690" s="388" t="s">
        <v>7039</v>
      </c>
      <c r="F690" s="388" t="s">
        <v>7040</v>
      </c>
      <c r="G690" s="388" t="s">
        <v>165</v>
      </c>
      <c r="H690" s="389" t="s">
        <v>7062</v>
      </c>
      <c r="I690" s="369" t="e">
        <f>VLOOKUP(H690,'合同高级查询数据-10月新返回合同'!A:A,1,0)</f>
        <v>#N/A</v>
      </c>
      <c r="J690" s="499" t="s">
        <v>4875</v>
      </c>
      <c r="K690" s="388" t="s">
        <v>6561</v>
      </c>
      <c r="L690" s="486" t="s">
        <v>7066</v>
      </c>
      <c r="M690" s="403" t="s">
        <v>6787</v>
      </c>
      <c r="N690" s="425" t="s">
        <v>7064</v>
      </c>
      <c r="O690" s="388" t="s">
        <v>6157</v>
      </c>
      <c r="P690" s="539">
        <v>6740</v>
      </c>
      <c r="Q690" s="540">
        <v>2.68</v>
      </c>
      <c r="R690" s="539">
        <f>ROUND(P690*Q690,2)</f>
        <v>18063.2</v>
      </c>
      <c r="S690" s="378">
        <v>202309</v>
      </c>
      <c r="T690" s="514" t="s">
        <v>7074</v>
      </c>
      <c r="U690" s="448"/>
      <c r="V690" s="448"/>
      <c r="W690" s="448"/>
      <c r="X690" s="383"/>
      <c r="Y690" s="383"/>
      <c r="Z690" s="386"/>
      <c r="AA690" s="506"/>
      <c r="AB690" s="410"/>
      <c r="AC690" s="410"/>
    </row>
    <row r="691" spans="1:29" s="577" customFormat="1" ht="15" customHeight="1">
      <c r="A691" s="563" t="s">
        <v>45</v>
      </c>
      <c r="B691" s="563" t="s">
        <v>6623</v>
      </c>
      <c r="C691" s="563" t="s">
        <v>6724</v>
      </c>
      <c r="D691" s="561" t="s">
        <v>6625</v>
      </c>
      <c r="E691" s="563" t="s">
        <v>7075</v>
      </c>
      <c r="F691" s="563" t="s">
        <v>7076</v>
      </c>
      <c r="G691" s="563" t="s">
        <v>165</v>
      </c>
      <c r="H691" s="564" t="s">
        <v>7077</v>
      </c>
      <c r="I691" s="565" t="e">
        <f>VLOOKUP(H691,'合同高级查询数据-10月新返回合同'!A:A,1,0)</f>
        <v>#N/A</v>
      </c>
      <c r="J691" s="674" t="s">
        <v>3724</v>
      </c>
      <c r="K691" s="563" t="s">
        <v>6916</v>
      </c>
      <c r="L691" s="675" t="s">
        <v>7076</v>
      </c>
      <c r="M691" s="596" t="s">
        <v>7078</v>
      </c>
      <c r="N691" s="574" t="s">
        <v>7079</v>
      </c>
      <c r="O691" s="561" t="s">
        <v>7080</v>
      </c>
      <c r="P691" s="719">
        <v>6740</v>
      </c>
      <c r="Q691" s="720">
        <v>44.77</v>
      </c>
      <c r="R691" s="719">
        <f t="shared" ref="R691:R702" si="49">ROUND(P691*Q691,2)</f>
        <v>301749.8</v>
      </c>
      <c r="S691" s="570">
        <v>202310</v>
      </c>
      <c r="T691" s="693" t="s">
        <v>7081</v>
      </c>
      <c r="U691" s="713"/>
      <c r="V691" s="721">
        <v>44.771301270000002</v>
      </c>
      <c r="W691" s="721"/>
      <c r="X691" s="574">
        <v>45108</v>
      </c>
      <c r="Y691" s="574">
        <v>45473</v>
      </c>
      <c r="Z691" s="561" t="s">
        <v>7082</v>
      </c>
      <c r="AA691" s="683">
        <v>0.4</v>
      </c>
      <c r="AB691" s="582">
        <v>100</v>
      </c>
      <c r="AC691" s="713">
        <f>AA691*AB691</f>
        <v>40</v>
      </c>
    </row>
    <row r="692" spans="1:29" s="577" customFormat="1" ht="15" customHeight="1">
      <c r="A692" s="563" t="s">
        <v>45</v>
      </c>
      <c r="B692" s="563" t="s">
        <v>6623</v>
      </c>
      <c r="C692" s="563" t="s">
        <v>6724</v>
      </c>
      <c r="D692" s="561" t="s">
        <v>6625</v>
      </c>
      <c r="E692" s="563" t="s">
        <v>7075</v>
      </c>
      <c r="F692" s="563" t="s">
        <v>7076</v>
      </c>
      <c r="G692" s="563" t="s">
        <v>165</v>
      </c>
      <c r="H692" s="564" t="s">
        <v>7077</v>
      </c>
      <c r="I692" s="565" t="e">
        <f>VLOOKUP(H692,'合同高级查询数据-10月新返回合同'!A:A,1,0)</f>
        <v>#N/A</v>
      </c>
      <c r="J692" s="674" t="s">
        <v>3724</v>
      </c>
      <c r="K692" s="563" t="s">
        <v>6916</v>
      </c>
      <c r="L692" s="675" t="s">
        <v>7076</v>
      </c>
      <c r="M692" s="596" t="s">
        <v>7078</v>
      </c>
      <c r="N692" s="574" t="s">
        <v>7079</v>
      </c>
      <c r="O692" s="561" t="s">
        <v>7080</v>
      </c>
      <c r="P692" s="719">
        <v>6740</v>
      </c>
      <c r="Q692" s="720">
        <v>0.26</v>
      </c>
      <c r="R692" s="719">
        <f t="shared" si="49"/>
        <v>1752.4</v>
      </c>
      <c r="S692" s="570">
        <v>202309</v>
      </c>
      <c r="T692" s="693" t="s">
        <v>7083</v>
      </c>
      <c r="U692" s="713"/>
      <c r="V692" s="713"/>
      <c r="W692" s="713"/>
      <c r="X692" s="574">
        <v>45108</v>
      </c>
      <c r="Y692" s="574">
        <v>45473</v>
      </c>
      <c r="Z692" s="561"/>
      <c r="AA692" s="683"/>
      <c r="AB692" s="582"/>
      <c r="AC692" s="582"/>
    </row>
    <row r="693" spans="1:29" s="577" customFormat="1" ht="15" customHeight="1">
      <c r="A693" s="563" t="s">
        <v>45</v>
      </c>
      <c r="B693" s="563" t="s">
        <v>6623</v>
      </c>
      <c r="C693" s="563" t="s">
        <v>6654</v>
      </c>
      <c r="D693" s="561" t="s">
        <v>6625</v>
      </c>
      <c r="E693" s="563" t="s">
        <v>7084</v>
      </c>
      <c r="F693" s="563" t="s">
        <v>7085</v>
      </c>
      <c r="G693" s="563" t="s">
        <v>165</v>
      </c>
      <c r="H693" s="564" t="s">
        <v>7086</v>
      </c>
      <c r="I693" s="565" t="e">
        <f>VLOOKUP(H693,'合同高级查询数据-10月新返回合同'!A:A,1,0)</f>
        <v>#N/A</v>
      </c>
      <c r="J693" s="674" t="s">
        <v>3724</v>
      </c>
      <c r="K693" s="563" t="s">
        <v>7087</v>
      </c>
      <c r="L693" s="675" t="s">
        <v>7088</v>
      </c>
      <c r="M693" s="596" t="s">
        <v>7089</v>
      </c>
      <c r="N693" s="731" t="s">
        <v>7090</v>
      </c>
      <c r="O693" s="731" t="s">
        <v>7091</v>
      </c>
      <c r="P693" s="719">
        <v>6740</v>
      </c>
      <c r="Q693" s="720">
        <v>39.06</v>
      </c>
      <c r="R693" s="719">
        <f t="shared" si="49"/>
        <v>263264.40000000002</v>
      </c>
      <c r="S693" s="570">
        <v>202310</v>
      </c>
      <c r="T693" s="693" t="s">
        <v>7092</v>
      </c>
      <c r="U693" s="713"/>
      <c r="V693" s="721">
        <v>39.063678740999997</v>
      </c>
      <c r="W693" s="721"/>
      <c r="X693" s="574">
        <v>45108</v>
      </c>
      <c r="Y693" s="574">
        <v>45473</v>
      </c>
      <c r="Z693" s="561" t="s">
        <v>7093</v>
      </c>
      <c r="AA693" s="683">
        <v>0.4</v>
      </c>
      <c r="AB693" s="582">
        <v>80</v>
      </c>
      <c r="AC693" s="713">
        <f t="shared" ref="AC693:AC702" si="50">AA693*AB693</f>
        <v>32</v>
      </c>
    </row>
    <row r="694" spans="1:29" s="577" customFormat="1" ht="15" customHeight="1">
      <c r="A694" s="563" t="s">
        <v>45</v>
      </c>
      <c r="B694" s="563" t="s">
        <v>6623</v>
      </c>
      <c r="C694" s="563" t="s">
        <v>6654</v>
      </c>
      <c r="D694" s="561" t="s">
        <v>6625</v>
      </c>
      <c r="E694" s="563" t="s">
        <v>7094</v>
      </c>
      <c r="F694" s="563" t="s">
        <v>7095</v>
      </c>
      <c r="G694" s="563" t="s">
        <v>165</v>
      </c>
      <c r="H694" s="564" t="s">
        <v>7096</v>
      </c>
      <c r="I694" s="565" t="e">
        <f>VLOOKUP(H694,'合同高级查询数据-10月新返回合同'!A:A,1,0)</f>
        <v>#N/A</v>
      </c>
      <c r="J694" s="674" t="s">
        <v>3724</v>
      </c>
      <c r="K694" s="563" t="s">
        <v>6541</v>
      </c>
      <c r="L694" s="675" t="s">
        <v>7095</v>
      </c>
      <c r="M694" s="596" t="s">
        <v>7097</v>
      </c>
      <c r="N694" s="574" t="s">
        <v>7098</v>
      </c>
      <c r="O694" s="561" t="s">
        <v>7099</v>
      </c>
      <c r="P694" s="719">
        <v>11000</v>
      </c>
      <c r="Q694" s="720">
        <v>0</v>
      </c>
      <c r="R694" s="719">
        <f t="shared" si="49"/>
        <v>0</v>
      </c>
      <c r="S694" s="570">
        <v>202310</v>
      </c>
      <c r="T694" s="693" t="s">
        <v>7100</v>
      </c>
      <c r="U694" s="713"/>
      <c r="V694" s="721">
        <v>0</v>
      </c>
      <c r="W694" s="721"/>
      <c r="X694" s="574">
        <v>44197</v>
      </c>
      <c r="Y694" s="574">
        <v>44926</v>
      </c>
      <c r="Z694" s="723"/>
      <c r="AA694" s="691">
        <v>0</v>
      </c>
      <c r="AB694" s="713">
        <v>0</v>
      </c>
      <c r="AC694" s="713">
        <f t="shared" si="50"/>
        <v>0</v>
      </c>
    </row>
    <row r="695" spans="1:29" s="577" customFormat="1" ht="15" customHeight="1">
      <c r="A695" s="561" t="s">
        <v>57</v>
      </c>
      <c r="B695" s="561" t="s">
        <v>7101</v>
      </c>
      <c r="C695" s="561" t="s">
        <v>6654</v>
      </c>
      <c r="D695" s="561" t="s">
        <v>6625</v>
      </c>
      <c r="E695" s="563" t="s">
        <v>7102</v>
      </c>
      <c r="F695" s="563" t="s">
        <v>7103</v>
      </c>
      <c r="G695" s="563" t="s">
        <v>165</v>
      </c>
      <c r="H695" s="564" t="s">
        <v>7104</v>
      </c>
      <c r="I695" s="565" t="e">
        <f>VLOOKUP(H695,'合同高级查询数据-10月新返回合同'!A:A,1,0)</f>
        <v>#N/A</v>
      </c>
      <c r="J695" s="563" t="s">
        <v>3776</v>
      </c>
      <c r="K695" s="561" t="s">
        <v>7105</v>
      </c>
      <c r="L695" s="561" t="s">
        <v>7106</v>
      </c>
      <c r="M695" s="721"/>
      <c r="N695" s="574">
        <v>44827</v>
      </c>
      <c r="O695" s="561" t="s">
        <v>1542</v>
      </c>
      <c r="P695" s="579">
        <v>50000</v>
      </c>
      <c r="Q695" s="720">
        <v>0</v>
      </c>
      <c r="R695" s="719">
        <f t="shared" si="49"/>
        <v>0</v>
      </c>
      <c r="S695" s="570">
        <v>202310</v>
      </c>
      <c r="T695" s="693" t="s">
        <v>7107</v>
      </c>
      <c r="U695" s="728"/>
      <c r="V695" s="721">
        <v>0</v>
      </c>
      <c r="W695" s="721"/>
      <c r="X695" s="574">
        <v>44562</v>
      </c>
      <c r="Y695" s="574">
        <v>45291</v>
      </c>
      <c r="Z695" s="723"/>
      <c r="AA695" s="691">
        <v>0</v>
      </c>
      <c r="AB695" s="713">
        <v>0</v>
      </c>
      <c r="AC695" s="713">
        <f t="shared" si="50"/>
        <v>0</v>
      </c>
    </row>
    <row r="696" spans="1:29" s="577" customFormat="1" ht="15" customHeight="1">
      <c r="A696" s="561" t="s">
        <v>813</v>
      </c>
      <c r="B696" s="561" t="s">
        <v>6623</v>
      </c>
      <c r="C696" s="561" t="s">
        <v>6735</v>
      </c>
      <c r="D696" s="561" t="s">
        <v>85</v>
      </c>
      <c r="E696" s="561" t="s">
        <v>7108</v>
      </c>
      <c r="F696" s="561" t="s">
        <v>7109</v>
      </c>
      <c r="G696" s="561" t="s">
        <v>165</v>
      </c>
      <c r="H696" s="561" t="s">
        <v>7110</v>
      </c>
      <c r="I696" s="565" t="e">
        <f>VLOOKUP(H696,'合同高级查询数据-10月新返回合同'!A:A,1,0)</f>
        <v>#N/A</v>
      </c>
      <c r="J696" s="561" t="s">
        <v>3724</v>
      </c>
      <c r="K696" s="732" t="s">
        <v>6561</v>
      </c>
      <c r="L696" s="732" t="s">
        <v>7111</v>
      </c>
      <c r="M696" s="561" t="s">
        <v>7112</v>
      </c>
      <c r="N696" s="574" t="s">
        <v>7113</v>
      </c>
      <c r="O696" s="561" t="s">
        <v>5151</v>
      </c>
      <c r="P696" s="568">
        <v>7084</v>
      </c>
      <c r="Q696" s="720">
        <v>0</v>
      </c>
      <c r="R696" s="719">
        <f t="shared" si="49"/>
        <v>0</v>
      </c>
      <c r="S696" s="570">
        <v>202310</v>
      </c>
      <c r="T696" s="733" t="s">
        <v>7114</v>
      </c>
      <c r="U696" s="733"/>
      <c r="V696" s="721">
        <v>0</v>
      </c>
      <c r="W696" s="721"/>
      <c r="X696" s="574">
        <v>44621</v>
      </c>
      <c r="Y696" s="574">
        <v>44985</v>
      </c>
      <c r="Z696" s="723"/>
      <c r="AA696" s="691">
        <v>0</v>
      </c>
      <c r="AB696" s="713">
        <v>0</v>
      </c>
      <c r="AC696" s="713">
        <f t="shared" si="50"/>
        <v>0</v>
      </c>
    </row>
    <row r="697" spans="1:29" s="577" customFormat="1" ht="15" customHeight="1">
      <c r="A697" s="563" t="s">
        <v>813</v>
      </c>
      <c r="B697" s="563" t="s">
        <v>7101</v>
      </c>
      <c r="C697" s="563" t="s">
        <v>6280</v>
      </c>
      <c r="D697" s="561" t="s">
        <v>7115</v>
      </c>
      <c r="E697" s="563" t="s">
        <v>7116</v>
      </c>
      <c r="F697" s="563" t="s">
        <v>7117</v>
      </c>
      <c r="G697" s="563" t="s">
        <v>165</v>
      </c>
      <c r="H697" s="564" t="s">
        <v>7118</v>
      </c>
      <c r="I697" s="565" t="e">
        <f>VLOOKUP(H697,'合同高级查询数据-10月新返回合同'!A:A,1,0)</f>
        <v>#N/A</v>
      </c>
      <c r="J697" s="674" t="s">
        <v>3724</v>
      </c>
      <c r="K697" s="563" t="s">
        <v>7119</v>
      </c>
      <c r="L697" s="675" t="s">
        <v>7120</v>
      </c>
      <c r="M697" s="596" t="s">
        <v>7121</v>
      </c>
      <c r="N697" s="574" t="s">
        <v>7122</v>
      </c>
      <c r="O697" s="731" t="s">
        <v>7123</v>
      </c>
      <c r="P697" s="719">
        <v>4500</v>
      </c>
      <c r="Q697" s="720">
        <v>0</v>
      </c>
      <c r="R697" s="719">
        <f t="shared" si="49"/>
        <v>0</v>
      </c>
      <c r="S697" s="570">
        <v>202310</v>
      </c>
      <c r="T697" s="693" t="s">
        <v>7124</v>
      </c>
      <c r="U697" s="713"/>
      <c r="V697" s="721">
        <v>0</v>
      </c>
      <c r="W697" s="721"/>
      <c r="X697" s="574">
        <v>44652</v>
      </c>
      <c r="Y697" s="574">
        <v>45016</v>
      </c>
      <c r="Z697" s="723"/>
      <c r="AA697" s="691">
        <v>0</v>
      </c>
      <c r="AB697" s="713">
        <v>0</v>
      </c>
      <c r="AC697" s="713">
        <f t="shared" si="50"/>
        <v>0</v>
      </c>
    </row>
    <row r="698" spans="1:29" s="577" customFormat="1" ht="15" customHeight="1">
      <c r="A698" s="563" t="s">
        <v>823</v>
      </c>
      <c r="B698" s="563" t="s">
        <v>7101</v>
      </c>
      <c r="C698" s="563" t="s">
        <v>5529</v>
      </c>
      <c r="D698" s="561" t="s">
        <v>4593</v>
      </c>
      <c r="E698" s="563" t="s">
        <v>7125</v>
      </c>
      <c r="F698" s="563" t="s">
        <v>7126</v>
      </c>
      <c r="G698" s="563" t="s">
        <v>165</v>
      </c>
      <c r="H698" s="564" t="s">
        <v>7127</v>
      </c>
      <c r="I698" s="565" t="e">
        <f>VLOOKUP(H698,'合同高级查询数据-10月新返回合同'!A:A,1,0)</f>
        <v>#N/A</v>
      </c>
      <c r="J698" s="674" t="s">
        <v>3724</v>
      </c>
      <c r="K698" s="563" t="s">
        <v>7128</v>
      </c>
      <c r="L698" s="675" t="s">
        <v>7129</v>
      </c>
      <c r="M698" s="596" t="s">
        <v>7130</v>
      </c>
      <c r="N698" s="657" t="s">
        <v>7131</v>
      </c>
      <c r="O698" s="726" t="s">
        <v>7132</v>
      </c>
      <c r="P698" s="719">
        <v>4000</v>
      </c>
      <c r="Q698" s="720">
        <v>0</v>
      </c>
      <c r="R698" s="719">
        <f t="shared" si="49"/>
        <v>0</v>
      </c>
      <c r="S698" s="570">
        <v>202310</v>
      </c>
      <c r="T698" s="693" t="s">
        <v>7133</v>
      </c>
      <c r="U698" s="713"/>
      <c r="V698" s="721">
        <v>0</v>
      </c>
      <c r="W698" s="721"/>
      <c r="X698" s="722">
        <v>44013</v>
      </c>
      <c r="Y698" s="574">
        <v>44255</v>
      </c>
      <c r="Z698" s="723"/>
      <c r="AA698" s="691">
        <v>0</v>
      </c>
      <c r="AB698" s="713">
        <v>0</v>
      </c>
      <c r="AC698" s="713">
        <f t="shared" si="50"/>
        <v>0</v>
      </c>
    </row>
    <row r="699" spans="1:29" s="577" customFormat="1" ht="15" customHeight="1">
      <c r="A699" s="563" t="s">
        <v>823</v>
      </c>
      <c r="B699" s="563" t="s">
        <v>7101</v>
      </c>
      <c r="C699" s="563" t="s">
        <v>5529</v>
      </c>
      <c r="D699" s="561" t="s">
        <v>4593</v>
      </c>
      <c r="E699" s="563" t="s">
        <v>7134</v>
      </c>
      <c r="F699" s="563" t="s">
        <v>7135</v>
      </c>
      <c r="G699" s="563" t="s">
        <v>165</v>
      </c>
      <c r="H699" s="564" t="s">
        <v>7136</v>
      </c>
      <c r="I699" s="565" t="e">
        <f>VLOOKUP(H699,'合同高级查询数据-10月新返回合同'!A:A,1,0)</f>
        <v>#N/A</v>
      </c>
      <c r="J699" s="674" t="s">
        <v>3724</v>
      </c>
      <c r="K699" s="563" t="s">
        <v>7128</v>
      </c>
      <c r="L699" s="675" t="s">
        <v>7129</v>
      </c>
      <c r="M699" s="596" t="s">
        <v>7130</v>
      </c>
      <c r="N699" s="657" t="s">
        <v>7137</v>
      </c>
      <c r="O699" s="726" t="s">
        <v>7132</v>
      </c>
      <c r="P699" s="719">
        <v>4300</v>
      </c>
      <c r="Q699" s="720">
        <v>0</v>
      </c>
      <c r="R699" s="719">
        <f t="shared" si="49"/>
        <v>0</v>
      </c>
      <c r="S699" s="570">
        <v>202310</v>
      </c>
      <c r="T699" s="693" t="s">
        <v>7138</v>
      </c>
      <c r="U699" s="713"/>
      <c r="V699" s="721">
        <v>0</v>
      </c>
      <c r="W699" s="721"/>
      <c r="X699" s="574">
        <v>44256</v>
      </c>
      <c r="Y699" s="574">
        <v>44620</v>
      </c>
      <c r="Z699" s="723"/>
      <c r="AA699" s="691">
        <v>0</v>
      </c>
      <c r="AB699" s="713">
        <v>0</v>
      </c>
      <c r="AC699" s="713">
        <f t="shared" si="50"/>
        <v>0</v>
      </c>
    </row>
    <row r="700" spans="1:29" s="577" customFormat="1" ht="15" customHeight="1">
      <c r="A700" s="563" t="s">
        <v>829</v>
      </c>
      <c r="B700" s="563" t="s">
        <v>7101</v>
      </c>
      <c r="C700" s="563" t="s">
        <v>188</v>
      </c>
      <c r="D700" s="561" t="s">
        <v>4593</v>
      </c>
      <c r="E700" s="563" t="s">
        <v>7139</v>
      </c>
      <c r="F700" s="563" t="s">
        <v>7140</v>
      </c>
      <c r="G700" s="563" t="s">
        <v>165</v>
      </c>
      <c r="H700" s="564" t="s">
        <v>7141</v>
      </c>
      <c r="I700" s="565" t="e">
        <f>VLOOKUP(H700,'合同高级查询数据-10月新返回合同'!A:A,1,0)</f>
        <v>#N/A</v>
      </c>
      <c r="J700" s="674" t="s">
        <v>3724</v>
      </c>
      <c r="K700" s="563" t="s">
        <v>2706</v>
      </c>
      <c r="L700" s="675" t="s">
        <v>7142</v>
      </c>
      <c r="M700" s="596" t="s">
        <v>7143</v>
      </c>
      <c r="N700" s="731" t="s">
        <v>7144</v>
      </c>
      <c r="O700" s="731" t="s">
        <v>5525</v>
      </c>
      <c r="P700" s="719">
        <v>6666.67</v>
      </c>
      <c r="Q700" s="720">
        <v>0</v>
      </c>
      <c r="R700" s="719">
        <f t="shared" si="49"/>
        <v>0</v>
      </c>
      <c r="S700" s="570">
        <v>202310</v>
      </c>
      <c r="T700" s="693" t="s">
        <v>7145</v>
      </c>
      <c r="U700" s="713"/>
      <c r="V700" s="721">
        <v>0</v>
      </c>
      <c r="W700" s="721"/>
      <c r="X700" s="731">
        <v>44682</v>
      </c>
      <c r="Y700" s="731">
        <v>45046</v>
      </c>
      <c r="Z700" s="723"/>
      <c r="AA700" s="691">
        <v>0</v>
      </c>
      <c r="AB700" s="713">
        <v>0</v>
      </c>
      <c r="AC700" s="713">
        <f t="shared" si="50"/>
        <v>0</v>
      </c>
    </row>
    <row r="701" spans="1:29" s="577" customFormat="1" ht="15" customHeight="1">
      <c r="A701" s="563" t="s">
        <v>823</v>
      </c>
      <c r="B701" s="561" t="s">
        <v>7101</v>
      </c>
      <c r="C701" s="561" t="s">
        <v>6654</v>
      </c>
      <c r="D701" s="561" t="s">
        <v>4593</v>
      </c>
      <c r="E701" s="563" t="s">
        <v>7146</v>
      </c>
      <c r="F701" s="563" t="s">
        <v>7147</v>
      </c>
      <c r="G701" s="563" t="s">
        <v>165</v>
      </c>
      <c r="H701" s="564" t="s">
        <v>7148</v>
      </c>
      <c r="I701" s="565" t="e">
        <f>VLOOKUP(H701,'合同高级查询数据-10月新返回合同'!A:A,1,0)</f>
        <v>#N/A</v>
      </c>
      <c r="J701" s="674" t="s">
        <v>3724</v>
      </c>
      <c r="K701" s="563" t="s">
        <v>7149</v>
      </c>
      <c r="L701" s="675" t="s">
        <v>7150</v>
      </c>
      <c r="M701" s="596" t="s">
        <v>7151</v>
      </c>
      <c r="N701" s="574" t="s">
        <v>7152</v>
      </c>
      <c r="O701" s="561" t="s">
        <v>7153</v>
      </c>
      <c r="P701" s="719">
        <v>5200</v>
      </c>
      <c r="Q701" s="720">
        <v>0</v>
      </c>
      <c r="R701" s="719">
        <f t="shared" si="49"/>
        <v>0</v>
      </c>
      <c r="S701" s="570">
        <v>202310</v>
      </c>
      <c r="T701" s="693" t="s">
        <v>7154</v>
      </c>
      <c r="U701" s="728"/>
      <c r="V701" s="721">
        <v>0</v>
      </c>
      <c r="W701" s="721"/>
      <c r="X701" s="574">
        <v>44593</v>
      </c>
      <c r="Y701" s="574">
        <v>44620</v>
      </c>
      <c r="Z701" s="723"/>
      <c r="AA701" s="691">
        <v>0</v>
      </c>
      <c r="AB701" s="713">
        <v>0</v>
      </c>
      <c r="AC701" s="713">
        <f t="shared" si="50"/>
        <v>0</v>
      </c>
    </row>
    <row r="702" spans="1:29" s="577" customFormat="1" ht="15" customHeight="1">
      <c r="A702" s="563" t="s">
        <v>813</v>
      </c>
      <c r="B702" s="561" t="s">
        <v>7101</v>
      </c>
      <c r="C702" s="561" t="s">
        <v>4721</v>
      </c>
      <c r="D702" s="561" t="s">
        <v>7155</v>
      </c>
      <c r="E702" s="561" t="s">
        <v>7156</v>
      </c>
      <c r="F702" s="561" t="s">
        <v>7157</v>
      </c>
      <c r="G702" s="563" t="s">
        <v>165</v>
      </c>
      <c r="H702" s="561" t="s">
        <v>7158</v>
      </c>
      <c r="I702" s="565" t="e">
        <f>VLOOKUP(H702,'合同高级查询数据-10月新返回合同'!A:A,1,0)</f>
        <v>#N/A</v>
      </c>
      <c r="J702" s="674" t="s">
        <v>3724</v>
      </c>
      <c r="K702" s="561" t="s">
        <v>7159</v>
      </c>
      <c r="L702" s="561" t="s">
        <v>7160</v>
      </c>
      <c r="M702" s="561" t="s">
        <v>7161</v>
      </c>
      <c r="N702" s="574">
        <v>43831</v>
      </c>
      <c r="O702" s="561" t="s">
        <v>4796</v>
      </c>
      <c r="P702" s="579">
        <v>5416.67</v>
      </c>
      <c r="Q702" s="720">
        <v>15.7</v>
      </c>
      <c r="R702" s="719">
        <f t="shared" si="49"/>
        <v>85041.72</v>
      </c>
      <c r="S702" s="570">
        <v>202310</v>
      </c>
      <c r="T702" s="693" t="s">
        <v>7162</v>
      </c>
      <c r="U702" s="728"/>
      <c r="V702" s="721">
        <v>15.335274696000001</v>
      </c>
      <c r="W702" s="721">
        <v>15.99</v>
      </c>
      <c r="X702" s="574">
        <v>45047</v>
      </c>
      <c r="Y702" s="574">
        <v>45412</v>
      </c>
      <c r="Z702" s="561" t="s">
        <v>7163</v>
      </c>
      <c r="AA702" s="683">
        <v>0.3</v>
      </c>
      <c r="AB702" s="582">
        <v>40</v>
      </c>
      <c r="AC702" s="713">
        <f t="shared" si="50"/>
        <v>12</v>
      </c>
    </row>
    <row r="703" spans="1:29" s="577" customFormat="1" ht="15" customHeight="1">
      <c r="A703" s="563" t="s">
        <v>813</v>
      </c>
      <c r="B703" s="561" t="s">
        <v>7101</v>
      </c>
      <c r="C703" s="561" t="s">
        <v>887</v>
      </c>
      <c r="D703" s="561" t="s">
        <v>7115</v>
      </c>
      <c r="E703" s="561" t="s">
        <v>7156</v>
      </c>
      <c r="F703" s="561" t="s">
        <v>7157</v>
      </c>
      <c r="G703" s="563" t="s">
        <v>165</v>
      </c>
      <c r="H703" s="561" t="s">
        <v>7164</v>
      </c>
      <c r="I703" s="565" t="e">
        <f>VLOOKUP(H703,'合同高级查询数据-10月新返回合同'!A:A,1,0)</f>
        <v>#N/A</v>
      </c>
      <c r="J703" s="674" t="s">
        <v>3724</v>
      </c>
      <c r="K703" s="561" t="s">
        <v>7165</v>
      </c>
      <c r="L703" s="561" t="s">
        <v>7166</v>
      </c>
      <c r="M703" s="561" t="s">
        <v>7167</v>
      </c>
      <c r="N703" s="574" t="s">
        <v>7168</v>
      </c>
      <c r="O703" s="561" t="s">
        <v>7169</v>
      </c>
      <c r="P703" s="579">
        <v>5000</v>
      </c>
      <c r="Q703" s="581">
        <v>0.5</v>
      </c>
      <c r="R703" s="719">
        <f>ROUND(P703*Q703,2)</f>
        <v>2500</v>
      </c>
      <c r="S703" s="570">
        <v>202309</v>
      </c>
      <c r="T703" s="693" t="s">
        <v>7170</v>
      </c>
      <c r="U703" s="728"/>
      <c r="V703" s="561"/>
      <c r="W703" s="561"/>
      <c r="X703" s="574">
        <v>45047</v>
      </c>
      <c r="Y703" s="574">
        <v>45412</v>
      </c>
      <c r="Z703" s="561"/>
      <c r="AA703" s="683"/>
      <c r="AB703" s="582"/>
      <c r="AC703" s="582"/>
    </row>
    <row r="704" spans="1:29" s="385" customFormat="1" ht="15" customHeight="1">
      <c r="A704" s="388" t="s">
        <v>813</v>
      </c>
      <c r="B704" s="386" t="s">
        <v>7101</v>
      </c>
      <c r="C704" s="386" t="s">
        <v>5560</v>
      </c>
      <c r="D704" s="386" t="s">
        <v>7155</v>
      </c>
      <c r="E704" s="386" t="s">
        <v>7171</v>
      </c>
      <c r="F704" s="386" t="s">
        <v>7172</v>
      </c>
      <c r="G704" s="388" t="s">
        <v>165</v>
      </c>
      <c r="H704" s="386" t="s">
        <v>7173</v>
      </c>
      <c r="I704" s="369" t="e">
        <f>VLOOKUP(H704,'合同高级查询数据-10月新返回合同'!A:A,1,0)</f>
        <v>#N/A</v>
      </c>
      <c r="J704" s="499" t="s">
        <v>3724</v>
      </c>
      <c r="K704" s="386" t="s">
        <v>5796</v>
      </c>
      <c r="L704" s="386" t="s">
        <v>7174</v>
      </c>
      <c r="M704" s="386" t="s">
        <v>7175</v>
      </c>
      <c r="N704" s="383" t="s">
        <v>7176</v>
      </c>
      <c r="O704" s="386" t="s">
        <v>6260</v>
      </c>
      <c r="P704" s="539">
        <v>4833.33</v>
      </c>
      <c r="Q704" s="540">
        <v>37.4</v>
      </c>
      <c r="R704" s="539">
        <f t="shared" ref="R704:R767" si="51">ROUND(P704*Q704,2)</f>
        <v>180766.54</v>
      </c>
      <c r="S704" s="378">
        <v>202310</v>
      </c>
      <c r="T704" s="514" t="s">
        <v>7177</v>
      </c>
      <c r="U704" s="547"/>
      <c r="V704" s="541">
        <v>36.693286895999996</v>
      </c>
      <c r="W704" s="541">
        <v>38.03</v>
      </c>
      <c r="X704" s="383"/>
      <c r="Y704" s="425"/>
      <c r="Z704" s="386" t="s">
        <v>7178</v>
      </c>
      <c r="AA704" s="506">
        <v>0.3</v>
      </c>
      <c r="AB704" s="410">
        <v>120</v>
      </c>
      <c r="AC704" s="448">
        <f t="shared" ref="AC704:AC767" si="52">AA704*AB704</f>
        <v>36</v>
      </c>
    </row>
    <row r="705" spans="1:29" s="385" customFormat="1" ht="15" customHeight="1">
      <c r="A705" s="388" t="s">
        <v>813</v>
      </c>
      <c r="B705" s="386" t="s">
        <v>7101</v>
      </c>
      <c r="C705" s="386" t="s">
        <v>887</v>
      </c>
      <c r="D705" s="386" t="s">
        <v>7115</v>
      </c>
      <c r="E705" s="386" t="s">
        <v>7171</v>
      </c>
      <c r="F705" s="386" t="s">
        <v>7172</v>
      </c>
      <c r="G705" s="388" t="s">
        <v>165</v>
      </c>
      <c r="H705" s="386" t="s">
        <v>7179</v>
      </c>
      <c r="I705" s="369" t="e">
        <f>VLOOKUP(H705,'合同高级查询数据-10月新返回合同'!A:A,1,0)</f>
        <v>#N/A</v>
      </c>
      <c r="J705" s="499" t="s">
        <v>3724</v>
      </c>
      <c r="K705" s="386" t="s">
        <v>7165</v>
      </c>
      <c r="L705" s="386" t="s">
        <v>7166</v>
      </c>
      <c r="M705" s="386" t="s">
        <v>7167</v>
      </c>
      <c r="N705" s="383" t="s">
        <v>7168</v>
      </c>
      <c r="O705" s="386" t="s">
        <v>7169</v>
      </c>
      <c r="P705" s="396">
        <v>4700</v>
      </c>
      <c r="Q705" s="540">
        <v>43</v>
      </c>
      <c r="R705" s="539">
        <f t="shared" si="51"/>
        <v>202100</v>
      </c>
      <c r="S705" s="378">
        <v>202310</v>
      </c>
      <c r="T705" s="514" t="s">
        <v>7180</v>
      </c>
      <c r="U705" s="547"/>
      <c r="V705" s="541">
        <v>42.133838654000002</v>
      </c>
      <c r="W705" s="541">
        <v>43.75</v>
      </c>
      <c r="X705" s="383"/>
      <c r="Y705" s="383"/>
      <c r="Z705" s="386" t="s">
        <v>7181</v>
      </c>
      <c r="AA705" s="506">
        <v>0.3</v>
      </c>
      <c r="AB705" s="410">
        <v>100</v>
      </c>
      <c r="AC705" s="448">
        <f t="shared" si="52"/>
        <v>30</v>
      </c>
    </row>
    <row r="706" spans="1:29" s="577" customFormat="1" ht="15" customHeight="1">
      <c r="A706" s="563" t="s">
        <v>823</v>
      </c>
      <c r="B706" s="563" t="s">
        <v>7101</v>
      </c>
      <c r="C706" s="563" t="s">
        <v>6654</v>
      </c>
      <c r="D706" s="561" t="s">
        <v>4593</v>
      </c>
      <c r="E706" s="563" t="s">
        <v>7182</v>
      </c>
      <c r="F706" s="563" t="s">
        <v>7183</v>
      </c>
      <c r="G706" s="563" t="s">
        <v>165</v>
      </c>
      <c r="H706" s="564" t="s">
        <v>7184</v>
      </c>
      <c r="I706" s="565" t="e">
        <f>VLOOKUP(H706,'合同高级查询数据-10月新返回合同'!A:A,1,0)</f>
        <v>#N/A</v>
      </c>
      <c r="J706" s="674" t="s">
        <v>3724</v>
      </c>
      <c r="K706" s="563" t="s">
        <v>6869</v>
      </c>
      <c r="L706" s="675" t="s">
        <v>7185</v>
      </c>
      <c r="M706" s="596" t="s">
        <v>7186</v>
      </c>
      <c r="N706" s="731" t="s">
        <v>7187</v>
      </c>
      <c r="O706" s="731" t="s">
        <v>7188</v>
      </c>
      <c r="P706" s="719">
        <v>5000</v>
      </c>
      <c r="Q706" s="720">
        <v>0</v>
      </c>
      <c r="R706" s="719">
        <f t="shared" si="51"/>
        <v>0</v>
      </c>
      <c r="S706" s="570">
        <v>202310</v>
      </c>
      <c r="T706" s="693" t="s">
        <v>7189</v>
      </c>
      <c r="U706" s="713"/>
      <c r="V706" s="721">
        <v>0</v>
      </c>
      <c r="W706" s="721"/>
      <c r="X706" s="574">
        <v>44378</v>
      </c>
      <c r="Y706" s="574">
        <v>44742</v>
      </c>
      <c r="Z706" s="723"/>
      <c r="AA706" s="691">
        <v>0</v>
      </c>
      <c r="AB706" s="713">
        <v>0</v>
      </c>
      <c r="AC706" s="713">
        <f t="shared" si="52"/>
        <v>0</v>
      </c>
    </row>
    <row r="707" spans="1:29" s="577" customFormat="1" ht="15" customHeight="1">
      <c r="A707" s="563" t="s">
        <v>823</v>
      </c>
      <c r="B707" s="563" t="s">
        <v>7101</v>
      </c>
      <c r="C707" s="563" t="s">
        <v>6654</v>
      </c>
      <c r="D707" s="561" t="s">
        <v>4593</v>
      </c>
      <c r="E707" s="563" t="s">
        <v>7182</v>
      </c>
      <c r="F707" s="563" t="s">
        <v>7183</v>
      </c>
      <c r="G707" s="563" t="s">
        <v>165</v>
      </c>
      <c r="H707" s="564" t="s">
        <v>7190</v>
      </c>
      <c r="I707" s="565" t="e">
        <f>VLOOKUP(H707,'合同高级查询数据-10月新返回合同'!A:A,1,0)</f>
        <v>#N/A</v>
      </c>
      <c r="J707" s="674" t="s">
        <v>3724</v>
      </c>
      <c r="K707" s="563" t="s">
        <v>7149</v>
      </c>
      <c r="L707" s="675" t="s">
        <v>7191</v>
      </c>
      <c r="M707" s="596" t="s">
        <v>7192</v>
      </c>
      <c r="N707" s="731" t="s">
        <v>7193</v>
      </c>
      <c r="O707" s="731" t="s">
        <v>7194</v>
      </c>
      <c r="P707" s="719">
        <v>5000</v>
      </c>
      <c r="Q707" s="720">
        <v>0</v>
      </c>
      <c r="R707" s="719">
        <f t="shared" si="51"/>
        <v>0</v>
      </c>
      <c r="S707" s="570">
        <v>202310</v>
      </c>
      <c r="T707" s="693" t="s">
        <v>7195</v>
      </c>
      <c r="U707" s="713"/>
      <c r="V707" s="721">
        <v>0</v>
      </c>
      <c r="W707" s="721"/>
      <c r="X707" s="574">
        <v>44866</v>
      </c>
      <c r="Y707" s="597">
        <v>45230</v>
      </c>
      <c r="Z707" s="723"/>
      <c r="AA707" s="691">
        <v>0</v>
      </c>
      <c r="AB707" s="713">
        <v>0</v>
      </c>
      <c r="AC707" s="713">
        <f t="shared" si="52"/>
        <v>0</v>
      </c>
    </row>
    <row r="708" spans="1:29" s="577" customFormat="1" ht="15" customHeight="1">
      <c r="A708" s="563" t="s">
        <v>823</v>
      </c>
      <c r="B708" s="563" t="s">
        <v>7101</v>
      </c>
      <c r="C708" s="563" t="s">
        <v>6654</v>
      </c>
      <c r="D708" s="561" t="s">
        <v>4593</v>
      </c>
      <c r="E708" s="563" t="s">
        <v>7182</v>
      </c>
      <c r="F708" s="563" t="s">
        <v>7183</v>
      </c>
      <c r="G708" s="563" t="s">
        <v>165</v>
      </c>
      <c r="H708" s="564" t="s">
        <v>7196</v>
      </c>
      <c r="I708" s="565" t="e">
        <f>VLOOKUP(H708,'合同高级查询数据-10月新返回合同'!A:A,1,0)</f>
        <v>#N/A</v>
      </c>
      <c r="J708" s="674" t="s">
        <v>3724</v>
      </c>
      <c r="K708" s="563" t="s">
        <v>6869</v>
      </c>
      <c r="L708" s="675" t="s">
        <v>7197</v>
      </c>
      <c r="M708" s="596" t="s">
        <v>7198</v>
      </c>
      <c r="N708" s="731" t="s">
        <v>7199</v>
      </c>
      <c r="O708" s="731" t="s">
        <v>5525</v>
      </c>
      <c r="P708" s="719">
        <v>4900</v>
      </c>
      <c r="Q708" s="720">
        <v>0</v>
      </c>
      <c r="R708" s="719">
        <f t="shared" si="51"/>
        <v>0</v>
      </c>
      <c r="S708" s="570">
        <v>202310</v>
      </c>
      <c r="T708" s="693" t="s">
        <v>7200</v>
      </c>
      <c r="U708" s="713"/>
      <c r="V708" s="721">
        <v>0</v>
      </c>
      <c r="W708" s="721"/>
      <c r="X708" s="574">
        <v>44986</v>
      </c>
      <c r="Y708" s="597">
        <v>45351</v>
      </c>
      <c r="Z708" s="723"/>
      <c r="AA708" s="691">
        <v>0</v>
      </c>
      <c r="AB708" s="713">
        <v>0</v>
      </c>
      <c r="AC708" s="713">
        <f t="shared" si="52"/>
        <v>0</v>
      </c>
    </row>
    <row r="709" spans="1:29" s="385" customFormat="1" ht="15" customHeight="1">
      <c r="A709" s="548" t="s">
        <v>829</v>
      </c>
      <c r="B709" s="386" t="s">
        <v>7101</v>
      </c>
      <c r="C709" s="386" t="s">
        <v>5177</v>
      </c>
      <c r="D709" s="386" t="s">
        <v>7115</v>
      </c>
      <c r="E709" s="388" t="s">
        <v>7201</v>
      </c>
      <c r="F709" s="388" t="s">
        <v>7202</v>
      </c>
      <c r="G709" s="388" t="s">
        <v>165</v>
      </c>
      <c r="H709" s="389" t="s">
        <v>7203</v>
      </c>
      <c r="I709" s="369" t="e">
        <f>VLOOKUP(H709,'合同高级查询数据-10月新返回合同'!A:A,1,0)</f>
        <v>#N/A</v>
      </c>
      <c r="J709" s="499" t="s">
        <v>3724</v>
      </c>
      <c r="K709" s="388" t="s">
        <v>7204</v>
      </c>
      <c r="L709" s="486" t="s">
        <v>7205</v>
      </c>
      <c r="M709" s="403" t="s">
        <v>7206</v>
      </c>
      <c r="N709" s="383" t="s">
        <v>7207</v>
      </c>
      <c r="O709" s="386" t="s">
        <v>7208</v>
      </c>
      <c r="P709" s="539">
        <v>5416.67</v>
      </c>
      <c r="Q709" s="540">
        <v>69</v>
      </c>
      <c r="R709" s="539">
        <f t="shared" si="51"/>
        <v>373750.23</v>
      </c>
      <c r="S709" s="378">
        <v>202310</v>
      </c>
      <c r="T709" s="514" t="s">
        <v>7209</v>
      </c>
      <c r="U709" s="547"/>
      <c r="V709" s="541">
        <v>68.959037781000006</v>
      </c>
      <c r="W709" s="541"/>
      <c r="X709" s="383"/>
      <c r="Y709" s="383"/>
      <c r="Z709" s="386" t="s">
        <v>7210</v>
      </c>
      <c r="AA709" s="506">
        <v>0.3</v>
      </c>
      <c r="AB709" s="410">
        <v>200</v>
      </c>
      <c r="AC709" s="448">
        <f t="shared" si="52"/>
        <v>60</v>
      </c>
    </row>
    <row r="710" spans="1:29" s="385" customFormat="1" ht="15" customHeight="1">
      <c r="A710" s="548" t="s">
        <v>829</v>
      </c>
      <c r="B710" s="386" t="s">
        <v>7101</v>
      </c>
      <c r="C710" s="386" t="s">
        <v>5177</v>
      </c>
      <c r="D710" s="386" t="s">
        <v>7115</v>
      </c>
      <c r="E710" s="388" t="s">
        <v>7201</v>
      </c>
      <c r="F710" s="388" t="s">
        <v>7202</v>
      </c>
      <c r="G710" s="388" t="s">
        <v>165</v>
      </c>
      <c r="H710" s="389" t="s">
        <v>7203</v>
      </c>
      <c r="I710" s="369" t="e">
        <f>VLOOKUP(H710,'合同高级查询数据-10月新返回合同'!A:A,1,0)</f>
        <v>#N/A</v>
      </c>
      <c r="J710" s="499" t="s">
        <v>3724</v>
      </c>
      <c r="K710" s="388" t="s">
        <v>7204</v>
      </c>
      <c r="L710" s="486" t="s">
        <v>7211</v>
      </c>
      <c r="M710" s="403" t="s">
        <v>7206</v>
      </c>
      <c r="N710" s="383" t="s">
        <v>7212</v>
      </c>
      <c r="O710" s="386" t="s">
        <v>7213</v>
      </c>
      <c r="P710" s="539">
        <v>5416.67</v>
      </c>
      <c r="Q710" s="540">
        <v>69.599999999999994</v>
      </c>
      <c r="R710" s="539">
        <f t="shared" si="51"/>
        <v>377000.23</v>
      </c>
      <c r="S710" s="378">
        <v>202310</v>
      </c>
      <c r="T710" s="514" t="s">
        <v>7214</v>
      </c>
      <c r="U710" s="547"/>
      <c r="V710" s="541">
        <v>69.559944153000004</v>
      </c>
      <c r="W710" s="541"/>
      <c r="X710" s="383"/>
      <c r="Y710" s="383"/>
      <c r="Z710" s="544" t="s">
        <v>7215</v>
      </c>
      <c r="AA710" s="506">
        <v>0.3</v>
      </c>
      <c r="AB710" s="410">
        <v>200</v>
      </c>
      <c r="AC710" s="448">
        <f t="shared" si="52"/>
        <v>60</v>
      </c>
    </row>
    <row r="711" spans="1:29" s="577" customFormat="1" ht="15" customHeight="1">
      <c r="A711" s="563" t="s">
        <v>813</v>
      </c>
      <c r="B711" s="561" t="s">
        <v>7101</v>
      </c>
      <c r="C711" s="561" t="s">
        <v>887</v>
      </c>
      <c r="D711" s="561" t="s">
        <v>7115</v>
      </c>
      <c r="E711" s="563" t="s">
        <v>7201</v>
      </c>
      <c r="F711" s="563" t="s">
        <v>7202</v>
      </c>
      <c r="G711" s="563" t="s">
        <v>165</v>
      </c>
      <c r="H711" s="564" t="s">
        <v>7216</v>
      </c>
      <c r="I711" s="565" t="e">
        <f>VLOOKUP(H711,'合同高级查询数据-10月新返回合同'!A:A,1,0)</f>
        <v>#N/A</v>
      </c>
      <c r="J711" s="674" t="s">
        <v>3724</v>
      </c>
      <c r="K711" s="563" t="s">
        <v>2821</v>
      </c>
      <c r="L711" s="675" t="s">
        <v>7217</v>
      </c>
      <c r="M711" s="596" t="s">
        <v>7218</v>
      </c>
      <c r="N711" s="735" t="s">
        <v>7219</v>
      </c>
      <c r="O711" s="561" t="s">
        <v>6754</v>
      </c>
      <c r="P711" s="719">
        <v>5500</v>
      </c>
      <c r="Q711" s="720">
        <v>0</v>
      </c>
      <c r="R711" s="719">
        <f t="shared" si="51"/>
        <v>0</v>
      </c>
      <c r="S711" s="570">
        <v>202310</v>
      </c>
      <c r="T711" s="693" t="s">
        <v>7220</v>
      </c>
      <c r="U711" s="728"/>
      <c r="V711" s="721">
        <v>0</v>
      </c>
      <c r="W711" s="721"/>
      <c r="X711" s="574">
        <v>44652</v>
      </c>
      <c r="Y711" s="574">
        <v>45016</v>
      </c>
      <c r="Z711" s="723"/>
      <c r="AA711" s="691">
        <v>0</v>
      </c>
      <c r="AB711" s="713">
        <v>0</v>
      </c>
      <c r="AC711" s="713">
        <f t="shared" si="52"/>
        <v>0</v>
      </c>
    </row>
    <row r="712" spans="1:29" s="577" customFormat="1" ht="15" customHeight="1">
      <c r="A712" s="563" t="s">
        <v>813</v>
      </c>
      <c r="B712" s="561" t="s">
        <v>7101</v>
      </c>
      <c r="C712" s="561" t="s">
        <v>887</v>
      </c>
      <c r="D712" s="561" t="s">
        <v>7115</v>
      </c>
      <c r="E712" s="563" t="s">
        <v>7201</v>
      </c>
      <c r="F712" s="563" t="s">
        <v>7202</v>
      </c>
      <c r="G712" s="563" t="s">
        <v>165</v>
      </c>
      <c r="H712" s="564" t="s">
        <v>7216</v>
      </c>
      <c r="I712" s="565" t="e">
        <f>VLOOKUP(H712,'合同高级查询数据-10月新返回合同'!A:A,1,0)</f>
        <v>#N/A</v>
      </c>
      <c r="J712" s="674" t="s">
        <v>3724</v>
      </c>
      <c r="K712" s="563" t="s">
        <v>2821</v>
      </c>
      <c r="L712" s="675" t="s">
        <v>7221</v>
      </c>
      <c r="M712" s="596" t="s">
        <v>7218</v>
      </c>
      <c r="N712" s="735" t="s">
        <v>7222</v>
      </c>
      <c r="O712" s="561" t="s">
        <v>6675</v>
      </c>
      <c r="P712" s="719">
        <v>5500</v>
      </c>
      <c r="Q712" s="720">
        <v>0</v>
      </c>
      <c r="R712" s="719">
        <f t="shared" si="51"/>
        <v>0</v>
      </c>
      <c r="S712" s="570">
        <v>202310</v>
      </c>
      <c r="T712" s="693" t="s">
        <v>7223</v>
      </c>
      <c r="U712" s="728"/>
      <c r="V712" s="721">
        <v>0</v>
      </c>
      <c r="W712" s="721"/>
      <c r="X712" s="574">
        <v>44652</v>
      </c>
      <c r="Y712" s="574">
        <v>45016</v>
      </c>
      <c r="Z712" s="723"/>
      <c r="AA712" s="691">
        <v>0</v>
      </c>
      <c r="AB712" s="713">
        <v>0</v>
      </c>
      <c r="AC712" s="713">
        <f t="shared" si="52"/>
        <v>0</v>
      </c>
    </row>
    <row r="713" spans="1:29" s="577" customFormat="1" ht="15" customHeight="1">
      <c r="A713" s="563" t="s">
        <v>813</v>
      </c>
      <c r="B713" s="561" t="s">
        <v>7101</v>
      </c>
      <c r="C713" s="561" t="s">
        <v>887</v>
      </c>
      <c r="D713" s="561" t="s">
        <v>7115</v>
      </c>
      <c r="E713" s="563" t="s">
        <v>7201</v>
      </c>
      <c r="F713" s="563" t="s">
        <v>7202</v>
      </c>
      <c r="G713" s="563" t="s">
        <v>165</v>
      </c>
      <c r="H713" s="564" t="s">
        <v>7224</v>
      </c>
      <c r="I713" s="565" t="e">
        <f>VLOOKUP(H713,'合同高级查询数据-10月新返回合同'!A:A,1,0)</f>
        <v>#N/A</v>
      </c>
      <c r="J713" s="674" t="s">
        <v>3724</v>
      </c>
      <c r="K713" s="563" t="s">
        <v>7225</v>
      </c>
      <c r="L713" s="675" t="s">
        <v>7226</v>
      </c>
      <c r="M713" s="596" t="s">
        <v>7227</v>
      </c>
      <c r="N713" s="735" t="s">
        <v>5080</v>
      </c>
      <c r="O713" s="561" t="s">
        <v>6675</v>
      </c>
      <c r="P713" s="719">
        <v>5000</v>
      </c>
      <c r="Q713" s="720">
        <v>0</v>
      </c>
      <c r="R713" s="719">
        <f t="shared" si="51"/>
        <v>0</v>
      </c>
      <c r="S713" s="570">
        <v>202310</v>
      </c>
      <c r="T713" s="693" t="s">
        <v>7228</v>
      </c>
      <c r="U713" s="728"/>
      <c r="V713" s="721">
        <v>0</v>
      </c>
      <c r="W713" s="721"/>
      <c r="X713" s="574">
        <v>44866</v>
      </c>
      <c r="Y713" s="574">
        <v>45230</v>
      </c>
      <c r="Z713" s="723"/>
      <c r="AA713" s="691">
        <v>0</v>
      </c>
      <c r="AB713" s="713">
        <v>0</v>
      </c>
      <c r="AC713" s="713">
        <f t="shared" si="52"/>
        <v>0</v>
      </c>
    </row>
    <row r="714" spans="1:29" s="385" customFormat="1" ht="15" customHeight="1">
      <c r="A714" s="388" t="s">
        <v>813</v>
      </c>
      <c r="B714" s="386" t="s">
        <v>7101</v>
      </c>
      <c r="C714" s="386" t="s">
        <v>887</v>
      </c>
      <c r="D714" s="386" t="s">
        <v>7115</v>
      </c>
      <c r="E714" s="388" t="s">
        <v>7201</v>
      </c>
      <c r="F714" s="388" t="s">
        <v>7202</v>
      </c>
      <c r="G714" s="388" t="s">
        <v>165</v>
      </c>
      <c r="H714" s="389" t="s">
        <v>7229</v>
      </c>
      <c r="I714" s="369" t="e">
        <f>VLOOKUP(H714,'合同高级查询数据-10月新返回合同'!A:A,1,0)</f>
        <v>#N/A</v>
      </c>
      <c r="J714" s="499" t="s">
        <v>3724</v>
      </c>
      <c r="K714" s="388" t="s">
        <v>7225</v>
      </c>
      <c r="L714" s="486" t="s">
        <v>7230</v>
      </c>
      <c r="M714" s="403" t="s">
        <v>7227</v>
      </c>
      <c r="N714" s="545" t="s">
        <v>7231</v>
      </c>
      <c r="O714" s="386" t="s">
        <v>5303</v>
      </c>
      <c r="P714" s="539">
        <v>4650</v>
      </c>
      <c r="Q714" s="540">
        <v>160</v>
      </c>
      <c r="R714" s="539">
        <f t="shared" si="51"/>
        <v>744000</v>
      </c>
      <c r="S714" s="378">
        <v>202310</v>
      </c>
      <c r="T714" s="514" t="s">
        <v>7232</v>
      </c>
      <c r="U714" s="547"/>
      <c r="V714" s="541">
        <v>138.378540039</v>
      </c>
      <c r="W714" s="541"/>
      <c r="X714" s="383"/>
      <c r="Y714" s="383"/>
      <c r="Z714" s="386" t="s">
        <v>7233</v>
      </c>
      <c r="AA714" s="506">
        <v>0.4</v>
      </c>
      <c r="AB714" s="410">
        <v>400</v>
      </c>
      <c r="AC714" s="448">
        <f t="shared" si="52"/>
        <v>160</v>
      </c>
    </row>
    <row r="715" spans="1:29" s="577" customFormat="1" ht="15" customHeight="1">
      <c r="A715" s="563" t="s">
        <v>813</v>
      </c>
      <c r="B715" s="561" t="s">
        <v>7101</v>
      </c>
      <c r="C715" s="561" t="s">
        <v>6624</v>
      </c>
      <c r="D715" s="561" t="s">
        <v>7155</v>
      </c>
      <c r="E715" s="563" t="s">
        <v>7234</v>
      </c>
      <c r="F715" s="563" t="s">
        <v>7235</v>
      </c>
      <c r="G715" s="563" t="s">
        <v>165</v>
      </c>
      <c r="H715" s="564" t="s">
        <v>7236</v>
      </c>
      <c r="I715" s="565" t="e">
        <f>VLOOKUP(H715,'合同高级查询数据-10月新返回合同'!A:A,1,0)</f>
        <v>#N/A</v>
      </c>
      <c r="J715" s="674" t="s">
        <v>3724</v>
      </c>
      <c r="K715" s="563" t="s">
        <v>6639</v>
      </c>
      <c r="L715" s="675" t="s">
        <v>7237</v>
      </c>
      <c r="M715" s="596" t="s">
        <v>7238</v>
      </c>
      <c r="N715" s="574" t="s">
        <v>7239</v>
      </c>
      <c r="O715" s="561" t="s">
        <v>5228</v>
      </c>
      <c r="P715" s="719">
        <v>5667</v>
      </c>
      <c r="Q715" s="720">
        <v>0</v>
      </c>
      <c r="R715" s="719">
        <f t="shared" si="51"/>
        <v>0</v>
      </c>
      <c r="S715" s="570">
        <v>202310</v>
      </c>
      <c r="T715" s="693" t="s">
        <v>7240</v>
      </c>
      <c r="U715" s="728"/>
      <c r="V715" s="721">
        <v>0</v>
      </c>
      <c r="W715" s="721"/>
      <c r="X715" s="574">
        <v>44378</v>
      </c>
      <c r="Y715" s="574">
        <v>44742</v>
      </c>
      <c r="Z715" s="723"/>
      <c r="AA715" s="691">
        <v>0</v>
      </c>
      <c r="AB715" s="713">
        <v>0</v>
      </c>
      <c r="AC715" s="713">
        <f t="shared" si="52"/>
        <v>0</v>
      </c>
    </row>
    <row r="716" spans="1:29" s="577" customFormat="1" ht="15" customHeight="1">
      <c r="A716" s="563" t="s">
        <v>813</v>
      </c>
      <c r="B716" s="561" t="s">
        <v>7101</v>
      </c>
      <c r="C716" s="561" t="s">
        <v>6352</v>
      </c>
      <c r="D716" s="561" t="s">
        <v>7115</v>
      </c>
      <c r="E716" s="563" t="s">
        <v>7234</v>
      </c>
      <c r="F716" s="563" t="s">
        <v>7235</v>
      </c>
      <c r="G716" s="563" t="s">
        <v>165</v>
      </c>
      <c r="H716" s="564" t="s">
        <v>7241</v>
      </c>
      <c r="I716" s="565" t="e">
        <f>VLOOKUP(H716,'合同高级查询数据-10月新返回合同'!A:A,1,0)</f>
        <v>#N/A</v>
      </c>
      <c r="J716" s="674" t="s">
        <v>3724</v>
      </c>
      <c r="K716" s="563" t="s">
        <v>7242</v>
      </c>
      <c r="L716" s="675" t="s">
        <v>7243</v>
      </c>
      <c r="M716" s="596" t="s">
        <v>7244</v>
      </c>
      <c r="N716" s="574" t="s">
        <v>7245</v>
      </c>
      <c r="O716" s="561" t="s">
        <v>6675</v>
      </c>
      <c r="P716" s="719">
        <v>5833</v>
      </c>
      <c r="Q716" s="720">
        <v>0</v>
      </c>
      <c r="R716" s="719">
        <f t="shared" si="51"/>
        <v>0</v>
      </c>
      <c r="S716" s="570">
        <v>202310</v>
      </c>
      <c r="T716" s="693" t="s">
        <v>7246</v>
      </c>
      <c r="U716" s="728"/>
      <c r="V716" s="721">
        <v>0</v>
      </c>
      <c r="W716" s="721"/>
      <c r="X716" s="574">
        <v>44228</v>
      </c>
      <c r="Y716" s="574">
        <v>44592</v>
      </c>
      <c r="Z716" s="723"/>
      <c r="AA716" s="691">
        <v>0</v>
      </c>
      <c r="AB716" s="713">
        <v>0</v>
      </c>
      <c r="AC716" s="713">
        <f t="shared" si="52"/>
        <v>0</v>
      </c>
    </row>
    <row r="717" spans="1:29" s="577" customFormat="1" ht="15" customHeight="1">
      <c r="A717" s="563" t="s">
        <v>813</v>
      </c>
      <c r="B717" s="561" t="s">
        <v>7101</v>
      </c>
      <c r="C717" s="561" t="s">
        <v>6624</v>
      </c>
      <c r="D717" s="561" t="s">
        <v>7155</v>
      </c>
      <c r="E717" s="563" t="s">
        <v>7247</v>
      </c>
      <c r="F717" s="563" t="s">
        <v>7248</v>
      </c>
      <c r="G717" s="563" t="s">
        <v>165</v>
      </c>
      <c r="H717" s="564" t="s">
        <v>7249</v>
      </c>
      <c r="I717" s="565" t="e">
        <f>VLOOKUP(H717,'合同高级查询数据-10月新返回合同'!A:A,1,0)</f>
        <v>#N/A</v>
      </c>
      <c r="J717" s="674" t="s">
        <v>3724</v>
      </c>
      <c r="K717" s="563" t="s">
        <v>7250</v>
      </c>
      <c r="L717" s="675" t="s">
        <v>7251</v>
      </c>
      <c r="M717" s="596" t="s">
        <v>7252</v>
      </c>
      <c r="N717" s="574" t="s">
        <v>7253</v>
      </c>
      <c r="O717" s="561" t="s">
        <v>7254</v>
      </c>
      <c r="P717" s="579">
        <v>5666.67</v>
      </c>
      <c r="Q717" s="720">
        <v>0</v>
      </c>
      <c r="R717" s="719">
        <f t="shared" si="51"/>
        <v>0</v>
      </c>
      <c r="S717" s="570">
        <v>202310</v>
      </c>
      <c r="T717" s="693" t="s">
        <v>7255</v>
      </c>
      <c r="U717" s="728"/>
      <c r="V717" s="721">
        <v>0</v>
      </c>
      <c r="W717" s="721"/>
      <c r="X717" s="574">
        <v>44470</v>
      </c>
      <c r="Y717" s="574">
        <v>44834</v>
      </c>
      <c r="Z717" s="723"/>
      <c r="AA717" s="691">
        <v>0</v>
      </c>
      <c r="AB717" s="713">
        <v>0</v>
      </c>
      <c r="AC717" s="713">
        <f t="shared" si="52"/>
        <v>0</v>
      </c>
    </row>
    <row r="718" spans="1:29" s="577" customFormat="1" ht="15" customHeight="1">
      <c r="A718" s="563" t="s">
        <v>813</v>
      </c>
      <c r="B718" s="561" t="s">
        <v>7101</v>
      </c>
      <c r="C718" s="561" t="s">
        <v>6624</v>
      </c>
      <c r="D718" s="561" t="s">
        <v>7155</v>
      </c>
      <c r="E718" s="563" t="s">
        <v>7247</v>
      </c>
      <c r="F718" s="563" t="s">
        <v>7248</v>
      </c>
      <c r="G718" s="563" t="s">
        <v>165</v>
      </c>
      <c r="H718" s="564" t="s">
        <v>7249</v>
      </c>
      <c r="I718" s="565" t="e">
        <f>VLOOKUP(H718,'合同高级查询数据-10月新返回合同'!A:A,1,0)</f>
        <v>#N/A</v>
      </c>
      <c r="J718" s="674" t="s">
        <v>3724</v>
      </c>
      <c r="K718" s="563" t="s">
        <v>6646</v>
      </c>
      <c r="L718" s="675" t="s">
        <v>7256</v>
      </c>
      <c r="M718" s="596" t="s">
        <v>7257</v>
      </c>
      <c r="N718" s="574" t="s">
        <v>7258</v>
      </c>
      <c r="O718" s="561" t="s">
        <v>6675</v>
      </c>
      <c r="P718" s="579">
        <v>5666.67</v>
      </c>
      <c r="Q718" s="720">
        <v>0</v>
      </c>
      <c r="R718" s="719">
        <f t="shared" si="51"/>
        <v>0</v>
      </c>
      <c r="S718" s="570">
        <v>202310</v>
      </c>
      <c r="T718" s="693" t="s">
        <v>7259</v>
      </c>
      <c r="U718" s="728"/>
      <c r="V718" s="721">
        <v>0</v>
      </c>
      <c r="W718" s="721"/>
      <c r="X718" s="574">
        <v>44470</v>
      </c>
      <c r="Y718" s="574">
        <v>44834</v>
      </c>
      <c r="Z718" s="723"/>
      <c r="AA718" s="691">
        <v>0</v>
      </c>
      <c r="AB718" s="713">
        <v>0</v>
      </c>
      <c r="AC718" s="713">
        <f t="shared" si="52"/>
        <v>0</v>
      </c>
    </row>
    <row r="719" spans="1:29" s="577" customFormat="1" ht="15" customHeight="1">
      <c r="A719" s="736" t="s">
        <v>829</v>
      </c>
      <c r="B719" s="561" t="s">
        <v>7101</v>
      </c>
      <c r="C719" s="561" t="s">
        <v>5574</v>
      </c>
      <c r="D719" s="561" t="s">
        <v>7155</v>
      </c>
      <c r="E719" s="563" t="s">
        <v>7247</v>
      </c>
      <c r="F719" s="563" t="s">
        <v>7248</v>
      </c>
      <c r="G719" s="563" t="s">
        <v>165</v>
      </c>
      <c r="H719" s="564" t="s">
        <v>7260</v>
      </c>
      <c r="I719" s="565" t="e">
        <f>VLOOKUP(H719,'合同高级查询数据-10月新返回合同'!A:A,1,0)</f>
        <v>#N/A</v>
      </c>
      <c r="J719" s="674" t="s">
        <v>3724</v>
      </c>
      <c r="K719" s="563" t="s">
        <v>7261</v>
      </c>
      <c r="L719" s="675" t="s">
        <v>7262</v>
      </c>
      <c r="M719" s="596" t="s">
        <v>7263</v>
      </c>
      <c r="N719" s="574" t="s">
        <v>7264</v>
      </c>
      <c r="O719" s="561" t="s">
        <v>7265</v>
      </c>
      <c r="P719" s="579">
        <v>6000</v>
      </c>
      <c r="Q719" s="720">
        <v>65</v>
      </c>
      <c r="R719" s="719">
        <f t="shared" si="51"/>
        <v>390000</v>
      </c>
      <c r="S719" s="570">
        <v>202310</v>
      </c>
      <c r="T719" s="693" t="s">
        <v>7266</v>
      </c>
      <c r="U719" s="728"/>
      <c r="V719" s="721">
        <v>64.934776306000003</v>
      </c>
      <c r="W719" s="721"/>
      <c r="X719" s="574">
        <v>45017</v>
      </c>
      <c r="Y719" s="574">
        <v>45382</v>
      </c>
      <c r="Z719" s="561" t="s">
        <v>7267</v>
      </c>
      <c r="AA719" s="683">
        <v>0.3</v>
      </c>
      <c r="AB719" s="582">
        <v>200</v>
      </c>
      <c r="AC719" s="713">
        <f t="shared" si="52"/>
        <v>60</v>
      </c>
    </row>
    <row r="720" spans="1:29" s="577" customFormat="1" ht="15" customHeight="1">
      <c r="A720" s="736" t="s">
        <v>829</v>
      </c>
      <c r="B720" s="561" t="s">
        <v>7101</v>
      </c>
      <c r="C720" s="561" t="s">
        <v>5574</v>
      </c>
      <c r="D720" s="561" t="s">
        <v>7155</v>
      </c>
      <c r="E720" s="563" t="s">
        <v>7247</v>
      </c>
      <c r="F720" s="563" t="s">
        <v>7248</v>
      </c>
      <c r="G720" s="563" t="s">
        <v>165</v>
      </c>
      <c r="H720" s="564" t="s">
        <v>7260</v>
      </c>
      <c r="I720" s="565" t="e">
        <f>VLOOKUP(H720,'合同高级查询数据-10月新返回合同'!A:A,1,0)</f>
        <v>#N/A</v>
      </c>
      <c r="J720" s="674" t="s">
        <v>3724</v>
      </c>
      <c r="K720" s="563" t="s">
        <v>7261</v>
      </c>
      <c r="L720" s="675" t="s">
        <v>7268</v>
      </c>
      <c r="M720" s="596" t="s">
        <v>7263</v>
      </c>
      <c r="N720" s="574" t="s">
        <v>7269</v>
      </c>
      <c r="O720" s="561" t="s">
        <v>4351</v>
      </c>
      <c r="P720" s="579">
        <v>6000</v>
      </c>
      <c r="Q720" s="720">
        <v>63.5</v>
      </c>
      <c r="R720" s="719">
        <f t="shared" si="51"/>
        <v>381000</v>
      </c>
      <c r="S720" s="570">
        <v>202310</v>
      </c>
      <c r="T720" s="693" t="s">
        <v>7270</v>
      </c>
      <c r="U720" s="728"/>
      <c r="V720" s="721">
        <v>63.475757598999998</v>
      </c>
      <c r="W720" s="721"/>
      <c r="X720" s="574">
        <v>45017</v>
      </c>
      <c r="Y720" s="574">
        <v>45382</v>
      </c>
      <c r="Z720" s="561" t="s">
        <v>7271</v>
      </c>
      <c r="AA720" s="683">
        <v>0.3</v>
      </c>
      <c r="AB720" s="582">
        <v>200</v>
      </c>
      <c r="AC720" s="713">
        <f t="shared" si="52"/>
        <v>60</v>
      </c>
    </row>
    <row r="721" spans="1:29" s="577" customFormat="1" ht="15" customHeight="1">
      <c r="A721" s="736" t="s">
        <v>829</v>
      </c>
      <c r="B721" s="561" t="s">
        <v>7101</v>
      </c>
      <c r="C721" s="561" t="s">
        <v>6624</v>
      </c>
      <c r="D721" s="561" t="s">
        <v>7155</v>
      </c>
      <c r="E721" s="563" t="s">
        <v>7247</v>
      </c>
      <c r="F721" s="563" t="s">
        <v>7248</v>
      </c>
      <c r="G721" s="563" t="s">
        <v>165</v>
      </c>
      <c r="H721" s="564" t="s">
        <v>7272</v>
      </c>
      <c r="I721" s="565" t="e">
        <f>VLOOKUP(H721,'合同高级查询数据-10月新返回合同'!A:A,1,0)</f>
        <v>#N/A</v>
      </c>
      <c r="J721" s="674" t="s">
        <v>3724</v>
      </c>
      <c r="K721" s="563" t="s">
        <v>7250</v>
      </c>
      <c r="L721" s="675" t="s">
        <v>7273</v>
      </c>
      <c r="M721" s="596" t="s">
        <v>7274</v>
      </c>
      <c r="N721" s="574" t="s">
        <v>7275</v>
      </c>
      <c r="O721" s="582" t="s">
        <v>6759</v>
      </c>
      <c r="P721" s="579">
        <v>5833.33</v>
      </c>
      <c r="Q721" s="720">
        <v>70.2</v>
      </c>
      <c r="R721" s="719">
        <f t="shared" si="51"/>
        <v>409499.77</v>
      </c>
      <c r="S721" s="570">
        <v>202310</v>
      </c>
      <c r="T721" s="693" t="s">
        <v>7276</v>
      </c>
      <c r="U721" s="728"/>
      <c r="V721" s="721">
        <v>70.162696838000002</v>
      </c>
      <c r="W721" s="721"/>
      <c r="X721" s="574">
        <v>45078</v>
      </c>
      <c r="Y721" s="574">
        <v>45443</v>
      </c>
      <c r="Z721" s="561" t="s">
        <v>7277</v>
      </c>
      <c r="AA721" s="683">
        <v>0.3</v>
      </c>
      <c r="AB721" s="582">
        <v>200</v>
      </c>
      <c r="AC721" s="713">
        <f t="shared" si="52"/>
        <v>60</v>
      </c>
    </row>
    <row r="722" spans="1:29" s="577" customFormat="1" ht="15" customHeight="1">
      <c r="A722" s="736" t="s">
        <v>829</v>
      </c>
      <c r="B722" s="561" t="s">
        <v>7101</v>
      </c>
      <c r="C722" s="561" t="s">
        <v>6624</v>
      </c>
      <c r="D722" s="561" t="s">
        <v>7155</v>
      </c>
      <c r="E722" s="563" t="s">
        <v>7247</v>
      </c>
      <c r="F722" s="563" t="s">
        <v>7248</v>
      </c>
      <c r="G722" s="563" t="s">
        <v>165</v>
      </c>
      <c r="H722" s="564" t="s">
        <v>7272</v>
      </c>
      <c r="I722" s="565" t="e">
        <f>VLOOKUP(H722,'合同高级查询数据-10月新返回合同'!A:A,1,0)</f>
        <v>#N/A</v>
      </c>
      <c r="J722" s="674" t="s">
        <v>3724</v>
      </c>
      <c r="K722" s="563" t="s">
        <v>7250</v>
      </c>
      <c r="L722" s="675" t="s">
        <v>7278</v>
      </c>
      <c r="M722" s="596" t="s">
        <v>7274</v>
      </c>
      <c r="N722" s="574">
        <v>45200</v>
      </c>
      <c r="O722" s="582" t="s">
        <v>1542</v>
      </c>
      <c r="P722" s="579">
        <v>5833.33</v>
      </c>
      <c r="Q722" s="719">
        <v>70.7</v>
      </c>
      <c r="R722" s="719">
        <f t="shared" si="51"/>
        <v>412416.43</v>
      </c>
      <c r="S722" s="570">
        <v>202310</v>
      </c>
      <c r="T722" s="693" t="s">
        <v>6909</v>
      </c>
      <c r="U722" s="728"/>
      <c r="V722" s="721">
        <v>70.618041992000002</v>
      </c>
      <c r="W722" s="561"/>
      <c r="X722" s="574">
        <v>45078</v>
      </c>
      <c r="Y722" s="574">
        <v>45443</v>
      </c>
      <c r="Z722" s="561" t="s">
        <v>7279</v>
      </c>
      <c r="AA722" s="683">
        <v>0.3</v>
      </c>
      <c r="AB722" s="582">
        <v>200</v>
      </c>
      <c r="AC722" s="713">
        <f t="shared" si="52"/>
        <v>60</v>
      </c>
    </row>
    <row r="723" spans="1:29" s="577" customFormat="1" ht="15" customHeight="1">
      <c r="A723" s="563" t="s">
        <v>813</v>
      </c>
      <c r="B723" s="561" t="s">
        <v>7101</v>
      </c>
      <c r="C723" s="561" t="s">
        <v>6624</v>
      </c>
      <c r="D723" s="561" t="s">
        <v>7155</v>
      </c>
      <c r="E723" s="563" t="s">
        <v>7247</v>
      </c>
      <c r="F723" s="563" t="s">
        <v>7248</v>
      </c>
      <c r="G723" s="563" t="s">
        <v>165</v>
      </c>
      <c r="H723" s="564" t="s">
        <v>7280</v>
      </c>
      <c r="I723" s="565" t="e">
        <f>VLOOKUP(H723,'合同高级查询数据-10月新返回合同'!A:A,1,0)</f>
        <v>#N/A</v>
      </c>
      <c r="J723" s="674" t="s">
        <v>3724</v>
      </c>
      <c r="K723" s="563" t="s">
        <v>6634</v>
      </c>
      <c r="L723" s="675" t="s">
        <v>7281</v>
      </c>
      <c r="M723" s="596" t="s">
        <v>7282</v>
      </c>
      <c r="N723" s="735" t="s">
        <v>7283</v>
      </c>
      <c r="O723" s="582" t="s">
        <v>7284</v>
      </c>
      <c r="P723" s="579">
        <v>4600</v>
      </c>
      <c r="Q723" s="720">
        <v>111</v>
      </c>
      <c r="R723" s="719">
        <f t="shared" si="51"/>
        <v>510600</v>
      </c>
      <c r="S723" s="570">
        <v>202310</v>
      </c>
      <c r="T723" s="693" t="s">
        <v>7285</v>
      </c>
      <c r="U723" s="728"/>
      <c r="V723" s="721">
        <v>110.95069122300001</v>
      </c>
      <c r="W723" s="721"/>
      <c r="X723" s="722">
        <v>44958</v>
      </c>
      <c r="Y723" s="722">
        <v>45322</v>
      </c>
      <c r="Z723" s="561" t="s">
        <v>7286</v>
      </c>
      <c r="AA723" s="683">
        <v>0.3</v>
      </c>
      <c r="AB723" s="582">
        <v>300</v>
      </c>
      <c r="AC723" s="713">
        <f t="shared" si="52"/>
        <v>90</v>
      </c>
    </row>
    <row r="724" spans="1:29" s="577" customFormat="1" ht="15" customHeight="1">
      <c r="A724" s="563" t="s">
        <v>813</v>
      </c>
      <c r="B724" s="561" t="s">
        <v>7101</v>
      </c>
      <c r="C724" s="561" t="s">
        <v>6624</v>
      </c>
      <c r="D724" s="561" t="s">
        <v>7155</v>
      </c>
      <c r="E724" s="563" t="s">
        <v>7247</v>
      </c>
      <c r="F724" s="563" t="s">
        <v>7248</v>
      </c>
      <c r="G724" s="563" t="s">
        <v>165</v>
      </c>
      <c r="H724" s="564" t="s">
        <v>7280</v>
      </c>
      <c r="I724" s="565" t="e">
        <f>VLOOKUP(H724,'合同高级查询数据-10月新返回合同'!A:A,1,0)</f>
        <v>#N/A</v>
      </c>
      <c r="J724" s="674" t="s">
        <v>3724</v>
      </c>
      <c r="K724" s="563" t="s">
        <v>6634</v>
      </c>
      <c r="L724" s="675" t="s">
        <v>7287</v>
      </c>
      <c r="M724" s="596" t="s">
        <v>7282</v>
      </c>
      <c r="N724" s="735" t="s">
        <v>7288</v>
      </c>
      <c r="O724" s="582" t="s">
        <v>5525</v>
      </c>
      <c r="P724" s="579">
        <v>4600</v>
      </c>
      <c r="Q724" s="720">
        <v>0</v>
      </c>
      <c r="R724" s="719">
        <f t="shared" si="51"/>
        <v>0</v>
      </c>
      <c r="S724" s="570">
        <v>202310</v>
      </c>
      <c r="T724" s="693" t="s">
        <v>7289</v>
      </c>
      <c r="U724" s="728"/>
      <c r="V724" s="721">
        <v>0</v>
      </c>
      <c r="W724" s="561"/>
      <c r="X724" s="574">
        <v>44958</v>
      </c>
      <c r="Y724" s="574">
        <v>45322</v>
      </c>
      <c r="Z724" s="561"/>
      <c r="AA724" s="691">
        <v>0</v>
      </c>
      <c r="AB724" s="713">
        <v>0</v>
      </c>
      <c r="AC724" s="713">
        <f t="shared" si="52"/>
        <v>0</v>
      </c>
    </row>
    <row r="725" spans="1:29" s="577" customFormat="1" ht="15" customHeight="1">
      <c r="A725" s="563" t="s">
        <v>813</v>
      </c>
      <c r="B725" s="561" t="s">
        <v>7101</v>
      </c>
      <c r="C725" s="561" t="s">
        <v>5574</v>
      </c>
      <c r="D725" s="561" t="s">
        <v>7155</v>
      </c>
      <c r="E725" s="563" t="s">
        <v>7247</v>
      </c>
      <c r="F725" s="563" t="s">
        <v>7248</v>
      </c>
      <c r="G725" s="563" t="s">
        <v>165</v>
      </c>
      <c r="H725" s="564" t="s">
        <v>7290</v>
      </c>
      <c r="I725" s="565" t="e">
        <f>VLOOKUP(H725,'合同高级查询数据-10月新返回合同'!A:A,1,0)</f>
        <v>#N/A</v>
      </c>
      <c r="J725" s="674" t="s">
        <v>3724</v>
      </c>
      <c r="K725" s="563" t="s">
        <v>7261</v>
      </c>
      <c r="L725" s="675" t="s">
        <v>7291</v>
      </c>
      <c r="M725" s="596" t="s">
        <v>7292</v>
      </c>
      <c r="N725" s="735" t="s">
        <v>7293</v>
      </c>
      <c r="O725" s="582" t="s">
        <v>7294</v>
      </c>
      <c r="P725" s="579">
        <v>5000</v>
      </c>
      <c r="Q725" s="720">
        <v>83.9</v>
      </c>
      <c r="R725" s="719">
        <f t="shared" si="51"/>
        <v>419500</v>
      </c>
      <c r="S725" s="570">
        <v>202310</v>
      </c>
      <c r="T725" s="693" t="s">
        <v>7295</v>
      </c>
      <c r="U725" s="728"/>
      <c r="V725" s="721">
        <v>83.887458800999994</v>
      </c>
      <c r="W725" s="721"/>
      <c r="X725" s="574">
        <v>45078</v>
      </c>
      <c r="Y725" s="574">
        <v>45443</v>
      </c>
      <c r="Z725" s="561" t="s">
        <v>7296</v>
      </c>
      <c r="AA725" s="683">
        <v>0.3</v>
      </c>
      <c r="AB725" s="582">
        <v>200</v>
      </c>
      <c r="AC725" s="713">
        <f t="shared" si="52"/>
        <v>60</v>
      </c>
    </row>
    <row r="726" spans="1:29" s="577" customFormat="1" ht="15" customHeight="1">
      <c r="A726" s="563" t="s">
        <v>813</v>
      </c>
      <c r="B726" s="561" t="s">
        <v>7101</v>
      </c>
      <c r="C726" s="561" t="s">
        <v>6624</v>
      </c>
      <c r="D726" s="561" t="s">
        <v>7155</v>
      </c>
      <c r="E726" s="563" t="s">
        <v>7247</v>
      </c>
      <c r="F726" s="563" t="s">
        <v>7248</v>
      </c>
      <c r="G726" s="563" t="s">
        <v>165</v>
      </c>
      <c r="H726" s="564" t="s">
        <v>7297</v>
      </c>
      <c r="I726" s="565" t="e">
        <f>VLOOKUP(H726,'合同高级查询数据-10月新返回合同'!A:A,1,0)</f>
        <v>#N/A</v>
      </c>
      <c r="J726" s="674" t="s">
        <v>3724</v>
      </c>
      <c r="K726" s="563" t="s">
        <v>6634</v>
      </c>
      <c r="L726" s="675" t="s">
        <v>7298</v>
      </c>
      <c r="M726" s="596" t="s">
        <v>7282</v>
      </c>
      <c r="N726" s="735">
        <v>44775</v>
      </c>
      <c r="O726" s="582" t="s">
        <v>1542</v>
      </c>
      <c r="P726" s="579">
        <v>4600</v>
      </c>
      <c r="Q726" s="720">
        <v>69.400000000000006</v>
      </c>
      <c r="R726" s="719">
        <f t="shared" si="51"/>
        <v>319240</v>
      </c>
      <c r="S726" s="570">
        <v>202310</v>
      </c>
      <c r="T726" s="693" t="s">
        <v>7299</v>
      </c>
      <c r="U726" s="728"/>
      <c r="V726" s="721">
        <v>69.339614867999998</v>
      </c>
      <c r="W726" s="721"/>
      <c r="X726" s="574">
        <v>44958</v>
      </c>
      <c r="Y726" s="574">
        <v>45322</v>
      </c>
      <c r="Z726" s="561" t="s">
        <v>7300</v>
      </c>
      <c r="AA726" s="683">
        <v>0.3</v>
      </c>
      <c r="AB726" s="582">
        <v>200</v>
      </c>
      <c r="AC726" s="713">
        <f t="shared" si="52"/>
        <v>60</v>
      </c>
    </row>
    <row r="727" spans="1:29" s="577" customFormat="1" ht="15" customHeight="1">
      <c r="A727" s="563" t="s">
        <v>823</v>
      </c>
      <c r="B727" s="561" t="s">
        <v>7101</v>
      </c>
      <c r="C727" s="561" t="s">
        <v>6567</v>
      </c>
      <c r="D727" s="561" t="s">
        <v>7155</v>
      </c>
      <c r="E727" s="563" t="s">
        <v>7247</v>
      </c>
      <c r="F727" s="563" t="s">
        <v>7248</v>
      </c>
      <c r="G727" s="563" t="s">
        <v>165</v>
      </c>
      <c r="H727" s="564" t="s">
        <v>7301</v>
      </c>
      <c r="I727" s="565" t="e">
        <f>VLOOKUP(H727,'合同高级查询数据-10月新返回合同'!A:A,1,0)</f>
        <v>#N/A</v>
      </c>
      <c r="J727" s="674" t="s">
        <v>3724</v>
      </c>
      <c r="K727" s="563" t="s">
        <v>6567</v>
      </c>
      <c r="L727" s="675" t="s">
        <v>7302</v>
      </c>
      <c r="M727" s="596" t="s">
        <v>7303</v>
      </c>
      <c r="N727" s="735" t="s">
        <v>7304</v>
      </c>
      <c r="O727" s="582" t="s">
        <v>4899</v>
      </c>
      <c r="P727" s="579">
        <v>2800</v>
      </c>
      <c r="Q727" s="720">
        <v>0</v>
      </c>
      <c r="R727" s="719">
        <f t="shared" si="51"/>
        <v>0</v>
      </c>
      <c r="S727" s="570">
        <v>202310</v>
      </c>
      <c r="T727" s="693" t="s">
        <v>7305</v>
      </c>
      <c r="U727" s="728"/>
      <c r="V727" s="721">
        <v>0</v>
      </c>
      <c r="W727" s="721"/>
      <c r="X727" s="574">
        <v>44986</v>
      </c>
      <c r="Y727" s="574">
        <v>45351</v>
      </c>
      <c r="Z727" s="723"/>
      <c r="AA727" s="691">
        <v>0</v>
      </c>
      <c r="AB727" s="713">
        <v>0</v>
      </c>
      <c r="AC727" s="713">
        <f t="shared" si="52"/>
        <v>0</v>
      </c>
    </row>
    <row r="728" spans="1:29" s="385" customFormat="1" ht="15" customHeight="1">
      <c r="A728" s="388" t="s">
        <v>823</v>
      </c>
      <c r="B728" s="388" t="s">
        <v>7101</v>
      </c>
      <c r="C728" s="388" t="s">
        <v>6654</v>
      </c>
      <c r="D728" s="386" t="s">
        <v>4593</v>
      </c>
      <c r="E728" s="388" t="s">
        <v>7247</v>
      </c>
      <c r="F728" s="388" t="s">
        <v>7248</v>
      </c>
      <c r="G728" s="388" t="s">
        <v>165</v>
      </c>
      <c r="H728" s="389" t="s">
        <v>7306</v>
      </c>
      <c r="I728" s="369" t="e">
        <f>VLOOKUP(H728,'合同高级查询数据-10月新返回合同'!A:A,1,0)</f>
        <v>#N/A</v>
      </c>
      <c r="J728" s="499" t="s">
        <v>3724</v>
      </c>
      <c r="K728" s="388" t="s">
        <v>7087</v>
      </c>
      <c r="L728" s="486" t="s">
        <v>7307</v>
      </c>
      <c r="M728" s="403" t="s">
        <v>7308</v>
      </c>
      <c r="N728" s="549">
        <v>45139</v>
      </c>
      <c r="O728" s="549" t="s">
        <v>7309</v>
      </c>
      <c r="P728" s="539">
        <v>4200</v>
      </c>
      <c r="Q728" s="540">
        <v>110.6</v>
      </c>
      <c r="R728" s="539">
        <f t="shared" si="51"/>
        <v>464520</v>
      </c>
      <c r="S728" s="378">
        <v>202310</v>
      </c>
      <c r="T728" s="514" t="s">
        <v>7310</v>
      </c>
      <c r="U728" s="448"/>
      <c r="V728" s="541">
        <v>110.566841125</v>
      </c>
      <c r="W728" s="541"/>
      <c r="X728" s="383"/>
      <c r="Y728" s="425"/>
      <c r="Z728" s="386" t="s">
        <v>7311</v>
      </c>
      <c r="AA728" s="506">
        <v>0.4</v>
      </c>
      <c r="AB728" s="410">
        <v>220</v>
      </c>
      <c r="AC728" s="448">
        <f t="shared" si="52"/>
        <v>88</v>
      </c>
    </row>
    <row r="729" spans="1:29" s="577" customFormat="1" ht="15" customHeight="1">
      <c r="A729" s="563" t="s">
        <v>823</v>
      </c>
      <c r="B729" s="563" t="s">
        <v>7101</v>
      </c>
      <c r="C729" s="563" t="s">
        <v>6654</v>
      </c>
      <c r="D729" s="561" t="s">
        <v>4593</v>
      </c>
      <c r="E729" s="563" t="s">
        <v>7312</v>
      </c>
      <c r="F729" s="563" t="s">
        <v>7313</v>
      </c>
      <c r="G729" s="563" t="s">
        <v>165</v>
      </c>
      <c r="H729" s="564" t="s">
        <v>7314</v>
      </c>
      <c r="I729" s="565" t="e">
        <f>VLOOKUP(H729,'合同高级查询数据-10月新返回合同'!A:A,1,0)</f>
        <v>#N/A</v>
      </c>
      <c r="J729" s="674" t="s">
        <v>3724</v>
      </c>
      <c r="K729" s="563" t="s">
        <v>7087</v>
      </c>
      <c r="L729" s="675" t="s">
        <v>7307</v>
      </c>
      <c r="M729" s="596" t="s">
        <v>7308</v>
      </c>
      <c r="N729" s="731" t="s">
        <v>7315</v>
      </c>
      <c r="O729" s="731" t="s">
        <v>7188</v>
      </c>
      <c r="P729" s="719">
        <v>5000</v>
      </c>
      <c r="Q729" s="720">
        <v>0</v>
      </c>
      <c r="R729" s="719">
        <f t="shared" si="51"/>
        <v>0</v>
      </c>
      <c r="S729" s="570">
        <v>202310</v>
      </c>
      <c r="T729" s="693" t="s">
        <v>7310</v>
      </c>
      <c r="U729" s="713"/>
      <c r="V729" s="721">
        <v>0</v>
      </c>
      <c r="W729" s="721"/>
      <c r="X729" s="574">
        <v>44835</v>
      </c>
      <c r="Y729" s="574">
        <v>45199</v>
      </c>
      <c r="Z729" s="723"/>
      <c r="AA729" s="691">
        <v>0</v>
      </c>
      <c r="AB729" s="713">
        <v>0</v>
      </c>
      <c r="AC729" s="713">
        <f t="shared" si="52"/>
        <v>0</v>
      </c>
    </row>
    <row r="730" spans="1:29" s="577" customFormat="1" ht="15" customHeight="1">
      <c r="A730" s="563" t="s">
        <v>813</v>
      </c>
      <c r="B730" s="563" t="s">
        <v>7101</v>
      </c>
      <c r="C730" s="563" t="s">
        <v>188</v>
      </c>
      <c r="D730" s="561" t="s">
        <v>4593</v>
      </c>
      <c r="E730" s="563" t="s">
        <v>7312</v>
      </c>
      <c r="F730" s="563" t="s">
        <v>7313</v>
      </c>
      <c r="G730" s="563" t="s">
        <v>165</v>
      </c>
      <c r="H730" s="564" t="s">
        <v>7316</v>
      </c>
      <c r="I730" s="565" t="e">
        <f>VLOOKUP(H730,'合同高级查询数据-10月新返回合同'!A:A,1,0)</f>
        <v>#N/A</v>
      </c>
      <c r="J730" s="674" t="s">
        <v>3724</v>
      </c>
      <c r="K730" s="563" t="s">
        <v>2660</v>
      </c>
      <c r="L730" s="561" t="s">
        <v>2373</v>
      </c>
      <c r="M730" s="596" t="s">
        <v>7317</v>
      </c>
      <c r="N730" s="731" t="s">
        <v>7318</v>
      </c>
      <c r="O730" s="731" t="s">
        <v>7319</v>
      </c>
      <c r="P730" s="719">
        <v>5400</v>
      </c>
      <c r="Q730" s="720">
        <v>33.299999999999997</v>
      </c>
      <c r="R730" s="719">
        <f t="shared" si="51"/>
        <v>179820</v>
      </c>
      <c r="S730" s="570">
        <v>202310</v>
      </c>
      <c r="T730" s="693" t="s">
        <v>7320</v>
      </c>
      <c r="U730" s="713"/>
      <c r="V730" s="721">
        <v>33.290344238000003</v>
      </c>
      <c r="W730" s="721"/>
      <c r="X730" s="574">
        <v>45017</v>
      </c>
      <c r="Y730" s="574">
        <v>45382</v>
      </c>
      <c r="Z730" s="561" t="s">
        <v>7321</v>
      </c>
      <c r="AA730" s="683">
        <v>0.3</v>
      </c>
      <c r="AB730" s="582">
        <v>100</v>
      </c>
      <c r="AC730" s="713">
        <f t="shared" si="52"/>
        <v>30</v>
      </c>
    </row>
    <row r="731" spans="1:29" s="385" customFormat="1" ht="15" customHeight="1">
      <c r="A731" s="388" t="s">
        <v>829</v>
      </c>
      <c r="B731" s="388" t="s">
        <v>7101</v>
      </c>
      <c r="C731" s="388" t="s">
        <v>6724</v>
      </c>
      <c r="D731" s="386" t="s">
        <v>7155</v>
      </c>
      <c r="E731" s="388" t="s">
        <v>7312</v>
      </c>
      <c r="F731" s="388" t="s">
        <v>7313</v>
      </c>
      <c r="G731" s="388" t="s">
        <v>165</v>
      </c>
      <c r="H731" s="389" t="s">
        <v>7322</v>
      </c>
      <c r="I731" s="369" t="e">
        <f>VLOOKUP(H731,'合同高级查询数据-10月新返回合同'!A:A,1,0)</f>
        <v>#N/A</v>
      </c>
      <c r="J731" s="499" t="s">
        <v>3724</v>
      </c>
      <c r="K731" s="388" t="s">
        <v>6916</v>
      </c>
      <c r="L731" s="388" t="s">
        <v>7323</v>
      </c>
      <c r="M731" s="403" t="s">
        <v>7324</v>
      </c>
      <c r="N731" s="549" t="s">
        <v>7325</v>
      </c>
      <c r="O731" s="549" t="s">
        <v>7326</v>
      </c>
      <c r="P731" s="539">
        <v>16667</v>
      </c>
      <c r="Q731" s="540">
        <v>40.299999999999997</v>
      </c>
      <c r="R731" s="539">
        <f t="shared" si="51"/>
        <v>671680.1</v>
      </c>
      <c r="S731" s="378">
        <v>202310</v>
      </c>
      <c r="T731" s="514" t="s">
        <v>7327</v>
      </c>
      <c r="U731" s="448"/>
      <c r="V731" s="541">
        <v>40.284072876000003</v>
      </c>
      <c r="W731" s="541"/>
      <c r="X731" s="383"/>
      <c r="Y731" s="425"/>
      <c r="Z731" s="386" t="s">
        <v>7328</v>
      </c>
      <c r="AA731" s="506">
        <v>0.2</v>
      </c>
      <c r="AB731" s="410">
        <v>140</v>
      </c>
      <c r="AC731" s="448">
        <f t="shared" si="52"/>
        <v>28</v>
      </c>
    </row>
    <row r="732" spans="1:29" s="385" customFormat="1" ht="15" customHeight="1">
      <c r="A732" s="388" t="s">
        <v>829</v>
      </c>
      <c r="B732" s="388" t="s">
        <v>7101</v>
      </c>
      <c r="C732" s="388" t="s">
        <v>6724</v>
      </c>
      <c r="D732" s="386" t="s">
        <v>7155</v>
      </c>
      <c r="E732" s="388" t="s">
        <v>7312</v>
      </c>
      <c r="F732" s="388" t="s">
        <v>7313</v>
      </c>
      <c r="G732" s="388" t="s">
        <v>165</v>
      </c>
      <c r="H732" s="389" t="s">
        <v>7322</v>
      </c>
      <c r="I732" s="369" t="e">
        <f>VLOOKUP(H732,'合同高级查询数据-10月新返回合同'!A:A,1,0)</f>
        <v>#N/A</v>
      </c>
      <c r="J732" s="499" t="s">
        <v>3724</v>
      </c>
      <c r="K732" s="388" t="s">
        <v>6916</v>
      </c>
      <c r="L732" s="388" t="s">
        <v>7329</v>
      </c>
      <c r="M732" s="403" t="s">
        <v>7330</v>
      </c>
      <c r="N732" s="549" t="s">
        <v>7331</v>
      </c>
      <c r="O732" s="549" t="s">
        <v>7326</v>
      </c>
      <c r="P732" s="539">
        <v>16667</v>
      </c>
      <c r="Q732" s="540">
        <v>38.200000000000003</v>
      </c>
      <c r="R732" s="539">
        <f t="shared" si="51"/>
        <v>636679.4</v>
      </c>
      <c r="S732" s="378">
        <v>202310</v>
      </c>
      <c r="T732" s="514" t="s">
        <v>7332</v>
      </c>
      <c r="U732" s="448"/>
      <c r="V732" s="541">
        <v>38.157478333</v>
      </c>
      <c r="W732" s="541"/>
      <c r="X732" s="383"/>
      <c r="Y732" s="425"/>
      <c r="Z732" s="386" t="s">
        <v>7333</v>
      </c>
      <c r="AA732" s="506">
        <v>0.2</v>
      </c>
      <c r="AB732" s="410">
        <v>140</v>
      </c>
      <c r="AC732" s="448">
        <f t="shared" si="52"/>
        <v>28</v>
      </c>
    </row>
    <row r="733" spans="1:29" s="577" customFormat="1" ht="15" customHeight="1">
      <c r="A733" s="563" t="s">
        <v>829</v>
      </c>
      <c r="B733" s="563" t="s">
        <v>7101</v>
      </c>
      <c r="C733" s="563" t="s">
        <v>5055</v>
      </c>
      <c r="D733" s="561" t="s">
        <v>4593</v>
      </c>
      <c r="E733" s="563" t="s">
        <v>7312</v>
      </c>
      <c r="F733" s="563" t="s">
        <v>7313</v>
      </c>
      <c r="G733" s="563" t="s">
        <v>165</v>
      </c>
      <c r="H733" s="564" t="s">
        <v>7334</v>
      </c>
      <c r="I733" s="565" t="e">
        <f>VLOOKUP(H733,'合同高级查询数据-10月新返回合同'!A:A,1,0)</f>
        <v>#N/A</v>
      </c>
      <c r="J733" s="674" t="s">
        <v>3724</v>
      </c>
      <c r="K733" s="675" t="s">
        <v>7335</v>
      </c>
      <c r="L733" s="675" t="s">
        <v>7336</v>
      </c>
      <c r="M733" s="596" t="s">
        <v>7337</v>
      </c>
      <c r="N733" s="574" t="s">
        <v>7338</v>
      </c>
      <c r="O733" s="737" t="s">
        <v>6260</v>
      </c>
      <c r="P733" s="719">
        <v>5000</v>
      </c>
      <c r="Q733" s="720">
        <v>42.7</v>
      </c>
      <c r="R733" s="719">
        <f t="shared" si="51"/>
        <v>213500</v>
      </c>
      <c r="S733" s="570">
        <v>202310</v>
      </c>
      <c r="T733" s="693" t="s">
        <v>7339</v>
      </c>
      <c r="U733" s="728"/>
      <c r="V733" s="721">
        <v>42.704578400000003</v>
      </c>
      <c r="W733" s="721"/>
      <c r="X733" s="574">
        <v>45017</v>
      </c>
      <c r="Y733" s="574">
        <v>45382</v>
      </c>
      <c r="Z733" s="561" t="s">
        <v>7340</v>
      </c>
      <c r="AA733" s="683">
        <v>0.3</v>
      </c>
      <c r="AB733" s="582">
        <v>120</v>
      </c>
      <c r="AC733" s="713">
        <f t="shared" si="52"/>
        <v>36</v>
      </c>
    </row>
    <row r="734" spans="1:29" s="577" customFormat="1" ht="15" customHeight="1">
      <c r="A734" s="736" t="s">
        <v>829</v>
      </c>
      <c r="B734" s="561" t="s">
        <v>7101</v>
      </c>
      <c r="C734" s="561" t="s">
        <v>6280</v>
      </c>
      <c r="D734" s="561" t="s">
        <v>7115</v>
      </c>
      <c r="E734" s="563" t="s">
        <v>7312</v>
      </c>
      <c r="F734" s="563" t="s">
        <v>7313</v>
      </c>
      <c r="G734" s="563" t="s">
        <v>165</v>
      </c>
      <c r="H734" s="564" t="s">
        <v>7341</v>
      </c>
      <c r="I734" s="565" t="e">
        <f>VLOOKUP(H734,'合同高级查询数据-10月新返回合同'!A:A,1,0)</f>
        <v>#N/A</v>
      </c>
      <c r="J734" s="674" t="s">
        <v>3724</v>
      </c>
      <c r="K734" s="563" t="s">
        <v>7342</v>
      </c>
      <c r="L734" s="675" t="s">
        <v>7343</v>
      </c>
      <c r="M734" s="596" t="s">
        <v>7344</v>
      </c>
      <c r="N734" s="574" t="s">
        <v>7345</v>
      </c>
      <c r="O734" s="561" t="s">
        <v>5228</v>
      </c>
      <c r="P734" s="719">
        <v>5416.67</v>
      </c>
      <c r="Q734" s="720">
        <v>0</v>
      </c>
      <c r="R734" s="719">
        <f t="shared" si="51"/>
        <v>0</v>
      </c>
      <c r="S734" s="570">
        <v>202310</v>
      </c>
      <c r="T734" s="693" t="s">
        <v>7346</v>
      </c>
      <c r="U734" s="728"/>
      <c r="V734" s="721">
        <v>0</v>
      </c>
      <c r="W734" s="721"/>
      <c r="X734" s="574">
        <v>44652</v>
      </c>
      <c r="Y734" s="574">
        <v>44681</v>
      </c>
      <c r="Z734" s="723"/>
      <c r="AA734" s="691">
        <v>0</v>
      </c>
      <c r="AB734" s="713">
        <v>0</v>
      </c>
      <c r="AC734" s="713">
        <f t="shared" si="52"/>
        <v>0</v>
      </c>
    </row>
    <row r="735" spans="1:29" s="577" customFormat="1" ht="15" customHeight="1">
      <c r="A735" s="736" t="s">
        <v>829</v>
      </c>
      <c r="B735" s="738" t="s">
        <v>7101</v>
      </c>
      <c r="C735" s="561" t="s">
        <v>6724</v>
      </c>
      <c r="D735" s="561" t="s">
        <v>7155</v>
      </c>
      <c r="E735" s="563" t="s">
        <v>7312</v>
      </c>
      <c r="F735" s="563" t="s">
        <v>7313</v>
      </c>
      <c r="G735" s="563" t="s">
        <v>165</v>
      </c>
      <c r="H735" s="564" t="s">
        <v>7347</v>
      </c>
      <c r="I735" s="565" t="e">
        <f>VLOOKUP(H735,'合同高级查询数据-10月新返回合同'!A:A,1,0)</f>
        <v>#N/A</v>
      </c>
      <c r="J735" s="674" t="s">
        <v>3724</v>
      </c>
      <c r="K735" s="563" t="s">
        <v>6916</v>
      </c>
      <c r="L735" s="675" t="s">
        <v>7348</v>
      </c>
      <c r="M735" s="596" t="s">
        <v>7349</v>
      </c>
      <c r="N735" s="574" t="s">
        <v>7350</v>
      </c>
      <c r="O735" s="561" t="s">
        <v>7351</v>
      </c>
      <c r="P735" s="719">
        <v>7000</v>
      </c>
      <c r="Q735" s="720">
        <v>0</v>
      </c>
      <c r="R735" s="719">
        <f t="shared" si="51"/>
        <v>0</v>
      </c>
      <c r="S735" s="570">
        <v>202310</v>
      </c>
      <c r="T735" s="693" t="s">
        <v>7352</v>
      </c>
      <c r="U735" s="728"/>
      <c r="V735" s="721">
        <v>0</v>
      </c>
      <c r="W735" s="721"/>
      <c r="X735" s="574">
        <v>44470</v>
      </c>
      <c r="Y735" s="574">
        <v>44834</v>
      </c>
      <c r="Z735" s="723"/>
      <c r="AA735" s="691">
        <v>0</v>
      </c>
      <c r="AB735" s="713">
        <v>0</v>
      </c>
      <c r="AC735" s="713">
        <f t="shared" si="52"/>
        <v>0</v>
      </c>
    </row>
    <row r="736" spans="1:29" s="577" customFormat="1" ht="15" customHeight="1">
      <c r="A736" s="736" t="s">
        <v>829</v>
      </c>
      <c r="B736" s="738" t="s">
        <v>7101</v>
      </c>
      <c r="C736" s="561" t="s">
        <v>814</v>
      </c>
      <c r="D736" s="561" t="s">
        <v>4593</v>
      </c>
      <c r="E736" s="563" t="s">
        <v>7312</v>
      </c>
      <c r="F736" s="563" t="s">
        <v>7313</v>
      </c>
      <c r="G736" s="563" t="s">
        <v>165</v>
      </c>
      <c r="H736" s="564" t="s">
        <v>7353</v>
      </c>
      <c r="I736" s="565" t="e">
        <f>VLOOKUP(H736,'合同高级查询数据-10月新返回合同'!A:A,1,0)</f>
        <v>#N/A</v>
      </c>
      <c r="J736" s="674" t="s">
        <v>3724</v>
      </c>
      <c r="K736" s="563" t="s">
        <v>2937</v>
      </c>
      <c r="L736" s="675" t="s">
        <v>7354</v>
      </c>
      <c r="M736" s="596" t="s">
        <v>7355</v>
      </c>
      <c r="N736" s="574" t="s">
        <v>7356</v>
      </c>
      <c r="O736" s="561" t="s">
        <v>6675</v>
      </c>
      <c r="P736" s="719">
        <v>5000</v>
      </c>
      <c r="Q736" s="720">
        <v>0</v>
      </c>
      <c r="R736" s="719">
        <f t="shared" si="51"/>
        <v>0</v>
      </c>
      <c r="S736" s="570">
        <v>202310</v>
      </c>
      <c r="T736" s="693" t="s">
        <v>7357</v>
      </c>
      <c r="U736" s="728"/>
      <c r="V736" s="721">
        <v>0</v>
      </c>
      <c r="W736" s="721"/>
      <c r="X736" s="574">
        <v>44835</v>
      </c>
      <c r="Y736" s="574">
        <v>45199</v>
      </c>
      <c r="Z736" s="723"/>
      <c r="AA736" s="691">
        <v>0</v>
      </c>
      <c r="AB736" s="713">
        <v>0</v>
      </c>
      <c r="AC736" s="713">
        <f t="shared" si="52"/>
        <v>0</v>
      </c>
    </row>
    <row r="737" spans="1:29" s="577" customFormat="1" ht="15" customHeight="1">
      <c r="A737" s="736" t="s">
        <v>813</v>
      </c>
      <c r="B737" s="738" t="s">
        <v>7101</v>
      </c>
      <c r="C737" s="561" t="s">
        <v>838</v>
      </c>
      <c r="D737" s="561" t="s">
        <v>4593</v>
      </c>
      <c r="E737" s="563" t="s">
        <v>7312</v>
      </c>
      <c r="F737" s="563" t="s">
        <v>7313</v>
      </c>
      <c r="G737" s="563" t="s">
        <v>165</v>
      </c>
      <c r="H737" s="564" t="s">
        <v>7358</v>
      </c>
      <c r="I737" s="565" t="e">
        <f>VLOOKUP(H737,'合同高级查询数据-10月新返回合同'!A:A,1,0)</f>
        <v>#N/A</v>
      </c>
      <c r="J737" s="674" t="s">
        <v>3724</v>
      </c>
      <c r="K737" s="563" t="s">
        <v>7359</v>
      </c>
      <c r="L737" s="675" t="s">
        <v>7360</v>
      </c>
      <c r="M737" s="596" t="s">
        <v>7361</v>
      </c>
      <c r="N737" s="574" t="s">
        <v>7362</v>
      </c>
      <c r="O737" s="561" t="s">
        <v>7363</v>
      </c>
      <c r="P737" s="719">
        <v>6250</v>
      </c>
      <c r="Q737" s="720">
        <v>46.5</v>
      </c>
      <c r="R737" s="719">
        <f t="shared" si="51"/>
        <v>290625</v>
      </c>
      <c r="S737" s="570">
        <v>202310</v>
      </c>
      <c r="T737" s="693" t="s">
        <v>7364</v>
      </c>
      <c r="U737" s="728"/>
      <c r="V737" s="721">
        <v>46.448696136000002</v>
      </c>
      <c r="W737" s="721"/>
      <c r="X737" s="574">
        <v>44896</v>
      </c>
      <c r="Y737" s="574">
        <v>45260</v>
      </c>
      <c r="Z737" s="561" t="s">
        <v>7365</v>
      </c>
      <c r="AA737" s="683">
        <v>0.3</v>
      </c>
      <c r="AB737" s="582">
        <v>140</v>
      </c>
      <c r="AC737" s="713">
        <f t="shared" si="52"/>
        <v>42</v>
      </c>
    </row>
    <row r="738" spans="1:29" s="577" customFormat="1" ht="15" customHeight="1">
      <c r="A738" s="563" t="s">
        <v>829</v>
      </c>
      <c r="B738" s="561" t="s">
        <v>7101</v>
      </c>
      <c r="C738" s="561" t="s">
        <v>5177</v>
      </c>
      <c r="D738" s="561" t="s">
        <v>7115</v>
      </c>
      <c r="E738" s="563" t="s">
        <v>7312</v>
      </c>
      <c r="F738" s="563" t="s">
        <v>7313</v>
      </c>
      <c r="G738" s="563" t="s">
        <v>165</v>
      </c>
      <c r="H738" s="674" t="s">
        <v>7366</v>
      </c>
      <c r="I738" s="565" t="e">
        <f>VLOOKUP(H738,'合同高级查询数据-10月新返回合同'!A:A,1,0)</f>
        <v>#N/A</v>
      </c>
      <c r="J738" s="674" t="s">
        <v>3724</v>
      </c>
      <c r="K738" s="561" t="s">
        <v>7367</v>
      </c>
      <c r="L738" s="561" t="s">
        <v>7368</v>
      </c>
      <c r="M738" s="561" t="s">
        <v>7369</v>
      </c>
      <c r="N738" s="574" t="s">
        <v>7370</v>
      </c>
      <c r="O738" s="561" t="s">
        <v>6675</v>
      </c>
      <c r="P738" s="581">
        <v>7917</v>
      </c>
      <c r="Q738" s="720">
        <v>0</v>
      </c>
      <c r="R738" s="719">
        <f t="shared" si="51"/>
        <v>0</v>
      </c>
      <c r="S738" s="570">
        <v>202310</v>
      </c>
      <c r="T738" s="693" t="s">
        <v>7371</v>
      </c>
      <c r="U738" s="561"/>
      <c r="V738" s="721">
        <v>0</v>
      </c>
      <c r="W738" s="721"/>
      <c r="X738" s="574">
        <v>44593</v>
      </c>
      <c r="Y738" s="574">
        <v>44957</v>
      </c>
      <c r="Z738" s="723"/>
      <c r="AA738" s="691">
        <v>0</v>
      </c>
      <c r="AB738" s="713">
        <v>0</v>
      </c>
      <c r="AC738" s="713">
        <f t="shared" si="52"/>
        <v>0</v>
      </c>
    </row>
    <row r="739" spans="1:29" s="577" customFormat="1" ht="15" customHeight="1">
      <c r="A739" s="563" t="s">
        <v>829</v>
      </c>
      <c r="B739" s="561" t="s">
        <v>7101</v>
      </c>
      <c r="C739" s="561" t="s">
        <v>188</v>
      </c>
      <c r="D739" s="561" t="s">
        <v>4593</v>
      </c>
      <c r="E739" s="563" t="s">
        <v>7312</v>
      </c>
      <c r="F739" s="563" t="s">
        <v>7313</v>
      </c>
      <c r="G739" s="563" t="s">
        <v>165</v>
      </c>
      <c r="H739" s="674" t="s">
        <v>7372</v>
      </c>
      <c r="I739" s="565" t="e">
        <f>VLOOKUP(H739,'合同高级查询数据-10月新返回合同'!A:A,1,0)</f>
        <v>#N/A</v>
      </c>
      <c r="J739" s="674" t="s">
        <v>3724</v>
      </c>
      <c r="K739" s="561" t="s">
        <v>7373</v>
      </c>
      <c r="L739" s="561" t="s">
        <v>7374</v>
      </c>
      <c r="M739" s="561" t="s">
        <v>7375</v>
      </c>
      <c r="N739" s="574">
        <v>44805</v>
      </c>
      <c r="O739" s="561" t="s">
        <v>2187</v>
      </c>
      <c r="P739" s="581">
        <v>4850</v>
      </c>
      <c r="Q739" s="720">
        <v>34.299999999999997</v>
      </c>
      <c r="R739" s="719">
        <f t="shared" si="51"/>
        <v>166355</v>
      </c>
      <c r="S739" s="570">
        <v>202310</v>
      </c>
      <c r="T739" s="693" t="s">
        <v>7376</v>
      </c>
      <c r="U739" s="561"/>
      <c r="V739" s="721">
        <v>34.216835021999998</v>
      </c>
      <c r="W739" s="721"/>
      <c r="X739" s="574">
        <v>45017</v>
      </c>
      <c r="Y739" s="574">
        <v>45382</v>
      </c>
      <c r="Z739" s="561" t="s">
        <v>7377</v>
      </c>
      <c r="AA739" s="683">
        <v>0.3</v>
      </c>
      <c r="AB739" s="582">
        <v>100</v>
      </c>
      <c r="AC739" s="713">
        <f t="shared" si="52"/>
        <v>30</v>
      </c>
    </row>
    <row r="740" spans="1:29" s="577" customFormat="1" ht="15" customHeight="1">
      <c r="A740" s="563" t="s">
        <v>829</v>
      </c>
      <c r="B740" s="561" t="s">
        <v>7101</v>
      </c>
      <c r="C740" s="561" t="s">
        <v>4937</v>
      </c>
      <c r="D740" s="561" t="s">
        <v>7155</v>
      </c>
      <c r="E740" s="563" t="s">
        <v>7312</v>
      </c>
      <c r="F740" s="563" t="s">
        <v>7313</v>
      </c>
      <c r="G740" s="563" t="s">
        <v>165</v>
      </c>
      <c r="H740" s="674" t="s">
        <v>7378</v>
      </c>
      <c r="I740" s="565" t="e">
        <f>VLOOKUP(H740,'合同高级查询数据-10月新返回合同'!A:A,1,0)</f>
        <v>#N/A</v>
      </c>
      <c r="J740" s="674" t="s">
        <v>3724</v>
      </c>
      <c r="K740" s="561" t="s">
        <v>4967</v>
      </c>
      <c r="L740" s="561" t="s">
        <v>7379</v>
      </c>
      <c r="M740" s="561" t="s">
        <v>7380</v>
      </c>
      <c r="N740" s="574" t="s">
        <v>7381</v>
      </c>
      <c r="O740" s="582" t="s">
        <v>6675</v>
      </c>
      <c r="P740" s="581">
        <v>6833.33</v>
      </c>
      <c r="Q740" s="720">
        <v>0</v>
      </c>
      <c r="R740" s="719">
        <f t="shared" si="51"/>
        <v>0</v>
      </c>
      <c r="S740" s="570">
        <v>202310</v>
      </c>
      <c r="T740" s="693" t="s">
        <v>7382</v>
      </c>
      <c r="U740" s="561"/>
      <c r="V740" s="721">
        <v>0</v>
      </c>
      <c r="W740" s="721"/>
      <c r="X740" s="574">
        <v>44866</v>
      </c>
      <c r="Y740" s="574">
        <v>45230</v>
      </c>
      <c r="Z740" s="723"/>
      <c r="AA740" s="691">
        <v>0</v>
      </c>
      <c r="AB740" s="713">
        <v>0</v>
      </c>
      <c r="AC740" s="713">
        <f t="shared" si="52"/>
        <v>0</v>
      </c>
    </row>
    <row r="741" spans="1:29" s="577" customFormat="1" ht="15" customHeight="1">
      <c r="A741" s="736" t="s">
        <v>829</v>
      </c>
      <c r="B741" s="563" t="s">
        <v>7101</v>
      </c>
      <c r="C741" s="563" t="s">
        <v>6654</v>
      </c>
      <c r="D741" s="561" t="s">
        <v>4593</v>
      </c>
      <c r="E741" s="561" t="s">
        <v>7383</v>
      </c>
      <c r="F741" s="561" t="s">
        <v>7384</v>
      </c>
      <c r="G741" s="563" t="s">
        <v>165</v>
      </c>
      <c r="H741" s="561" t="s">
        <v>7385</v>
      </c>
      <c r="I741" s="565" t="e">
        <f>VLOOKUP(H741,'合同高级查询数据-10月新返回合同'!A:A,1,0)</f>
        <v>#N/A</v>
      </c>
      <c r="J741" s="674" t="s">
        <v>3724</v>
      </c>
      <c r="K741" s="561" t="s">
        <v>7149</v>
      </c>
      <c r="L741" s="561" t="s">
        <v>7386</v>
      </c>
      <c r="M741" s="561" t="s">
        <v>7387</v>
      </c>
      <c r="N741" s="574" t="s">
        <v>7388</v>
      </c>
      <c r="O741" s="561" t="s">
        <v>7389</v>
      </c>
      <c r="P741" s="581">
        <v>11250</v>
      </c>
      <c r="Q741" s="720">
        <v>0</v>
      </c>
      <c r="R741" s="719">
        <f t="shared" si="51"/>
        <v>0</v>
      </c>
      <c r="S741" s="570">
        <v>202310</v>
      </c>
      <c r="T741" s="693" t="s">
        <v>7390</v>
      </c>
      <c r="U741" s="713"/>
      <c r="V741" s="721">
        <v>0</v>
      </c>
      <c r="W741" s="721"/>
      <c r="X741" s="574">
        <v>44197</v>
      </c>
      <c r="Y741" s="574">
        <v>44561</v>
      </c>
      <c r="Z741" s="723"/>
      <c r="AA741" s="691">
        <v>0</v>
      </c>
      <c r="AB741" s="713">
        <v>0</v>
      </c>
      <c r="AC741" s="713">
        <f t="shared" si="52"/>
        <v>0</v>
      </c>
    </row>
    <row r="742" spans="1:29" s="577" customFormat="1" ht="15" customHeight="1">
      <c r="A742" s="736" t="s">
        <v>829</v>
      </c>
      <c r="B742" s="738" t="s">
        <v>7101</v>
      </c>
      <c r="C742" s="561" t="s">
        <v>6654</v>
      </c>
      <c r="D742" s="561" t="s">
        <v>4593</v>
      </c>
      <c r="E742" s="561" t="s">
        <v>7383</v>
      </c>
      <c r="F742" s="561" t="s">
        <v>7384</v>
      </c>
      <c r="G742" s="563" t="s">
        <v>165</v>
      </c>
      <c r="H742" s="564" t="s">
        <v>7385</v>
      </c>
      <c r="I742" s="565" t="e">
        <f>VLOOKUP(H742,'合同高级查询数据-10月新返回合同'!A:A,1,0)</f>
        <v>#N/A</v>
      </c>
      <c r="J742" s="674" t="s">
        <v>3724</v>
      </c>
      <c r="K742" s="563" t="s">
        <v>7149</v>
      </c>
      <c r="L742" s="675" t="s">
        <v>7391</v>
      </c>
      <c r="M742" s="596" t="s">
        <v>7392</v>
      </c>
      <c r="N742" s="574" t="s">
        <v>7393</v>
      </c>
      <c r="O742" s="561" t="s">
        <v>7394</v>
      </c>
      <c r="P742" s="719">
        <v>11250</v>
      </c>
      <c r="Q742" s="720">
        <v>0</v>
      </c>
      <c r="R742" s="719">
        <f t="shared" si="51"/>
        <v>0</v>
      </c>
      <c r="S742" s="570">
        <v>202310</v>
      </c>
      <c r="T742" s="693" t="s">
        <v>7395</v>
      </c>
      <c r="U742" s="728"/>
      <c r="V742" s="721">
        <v>0</v>
      </c>
      <c r="W742" s="721"/>
      <c r="X742" s="574">
        <v>44197</v>
      </c>
      <c r="Y742" s="574">
        <v>44561</v>
      </c>
      <c r="Z742" s="723"/>
      <c r="AA742" s="691">
        <v>0</v>
      </c>
      <c r="AB742" s="713">
        <v>0</v>
      </c>
      <c r="AC742" s="713">
        <f t="shared" si="52"/>
        <v>0</v>
      </c>
    </row>
    <row r="743" spans="1:29" s="577" customFormat="1" ht="15" customHeight="1">
      <c r="A743" s="563" t="s">
        <v>813</v>
      </c>
      <c r="B743" s="563" t="s">
        <v>7101</v>
      </c>
      <c r="C743" s="563" t="s">
        <v>6654</v>
      </c>
      <c r="D743" s="561" t="s">
        <v>4593</v>
      </c>
      <c r="E743" s="561" t="s">
        <v>7383</v>
      </c>
      <c r="F743" s="561" t="s">
        <v>7384</v>
      </c>
      <c r="G743" s="563" t="s">
        <v>165</v>
      </c>
      <c r="H743" s="561" t="s">
        <v>7396</v>
      </c>
      <c r="I743" s="565" t="e">
        <f>VLOOKUP(H743,'合同高级查询数据-10月新返回合同'!A:A,1,0)</f>
        <v>#N/A</v>
      </c>
      <c r="J743" s="674" t="s">
        <v>3724</v>
      </c>
      <c r="K743" s="561" t="s">
        <v>6555</v>
      </c>
      <c r="L743" s="561" t="s">
        <v>7397</v>
      </c>
      <c r="M743" s="561" t="s">
        <v>7398</v>
      </c>
      <c r="N743" s="574" t="s">
        <v>7399</v>
      </c>
      <c r="O743" s="561" t="s">
        <v>5525</v>
      </c>
      <c r="P743" s="581">
        <v>10000</v>
      </c>
      <c r="Q743" s="720">
        <v>0</v>
      </c>
      <c r="R743" s="719">
        <f t="shared" si="51"/>
        <v>0</v>
      </c>
      <c r="S743" s="570">
        <v>202310</v>
      </c>
      <c r="T743" s="693" t="s">
        <v>7400</v>
      </c>
      <c r="U743" s="713"/>
      <c r="V743" s="721">
        <v>0</v>
      </c>
      <c r="W743" s="721"/>
      <c r="X743" s="574">
        <v>44197</v>
      </c>
      <c r="Y743" s="574">
        <v>44255</v>
      </c>
      <c r="Z743" s="723"/>
      <c r="AA743" s="691">
        <v>0</v>
      </c>
      <c r="AB743" s="713">
        <v>0</v>
      </c>
      <c r="AC743" s="713">
        <f t="shared" si="52"/>
        <v>0</v>
      </c>
    </row>
    <row r="744" spans="1:29" s="577" customFormat="1" ht="15" customHeight="1">
      <c r="A744" s="563" t="s">
        <v>813</v>
      </c>
      <c r="B744" s="563" t="s">
        <v>7101</v>
      </c>
      <c r="C744" s="563" t="s">
        <v>6654</v>
      </c>
      <c r="D744" s="561" t="s">
        <v>4593</v>
      </c>
      <c r="E744" s="561" t="s">
        <v>7383</v>
      </c>
      <c r="F744" s="561" t="s">
        <v>7384</v>
      </c>
      <c r="G744" s="563" t="s">
        <v>165</v>
      </c>
      <c r="H744" s="561" t="s">
        <v>7396</v>
      </c>
      <c r="I744" s="565" t="e">
        <f>VLOOKUP(H744,'合同高级查询数据-10月新返回合同'!A:A,1,0)</f>
        <v>#N/A</v>
      </c>
      <c r="J744" s="674" t="s">
        <v>3724</v>
      </c>
      <c r="K744" s="561" t="s">
        <v>7401</v>
      </c>
      <c r="L744" s="561" t="s">
        <v>7402</v>
      </c>
      <c r="M744" s="561" t="s">
        <v>7403</v>
      </c>
      <c r="N744" s="574" t="s">
        <v>7404</v>
      </c>
      <c r="O744" s="561" t="s">
        <v>6675</v>
      </c>
      <c r="P744" s="581">
        <v>9583.33</v>
      </c>
      <c r="Q744" s="720">
        <v>0</v>
      </c>
      <c r="R744" s="719">
        <f t="shared" si="51"/>
        <v>0</v>
      </c>
      <c r="S744" s="570">
        <v>202310</v>
      </c>
      <c r="T744" s="693" t="s">
        <v>7405</v>
      </c>
      <c r="U744" s="713"/>
      <c r="V744" s="721">
        <v>0</v>
      </c>
      <c r="W744" s="721"/>
      <c r="X744" s="574">
        <v>44197</v>
      </c>
      <c r="Y744" s="574">
        <v>44255</v>
      </c>
      <c r="Z744" s="723"/>
      <c r="AA744" s="691">
        <v>0</v>
      </c>
      <c r="AB744" s="713">
        <v>0</v>
      </c>
      <c r="AC744" s="713">
        <f t="shared" si="52"/>
        <v>0</v>
      </c>
    </row>
    <row r="745" spans="1:29" s="385" customFormat="1" ht="15" customHeight="1">
      <c r="A745" s="388" t="s">
        <v>823</v>
      </c>
      <c r="B745" s="388" t="s">
        <v>7101</v>
      </c>
      <c r="C745" s="388" t="s">
        <v>6654</v>
      </c>
      <c r="D745" s="386" t="s">
        <v>4593</v>
      </c>
      <c r="E745" s="386" t="s">
        <v>7383</v>
      </c>
      <c r="F745" s="386" t="s">
        <v>7384</v>
      </c>
      <c r="G745" s="388" t="s">
        <v>165</v>
      </c>
      <c r="H745" s="386" t="s">
        <v>7406</v>
      </c>
      <c r="I745" s="369" t="e">
        <f>VLOOKUP(H745,'合同高级查询数据-10月新返回合同'!A:A,1,0)</f>
        <v>#N/A</v>
      </c>
      <c r="J745" s="499" t="s">
        <v>3724</v>
      </c>
      <c r="K745" s="386" t="s">
        <v>7087</v>
      </c>
      <c r="L745" s="386" t="s">
        <v>7407</v>
      </c>
      <c r="M745" s="386" t="s">
        <v>7408</v>
      </c>
      <c r="N745" s="383">
        <v>43831</v>
      </c>
      <c r="O745" s="386" t="s">
        <v>1542</v>
      </c>
      <c r="P745" s="413">
        <v>4200</v>
      </c>
      <c r="Q745" s="540">
        <v>114.1</v>
      </c>
      <c r="R745" s="539">
        <f t="shared" si="51"/>
        <v>479220</v>
      </c>
      <c r="S745" s="378">
        <v>202310</v>
      </c>
      <c r="T745" s="514" t="s">
        <v>7409</v>
      </c>
      <c r="U745" s="448"/>
      <c r="V745" s="541">
        <v>114.038040161</v>
      </c>
      <c r="W745" s="541"/>
      <c r="X745" s="383"/>
      <c r="Y745" s="383"/>
      <c r="Z745" s="386" t="s">
        <v>7410</v>
      </c>
      <c r="AA745" s="506">
        <v>0.4</v>
      </c>
      <c r="AB745" s="410">
        <v>200</v>
      </c>
      <c r="AC745" s="448">
        <f t="shared" si="52"/>
        <v>80</v>
      </c>
    </row>
    <row r="746" spans="1:29" s="577" customFormat="1" ht="15" customHeight="1">
      <c r="A746" s="563" t="s">
        <v>823</v>
      </c>
      <c r="B746" s="561" t="s">
        <v>7101</v>
      </c>
      <c r="C746" s="563" t="s">
        <v>6654</v>
      </c>
      <c r="D746" s="561" t="s">
        <v>4593</v>
      </c>
      <c r="E746" s="561" t="s">
        <v>7411</v>
      </c>
      <c r="F746" s="561" t="s">
        <v>7412</v>
      </c>
      <c r="G746" s="563" t="s">
        <v>165</v>
      </c>
      <c r="H746" s="561" t="s">
        <v>7413</v>
      </c>
      <c r="I746" s="565" t="e">
        <f>VLOOKUP(H746,'合同高级查询数据-10月新返回合同'!A:A,1,0)</f>
        <v>#N/A</v>
      </c>
      <c r="J746" s="674" t="s">
        <v>3724</v>
      </c>
      <c r="K746" s="561" t="s">
        <v>6895</v>
      </c>
      <c r="L746" s="561" t="s">
        <v>7414</v>
      </c>
      <c r="M746" s="561" t="s">
        <v>7415</v>
      </c>
      <c r="N746" s="574" t="s">
        <v>7416</v>
      </c>
      <c r="O746" s="561" t="s">
        <v>7417</v>
      </c>
      <c r="P746" s="579">
        <v>3500</v>
      </c>
      <c r="Q746" s="720">
        <v>0</v>
      </c>
      <c r="R746" s="719">
        <f t="shared" si="51"/>
        <v>0</v>
      </c>
      <c r="S746" s="570">
        <v>202310</v>
      </c>
      <c r="T746" s="693" t="s">
        <v>7418</v>
      </c>
      <c r="U746" s="728"/>
      <c r="V746" s="721">
        <v>0</v>
      </c>
      <c r="W746" s="721"/>
      <c r="X746" s="574">
        <v>44105</v>
      </c>
      <c r="Y746" s="574">
        <v>44469</v>
      </c>
      <c r="Z746" s="723"/>
      <c r="AA746" s="691">
        <v>0</v>
      </c>
      <c r="AB746" s="713">
        <v>0</v>
      </c>
      <c r="AC746" s="713">
        <f t="shared" si="52"/>
        <v>0</v>
      </c>
    </row>
    <row r="747" spans="1:29" s="577" customFormat="1" ht="15" customHeight="1">
      <c r="A747" s="563" t="s">
        <v>823</v>
      </c>
      <c r="B747" s="561" t="s">
        <v>7101</v>
      </c>
      <c r="C747" s="561" t="s">
        <v>5529</v>
      </c>
      <c r="D747" s="561" t="s">
        <v>4593</v>
      </c>
      <c r="E747" s="561" t="s">
        <v>7411</v>
      </c>
      <c r="F747" s="561" t="s">
        <v>7412</v>
      </c>
      <c r="G747" s="563" t="s">
        <v>165</v>
      </c>
      <c r="H747" s="564" t="s">
        <v>7419</v>
      </c>
      <c r="I747" s="565" t="e">
        <f>VLOOKUP(H747,'合同高级查询数据-10月新返回合同'!A:A,1,0)</f>
        <v>#N/A</v>
      </c>
      <c r="J747" s="674" t="s">
        <v>3724</v>
      </c>
      <c r="K747" s="563" t="s">
        <v>5672</v>
      </c>
      <c r="L747" s="675" t="s">
        <v>7420</v>
      </c>
      <c r="M747" s="675" t="s">
        <v>7421</v>
      </c>
      <c r="N747" s="574" t="s">
        <v>7422</v>
      </c>
      <c r="O747" s="737" t="s">
        <v>5228</v>
      </c>
      <c r="P747" s="719">
        <v>4300</v>
      </c>
      <c r="Q747" s="720">
        <v>0</v>
      </c>
      <c r="R747" s="719">
        <f t="shared" si="51"/>
        <v>0</v>
      </c>
      <c r="S747" s="570">
        <v>202310</v>
      </c>
      <c r="T747" s="693" t="s">
        <v>7423</v>
      </c>
      <c r="U747" s="728"/>
      <c r="V747" s="721">
        <v>0</v>
      </c>
      <c r="W747" s="721"/>
      <c r="X747" s="574">
        <v>44228</v>
      </c>
      <c r="Y747" s="574">
        <v>44592</v>
      </c>
      <c r="Z747" s="723"/>
      <c r="AA747" s="691">
        <v>0</v>
      </c>
      <c r="AB747" s="713">
        <v>0</v>
      </c>
      <c r="AC747" s="713">
        <f t="shared" si="52"/>
        <v>0</v>
      </c>
    </row>
    <row r="748" spans="1:29" s="577" customFormat="1" ht="15" customHeight="1">
      <c r="A748" s="736" t="s">
        <v>829</v>
      </c>
      <c r="B748" s="563" t="s">
        <v>7101</v>
      </c>
      <c r="C748" s="563" t="s">
        <v>6654</v>
      </c>
      <c r="D748" s="561" t="s">
        <v>4593</v>
      </c>
      <c r="E748" s="561" t="s">
        <v>7411</v>
      </c>
      <c r="F748" s="561" t="s">
        <v>7412</v>
      </c>
      <c r="G748" s="562" t="s">
        <v>165</v>
      </c>
      <c r="H748" s="561" t="s">
        <v>7424</v>
      </c>
      <c r="I748" s="565" t="e">
        <f>VLOOKUP(H748,'合同高级查询数据-10月新返回合同'!A:A,1,0)</f>
        <v>#N/A</v>
      </c>
      <c r="J748" s="674" t="s">
        <v>3724</v>
      </c>
      <c r="K748" s="562" t="s">
        <v>6555</v>
      </c>
      <c r="L748" s="739" t="s">
        <v>7425</v>
      </c>
      <c r="M748" s="596" t="s">
        <v>7426</v>
      </c>
      <c r="N748" s="740" t="s">
        <v>7427</v>
      </c>
      <c r="O748" s="649" t="s">
        <v>5228</v>
      </c>
      <c r="P748" s="719">
        <v>11250</v>
      </c>
      <c r="Q748" s="720">
        <v>0</v>
      </c>
      <c r="R748" s="719">
        <f t="shared" si="51"/>
        <v>0</v>
      </c>
      <c r="S748" s="570">
        <v>202310</v>
      </c>
      <c r="T748" s="741" t="s">
        <v>7428</v>
      </c>
      <c r="U748" s="649"/>
      <c r="V748" s="721">
        <v>0</v>
      </c>
      <c r="W748" s="721"/>
      <c r="X748" s="574">
        <v>44256</v>
      </c>
      <c r="Y748" s="574">
        <v>44469</v>
      </c>
      <c r="Z748" s="723"/>
      <c r="AA748" s="691">
        <v>0</v>
      </c>
      <c r="AB748" s="713">
        <v>0</v>
      </c>
      <c r="AC748" s="713">
        <f t="shared" si="52"/>
        <v>0</v>
      </c>
    </row>
    <row r="749" spans="1:29" s="577" customFormat="1" ht="15" customHeight="1">
      <c r="A749" s="563" t="s">
        <v>813</v>
      </c>
      <c r="B749" s="563" t="s">
        <v>7101</v>
      </c>
      <c r="C749" s="649" t="s">
        <v>5574</v>
      </c>
      <c r="D749" s="561" t="s">
        <v>7155</v>
      </c>
      <c r="E749" s="561" t="s">
        <v>7411</v>
      </c>
      <c r="F749" s="561" t="s">
        <v>7412</v>
      </c>
      <c r="G749" s="562" t="s">
        <v>165</v>
      </c>
      <c r="H749" s="564" t="s">
        <v>7429</v>
      </c>
      <c r="I749" s="565" t="e">
        <f>VLOOKUP(H749,'合同高级查询数据-10月新返回合同'!A:A,1,0)</f>
        <v>#N/A</v>
      </c>
      <c r="J749" s="674" t="s">
        <v>3724</v>
      </c>
      <c r="K749" s="562" t="s">
        <v>7430</v>
      </c>
      <c r="L749" s="739" t="s">
        <v>7431</v>
      </c>
      <c r="M749" s="596" t="s">
        <v>7432</v>
      </c>
      <c r="N749" s="740" t="s">
        <v>7433</v>
      </c>
      <c r="O749" s="649" t="s">
        <v>6675</v>
      </c>
      <c r="P749" s="719">
        <v>7500</v>
      </c>
      <c r="Q749" s="720">
        <v>0</v>
      </c>
      <c r="R749" s="719">
        <f t="shared" si="51"/>
        <v>0</v>
      </c>
      <c r="S749" s="570">
        <v>202310</v>
      </c>
      <c r="T749" s="741" t="s">
        <v>7434</v>
      </c>
      <c r="U749" s="649"/>
      <c r="V749" s="721">
        <v>0</v>
      </c>
      <c r="W749" s="721"/>
      <c r="X749" s="740">
        <v>44440</v>
      </c>
      <c r="Y749" s="740">
        <v>44804</v>
      </c>
      <c r="Z749" s="723"/>
      <c r="AA749" s="691">
        <v>0</v>
      </c>
      <c r="AB749" s="713">
        <v>0</v>
      </c>
      <c r="AC749" s="713">
        <f t="shared" si="52"/>
        <v>0</v>
      </c>
    </row>
    <row r="750" spans="1:29" s="577" customFormat="1" ht="15" customHeight="1">
      <c r="A750" s="563" t="s">
        <v>813</v>
      </c>
      <c r="B750" s="563" t="s">
        <v>7101</v>
      </c>
      <c r="C750" s="563" t="s">
        <v>6654</v>
      </c>
      <c r="D750" s="561" t="s">
        <v>4593</v>
      </c>
      <c r="E750" s="561" t="s">
        <v>7411</v>
      </c>
      <c r="F750" s="561" t="s">
        <v>7412</v>
      </c>
      <c r="G750" s="563" t="s">
        <v>165</v>
      </c>
      <c r="H750" s="561" t="s">
        <v>7435</v>
      </c>
      <c r="I750" s="565" t="e">
        <f>VLOOKUP(H750,'合同高级查询数据-10月新返回合同'!A:A,1,0)</f>
        <v>#N/A</v>
      </c>
      <c r="J750" s="674" t="s">
        <v>3724</v>
      </c>
      <c r="K750" s="561" t="s">
        <v>7401</v>
      </c>
      <c r="L750" s="561" t="s">
        <v>7402</v>
      </c>
      <c r="M750" s="561" t="s">
        <v>7403</v>
      </c>
      <c r="N750" s="574" t="s">
        <v>7436</v>
      </c>
      <c r="O750" s="561" t="s">
        <v>6675</v>
      </c>
      <c r="P750" s="581">
        <v>9583</v>
      </c>
      <c r="Q750" s="720">
        <v>0</v>
      </c>
      <c r="R750" s="719">
        <f t="shared" si="51"/>
        <v>0</v>
      </c>
      <c r="S750" s="570">
        <v>202310</v>
      </c>
      <c r="T750" s="741" t="s">
        <v>7437</v>
      </c>
      <c r="U750" s="649"/>
      <c r="V750" s="721">
        <v>0</v>
      </c>
      <c r="W750" s="721"/>
      <c r="X750" s="574">
        <v>44593</v>
      </c>
      <c r="Y750" s="574">
        <v>44957</v>
      </c>
      <c r="Z750" s="723"/>
      <c r="AA750" s="691">
        <v>0</v>
      </c>
      <c r="AB750" s="713">
        <v>0</v>
      </c>
      <c r="AC750" s="713">
        <f t="shared" si="52"/>
        <v>0</v>
      </c>
    </row>
    <row r="751" spans="1:29" s="577" customFormat="1" ht="15" customHeight="1">
      <c r="A751" s="563" t="s">
        <v>813</v>
      </c>
      <c r="B751" s="563" t="s">
        <v>7101</v>
      </c>
      <c r="C751" s="563" t="s">
        <v>6654</v>
      </c>
      <c r="D751" s="561" t="s">
        <v>4593</v>
      </c>
      <c r="E751" s="561" t="s">
        <v>7411</v>
      </c>
      <c r="F751" s="561" t="s">
        <v>7412</v>
      </c>
      <c r="G751" s="562" t="s">
        <v>165</v>
      </c>
      <c r="H751" s="561" t="s">
        <v>7438</v>
      </c>
      <c r="I751" s="565" t="e">
        <f>VLOOKUP(H751,'合同高级查询数据-10月新返回合同'!A:A,1,0)</f>
        <v>#N/A</v>
      </c>
      <c r="J751" s="674" t="s">
        <v>3724</v>
      </c>
      <c r="K751" s="561" t="s">
        <v>6719</v>
      </c>
      <c r="L751" s="561" t="s">
        <v>7439</v>
      </c>
      <c r="M751" s="721" t="s">
        <v>7440</v>
      </c>
      <c r="N751" s="574" t="s">
        <v>7441</v>
      </c>
      <c r="O751" s="597" t="s">
        <v>5146</v>
      </c>
      <c r="P751" s="581">
        <v>9583</v>
      </c>
      <c r="Q751" s="720">
        <v>0</v>
      </c>
      <c r="R751" s="719">
        <f t="shared" si="51"/>
        <v>0</v>
      </c>
      <c r="S751" s="570">
        <v>202310</v>
      </c>
      <c r="T751" s="741" t="s">
        <v>7442</v>
      </c>
      <c r="U751" s="649"/>
      <c r="V751" s="721">
        <v>0</v>
      </c>
      <c r="W751" s="721"/>
      <c r="X751" s="574">
        <v>44621</v>
      </c>
      <c r="Y751" s="574">
        <v>44985</v>
      </c>
      <c r="Z751" s="723"/>
      <c r="AA751" s="691">
        <v>0</v>
      </c>
      <c r="AB751" s="713">
        <v>0</v>
      </c>
      <c r="AC751" s="713">
        <f t="shared" si="52"/>
        <v>0</v>
      </c>
    </row>
    <row r="752" spans="1:29" s="577" customFormat="1" ht="15" customHeight="1">
      <c r="A752" s="736" t="s">
        <v>829</v>
      </c>
      <c r="B752" s="561" t="s">
        <v>7101</v>
      </c>
      <c r="C752" s="561" t="s">
        <v>6654</v>
      </c>
      <c r="D752" s="561" t="s">
        <v>4593</v>
      </c>
      <c r="E752" s="563" t="s">
        <v>7411</v>
      </c>
      <c r="F752" s="563" t="s">
        <v>7412</v>
      </c>
      <c r="G752" s="563" t="s">
        <v>165</v>
      </c>
      <c r="H752" s="564" t="s">
        <v>7443</v>
      </c>
      <c r="I752" s="565" t="e">
        <f>VLOOKUP(H752,'合同高级查询数据-10月新返回合同'!A:A,1,0)</f>
        <v>#N/A</v>
      </c>
      <c r="J752" s="674" t="s">
        <v>3724</v>
      </c>
      <c r="K752" s="563" t="s">
        <v>6901</v>
      </c>
      <c r="L752" s="675" t="s">
        <v>7444</v>
      </c>
      <c r="M752" s="596" t="s">
        <v>7445</v>
      </c>
      <c r="N752" s="574" t="s">
        <v>7446</v>
      </c>
      <c r="O752" s="561" t="s">
        <v>6675</v>
      </c>
      <c r="P752" s="719">
        <v>10417</v>
      </c>
      <c r="Q752" s="720">
        <v>0</v>
      </c>
      <c r="R752" s="719">
        <f t="shared" si="51"/>
        <v>0</v>
      </c>
      <c r="S752" s="570">
        <v>202310</v>
      </c>
      <c r="T752" s="693" t="s">
        <v>7447</v>
      </c>
      <c r="U752" s="728"/>
      <c r="V752" s="721">
        <v>0</v>
      </c>
      <c r="W752" s="721"/>
      <c r="X752" s="574">
        <v>44501</v>
      </c>
      <c r="Y752" s="574">
        <v>44957</v>
      </c>
      <c r="Z752" s="723"/>
      <c r="AA752" s="691">
        <v>0</v>
      </c>
      <c r="AB752" s="713">
        <v>0</v>
      </c>
      <c r="AC752" s="713">
        <f t="shared" si="52"/>
        <v>0</v>
      </c>
    </row>
    <row r="753" spans="1:29" s="577" customFormat="1" ht="15" customHeight="1">
      <c r="A753" s="736" t="s">
        <v>829</v>
      </c>
      <c r="B753" s="561" t="s">
        <v>7101</v>
      </c>
      <c r="C753" s="561" t="s">
        <v>5055</v>
      </c>
      <c r="D753" s="561" t="s">
        <v>4593</v>
      </c>
      <c r="E753" s="563" t="s">
        <v>7411</v>
      </c>
      <c r="F753" s="563" t="s">
        <v>7412</v>
      </c>
      <c r="G753" s="563" t="s">
        <v>165</v>
      </c>
      <c r="H753" s="564" t="s">
        <v>7448</v>
      </c>
      <c r="I753" s="565" t="e">
        <f>VLOOKUP(H753,'合同高级查询数据-10月新返回合同'!A:A,1,0)</f>
        <v>#N/A</v>
      </c>
      <c r="J753" s="674" t="s">
        <v>3724</v>
      </c>
      <c r="K753" s="563" t="s">
        <v>7449</v>
      </c>
      <c r="L753" s="675" t="s">
        <v>7450</v>
      </c>
      <c r="M753" s="596" t="s">
        <v>7451</v>
      </c>
      <c r="N753" s="574" t="s">
        <v>7452</v>
      </c>
      <c r="O753" s="561" t="s">
        <v>5228</v>
      </c>
      <c r="P753" s="719">
        <v>6333</v>
      </c>
      <c r="Q753" s="720">
        <v>0</v>
      </c>
      <c r="R753" s="719">
        <f t="shared" si="51"/>
        <v>0</v>
      </c>
      <c r="S753" s="570">
        <v>202310</v>
      </c>
      <c r="T753" s="693" t="s">
        <v>7453</v>
      </c>
      <c r="U753" s="728"/>
      <c r="V753" s="721">
        <v>0</v>
      </c>
      <c r="W753" s="721"/>
      <c r="X753" s="574">
        <v>44835</v>
      </c>
      <c r="Y753" s="574">
        <v>44957</v>
      </c>
      <c r="Z753" s="723"/>
      <c r="AA753" s="691">
        <v>0</v>
      </c>
      <c r="AB753" s="713">
        <v>0</v>
      </c>
      <c r="AC753" s="713">
        <f t="shared" si="52"/>
        <v>0</v>
      </c>
    </row>
    <row r="754" spans="1:29" s="577" customFormat="1" ht="15" customHeight="1">
      <c r="A754" s="736" t="s">
        <v>829</v>
      </c>
      <c r="B754" s="561" t="s">
        <v>7101</v>
      </c>
      <c r="C754" s="561" t="s">
        <v>814</v>
      </c>
      <c r="D754" s="561" t="s">
        <v>4593</v>
      </c>
      <c r="E754" s="563" t="s">
        <v>7411</v>
      </c>
      <c r="F754" s="563" t="s">
        <v>7412</v>
      </c>
      <c r="G754" s="563" t="s">
        <v>165</v>
      </c>
      <c r="H754" s="564" t="s">
        <v>7454</v>
      </c>
      <c r="I754" s="565" t="e">
        <f>VLOOKUP(H754,'合同高级查询数据-10月新返回合同'!A:A,1,0)</f>
        <v>#N/A</v>
      </c>
      <c r="J754" s="674" t="s">
        <v>3724</v>
      </c>
      <c r="K754" s="563" t="s">
        <v>2875</v>
      </c>
      <c r="L754" s="675" t="s">
        <v>7455</v>
      </c>
      <c r="M754" s="596" t="s">
        <v>7456</v>
      </c>
      <c r="N754" s="574" t="s">
        <v>7452</v>
      </c>
      <c r="O754" s="561" t="s">
        <v>6675</v>
      </c>
      <c r="P754" s="719">
        <v>6333</v>
      </c>
      <c r="Q754" s="720">
        <v>0</v>
      </c>
      <c r="R754" s="719">
        <f t="shared" si="51"/>
        <v>0</v>
      </c>
      <c r="S754" s="570">
        <v>202310</v>
      </c>
      <c r="T754" s="693" t="s">
        <v>7457</v>
      </c>
      <c r="U754" s="728"/>
      <c r="V754" s="721">
        <v>0</v>
      </c>
      <c r="W754" s="721"/>
      <c r="X754" s="574">
        <v>44835</v>
      </c>
      <c r="Y754" s="574">
        <v>44957</v>
      </c>
      <c r="Z754" s="723"/>
      <c r="AA754" s="691">
        <v>0</v>
      </c>
      <c r="AB754" s="713">
        <v>0</v>
      </c>
      <c r="AC754" s="713">
        <f t="shared" si="52"/>
        <v>0</v>
      </c>
    </row>
    <row r="755" spans="1:29" s="577" customFormat="1" ht="15" customHeight="1">
      <c r="A755" s="563" t="s">
        <v>813</v>
      </c>
      <c r="B755" s="561" t="s">
        <v>7101</v>
      </c>
      <c r="C755" s="561" t="s">
        <v>5574</v>
      </c>
      <c r="D755" s="561" t="s">
        <v>7155</v>
      </c>
      <c r="E755" s="563" t="s">
        <v>7411</v>
      </c>
      <c r="F755" s="563" t="s">
        <v>7412</v>
      </c>
      <c r="G755" s="563" t="s">
        <v>165</v>
      </c>
      <c r="H755" s="564" t="s">
        <v>7458</v>
      </c>
      <c r="I755" s="565" t="e">
        <f>VLOOKUP(H755,'合同高级查询数据-10月新返回合同'!A:A,1,0)</f>
        <v>#N/A</v>
      </c>
      <c r="J755" s="674" t="s">
        <v>3724</v>
      </c>
      <c r="K755" s="563" t="s">
        <v>7459</v>
      </c>
      <c r="L755" s="675" t="s">
        <v>7460</v>
      </c>
      <c r="M755" s="596" t="s">
        <v>7461</v>
      </c>
      <c r="N755" s="574" t="s">
        <v>7462</v>
      </c>
      <c r="O755" s="561" t="s">
        <v>5228</v>
      </c>
      <c r="P755" s="719">
        <v>7083</v>
      </c>
      <c r="Q755" s="720">
        <v>0</v>
      </c>
      <c r="R755" s="719">
        <f t="shared" si="51"/>
        <v>0</v>
      </c>
      <c r="S755" s="570">
        <v>202310</v>
      </c>
      <c r="T755" s="693" t="s">
        <v>7463</v>
      </c>
      <c r="U755" s="728"/>
      <c r="V755" s="721">
        <v>0</v>
      </c>
      <c r="W755" s="721"/>
      <c r="X755" s="574">
        <v>44470</v>
      </c>
      <c r="Y755" s="574">
        <v>44834</v>
      </c>
      <c r="Z755" s="723"/>
      <c r="AA755" s="691">
        <v>0</v>
      </c>
      <c r="AB755" s="713">
        <v>0</v>
      </c>
      <c r="AC755" s="713">
        <f t="shared" si="52"/>
        <v>0</v>
      </c>
    </row>
    <row r="756" spans="1:29" s="577" customFormat="1" ht="15" customHeight="1">
      <c r="A756" s="736" t="s">
        <v>829</v>
      </c>
      <c r="B756" s="561" t="s">
        <v>7101</v>
      </c>
      <c r="C756" s="561" t="s">
        <v>6654</v>
      </c>
      <c r="D756" s="561" t="s">
        <v>4593</v>
      </c>
      <c r="E756" s="563" t="s">
        <v>7411</v>
      </c>
      <c r="F756" s="563" t="s">
        <v>7412</v>
      </c>
      <c r="G756" s="563" t="s">
        <v>165</v>
      </c>
      <c r="H756" s="564" t="s">
        <v>7443</v>
      </c>
      <c r="I756" s="565" t="e">
        <f>VLOOKUP(H756,'合同高级查询数据-10月新返回合同'!A:A,1,0)</f>
        <v>#N/A</v>
      </c>
      <c r="J756" s="674" t="s">
        <v>3724</v>
      </c>
      <c r="K756" s="563" t="s">
        <v>6555</v>
      </c>
      <c r="L756" s="675" t="s">
        <v>7464</v>
      </c>
      <c r="M756" s="596" t="s">
        <v>7465</v>
      </c>
      <c r="N756" s="574" t="s">
        <v>7466</v>
      </c>
      <c r="O756" s="561" t="s">
        <v>6681</v>
      </c>
      <c r="P756" s="719">
        <v>10417</v>
      </c>
      <c r="Q756" s="720">
        <v>0</v>
      </c>
      <c r="R756" s="719">
        <f t="shared" si="51"/>
        <v>0</v>
      </c>
      <c r="S756" s="570">
        <v>202310</v>
      </c>
      <c r="T756" s="693" t="s">
        <v>7467</v>
      </c>
      <c r="U756" s="728"/>
      <c r="V756" s="721">
        <v>0</v>
      </c>
      <c r="W756" s="721"/>
      <c r="X756" s="574">
        <v>44501</v>
      </c>
      <c r="Y756" s="574">
        <v>44957</v>
      </c>
      <c r="Z756" s="723"/>
      <c r="AA756" s="691">
        <v>0</v>
      </c>
      <c r="AB756" s="713">
        <v>0</v>
      </c>
      <c r="AC756" s="713">
        <f t="shared" si="52"/>
        <v>0</v>
      </c>
    </row>
    <row r="757" spans="1:29" s="577" customFormat="1" ht="15" customHeight="1">
      <c r="A757" s="563" t="s">
        <v>823</v>
      </c>
      <c r="B757" s="561" t="s">
        <v>7101</v>
      </c>
      <c r="C757" s="561" t="s">
        <v>6280</v>
      </c>
      <c r="D757" s="561" t="s">
        <v>7115</v>
      </c>
      <c r="E757" s="563" t="s">
        <v>7468</v>
      </c>
      <c r="F757" s="563" t="s">
        <v>7469</v>
      </c>
      <c r="G757" s="563" t="s">
        <v>165</v>
      </c>
      <c r="H757" s="564" t="s">
        <v>7470</v>
      </c>
      <c r="I757" s="565" t="e">
        <f>VLOOKUP(H757,'合同高级查询数据-10月新返回合同'!A:A,1,0)</f>
        <v>#N/A</v>
      </c>
      <c r="J757" s="674" t="s">
        <v>3724</v>
      </c>
      <c r="K757" s="563" t="s">
        <v>7342</v>
      </c>
      <c r="L757" s="675" t="s">
        <v>7471</v>
      </c>
      <c r="M757" s="596" t="s">
        <v>7472</v>
      </c>
      <c r="N757" s="574" t="s">
        <v>7473</v>
      </c>
      <c r="O757" s="561" t="s">
        <v>6675</v>
      </c>
      <c r="P757" s="719">
        <v>5400</v>
      </c>
      <c r="Q757" s="720">
        <v>0</v>
      </c>
      <c r="R757" s="719">
        <f t="shared" si="51"/>
        <v>0</v>
      </c>
      <c r="S757" s="570">
        <v>202310</v>
      </c>
      <c r="T757" s="693" t="s">
        <v>7474</v>
      </c>
      <c r="U757" s="728"/>
      <c r="V757" s="721">
        <v>0</v>
      </c>
      <c r="W757" s="721"/>
      <c r="X757" s="740">
        <v>44440</v>
      </c>
      <c r="Y757" s="740">
        <v>44742</v>
      </c>
      <c r="Z757" s="723"/>
      <c r="AA757" s="691">
        <v>0</v>
      </c>
      <c r="AB757" s="713">
        <v>0</v>
      </c>
      <c r="AC757" s="713">
        <f t="shared" si="52"/>
        <v>0</v>
      </c>
    </row>
    <row r="758" spans="1:29" s="577" customFormat="1" ht="15" customHeight="1">
      <c r="A758" s="563" t="s">
        <v>823</v>
      </c>
      <c r="B758" s="561" t="s">
        <v>7101</v>
      </c>
      <c r="C758" s="561" t="s">
        <v>6280</v>
      </c>
      <c r="D758" s="561" t="s">
        <v>7115</v>
      </c>
      <c r="E758" s="563" t="s">
        <v>7468</v>
      </c>
      <c r="F758" s="563" t="s">
        <v>7469</v>
      </c>
      <c r="G758" s="563" t="s">
        <v>165</v>
      </c>
      <c r="H758" s="564" t="s">
        <v>7470</v>
      </c>
      <c r="I758" s="565" t="e">
        <f>VLOOKUP(H758,'合同高级查询数据-10月新返回合同'!A:A,1,0)</f>
        <v>#N/A</v>
      </c>
      <c r="J758" s="674" t="s">
        <v>3724</v>
      </c>
      <c r="K758" s="563" t="s">
        <v>7342</v>
      </c>
      <c r="L758" s="675" t="s">
        <v>7475</v>
      </c>
      <c r="M758" s="596" t="s">
        <v>7472</v>
      </c>
      <c r="N758" s="574" t="s">
        <v>7473</v>
      </c>
      <c r="O758" s="561" t="s">
        <v>6675</v>
      </c>
      <c r="P758" s="719">
        <v>5050</v>
      </c>
      <c r="Q758" s="720">
        <v>0</v>
      </c>
      <c r="R758" s="719">
        <f t="shared" si="51"/>
        <v>0</v>
      </c>
      <c r="S758" s="570">
        <v>202310</v>
      </c>
      <c r="T758" s="693" t="s">
        <v>7476</v>
      </c>
      <c r="U758" s="728"/>
      <c r="V758" s="721">
        <v>0</v>
      </c>
      <c r="W758" s="721"/>
      <c r="X758" s="740">
        <v>44440</v>
      </c>
      <c r="Y758" s="740">
        <v>44742</v>
      </c>
      <c r="Z758" s="723"/>
      <c r="AA758" s="691">
        <v>0</v>
      </c>
      <c r="AB758" s="713">
        <v>0</v>
      </c>
      <c r="AC758" s="713">
        <f t="shared" si="52"/>
        <v>0</v>
      </c>
    </row>
    <row r="759" spans="1:29" s="577" customFormat="1" ht="15" customHeight="1">
      <c r="A759" s="736" t="s">
        <v>829</v>
      </c>
      <c r="B759" s="563" t="s">
        <v>7101</v>
      </c>
      <c r="C759" s="563" t="s">
        <v>6352</v>
      </c>
      <c r="D759" s="561" t="s">
        <v>7115</v>
      </c>
      <c r="E759" s="563" t="s">
        <v>7477</v>
      </c>
      <c r="F759" s="563" t="s">
        <v>7478</v>
      </c>
      <c r="G759" s="563" t="s">
        <v>165</v>
      </c>
      <c r="H759" s="564" t="s">
        <v>7479</v>
      </c>
      <c r="I759" s="565" t="e">
        <f>VLOOKUP(H759,'合同高级查询数据-10月新返回合同'!A:A,1,0)</f>
        <v>#N/A</v>
      </c>
      <c r="J759" s="674" t="s">
        <v>3724</v>
      </c>
      <c r="K759" s="563" t="s">
        <v>6460</v>
      </c>
      <c r="L759" s="732" t="s">
        <v>7480</v>
      </c>
      <c r="M759" s="596" t="s">
        <v>7481</v>
      </c>
      <c r="N759" s="574" t="s">
        <v>7482</v>
      </c>
      <c r="O759" s="561" t="s">
        <v>7483</v>
      </c>
      <c r="P759" s="720">
        <v>5000</v>
      </c>
      <c r="Q759" s="720">
        <v>28.5</v>
      </c>
      <c r="R759" s="719">
        <f t="shared" si="51"/>
        <v>142500</v>
      </c>
      <c r="S759" s="570">
        <v>202310</v>
      </c>
      <c r="T759" s="693" t="s">
        <v>7484</v>
      </c>
      <c r="U759" s="728"/>
      <c r="V759" s="721">
        <v>28.425148010000001</v>
      </c>
      <c r="W759" s="721"/>
      <c r="X759" s="574">
        <v>44986</v>
      </c>
      <c r="Y759" s="574">
        <v>45351</v>
      </c>
      <c r="Z759" s="561" t="s">
        <v>7485</v>
      </c>
      <c r="AA759" s="683">
        <v>0.25</v>
      </c>
      <c r="AB759" s="582">
        <v>100</v>
      </c>
      <c r="AC759" s="713">
        <f t="shared" si="52"/>
        <v>25</v>
      </c>
    </row>
    <row r="760" spans="1:29" s="577" customFormat="1" ht="15" customHeight="1">
      <c r="A760" s="736" t="s">
        <v>829</v>
      </c>
      <c r="B760" s="563" t="s">
        <v>7101</v>
      </c>
      <c r="C760" s="563" t="s">
        <v>6352</v>
      </c>
      <c r="D760" s="561" t="s">
        <v>7115</v>
      </c>
      <c r="E760" s="563" t="s">
        <v>7477</v>
      </c>
      <c r="F760" s="563" t="s">
        <v>7478</v>
      </c>
      <c r="G760" s="563" t="s">
        <v>165</v>
      </c>
      <c r="H760" s="564" t="s">
        <v>7479</v>
      </c>
      <c r="I760" s="565" t="e">
        <f>VLOOKUP(H760,'合同高级查询数据-10月新返回合同'!A:A,1,0)</f>
        <v>#N/A</v>
      </c>
      <c r="J760" s="674" t="s">
        <v>3724</v>
      </c>
      <c r="K760" s="563" t="s">
        <v>6460</v>
      </c>
      <c r="L760" s="732" t="s">
        <v>7486</v>
      </c>
      <c r="M760" s="596" t="s">
        <v>7481</v>
      </c>
      <c r="N760" s="574" t="s">
        <v>7487</v>
      </c>
      <c r="O760" s="561" t="s">
        <v>7488</v>
      </c>
      <c r="P760" s="719">
        <v>5000</v>
      </c>
      <c r="Q760" s="720">
        <v>27.3</v>
      </c>
      <c r="R760" s="719">
        <f t="shared" si="51"/>
        <v>136500</v>
      </c>
      <c r="S760" s="570">
        <v>202310</v>
      </c>
      <c r="T760" s="693" t="s">
        <v>7489</v>
      </c>
      <c r="U760" s="728"/>
      <c r="V760" s="721">
        <v>27.300428391000001</v>
      </c>
      <c r="W760" s="721"/>
      <c r="X760" s="722">
        <v>44986</v>
      </c>
      <c r="Y760" s="722">
        <v>45351</v>
      </c>
      <c r="Z760" s="561" t="s">
        <v>7490</v>
      </c>
      <c r="AA760" s="683">
        <v>0.25</v>
      </c>
      <c r="AB760" s="582">
        <v>100</v>
      </c>
      <c r="AC760" s="713">
        <f t="shared" si="52"/>
        <v>25</v>
      </c>
    </row>
    <row r="761" spans="1:29" s="577" customFormat="1" ht="15" customHeight="1">
      <c r="A761" s="563" t="s">
        <v>829</v>
      </c>
      <c r="B761" s="563" t="s">
        <v>7101</v>
      </c>
      <c r="C761" s="563" t="s">
        <v>814</v>
      </c>
      <c r="D761" s="561" t="s">
        <v>4593</v>
      </c>
      <c r="E761" s="563" t="s">
        <v>7491</v>
      </c>
      <c r="F761" s="563" t="s">
        <v>7492</v>
      </c>
      <c r="G761" s="563" t="s">
        <v>165</v>
      </c>
      <c r="H761" s="564" t="s">
        <v>7493</v>
      </c>
      <c r="I761" s="565" t="e">
        <f>VLOOKUP(H761,'合同高级查询数据-10月新返回合同'!A:A,1,0)</f>
        <v>#N/A</v>
      </c>
      <c r="J761" s="674" t="s">
        <v>3724</v>
      </c>
      <c r="K761" s="563" t="s">
        <v>7494</v>
      </c>
      <c r="L761" s="675" t="s">
        <v>7495</v>
      </c>
      <c r="M761" s="596" t="s">
        <v>7496</v>
      </c>
      <c r="N761" s="731">
        <v>43282</v>
      </c>
      <c r="O761" s="731" t="s">
        <v>5263</v>
      </c>
      <c r="P761" s="719">
        <v>5000</v>
      </c>
      <c r="Q761" s="720">
        <v>29.3</v>
      </c>
      <c r="R761" s="719">
        <f t="shared" si="51"/>
        <v>146500</v>
      </c>
      <c r="S761" s="570">
        <v>202310</v>
      </c>
      <c r="T761" s="693" t="s">
        <v>9174</v>
      </c>
      <c r="U761" s="713"/>
      <c r="V761" s="721">
        <v>28.690589905</v>
      </c>
      <c r="W761" s="721">
        <v>29.8</v>
      </c>
      <c r="X761" s="574">
        <v>45017</v>
      </c>
      <c r="Y761" s="574">
        <v>45382</v>
      </c>
      <c r="Z761" s="561" t="s">
        <v>7497</v>
      </c>
      <c r="AA761" s="683">
        <v>0.3</v>
      </c>
      <c r="AB761" s="582">
        <v>80</v>
      </c>
      <c r="AC761" s="713">
        <f t="shared" si="52"/>
        <v>24</v>
      </c>
    </row>
    <row r="762" spans="1:29" s="577" customFormat="1" ht="15" customHeight="1">
      <c r="A762" s="563" t="s">
        <v>829</v>
      </c>
      <c r="B762" s="563" t="s">
        <v>7101</v>
      </c>
      <c r="C762" s="563" t="s">
        <v>814</v>
      </c>
      <c r="D762" s="561" t="s">
        <v>4593</v>
      </c>
      <c r="E762" s="563" t="s">
        <v>7491</v>
      </c>
      <c r="F762" s="563" t="s">
        <v>7492</v>
      </c>
      <c r="G762" s="563" t="s">
        <v>165</v>
      </c>
      <c r="H762" s="564" t="s">
        <v>7498</v>
      </c>
      <c r="I762" s="565" t="e">
        <f>VLOOKUP(H762,'合同高级查询数据-10月新返回合同'!A:A,1,0)</f>
        <v>#N/A</v>
      </c>
      <c r="J762" s="674" t="s">
        <v>3724</v>
      </c>
      <c r="K762" s="563" t="s">
        <v>2947</v>
      </c>
      <c r="L762" s="675" t="s">
        <v>7499</v>
      </c>
      <c r="M762" s="596" t="s">
        <v>7500</v>
      </c>
      <c r="N762" s="574">
        <v>43282</v>
      </c>
      <c r="O762" s="731" t="s">
        <v>5263</v>
      </c>
      <c r="P762" s="719">
        <v>5000</v>
      </c>
      <c r="Q762" s="720">
        <v>28.5</v>
      </c>
      <c r="R762" s="719">
        <f t="shared" si="51"/>
        <v>142500</v>
      </c>
      <c r="S762" s="570">
        <v>202310</v>
      </c>
      <c r="T762" s="693" t="s">
        <v>7501</v>
      </c>
      <c r="U762" s="713"/>
      <c r="V762" s="721">
        <v>28.491897583</v>
      </c>
      <c r="W762" s="721"/>
      <c r="X762" s="574">
        <v>45017</v>
      </c>
      <c r="Y762" s="574">
        <v>45382</v>
      </c>
      <c r="Z762" s="561" t="s">
        <v>7502</v>
      </c>
      <c r="AA762" s="683">
        <v>0.3</v>
      </c>
      <c r="AB762" s="582">
        <v>80</v>
      </c>
      <c r="AC762" s="713">
        <f t="shared" si="52"/>
        <v>24</v>
      </c>
    </row>
    <row r="763" spans="1:29" s="577" customFormat="1" ht="15" customHeight="1">
      <c r="A763" s="563" t="s">
        <v>823</v>
      </c>
      <c r="B763" s="561" t="s">
        <v>7101</v>
      </c>
      <c r="C763" s="561" t="s">
        <v>814</v>
      </c>
      <c r="D763" s="561" t="s">
        <v>4593</v>
      </c>
      <c r="E763" s="563" t="s">
        <v>7491</v>
      </c>
      <c r="F763" s="563" t="s">
        <v>7492</v>
      </c>
      <c r="G763" s="563" t="s">
        <v>165</v>
      </c>
      <c r="H763" s="564" t="s">
        <v>7503</v>
      </c>
      <c r="I763" s="565" t="e">
        <f>VLOOKUP(H763,'合同高级查询数据-10月新返回合同'!A:A,1,0)</f>
        <v>#N/A</v>
      </c>
      <c r="J763" s="674" t="s">
        <v>3724</v>
      </c>
      <c r="K763" s="563" t="s">
        <v>7494</v>
      </c>
      <c r="L763" s="675" t="s">
        <v>7504</v>
      </c>
      <c r="M763" s="596" t="s">
        <v>7505</v>
      </c>
      <c r="N763" s="574" t="s">
        <v>7506</v>
      </c>
      <c r="O763" s="561" t="s">
        <v>7507</v>
      </c>
      <c r="P763" s="719">
        <v>4500</v>
      </c>
      <c r="Q763" s="720">
        <v>12.5</v>
      </c>
      <c r="R763" s="719">
        <f t="shared" si="51"/>
        <v>56250</v>
      </c>
      <c r="S763" s="570">
        <v>202310</v>
      </c>
      <c r="T763" s="693" t="s">
        <v>7508</v>
      </c>
      <c r="U763" s="728"/>
      <c r="V763" s="721">
        <v>12.463715553</v>
      </c>
      <c r="W763" s="721"/>
      <c r="X763" s="574">
        <v>45017</v>
      </c>
      <c r="Y763" s="574">
        <v>45382</v>
      </c>
      <c r="Z763" s="561" t="s">
        <v>7509</v>
      </c>
      <c r="AA763" s="683">
        <v>0.5</v>
      </c>
      <c r="AB763" s="582">
        <v>20</v>
      </c>
      <c r="AC763" s="713">
        <f t="shared" si="52"/>
        <v>10</v>
      </c>
    </row>
    <row r="764" spans="1:29" s="385" customFormat="1" ht="15" customHeight="1">
      <c r="A764" s="548" t="s">
        <v>829</v>
      </c>
      <c r="B764" s="386" t="s">
        <v>7101</v>
      </c>
      <c r="C764" s="386" t="s">
        <v>814</v>
      </c>
      <c r="D764" s="386" t="s">
        <v>4593</v>
      </c>
      <c r="E764" s="388" t="s">
        <v>7510</v>
      </c>
      <c r="F764" s="388" t="s">
        <v>7511</v>
      </c>
      <c r="G764" s="388" t="s">
        <v>165</v>
      </c>
      <c r="H764" s="389" t="s">
        <v>7512</v>
      </c>
      <c r="I764" s="369" t="e">
        <f>VLOOKUP(H764,'合同高级查询数据-10月新返回合同'!A:A,1,0)</f>
        <v>#N/A</v>
      </c>
      <c r="J764" s="499" t="s">
        <v>3724</v>
      </c>
      <c r="K764" s="388" t="s">
        <v>881</v>
      </c>
      <c r="L764" s="486" t="s">
        <v>879</v>
      </c>
      <c r="M764" s="403" t="s">
        <v>7513</v>
      </c>
      <c r="N764" s="383">
        <v>43922</v>
      </c>
      <c r="O764" s="550" t="s">
        <v>2187</v>
      </c>
      <c r="P764" s="447">
        <v>5000</v>
      </c>
      <c r="Q764" s="540">
        <v>35.200000000000003</v>
      </c>
      <c r="R764" s="539">
        <f t="shared" si="51"/>
        <v>176000</v>
      </c>
      <c r="S764" s="378">
        <v>202310</v>
      </c>
      <c r="T764" s="514" t="s">
        <v>7514</v>
      </c>
      <c r="U764" s="547"/>
      <c r="V764" s="541">
        <v>35.127075195000003</v>
      </c>
      <c r="W764" s="541"/>
      <c r="X764" s="383"/>
      <c r="Y764" s="383"/>
      <c r="Z764" s="386" t="s">
        <v>7515</v>
      </c>
      <c r="AA764" s="506">
        <v>0.3</v>
      </c>
      <c r="AB764" s="410">
        <v>100</v>
      </c>
      <c r="AC764" s="448">
        <f t="shared" si="52"/>
        <v>30</v>
      </c>
    </row>
    <row r="765" spans="1:29" s="385" customFormat="1" ht="15" customHeight="1">
      <c r="A765" s="388" t="s">
        <v>823</v>
      </c>
      <c r="B765" s="386" t="s">
        <v>7101</v>
      </c>
      <c r="C765" s="386" t="s">
        <v>814</v>
      </c>
      <c r="D765" s="386" t="s">
        <v>4593</v>
      </c>
      <c r="E765" s="388" t="s">
        <v>7510</v>
      </c>
      <c r="F765" s="388" t="s">
        <v>7511</v>
      </c>
      <c r="G765" s="388" t="s">
        <v>165</v>
      </c>
      <c r="H765" s="389" t="s">
        <v>7516</v>
      </c>
      <c r="I765" s="369" t="e">
        <f>VLOOKUP(H765,'合同高级查询数据-10月新返回合同'!A:A,1,0)</f>
        <v>#N/A</v>
      </c>
      <c r="J765" s="499" t="s">
        <v>3724</v>
      </c>
      <c r="K765" s="388" t="s">
        <v>2947</v>
      </c>
      <c r="L765" s="448" t="s">
        <v>2945</v>
      </c>
      <c r="M765" s="403" t="s">
        <v>7517</v>
      </c>
      <c r="N765" s="383">
        <v>43922</v>
      </c>
      <c r="O765" s="550" t="s">
        <v>1542</v>
      </c>
      <c r="P765" s="447">
        <v>4200</v>
      </c>
      <c r="Q765" s="540">
        <v>96.2</v>
      </c>
      <c r="R765" s="539">
        <f t="shared" si="51"/>
        <v>404040</v>
      </c>
      <c r="S765" s="378">
        <v>202310</v>
      </c>
      <c r="T765" s="514" t="s">
        <v>7518</v>
      </c>
      <c r="U765" s="547"/>
      <c r="V765" s="541">
        <v>96.193725585999999</v>
      </c>
      <c r="W765" s="541"/>
      <c r="X765" s="383"/>
      <c r="Y765" s="383"/>
      <c r="Z765" s="386" t="s">
        <v>7519</v>
      </c>
      <c r="AA765" s="506">
        <v>0.4</v>
      </c>
      <c r="AB765" s="410">
        <v>200</v>
      </c>
      <c r="AC765" s="448">
        <f t="shared" si="52"/>
        <v>80</v>
      </c>
    </row>
    <row r="766" spans="1:29" s="385" customFormat="1" ht="15" customHeight="1">
      <c r="A766" s="548" t="s">
        <v>829</v>
      </c>
      <c r="B766" s="386" t="s">
        <v>7101</v>
      </c>
      <c r="C766" s="386" t="s">
        <v>838</v>
      </c>
      <c r="D766" s="386" t="s">
        <v>4593</v>
      </c>
      <c r="E766" s="388" t="s">
        <v>7510</v>
      </c>
      <c r="F766" s="388" t="s">
        <v>7511</v>
      </c>
      <c r="G766" s="388" t="s">
        <v>165</v>
      </c>
      <c r="H766" s="389" t="s">
        <v>7520</v>
      </c>
      <c r="I766" s="369" t="e">
        <f>VLOOKUP(H766,'合同高级查询数据-10月新返回合同'!A:A,1,0)</f>
        <v>#N/A</v>
      </c>
      <c r="J766" s="499" t="s">
        <v>3724</v>
      </c>
      <c r="K766" s="388" t="s">
        <v>855</v>
      </c>
      <c r="L766" s="448" t="s">
        <v>7521</v>
      </c>
      <c r="M766" s="403" t="s">
        <v>7522</v>
      </c>
      <c r="N766" s="383">
        <v>45139</v>
      </c>
      <c r="O766" s="550" t="s">
        <v>2509</v>
      </c>
      <c r="P766" s="447">
        <v>7083</v>
      </c>
      <c r="Q766" s="540">
        <v>5.7</v>
      </c>
      <c r="R766" s="539">
        <f t="shared" si="51"/>
        <v>40373.1</v>
      </c>
      <c r="S766" s="378">
        <v>202310</v>
      </c>
      <c r="T766" s="514" t="s">
        <v>7523</v>
      </c>
      <c r="U766" s="547"/>
      <c r="V766" s="541">
        <v>5.6939353940000004</v>
      </c>
      <c r="W766" s="541"/>
      <c r="X766" s="383"/>
      <c r="Y766" s="383"/>
      <c r="Z766" s="386" t="s">
        <v>7524</v>
      </c>
      <c r="AA766" s="506">
        <v>0.3</v>
      </c>
      <c r="AB766" s="410">
        <v>10</v>
      </c>
      <c r="AC766" s="410">
        <f t="shared" si="52"/>
        <v>3</v>
      </c>
    </row>
    <row r="767" spans="1:29" s="385" customFormat="1" ht="15" customHeight="1">
      <c r="A767" s="388" t="s">
        <v>813</v>
      </c>
      <c r="B767" s="386" t="s">
        <v>7101</v>
      </c>
      <c r="C767" s="386" t="s">
        <v>838</v>
      </c>
      <c r="D767" s="386" t="s">
        <v>4593</v>
      </c>
      <c r="E767" s="388" t="s">
        <v>7510</v>
      </c>
      <c r="F767" s="388" t="s">
        <v>7511</v>
      </c>
      <c r="G767" s="388" t="s">
        <v>165</v>
      </c>
      <c r="H767" s="389" t="s">
        <v>7520</v>
      </c>
      <c r="I767" s="369" t="e">
        <f>VLOOKUP(H767,'合同高级查询数据-10月新返回合同'!A:A,1,0)</f>
        <v>#N/A</v>
      </c>
      <c r="J767" s="499" t="s">
        <v>3724</v>
      </c>
      <c r="K767" s="388" t="s">
        <v>855</v>
      </c>
      <c r="L767" s="448" t="s">
        <v>7525</v>
      </c>
      <c r="M767" s="403" t="s">
        <v>7522</v>
      </c>
      <c r="N767" s="383">
        <v>45139</v>
      </c>
      <c r="O767" s="550" t="s">
        <v>2509</v>
      </c>
      <c r="P767" s="447">
        <v>6250</v>
      </c>
      <c r="Q767" s="540">
        <v>5.5</v>
      </c>
      <c r="R767" s="539">
        <f t="shared" si="51"/>
        <v>34375</v>
      </c>
      <c r="S767" s="378">
        <v>202310</v>
      </c>
      <c r="T767" s="514" t="s">
        <v>7523</v>
      </c>
      <c r="U767" s="547"/>
      <c r="V767" s="541">
        <v>5.4711832999999999</v>
      </c>
      <c r="W767" s="541"/>
      <c r="X767" s="383"/>
      <c r="Y767" s="383"/>
      <c r="Z767" s="386" t="s">
        <v>7526</v>
      </c>
      <c r="AA767" s="506">
        <v>0.3</v>
      </c>
      <c r="AB767" s="410">
        <v>10</v>
      </c>
      <c r="AC767" s="410">
        <f t="shared" si="52"/>
        <v>3</v>
      </c>
    </row>
    <row r="768" spans="1:29" s="385" customFormat="1" ht="15" customHeight="1">
      <c r="A768" s="388" t="s">
        <v>823</v>
      </c>
      <c r="B768" s="386" t="s">
        <v>7101</v>
      </c>
      <c r="C768" s="386" t="s">
        <v>838</v>
      </c>
      <c r="D768" s="386" t="s">
        <v>4593</v>
      </c>
      <c r="E768" s="388" t="s">
        <v>7510</v>
      </c>
      <c r="F768" s="388" t="s">
        <v>7511</v>
      </c>
      <c r="G768" s="388" t="s">
        <v>165</v>
      </c>
      <c r="H768" s="389" t="s">
        <v>7520</v>
      </c>
      <c r="I768" s="369" t="e">
        <f>VLOOKUP(H768,'合同高级查询数据-10月新返回合同'!A:A,1,0)</f>
        <v>#N/A</v>
      </c>
      <c r="J768" s="499" t="s">
        <v>3724</v>
      </c>
      <c r="K768" s="388" t="s">
        <v>855</v>
      </c>
      <c r="L768" s="448" t="s">
        <v>7527</v>
      </c>
      <c r="M768" s="403" t="s">
        <v>7522</v>
      </c>
      <c r="N768" s="383">
        <v>45139</v>
      </c>
      <c r="O768" s="550" t="s">
        <v>2509</v>
      </c>
      <c r="P768" s="447">
        <v>5000</v>
      </c>
      <c r="Q768" s="540">
        <v>4</v>
      </c>
      <c r="R768" s="539">
        <f t="shared" ref="R768:R831" si="53">ROUND(P768*Q768,2)</f>
        <v>20000</v>
      </c>
      <c r="S768" s="378">
        <v>202310</v>
      </c>
      <c r="T768" s="514" t="s">
        <v>7528</v>
      </c>
      <c r="U768" s="547"/>
      <c r="V768" s="541">
        <v>2.1788053509999998</v>
      </c>
      <c r="W768" s="541"/>
      <c r="X768" s="383"/>
      <c r="Y768" s="383"/>
      <c r="Z768" s="386" t="s">
        <v>7529</v>
      </c>
      <c r="AA768" s="506">
        <v>0.4</v>
      </c>
      <c r="AB768" s="410">
        <v>10</v>
      </c>
      <c r="AC768" s="410">
        <f t="shared" ref="AC768:AC819" si="54">AA768*AB768</f>
        <v>4</v>
      </c>
    </row>
    <row r="769" spans="1:29" s="385" customFormat="1" ht="15" customHeight="1">
      <c r="A769" s="388" t="s">
        <v>823</v>
      </c>
      <c r="B769" s="386" t="s">
        <v>7101</v>
      </c>
      <c r="C769" s="386" t="s">
        <v>838</v>
      </c>
      <c r="D769" s="386" t="s">
        <v>4593</v>
      </c>
      <c r="E769" s="388" t="s">
        <v>7510</v>
      </c>
      <c r="F769" s="388" t="s">
        <v>7511</v>
      </c>
      <c r="G769" s="388" t="s">
        <v>165</v>
      </c>
      <c r="H769" s="389" t="s">
        <v>7530</v>
      </c>
      <c r="I769" s="369" t="e">
        <f>VLOOKUP(H769,'合同高级查询数据-10月新返回合同'!A:A,1,0)</f>
        <v>#N/A</v>
      </c>
      <c r="J769" s="499" t="s">
        <v>3724</v>
      </c>
      <c r="K769" s="388" t="s">
        <v>855</v>
      </c>
      <c r="L769" s="448" t="s">
        <v>7531</v>
      </c>
      <c r="M769" s="403" t="s">
        <v>7532</v>
      </c>
      <c r="N769" s="383">
        <v>45139</v>
      </c>
      <c r="O769" s="550" t="s">
        <v>1542</v>
      </c>
      <c r="P769" s="447">
        <v>3800</v>
      </c>
      <c r="Q769" s="540">
        <v>82.7</v>
      </c>
      <c r="R769" s="539">
        <f t="shared" si="53"/>
        <v>314260</v>
      </c>
      <c r="S769" s="378">
        <v>202310</v>
      </c>
      <c r="T769" s="514" t="s">
        <v>7533</v>
      </c>
      <c r="U769" s="547"/>
      <c r="V769" s="541">
        <v>82.677703856999997</v>
      </c>
      <c r="W769" s="541"/>
      <c r="X769" s="383"/>
      <c r="Y769" s="383"/>
      <c r="Z769" s="386" t="s">
        <v>7534</v>
      </c>
      <c r="AA769" s="506">
        <v>0.4</v>
      </c>
      <c r="AB769" s="410">
        <v>200</v>
      </c>
      <c r="AC769" s="410">
        <f t="shared" si="54"/>
        <v>80</v>
      </c>
    </row>
    <row r="770" spans="1:29" s="577" customFormat="1" ht="15" customHeight="1">
      <c r="A770" s="563" t="s">
        <v>823</v>
      </c>
      <c r="B770" s="561" t="s">
        <v>7101</v>
      </c>
      <c r="C770" s="561" t="s">
        <v>814</v>
      </c>
      <c r="D770" s="561" t="s">
        <v>4593</v>
      </c>
      <c r="E770" s="563" t="s">
        <v>7535</v>
      </c>
      <c r="F770" s="563" t="s">
        <v>7536</v>
      </c>
      <c r="G770" s="563" t="s">
        <v>165</v>
      </c>
      <c r="H770" s="564" t="s">
        <v>7537</v>
      </c>
      <c r="I770" s="565" t="e">
        <f>VLOOKUP(H770,'合同高级查询数据-10月新返回合同'!A:A,1,0)</f>
        <v>#N/A</v>
      </c>
      <c r="J770" s="674" t="s">
        <v>3724</v>
      </c>
      <c r="K770" s="563" t="s">
        <v>2937</v>
      </c>
      <c r="L770" s="713" t="s">
        <v>7538</v>
      </c>
      <c r="M770" s="596" t="s">
        <v>7539</v>
      </c>
      <c r="N770" s="574" t="s">
        <v>7540</v>
      </c>
      <c r="O770" s="737" t="s">
        <v>5228</v>
      </c>
      <c r="P770" s="719">
        <v>5000</v>
      </c>
      <c r="Q770" s="720">
        <v>0</v>
      </c>
      <c r="R770" s="719">
        <f t="shared" si="53"/>
        <v>0</v>
      </c>
      <c r="S770" s="570">
        <v>202310</v>
      </c>
      <c r="T770" s="693" t="s">
        <v>7541</v>
      </c>
      <c r="U770" s="561"/>
      <c r="V770" s="721">
        <v>0</v>
      </c>
      <c r="W770" s="721"/>
      <c r="X770" s="574">
        <v>44682</v>
      </c>
      <c r="Y770" s="574">
        <v>45046</v>
      </c>
      <c r="Z770" s="723"/>
      <c r="AA770" s="691">
        <v>0</v>
      </c>
      <c r="AB770" s="713">
        <v>0</v>
      </c>
      <c r="AC770" s="713">
        <f t="shared" si="54"/>
        <v>0</v>
      </c>
    </row>
    <row r="771" spans="1:29" s="577" customFormat="1" ht="15" customHeight="1">
      <c r="A771" s="563" t="s">
        <v>813</v>
      </c>
      <c r="B771" s="561" t="s">
        <v>7101</v>
      </c>
      <c r="C771" s="561" t="s">
        <v>6311</v>
      </c>
      <c r="D771" s="561" t="s">
        <v>7115</v>
      </c>
      <c r="E771" s="563" t="s">
        <v>7535</v>
      </c>
      <c r="F771" s="563" t="s">
        <v>7536</v>
      </c>
      <c r="G771" s="563" t="s">
        <v>165</v>
      </c>
      <c r="H771" s="564" t="s">
        <v>7542</v>
      </c>
      <c r="I771" s="565" t="e">
        <f>VLOOKUP(H771,'合同高级查询数据-10月新返回合同'!A:A,1,0)</f>
        <v>#N/A</v>
      </c>
      <c r="J771" s="674" t="s">
        <v>3724</v>
      </c>
      <c r="K771" s="561" t="s">
        <v>6311</v>
      </c>
      <c r="L771" s="713" t="s">
        <v>7543</v>
      </c>
      <c r="M771" s="596" t="s">
        <v>7544</v>
      </c>
      <c r="N771" s="574" t="s">
        <v>7545</v>
      </c>
      <c r="O771" s="737" t="s">
        <v>6038</v>
      </c>
      <c r="P771" s="719">
        <v>5833.33</v>
      </c>
      <c r="Q771" s="720">
        <v>0</v>
      </c>
      <c r="R771" s="719">
        <f t="shared" si="53"/>
        <v>0</v>
      </c>
      <c r="S771" s="570">
        <v>202310</v>
      </c>
      <c r="T771" s="693" t="s">
        <v>7546</v>
      </c>
      <c r="U771" s="561"/>
      <c r="V771" s="721">
        <v>0</v>
      </c>
      <c r="W771" s="721"/>
      <c r="X771" s="574">
        <v>45078</v>
      </c>
      <c r="Y771" s="574">
        <v>45138</v>
      </c>
      <c r="Z771" s="723"/>
      <c r="AA771" s="691">
        <v>0</v>
      </c>
      <c r="AB771" s="713">
        <v>0</v>
      </c>
      <c r="AC771" s="713">
        <f t="shared" si="54"/>
        <v>0</v>
      </c>
    </row>
    <row r="772" spans="1:29" s="577" customFormat="1" ht="15" customHeight="1">
      <c r="A772" s="563" t="s">
        <v>823</v>
      </c>
      <c r="B772" s="561" t="s">
        <v>7101</v>
      </c>
      <c r="C772" s="561" t="s">
        <v>814</v>
      </c>
      <c r="D772" s="561" t="s">
        <v>4593</v>
      </c>
      <c r="E772" s="563" t="s">
        <v>7535</v>
      </c>
      <c r="F772" s="563" t="s">
        <v>7536</v>
      </c>
      <c r="G772" s="563" t="s">
        <v>165</v>
      </c>
      <c r="H772" s="564" t="s">
        <v>7547</v>
      </c>
      <c r="I772" s="565" t="e">
        <f>VLOOKUP(H772,'合同高级查询数据-10月新返回合同'!A:A,1,0)</f>
        <v>#N/A</v>
      </c>
      <c r="J772" s="674" t="s">
        <v>3724</v>
      </c>
      <c r="K772" s="561" t="s">
        <v>1491</v>
      </c>
      <c r="L772" s="713" t="s">
        <v>7548</v>
      </c>
      <c r="M772" s="596" t="s">
        <v>7549</v>
      </c>
      <c r="N772" s="574">
        <v>44348</v>
      </c>
      <c r="O772" s="737" t="s">
        <v>1542</v>
      </c>
      <c r="P772" s="719">
        <v>4200</v>
      </c>
      <c r="Q772" s="720">
        <v>117.1</v>
      </c>
      <c r="R772" s="719">
        <f t="shared" si="53"/>
        <v>491820</v>
      </c>
      <c r="S772" s="570">
        <v>202310</v>
      </c>
      <c r="T772" s="693" t="s">
        <v>7550</v>
      </c>
      <c r="U772" s="561"/>
      <c r="V772" s="721">
        <v>117.097465515</v>
      </c>
      <c r="W772" s="721"/>
      <c r="X772" s="574">
        <v>45047</v>
      </c>
      <c r="Y772" s="574">
        <v>45412</v>
      </c>
      <c r="Z772" s="561" t="s">
        <v>7551</v>
      </c>
      <c r="AA772" s="683">
        <v>0.5</v>
      </c>
      <c r="AB772" s="582">
        <v>200</v>
      </c>
      <c r="AC772" s="713">
        <f t="shared" si="54"/>
        <v>100</v>
      </c>
    </row>
    <row r="773" spans="1:29" s="385" customFormat="1" ht="15" customHeight="1">
      <c r="A773" s="548" t="s">
        <v>829</v>
      </c>
      <c r="B773" s="386" t="s">
        <v>7101</v>
      </c>
      <c r="C773" s="386" t="s">
        <v>814</v>
      </c>
      <c r="D773" s="386" t="s">
        <v>4593</v>
      </c>
      <c r="E773" s="388" t="s">
        <v>7535</v>
      </c>
      <c r="F773" s="388" t="s">
        <v>7536</v>
      </c>
      <c r="G773" s="388" t="s">
        <v>165</v>
      </c>
      <c r="H773" s="389" t="s">
        <v>7552</v>
      </c>
      <c r="I773" s="369" t="e">
        <f>VLOOKUP(H773,'合同高级查询数据-10月新返回合同'!A:A,1,0)</f>
        <v>#N/A</v>
      </c>
      <c r="J773" s="499" t="s">
        <v>3724</v>
      </c>
      <c r="K773" s="386" t="s">
        <v>2875</v>
      </c>
      <c r="L773" s="448" t="s">
        <v>7553</v>
      </c>
      <c r="M773" s="403" t="s">
        <v>7554</v>
      </c>
      <c r="N773" s="383">
        <v>44835</v>
      </c>
      <c r="O773" s="550" t="s">
        <v>1542</v>
      </c>
      <c r="P773" s="539">
        <v>4583.33</v>
      </c>
      <c r="Q773" s="540">
        <v>65.599999999999994</v>
      </c>
      <c r="R773" s="539">
        <f t="shared" si="53"/>
        <v>300666.45</v>
      </c>
      <c r="S773" s="378">
        <v>202310</v>
      </c>
      <c r="T773" s="514" t="s">
        <v>7555</v>
      </c>
      <c r="U773" s="386"/>
      <c r="V773" s="541">
        <v>65.522407532000003</v>
      </c>
      <c r="W773" s="541"/>
      <c r="X773" s="383"/>
      <c r="Y773" s="425"/>
      <c r="Z773" s="386" t="s">
        <v>7556</v>
      </c>
      <c r="AA773" s="506">
        <v>0.3</v>
      </c>
      <c r="AB773" s="410">
        <v>200</v>
      </c>
      <c r="AC773" s="448">
        <f t="shared" si="54"/>
        <v>60</v>
      </c>
    </row>
    <row r="774" spans="1:29" s="385" customFormat="1" ht="15" customHeight="1">
      <c r="A774" s="388" t="s">
        <v>823</v>
      </c>
      <c r="B774" s="386" t="s">
        <v>7101</v>
      </c>
      <c r="C774" s="386" t="s">
        <v>814</v>
      </c>
      <c r="D774" s="386" t="s">
        <v>4593</v>
      </c>
      <c r="E774" s="388" t="s">
        <v>7535</v>
      </c>
      <c r="F774" s="388" t="s">
        <v>7536</v>
      </c>
      <c r="G774" s="388" t="s">
        <v>165</v>
      </c>
      <c r="H774" s="389" t="s">
        <v>7557</v>
      </c>
      <c r="I774" s="369" t="e">
        <f>VLOOKUP(H774,'合同高级查询数据-10月新返回合同'!A:A,1,0)</f>
        <v>#N/A</v>
      </c>
      <c r="J774" s="499" t="s">
        <v>3724</v>
      </c>
      <c r="K774" s="386" t="s">
        <v>2980</v>
      </c>
      <c r="L774" s="448" t="s">
        <v>7558</v>
      </c>
      <c r="M774" s="403" t="s">
        <v>7559</v>
      </c>
      <c r="N774" s="383">
        <v>44927</v>
      </c>
      <c r="O774" s="550" t="s">
        <v>1542</v>
      </c>
      <c r="P774" s="539">
        <v>4200</v>
      </c>
      <c r="Q774" s="540">
        <v>96.4</v>
      </c>
      <c r="R774" s="539">
        <f t="shared" si="53"/>
        <v>404880</v>
      </c>
      <c r="S774" s="378">
        <v>202310</v>
      </c>
      <c r="T774" s="514" t="s">
        <v>7560</v>
      </c>
      <c r="U774" s="386"/>
      <c r="V774" s="541">
        <v>96.316307068</v>
      </c>
      <c r="W774" s="541"/>
      <c r="X774" s="383"/>
      <c r="Y774" s="383"/>
      <c r="Z774" s="386" t="s">
        <v>7561</v>
      </c>
      <c r="AA774" s="506">
        <v>0.4</v>
      </c>
      <c r="AB774" s="410">
        <v>200</v>
      </c>
      <c r="AC774" s="448">
        <f t="shared" si="54"/>
        <v>80</v>
      </c>
    </row>
    <row r="775" spans="1:29" s="577" customFormat="1" ht="15" customHeight="1">
      <c r="A775" s="736" t="s">
        <v>829</v>
      </c>
      <c r="B775" s="561" t="s">
        <v>7101</v>
      </c>
      <c r="C775" s="561" t="s">
        <v>6624</v>
      </c>
      <c r="D775" s="561" t="s">
        <v>7155</v>
      </c>
      <c r="E775" s="563" t="s">
        <v>7562</v>
      </c>
      <c r="F775" s="563" t="s">
        <v>7563</v>
      </c>
      <c r="G775" s="563" t="s">
        <v>165</v>
      </c>
      <c r="H775" s="564" t="s">
        <v>7564</v>
      </c>
      <c r="I775" s="565" t="e">
        <f>VLOOKUP(H775,'合同高级查询数据-10月新返回合同'!A:A,1,0)</f>
        <v>#N/A</v>
      </c>
      <c r="J775" s="674" t="s">
        <v>3724</v>
      </c>
      <c r="K775" s="563" t="s">
        <v>6646</v>
      </c>
      <c r="L775" s="675" t="s">
        <v>7565</v>
      </c>
      <c r="M775" s="596" t="s">
        <v>7566</v>
      </c>
      <c r="N775" s="574">
        <v>43862</v>
      </c>
      <c r="O775" s="561" t="s">
        <v>2187</v>
      </c>
      <c r="P775" s="719">
        <v>6200</v>
      </c>
      <c r="Q775" s="720">
        <v>32.1</v>
      </c>
      <c r="R775" s="719">
        <f t="shared" si="53"/>
        <v>199020</v>
      </c>
      <c r="S775" s="570">
        <v>202310</v>
      </c>
      <c r="T775" s="693" t="s">
        <v>7567</v>
      </c>
      <c r="U775" s="728"/>
      <c r="V775" s="721">
        <v>32.103794098000002</v>
      </c>
      <c r="W775" s="721"/>
      <c r="X775" s="574">
        <v>45047</v>
      </c>
      <c r="Y775" s="574">
        <v>45412</v>
      </c>
      <c r="Z775" s="561" t="s">
        <v>7568</v>
      </c>
      <c r="AA775" s="683">
        <v>0.25</v>
      </c>
      <c r="AB775" s="582">
        <v>100</v>
      </c>
      <c r="AC775" s="713">
        <f t="shared" si="54"/>
        <v>25</v>
      </c>
    </row>
    <row r="776" spans="1:29" s="577" customFormat="1" ht="15" customHeight="1">
      <c r="A776" s="736" t="s">
        <v>829</v>
      </c>
      <c r="B776" s="561" t="s">
        <v>7101</v>
      </c>
      <c r="C776" s="561" t="s">
        <v>7569</v>
      </c>
      <c r="D776" s="561" t="s">
        <v>7115</v>
      </c>
      <c r="E776" s="563" t="s">
        <v>7562</v>
      </c>
      <c r="F776" s="563" t="s">
        <v>7563</v>
      </c>
      <c r="G776" s="563" t="s">
        <v>165</v>
      </c>
      <c r="H776" s="564" t="s">
        <v>7570</v>
      </c>
      <c r="I776" s="565" t="e">
        <f>VLOOKUP(H776,'合同高级查询数据-10月新返回合同'!A:A,1,0)</f>
        <v>#N/A</v>
      </c>
      <c r="J776" s="674" t="s">
        <v>3724</v>
      </c>
      <c r="K776" s="563" t="s">
        <v>7569</v>
      </c>
      <c r="L776" s="675" t="s">
        <v>7571</v>
      </c>
      <c r="M776" s="596" t="s">
        <v>7572</v>
      </c>
      <c r="N776" s="574">
        <v>44014</v>
      </c>
      <c r="O776" s="561" t="s">
        <v>5440</v>
      </c>
      <c r="P776" s="719">
        <v>4166.67</v>
      </c>
      <c r="Q776" s="720">
        <v>60</v>
      </c>
      <c r="R776" s="719">
        <f t="shared" si="53"/>
        <v>250000.2</v>
      </c>
      <c r="S776" s="570">
        <v>202310</v>
      </c>
      <c r="T776" s="693" t="s">
        <v>7573</v>
      </c>
      <c r="U776" s="728"/>
      <c r="V776" s="721">
        <v>48.701011657999999</v>
      </c>
      <c r="W776" s="721"/>
      <c r="X776" s="722">
        <v>45047</v>
      </c>
      <c r="Y776" s="722">
        <v>45412</v>
      </c>
      <c r="Z776" s="561" t="s">
        <v>7574</v>
      </c>
      <c r="AA776" s="683">
        <v>1</v>
      </c>
      <c r="AB776" s="582">
        <v>60</v>
      </c>
      <c r="AC776" s="713">
        <f t="shared" si="54"/>
        <v>60</v>
      </c>
    </row>
    <row r="777" spans="1:29" s="577" customFormat="1" ht="15" customHeight="1">
      <c r="A777" s="563" t="s">
        <v>823</v>
      </c>
      <c r="B777" s="561" t="s">
        <v>7101</v>
      </c>
      <c r="C777" s="561" t="s">
        <v>6624</v>
      </c>
      <c r="D777" s="561" t="s">
        <v>7155</v>
      </c>
      <c r="E777" s="563" t="s">
        <v>7562</v>
      </c>
      <c r="F777" s="563" t="s">
        <v>7563</v>
      </c>
      <c r="G777" s="563" t="s">
        <v>165</v>
      </c>
      <c r="H777" s="564" t="s">
        <v>7575</v>
      </c>
      <c r="I777" s="565" t="e">
        <f>VLOOKUP(H777,'合同高级查询数据-10月新返回合同'!A:A,1,0)</f>
        <v>#N/A</v>
      </c>
      <c r="J777" s="674" t="s">
        <v>3724</v>
      </c>
      <c r="K777" s="563" t="s">
        <v>7576</v>
      </c>
      <c r="L777" s="675" t="s">
        <v>7577</v>
      </c>
      <c r="M777" s="596" t="s">
        <v>7578</v>
      </c>
      <c r="N777" s="574" t="s">
        <v>7579</v>
      </c>
      <c r="O777" s="561" t="s">
        <v>5228</v>
      </c>
      <c r="P777" s="719">
        <v>5000</v>
      </c>
      <c r="Q777" s="720">
        <v>0</v>
      </c>
      <c r="R777" s="719">
        <f t="shared" si="53"/>
        <v>0</v>
      </c>
      <c r="S777" s="570">
        <v>202310</v>
      </c>
      <c r="T777" s="693" t="s">
        <v>7580</v>
      </c>
      <c r="U777" s="728"/>
      <c r="V777" s="721">
        <v>0</v>
      </c>
      <c r="W777" s="721"/>
      <c r="X777" s="574">
        <v>44166</v>
      </c>
      <c r="Y777" s="574">
        <v>44530</v>
      </c>
      <c r="Z777" s="723"/>
      <c r="AA777" s="691">
        <v>0</v>
      </c>
      <c r="AB777" s="713">
        <v>0</v>
      </c>
      <c r="AC777" s="713">
        <f t="shared" si="54"/>
        <v>0</v>
      </c>
    </row>
    <row r="778" spans="1:29" s="577" customFormat="1" ht="15" customHeight="1">
      <c r="A778" s="563" t="s">
        <v>823</v>
      </c>
      <c r="B778" s="561" t="s">
        <v>7101</v>
      </c>
      <c r="C778" s="561" t="s">
        <v>6624</v>
      </c>
      <c r="D778" s="561" t="s">
        <v>7155</v>
      </c>
      <c r="E778" s="563" t="s">
        <v>7562</v>
      </c>
      <c r="F778" s="563" t="s">
        <v>7563</v>
      </c>
      <c r="G778" s="563" t="s">
        <v>165</v>
      </c>
      <c r="H778" s="564" t="s">
        <v>7581</v>
      </c>
      <c r="I778" s="565" t="str">
        <f>VLOOKUP(H778,'合同高级查询数据-10月新返回合同'!A:A,1,0)</f>
        <v>182315IDC00506</v>
      </c>
      <c r="J778" s="674" t="s">
        <v>3724</v>
      </c>
      <c r="K778" s="563" t="s">
        <v>6646</v>
      </c>
      <c r="L778" s="675" t="s">
        <v>7582</v>
      </c>
      <c r="M778" s="596" t="s">
        <v>7583</v>
      </c>
      <c r="N778" s="574" t="s">
        <v>7584</v>
      </c>
      <c r="O778" s="561" t="s">
        <v>7585</v>
      </c>
      <c r="P778" s="719">
        <v>4300</v>
      </c>
      <c r="Q778" s="720">
        <v>114.8</v>
      </c>
      <c r="R778" s="719">
        <f t="shared" si="53"/>
        <v>493640</v>
      </c>
      <c r="S778" s="570">
        <v>202310</v>
      </c>
      <c r="T778" s="693" t="s">
        <v>7586</v>
      </c>
      <c r="U778" s="728"/>
      <c r="V778" s="721">
        <v>114.725959778</v>
      </c>
      <c r="W778" s="721"/>
      <c r="X778" s="574">
        <v>45108</v>
      </c>
      <c r="Y778" s="574">
        <v>45382</v>
      </c>
      <c r="Z778" s="561" t="s">
        <v>7587</v>
      </c>
      <c r="AA778" s="683">
        <v>0.4</v>
      </c>
      <c r="AB778" s="582">
        <v>200</v>
      </c>
      <c r="AC778" s="713">
        <f t="shared" si="54"/>
        <v>80</v>
      </c>
    </row>
    <row r="779" spans="1:29" s="577" customFormat="1" ht="15" customHeight="1">
      <c r="A779" s="563" t="s">
        <v>823</v>
      </c>
      <c r="B779" s="561" t="s">
        <v>7101</v>
      </c>
      <c r="C779" s="561" t="s">
        <v>6624</v>
      </c>
      <c r="D779" s="561" t="s">
        <v>7155</v>
      </c>
      <c r="E779" s="563" t="s">
        <v>7562</v>
      </c>
      <c r="F779" s="563" t="s">
        <v>7563</v>
      </c>
      <c r="G779" s="563" t="s">
        <v>165</v>
      </c>
      <c r="H779" s="564" t="s">
        <v>7581</v>
      </c>
      <c r="I779" s="565" t="str">
        <f>VLOOKUP(H779,'合同高级查询数据-10月新返回合同'!A:A,1,0)</f>
        <v>182315IDC00506</v>
      </c>
      <c r="J779" s="674" t="s">
        <v>3724</v>
      </c>
      <c r="K779" s="563" t="s">
        <v>6646</v>
      </c>
      <c r="L779" s="675" t="s">
        <v>7588</v>
      </c>
      <c r="M779" s="596" t="s">
        <v>7583</v>
      </c>
      <c r="N779" s="574" t="s">
        <v>7589</v>
      </c>
      <c r="O779" s="561" t="s">
        <v>6675</v>
      </c>
      <c r="P779" s="719">
        <v>4300</v>
      </c>
      <c r="Q779" s="720">
        <v>0</v>
      </c>
      <c r="R779" s="719">
        <f t="shared" si="53"/>
        <v>0</v>
      </c>
      <c r="S779" s="570">
        <v>202310</v>
      </c>
      <c r="T779" s="693" t="s">
        <v>7590</v>
      </c>
      <c r="U779" s="728"/>
      <c r="V779" s="721">
        <v>0</v>
      </c>
      <c r="W779" s="721"/>
      <c r="X779" s="574">
        <v>45108</v>
      </c>
      <c r="Y779" s="574">
        <v>45382</v>
      </c>
      <c r="Z779" s="723"/>
      <c r="AA779" s="691">
        <v>0</v>
      </c>
      <c r="AB779" s="713">
        <v>0</v>
      </c>
      <c r="AC779" s="713">
        <f t="shared" si="54"/>
        <v>0</v>
      </c>
    </row>
    <row r="780" spans="1:29" s="577" customFormat="1" ht="15" customHeight="1">
      <c r="A780" s="563" t="s">
        <v>823</v>
      </c>
      <c r="B780" s="561" t="s">
        <v>7101</v>
      </c>
      <c r="C780" s="561" t="s">
        <v>6624</v>
      </c>
      <c r="D780" s="561" t="s">
        <v>7155</v>
      </c>
      <c r="E780" s="563" t="s">
        <v>7562</v>
      </c>
      <c r="F780" s="563" t="s">
        <v>7563</v>
      </c>
      <c r="G780" s="563" t="s">
        <v>165</v>
      </c>
      <c r="H780" s="564" t="s">
        <v>7581</v>
      </c>
      <c r="I780" s="565" t="str">
        <f>VLOOKUP(H780,'合同高级查询数据-10月新返回合同'!A:A,1,0)</f>
        <v>182315IDC00506</v>
      </c>
      <c r="J780" s="674" t="s">
        <v>3724</v>
      </c>
      <c r="K780" s="563" t="s">
        <v>6646</v>
      </c>
      <c r="L780" s="675" t="s">
        <v>7591</v>
      </c>
      <c r="M780" s="596" t="s">
        <v>7583</v>
      </c>
      <c r="N780" s="574" t="s">
        <v>7592</v>
      </c>
      <c r="O780" s="561" t="s">
        <v>7593</v>
      </c>
      <c r="P780" s="719">
        <v>4300</v>
      </c>
      <c r="Q780" s="720">
        <v>0</v>
      </c>
      <c r="R780" s="719">
        <f t="shared" si="53"/>
        <v>0</v>
      </c>
      <c r="S780" s="570">
        <v>202310</v>
      </c>
      <c r="T780" s="693" t="s">
        <v>7594</v>
      </c>
      <c r="U780" s="728"/>
      <c r="V780" s="721">
        <v>0</v>
      </c>
      <c r="W780" s="721"/>
      <c r="X780" s="574">
        <v>45108</v>
      </c>
      <c r="Y780" s="574">
        <v>45382</v>
      </c>
      <c r="Z780" s="723"/>
      <c r="AA780" s="691">
        <v>0</v>
      </c>
      <c r="AB780" s="713">
        <v>0</v>
      </c>
      <c r="AC780" s="713">
        <f t="shared" si="54"/>
        <v>0</v>
      </c>
    </row>
    <row r="781" spans="1:29" s="577" customFormat="1" ht="15" customHeight="1">
      <c r="A781" s="563" t="s">
        <v>823</v>
      </c>
      <c r="B781" s="561" t="s">
        <v>7101</v>
      </c>
      <c r="C781" s="561" t="s">
        <v>6624</v>
      </c>
      <c r="D781" s="561" t="s">
        <v>7155</v>
      </c>
      <c r="E781" s="563" t="s">
        <v>7562</v>
      </c>
      <c r="F781" s="563" t="s">
        <v>7563</v>
      </c>
      <c r="G781" s="563" t="s">
        <v>165</v>
      </c>
      <c r="H781" s="564" t="s">
        <v>7581</v>
      </c>
      <c r="I781" s="565" t="str">
        <f>VLOOKUP(H781,'合同高级查询数据-10月新返回合同'!A:A,1,0)</f>
        <v>182315IDC00506</v>
      </c>
      <c r="J781" s="674" t="s">
        <v>3724</v>
      </c>
      <c r="K781" s="563" t="s">
        <v>6646</v>
      </c>
      <c r="L781" s="675" t="s">
        <v>7595</v>
      </c>
      <c r="M781" s="596" t="s">
        <v>7583</v>
      </c>
      <c r="N781" s="574" t="s">
        <v>7596</v>
      </c>
      <c r="O781" s="561" t="s">
        <v>6675</v>
      </c>
      <c r="P781" s="719">
        <v>4300</v>
      </c>
      <c r="Q781" s="720">
        <v>0</v>
      </c>
      <c r="R781" s="719">
        <f t="shared" si="53"/>
        <v>0</v>
      </c>
      <c r="S781" s="570">
        <v>202310</v>
      </c>
      <c r="T781" s="693" t="s">
        <v>7597</v>
      </c>
      <c r="U781" s="728"/>
      <c r="V781" s="721">
        <v>0</v>
      </c>
      <c r="W781" s="721"/>
      <c r="X781" s="574">
        <v>45108</v>
      </c>
      <c r="Y781" s="574">
        <v>45382</v>
      </c>
      <c r="Z781" s="723"/>
      <c r="AA781" s="691">
        <v>0</v>
      </c>
      <c r="AB781" s="713">
        <v>0</v>
      </c>
      <c r="AC781" s="713">
        <f t="shared" si="54"/>
        <v>0</v>
      </c>
    </row>
    <row r="782" spans="1:29" s="577" customFormat="1" ht="15" customHeight="1">
      <c r="A782" s="563" t="s">
        <v>829</v>
      </c>
      <c r="B782" s="563" t="s">
        <v>7101</v>
      </c>
      <c r="C782" s="563" t="s">
        <v>6624</v>
      </c>
      <c r="D782" s="561" t="s">
        <v>7155</v>
      </c>
      <c r="E782" s="563" t="s">
        <v>7598</v>
      </c>
      <c r="F782" s="563" t="s">
        <v>7599</v>
      </c>
      <c r="G782" s="563" t="s">
        <v>165</v>
      </c>
      <c r="H782" s="564" t="s">
        <v>7600</v>
      </c>
      <c r="I782" s="565" t="e">
        <f>VLOOKUP(H782,'合同高级查询数据-10月新返回合同'!A:A,1,0)</f>
        <v>#N/A</v>
      </c>
      <c r="J782" s="674" t="s">
        <v>3724</v>
      </c>
      <c r="K782" s="563" t="s">
        <v>6629</v>
      </c>
      <c r="L782" s="675" t="s">
        <v>7601</v>
      </c>
      <c r="M782" s="596" t="s">
        <v>7602</v>
      </c>
      <c r="N782" s="731" t="s">
        <v>7603</v>
      </c>
      <c r="O782" s="731" t="s">
        <v>7604</v>
      </c>
      <c r="P782" s="719">
        <v>6167</v>
      </c>
      <c r="Q782" s="720">
        <v>0</v>
      </c>
      <c r="R782" s="719">
        <f t="shared" si="53"/>
        <v>0</v>
      </c>
      <c r="S782" s="570">
        <v>202310</v>
      </c>
      <c r="T782" s="693" t="s">
        <v>7605</v>
      </c>
      <c r="U782" s="713"/>
      <c r="V782" s="721">
        <v>0</v>
      </c>
      <c r="W782" s="721"/>
      <c r="X782" s="574">
        <v>44713</v>
      </c>
      <c r="Y782" s="574">
        <v>45107</v>
      </c>
      <c r="Z782" s="723"/>
      <c r="AA782" s="691">
        <v>0</v>
      </c>
      <c r="AB782" s="713">
        <v>0</v>
      </c>
      <c r="AC782" s="713">
        <f t="shared" si="54"/>
        <v>0</v>
      </c>
    </row>
    <row r="783" spans="1:29" s="577" customFormat="1" ht="15" customHeight="1">
      <c r="A783" s="736" t="s">
        <v>829</v>
      </c>
      <c r="B783" s="563" t="s">
        <v>7101</v>
      </c>
      <c r="C783" s="563" t="s">
        <v>6624</v>
      </c>
      <c r="D783" s="561" t="s">
        <v>7155</v>
      </c>
      <c r="E783" s="563" t="s">
        <v>7598</v>
      </c>
      <c r="F783" s="563" t="s">
        <v>7599</v>
      </c>
      <c r="G783" s="563" t="s">
        <v>165</v>
      </c>
      <c r="H783" s="564" t="s">
        <v>7600</v>
      </c>
      <c r="I783" s="565" t="e">
        <f>VLOOKUP(H783,'合同高级查询数据-10月新返回合同'!A:A,1,0)</f>
        <v>#N/A</v>
      </c>
      <c r="J783" s="674" t="s">
        <v>3724</v>
      </c>
      <c r="K783" s="563" t="s">
        <v>6629</v>
      </c>
      <c r="L783" s="675" t="s">
        <v>7606</v>
      </c>
      <c r="M783" s="596" t="s">
        <v>7602</v>
      </c>
      <c r="N783" s="574" t="s">
        <v>7607</v>
      </c>
      <c r="O783" s="561" t="s">
        <v>5151</v>
      </c>
      <c r="P783" s="719">
        <v>6167</v>
      </c>
      <c r="Q783" s="720">
        <v>0</v>
      </c>
      <c r="R783" s="719">
        <f t="shared" si="53"/>
        <v>0</v>
      </c>
      <c r="S783" s="570">
        <v>202310</v>
      </c>
      <c r="T783" s="693" t="s">
        <v>7608</v>
      </c>
      <c r="U783" s="728"/>
      <c r="V783" s="721">
        <v>0</v>
      </c>
      <c r="W783" s="721"/>
      <c r="X783" s="574">
        <v>44713</v>
      </c>
      <c r="Y783" s="574">
        <v>45107</v>
      </c>
      <c r="Z783" s="723"/>
      <c r="AA783" s="691">
        <v>0</v>
      </c>
      <c r="AB783" s="713">
        <v>0</v>
      </c>
      <c r="AC783" s="713">
        <f t="shared" si="54"/>
        <v>0</v>
      </c>
    </row>
    <row r="784" spans="1:29" s="577" customFormat="1" ht="15" customHeight="1">
      <c r="A784" s="563" t="s">
        <v>813</v>
      </c>
      <c r="B784" s="561" t="s">
        <v>7101</v>
      </c>
      <c r="C784" s="561" t="s">
        <v>6335</v>
      </c>
      <c r="D784" s="561" t="s">
        <v>7115</v>
      </c>
      <c r="E784" s="563" t="s">
        <v>7609</v>
      </c>
      <c r="F784" s="563" t="s">
        <v>7610</v>
      </c>
      <c r="G784" s="563" t="s">
        <v>165</v>
      </c>
      <c r="H784" s="564" t="s">
        <v>7611</v>
      </c>
      <c r="I784" s="565" t="e">
        <f>VLOOKUP(H784,'合同高级查询数据-10月新返回合同'!A:A,1,0)</f>
        <v>#N/A</v>
      </c>
      <c r="J784" s="674" t="s">
        <v>3724</v>
      </c>
      <c r="K784" s="563" t="s">
        <v>7612</v>
      </c>
      <c r="L784" s="675" t="s">
        <v>7613</v>
      </c>
      <c r="M784" s="596" t="s">
        <v>7614</v>
      </c>
      <c r="N784" s="574">
        <v>43852</v>
      </c>
      <c r="O784" s="561" t="s">
        <v>2187</v>
      </c>
      <c r="P784" s="719">
        <v>4000</v>
      </c>
      <c r="Q784" s="720">
        <v>31.4</v>
      </c>
      <c r="R784" s="719">
        <f t="shared" si="53"/>
        <v>125600</v>
      </c>
      <c r="S784" s="570">
        <v>202310</v>
      </c>
      <c r="T784" s="693" t="s">
        <v>7615</v>
      </c>
      <c r="U784" s="728"/>
      <c r="V784" s="721">
        <v>30.823825836000001</v>
      </c>
      <c r="W784" s="721">
        <v>31.83</v>
      </c>
      <c r="X784" s="574">
        <v>45078</v>
      </c>
      <c r="Y784" s="574">
        <v>45443</v>
      </c>
      <c r="Z784" s="561" t="s">
        <v>7616</v>
      </c>
      <c r="AA784" s="683">
        <v>0.25</v>
      </c>
      <c r="AB784" s="582">
        <v>100</v>
      </c>
      <c r="AC784" s="713">
        <f t="shared" si="54"/>
        <v>25</v>
      </c>
    </row>
    <row r="785" spans="1:29" s="577" customFormat="1" ht="15" customHeight="1">
      <c r="A785" s="563" t="s">
        <v>823</v>
      </c>
      <c r="B785" s="561" t="s">
        <v>7101</v>
      </c>
      <c r="C785" s="561" t="s">
        <v>6352</v>
      </c>
      <c r="D785" s="561" t="s">
        <v>7115</v>
      </c>
      <c r="E785" s="563" t="s">
        <v>7617</v>
      </c>
      <c r="F785" s="563" t="s">
        <v>7618</v>
      </c>
      <c r="G785" s="563" t="s">
        <v>165</v>
      </c>
      <c r="H785" s="564" t="s">
        <v>7619</v>
      </c>
      <c r="I785" s="565" t="e">
        <f>VLOOKUP(H785,'合同高级查询数据-10月新返回合同'!A:A,1,0)</f>
        <v>#N/A</v>
      </c>
      <c r="J785" s="674" t="s">
        <v>3724</v>
      </c>
      <c r="K785" s="563" t="s">
        <v>6460</v>
      </c>
      <c r="L785" s="675" t="s">
        <v>7620</v>
      </c>
      <c r="M785" s="596" t="s">
        <v>7621</v>
      </c>
      <c r="N785" s="574" t="s">
        <v>7622</v>
      </c>
      <c r="O785" s="561" t="s">
        <v>5228</v>
      </c>
      <c r="P785" s="719">
        <v>4700</v>
      </c>
      <c r="Q785" s="720">
        <v>0</v>
      </c>
      <c r="R785" s="719">
        <f t="shared" si="53"/>
        <v>0</v>
      </c>
      <c r="S785" s="570">
        <v>202310</v>
      </c>
      <c r="T785" s="693" t="s">
        <v>7623</v>
      </c>
      <c r="U785" s="728"/>
      <c r="V785" s="721">
        <v>0</v>
      </c>
      <c r="W785" s="721"/>
      <c r="X785" s="574">
        <v>44774</v>
      </c>
      <c r="Y785" s="574">
        <v>45077</v>
      </c>
      <c r="Z785" s="723"/>
      <c r="AA785" s="691">
        <v>0</v>
      </c>
      <c r="AB785" s="713">
        <v>0</v>
      </c>
      <c r="AC785" s="713">
        <f t="shared" si="54"/>
        <v>0</v>
      </c>
    </row>
    <row r="786" spans="1:29" s="577" customFormat="1" ht="15" customHeight="1">
      <c r="A786" s="736" t="s">
        <v>829</v>
      </c>
      <c r="B786" s="561" t="s">
        <v>7101</v>
      </c>
      <c r="C786" s="561" t="s">
        <v>6280</v>
      </c>
      <c r="D786" s="561" t="s">
        <v>7115</v>
      </c>
      <c r="E786" s="563" t="s">
        <v>7617</v>
      </c>
      <c r="F786" s="563" t="s">
        <v>7618</v>
      </c>
      <c r="G786" s="563" t="s">
        <v>165</v>
      </c>
      <c r="H786" s="564" t="s">
        <v>7624</v>
      </c>
      <c r="I786" s="565" t="e">
        <f>VLOOKUP(H786,'合同高级查询数据-10月新返回合同'!A:A,1,0)</f>
        <v>#N/A</v>
      </c>
      <c r="J786" s="674" t="s">
        <v>3724</v>
      </c>
      <c r="K786" s="563" t="s">
        <v>7119</v>
      </c>
      <c r="L786" s="675" t="s">
        <v>7625</v>
      </c>
      <c r="M786" s="596" t="s">
        <v>7626</v>
      </c>
      <c r="N786" s="574" t="s">
        <v>7627</v>
      </c>
      <c r="O786" s="561" t="s">
        <v>4982</v>
      </c>
      <c r="P786" s="719">
        <v>5250</v>
      </c>
      <c r="Q786" s="720">
        <v>0</v>
      </c>
      <c r="R786" s="719">
        <f t="shared" si="53"/>
        <v>0</v>
      </c>
      <c r="S786" s="570">
        <v>202310</v>
      </c>
      <c r="T786" s="693" t="s">
        <v>7628</v>
      </c>
      <c r="U786" s="728"/>
      <c r="V786" s="721">
        <v>0</v>
      </c>
      <c r="W786" s="721"/>
      <c r="X786" s="574">
        <v>44105</v>
      </c>
      <c r="Y786" s="574">
        <v>44469</v>
      </c>
      <c r="Z786" s="723"/>
      <c r="AA786" s="691">
        <v>0</v>
      </c>
      <c r="AB786" s="713">
        <v>0</v>
      </c>
      <c r="AC786" s="713">
        <f t="shared" si="54"/>
        <v>0</v>
      </c>
    </row>
    <row r="787" spans="1:29" s="577" customFormat="1" ht="15" customHeight="1">
      <c r="A787" s="736" t="s">
        <v>829</v>
      </c>
      <c r="B787" s="561" t="s">
        <v>7101</v>
      </c>
      <c r="C787" s="561" t="s">
        <v>6280</v>
      </c>
      <c r="D787" s="561" t="s">
        <v>7115</v>
      </c>
      <c r="E787" s="563" t="s">
        <v>7617</v>
      </c>
      <c r="F787" s="563" t="s">
        <v>7618</v>
      </c>
      <c r="G787" s="563" t="s">
        <v>165</v>
      </c>
      <c r="H787" s="564" t="s">
        <v>7629</v>
      </c>
      <c r="I787" s="565" t="e">
        <f>VLOOKUP(H787,'合同高级查询数据-10月新返回合同'!A:A,1,0)</f>
        <v>#N/A</v>
      </c>
      <c r="J787" s="674" t="s">
        <v>3724</v>
      </c>
      <c r="K787" s="563" t="s">
        <v>6303</v>
      </c>
      <c r="L787" s="675" t="s">
        <v>7630</v>
      </c>
      <c r="M787" s="596" t="s">
        <v>7631</v>
      </c>
      <c r="N787" s="574">
        <v>44348</v>
      </c>
      <c r="O787" s="561" t="s">
        <v>5440</v>
      </c>
      <c r="P787" s="719">
        <v>3333.33</v>
      </c>
      <c r="Q787" s="720">
        <v>23.4</v>
      </c>
      <c r="R787" s="719">
        <f t="shared" si="53"/>
        <v>77999.92</v>
      </c>
      <c r="S787" s="570">
        <v>202310</v>
      </c>
      <c r="T787" s="693" t="s">
        <v>7632</v>
      </c>
      <c r="U787" s="728"/>
      <c r="V787" s="721">
        <v>23.387115478999998</v>
      </c>
      <c r="W787" s="721"/>
      <c r="X787" s="574">
        <v>45078</v>
      </c>
      <c r="Y787" s="574">
        <v>45443</v>
      </c>
      <c r="Z787" s="561" t="s">
        <v>7633</v>
      </c>
      <c r="AA787" s="683">
        <v>0.3</v>
      </c>
      <c r="AB787" s="582">
        <v>60</v>
      </c>
      <c r="AC787" s="713">
        <f t="shared" si="54"/>
        <v>18</v>
      </c>
    </row>
    <row r="788" spans="1:29" s="577" customFormat="1" ht="15" customHeight="1">
      <c r="A788" s="563" t="s">
        <v>823</v>
      </c>
      <c r="B788" s="561" t="s">
        <v>7101</v>
      </c>
      <c r="C788" s="561" t="s">
        <v>6311</v>
      </c>
      <c r="D788" s="561" t="s">
        <v>7115</v>
      </c>
      <c r="E788" s="563" t="s">
        <v>7617</v>
      </c>
      <c r="F788" s="563" t="s">
        <v>7618</v>
      </c>
      <c r="G788" s="563" t="s">
        <v>165</v>
      </c>
      <c r="H788" s="564" t="s">
        <v>7634</v>
      </c>
      <c r="I788" s="565" t="e">
        <f>VLOOKUP(H788,'合同高级查询数据-10月新返回合同'!A:A,1,0)</f>
        <v>#N/A</v>
      </c>
      <c r="J788" s="674" t="s">
        <v>3724</v>
      </c>
      <c r="K788" s="563" t="s">
        <v>6311</v>
      </c>
      <c r="L788" s="675" t="s">
        <v>7635</v>
      </c>
      <c r="M788" s="596" t="s">
        <v>7636</v>
      </c>
      <c r="N788" s="574" t="s">
        <v>7637</v>
      </c>
      <c r="O788" s="561" t="s">
        <v>7638</v>
      </c>
      <c r="P788" s="719">
        <v>3500</v>
      </c>
      <c r="Q788" s="720">
        <v>40</v>
      </c>
      <c r="R788" s="719">
        <f t="shared" si="53"/>
        <v>140000</v>
      </c>
      <c r="S788" s="570">
        <v>202310</v>
      </c>
      <c r="T788" s="693" t="s">
        <v>7639</v>
      </c>
      <c r="U788" s="728"/>
      <c r="V788" s="721">
        <v>31.852651596000001</v>
      </c>
      <c r="W788" s="721"/>
      <c r="X788" s="574">
        <v>45078</v>
      </c>
      <c r="Y788" s="574">
        <v>45443</v>
      </c>
      <c r="Z788" s="561" t="s">
        <v>7640</v>
      </c>
      <c r="AA788" s="683">
        <v>1</v>
      </c>
      <c r="AB788" s="582">
        <v>40</v>
      </c>
      <c r="AC788" s="713">
        <f t="shared" si="54"/>
        <v>40</v>
      </c>
    </row>
    <row r="789" spans="1:29" s="577" customFormat="1" ht="15" customHeight="1">
      <c r="A789" s="736" t="s">
        <v>829</v>
      </c>
      <c r="B789" s="561" t="s">
        <v>7101</v>
      </c>
      <c r="C789" s="561" t="s">
        <v>838</v>
      </c>
      <c r="D789" s="561" t="s">
        <v>4593</v>
      </c>
      <c r="E789" s="563" t="s">
        <v>7641</v>
      </c>
      <c r="F789" s="563" t="s">
        <v>7642</v>
      </c>
      <c r="G789" s="563" t="s">
        <v>165</v>
      </c>
      <c r="H789" s="564" t="s">
        <v>7643</v>
      </c>
      <c r="I789" s="565" t="e">
        <f>VLOOKUP(H789,'合同高级查询数据-10月新返回合同'!A:A,1,0)</f>
        <v>#N/A</v>
      </c>
      <c r="J789" s="674" t="s">
        <v>3724</v>
      </c>
      <c r="K789" s="563" t="s">
        <v>855</v>
      </c>
      <c r="L789" s="675" t="s">
        <v>7644</v>
      </c>
      <c r="M789" s="596" t="s">
        <v>7645</v>
      </c>
      <c r="N789" s="574" t="s">
        <v>7646</v>
      </c>
      <c r="O789" s="561" t="s">
        <v>7647</v>
      </c>
      <c r="P789" s="719">
        <v>7700</v>
      </c>
      <c r="Q789" s="720">
        <v>3.8</v>
      </c>
      <c r="R789" s="719">
        <f t="shared" si="53"/>
        <v>29260</v>
      </c>
      <c r="S789" s="570">
        <v>202310</v>
      </c>
      <c r="T789" s="693" t="s">
        <v>7648</v>
      </c>
      <c r="U789" s="561"/>
      <c r="V789" s="721">
        <v>3.7697286609999998</v>
      </c>
      <c r="W789" s="721"/>
      <c r="X789" s="574">
        <v>44896</v>
      </c>
      <c r="Y789" s="574">
        <v>45260</v>
      </c>
      <c r="Z789" s="561" t="s">
        <v>7649</v>
      </c>
      <c r="AA789" s="683">
        <v>0.3</v>
      </c>
      <c r="AB789" s="582">
        <v>10</v>
      </c>
      <c r="AC789" s="713">
        <f t="shared" si="54"/>
        <v>3</v>
      </c>
    </row>
    <row r="790" spans="1:29" s="577" customFormat="1" ht="15" customHeight="1">
      <c r="A790" s="736" t="s">
        <v>829</v>
      </c>
      <c r="B790" s="561" t="s">
        <v>7101</v>
      </c>
      <c r="C790" s="561" t="s">
        <v>5574</v>
      </c>
      <c r="D790" s="561" t="s">
        <v>7155</v>
      </c>
      <c r="E790" s="563" t="s">
        <v>7641</v>
      </c>
      <c r="F790" s="563" t="s">
        <v>7642</v>
      </c>
      <c r="G790" s="563" t="s">
        <v>165</v>
      </c>
      <c r="H790" s="564" t="s">
        <v>7650</v>
      </c>
      <c r="I790" s="565" t="e">
        <f>VLOOKUP(H790,'合同高级查询数据-10月新返回合同'!A:A,1,0)</f>
        <v>#N/A</v>
      </c>
      <c r="J790" s="674" t="s">
        <v>3724</v>
      </c>
      <c r="K790" s="563" t="s">
        <v>5590</v>
      </c>
      <c r="L790" s="675" t="s">
        <v>7651</v>
      </c>
      <c r="M790" s="596" t="s">
        <v>7652</v>
      </c>
      <c r="N790" s="574" t="s">
        <v>7653</v>
      </c>
      <c r="O790" s="561" t="s">
        <v>5391</v>
      </c>
      <c r="P790" s="719">
        <v>6000</v>
      </c>
      <c r="Q790" s="720">
        <v>84.2</v>
      </c>
      <c r="R790" s="719">
        <f t="shared" si="53"/>
        <v>505200</v>
      </c>
      <c r="S790" s="570">
        <v>202310</v>
      </c>
      <c r="T790" s="693" t="s">
        <v>7654</v>
      </c>
      <c r="U790" s="561"/>
      <c r="V790" s="721">
        <v>82.838012695000003</v>
      </c>
      <c r="W790" s="721">
        <v>85.46</v>
      </c>
      <c r="X790" s="574">
        <v>44927</v>
      </c>
      <c r="Y790" s="574">
        <v>45291</v>
      </c>
      <c r="Z790" s="561" t="s">
        <v>7655</v>
      </c>
      <c r="AA790" s="683">
        <v>0.3</v>
      </c>
      <c r="AB790" s="582">
        <v>260</v>
      </c>
      <c r="AC790" s="713">
        <f t="shared" si="54"/>
        <v>78</v>
      </c>
    </row>
    <row r="791" spans="1:29" s="577" customFormat="1" ht="15" customHeight="1">
      <c r="A791" s="563" t="s">
        <v>813</v>
      </c>
      <c r="B791" s="561" t="s">
        <v>7101</v>
      </c>
      <c r="C791" s="561" t="s">
        <v>5529</v>
      </c>
      <c r="D791" s="561" t="s">
        <v>4593</v>
      </c>
      <c r="E791" s="563" t="s">
        <v>7641</v>
      </c>
      <c r="F791" s="563" t="s">
        <v>7642</v>
      </c>
      <c r="G791" s="563" t="s">
        <v>165</v>
      </c>
      <c r="H791" s="564" t="s">
        <v>7656</v>
      </c>
      <c r="I791" s="565" t="e">
        <f>VLOOKUP(H791,'合同高级查询数据-10月新返回合同'!A:A,1,0)</f>
        <v>#N/A</v>
      </c>
      <c r="J791" s="674" t="s">
        <v>3724</v>
      </c>
      <c r="K791" s="563" t="s">
        <v>7657</v>
      </c>
      <c r="L791" s="675" t="s">
        <v>7658</v>
      </c>
      <c r="M791" s="596" t="s">
        <v>7659</v>
      </c>
      <c r="N791" s="574" t="s">
        <v>7269</v>
      </c>
      <c r="O791" s="561" t="s">
        <v>7660</v>
      </c>
      <c r="P791" s="719">
        <v>4833.33</v>
      </c>
      <c r="Q791" s="720">
        <v>51.3</v>
      </c>
      <c r="R791" s="719">
        <f t="shared" si="53"/>
        <v>247949.83</v>
      </c>
      <c r="S791" s="570">
        <v>202310</v>
      </c>
      <c r="T791" s="693" t="s">
        <v>7661</v>
      </c>
      <c r="U791" s="561"/>
      <c r="V791" s="721">
        <v>51.296253204000003</v>
      </c>
      <c r="W791" s="721"/>
      <c r="X791" s="574">
        <v>45078</v>
      </c>
      <c r="Y791" s="574">
        <v>45443</v>
      </c>
      <c r="Z791" s="561" t="s">
        <v>7662</v>
      </c>
      <c r="AA791" s="683">
        <v>0.3</v>
      </c>
      <c r="AB791" s="582">
        <v>160</v>
      </c>
      <c r="AC791" s="713">
        <f t="shared" si="54"/>
        <v>48</v>
      </c>
    </row>
    <row r="792" spans="1:29" s="577" customFormat="1" ht="15" customHeight="1">
      <c r="A792" s="563" t="s">
        <v>813</v>
      </c>
      <c r="B792" s="561" t="s">
        <v>7101</v>
      </c>
      <c r="C792" s="561" t="s">
        <v>5574</v>
      </c>
      <c r="D792" s="561" t="s">
        <v>7155</v>
      </c>
      <c r="E792" s="563" t="s">
        <v>7641</v>
      </c>
      <c r="F792" s="563" t="s">
        <v>7642</v>
      </c>
      <c r="G792" s="563" t="s">
        <v>165</v>
      </c>
      <c r="H792" s="564" t="s">
        <v>7663</v>
      </c>
      <c r="I792" s="565" t="e">
        <f>VLOOKUP(H792,'合同高级查询数据-10月新返回合同'!A:A,1,0)</f>
        <v>#N/A</v>
      </c>
      <c r="J792" s="674" t="s">
        <v>3724</v>
      </c>
      <c r="K792" s="563" t="s">
        <v>5590</v>
      </c>
      <c r="L792" s="675" t="s">
        <v>7664</v>
      </c>
      <c r="M792" s="596" t="s">
        <v>7665</v>
      </c>
      <c r="N792" s="574">
        <v>45017</v>
      </c>
      <c r="O792" s="561" t="s">
        <v>4796</v>
      </c>
      <c r="P792" s="719">
        <v>5000</v>
      </c>
      <c r="Q792" s="720">
        <v>12</v>
      </c>
      <c r="R792" s="719">
        <f t="shared" si="53"/>
        <v>60000</v>
      </c>
      <c r="S792" s="570">
        <v>202310</v>
      </c>
      <c r="T792" s="693" t="s">
        <v>7666</v>
      </c>
      <c r="U792" s="561"/>
      <c r="V792" s="721">
        <v>9.8816146850000006</v>
      </c>
      <c r="W792" s="721"/>
      <c r="X792" s="574">
        <v>45017</v>
      </c>
      <c r="Y792" s="574">
        <v>45382</v>
      </c>
      <c r="Z792" s="561" t="s">
        <v>7667</v>
      </c>
      <c r="AA792" s="683">
        <v>0.3</v>
      </c>
      <c r="AB792" s="582">
        <v>40</v>
      </c>
      <c r="AC792" s="582">
        <f t="shared" si="54"/>
        <v>12</v>
      </c>
    </row>
    <row r="793" spans="1:29" s="385" customFormat="1" ht="15" customHeight="1">
      <c r="A793" s="388" t="s">
        <v>823</v>
      </c>
      <c r="B793" s="388" t="s">
        <v>7101</v>
      </c>
      <c r="C793" s="388" t="s">
        <v>887</v>
      </c>
      <c r="D793" s="386" t="s">
        <v>7115</v>
      </c>
      <c r="E793" s="388" t="s">
        <v>7668</v>
      </c>
      <c r="F793" s="388" t="s">
        <v>7669</v>
      </c>
      <c r="G793" s="388" t="s">
        <v>165</v>
      </c>
      <c r="H793" s="389" t="s">
        <v>7670</v>
      </c>
      <c r="I793" s="369" t="e">
        <f>VLOOKUP(H793,'合同高级查询数据-10月新返回合同'!A:A,1,0)</f>
        <v>#N/A</v>
      </c>
      <c r="J793" s="499" t="s">
        <v>3724</v>
      </c>
      <c r="K793" s="388" t="s">
        <v>7671</v>
      </c>
      <c r="L793" s="486" t="s">
        <v>7672</v>
      </c>
      <c r="M793" s="403" t="s">
        <v>7673</v>
      </c>
      <c r="N793" s="549" t="s">
        <v>7674</v>
      </c>
      <c r="O793" s="549" t="s">
        <v>7675</v>
      </c>
      <c r="P793" s="539">
        <v>5200</v>
      </c>
      <c r="Q793" s="540">
        <v>146.6</v>
      </c>
      <c r="R793" s="539">
        <f t="shared" si="53"/>
        <v>762320</v>
      </c>
      <c r="S793" s="378">
        <v>202310</v>
      </c>
      <c r="T793" s="514" t="s">
        <v>7676</v>
      </c>
      <c r="U793" s="448"/>
      <c r="V793" s="541">
        <v>146.584228516</v>
      </c>
      <c r="W793" s="541"/>
      <c r="X793" s="383"/>
      <c r="Y793" s="383"/>
      <c r="Z793" s="386" t="s">
        <v>7677</v>
      </c>
      <c r="AA793" s="506">
        <v>0.3</v>
      </c>
      <c r="AB793" s="410">
        <v>430</v>
      </c>
      <c r="AC793" s="448">
        <f t="shared" si="54"/>
        <v>129</v>
      </c>
    </row>
    <row r="794" spans="1:29" s="385" customFormat="1" ht="15" customHeight="1">
      <c r="A794" s="388" t="s">
        <v>823</v>
      </c>
      <c r="B794" s="388" t="s">
        <v>7101</v>
      </c>
      <c r="C794" s="388" t="s">
        <v>887</v>
      </c>
      <c r="D794" s="386" t="s">
        <v>7115</v>
      </c>
      <c r="E794" s="388" t="s">
        <v>7668</v>
      </c>
      <c r="F794" s="388" t="s">
        <v>7669</v>
      </c>
      <c r="G794" s="388" t="s">
        <v>165</v>
      </c>
      <c r="H794" s="389" t="s">
        <v>7678</v>
      </c>
      <c r="I794" s="369" t="e">
        <f>VLOOKUP(H794,'合同高级查询数据-10月新返回合同'!A:A,1,0)</f>
        <v>#N/A</v>
      </c>
      <c r="J794" s="499" t="s">
        <v>3724</v>
      </c>
      <c r="K794" s="388" t="s">
        <v>2069</v>
      </c>
      <c r="L794" s="551" t="s">
        <v>7679</v>
      </c>
      <c r="M794" s="403" t="s">
        <v>7680</v>
      </c>
      <c r="N794" s="549" t="s">
        <v>7681</v>
      </c>
      <c r="O794" s="549" t="s">
        <v>7682</v>
      </c>
      <c r="P794" s="539">
        <v>5200</v>
      </c>
      <c r="Q794" s="540">
        <v>99</v>
      </c>
      <c r="R794" s="539">
        <f t="shared" si="53"/>
        <v>514800</v>
      </c>
      <c r="S794" s="378">
        <v>202310</v>
      </c>
      <c r="T794" s="514" t="s">
        <v>7683</v>
      </c>
      <c r="U794" s="448"/>
      <c r="V794" s="541">
        <v>97.123855590999995</v>
      </c>
      <c r="W794" s="541">
        <v>100.75</v>
      </c>
      <c r="X794" s="383"/>
      <c r="Y794" s="383"/>
      <c r="Z794" s="386" t="s">
        <v>7684</v>
      </c>
      <c r="AA794" s="506">
        <v>0.4</v>
      </c>
      <c r="AB794" s="410">
        <v>200</v>
      </c>
      <c r="AC794" s="448">
        <f t="shared" si="54"/>
        <v>80</v>
      </c>
    </row>
    <row r="795" spans="1:29" s="577" customFormat="1" ht="15" customHeight="1">
      <c r="A795" s="563" t="s">
        <v>823</v>
      </c>
      <c r="B795" s="563" t="s">
        <v>7101</v>
      </c>
      <c r="C795" s="563" t="s">
        <v>887</v>
      </c>
      <c r="D795" s="561" t="s">
        <v>7115</v>
      </c>
      <c r="E795" s="563" t="s">
        <v>7668</v>
      </c>
      <c r="F795" s="563" t="s">
        <v>7669</v>
      </c>
      <c r="G795" s="563" t="s">
        <v>165</v>
      </c>
      <c r="H795" s="564" t="s">
        <v>7685</v>
      </c>
      <c r="I795" s="565" t="e">
        <f>VLOOKUP(H795,'合同高级查询数据-10月新返回合同'!A:A,1,0)</f>
        <v>#N/A</v>
      </c>
      <c r="J795" s="674" t="s">
        <v>3724</v>
      </c>
      <c r="K795" s="563" t="s">
        <v>2069</v>
      </c>
      <c r="L795" s="675" t="s">
        <v>7686</v>
      </c>
      <c r="M795" s="596" t="s">
        <v>7680</v>
      </c>
      <c r="N795" s="731" t="s">
        <v>7687</v>
      </c>
      <c r="O795" s="731" t="s">
        <v>6675</v>
      </c>
      <c r="P795" s="719">
        <v>5000</v>
      </c>
      <c r="Q795" s="720">
        <v>0</v>
      </c>
      <c r="R795" s="719">
        <f t="shared" si="53"/>
        <v>0</v>
      </c>
      <c r="S795" s="570">
        <v>202310</v>
      </c>
      <c r="T795" s="693" t="s">
        <v>7688</v>
      </c>
      <c r="U795" s="713"/>
      <c r="V795" s="721">
        <v>0</v>
      </c>
      <c r="W795" s="721"/>
      <c r="X795" s="574">
        <v>44075</v>
      </c>
      <c r="Y795" s="574">
        <v>44439</v>
      </c>
      <c r="Z795" s="723"/>
      <c r="AA795" s="691">
        <v>0</v>
      </c>
      <c r="AB795" s="713">
        <v>0</v>
      </c>
      <c r="AC795" s="713">
        <f t="shared" si="54"/>
        <v>0</v>
      </c>
    </row>
    <row r="796" spans="1:29" s="385" customFormat="1" ht="15" customHeight="1">
      <c r="A796" s="388" t="s">
        <v>823</v>
      </c>
      <c r="B796" s="388" t="s">
        <v>7101</v>
      </c>
      <c r="C796" s="388" t="s">
        <v>887</v>
      </c>
      <c r="D796" s="386" t="s">
        <v>7115</v>
      </c>
      <c r="E796" s="388" t="s">
        <v>7668</v>
      </c>
      <c r="F796" s="388" t="s">
        <v>7669</v>
      </c>
      <c r="G796" s="388" t="s">
        <v>165</v>
      </c>
      <c r="H796" s="389" t="s">
        <v>7670</v>
      </c>
      <c r="I796" s="369" t="e">
        <f>VLOOKUP(H796,'合同高级查询数据-10月新返回合同'!A:A,1,0)</f>
        <v>#N/A</v>
      </c>
      <c r="J796" s="499" t="s">
        <v>3724</v>
      </c>
      <c r="K796" s="388" t="s">
        <v>7689</v>
      </c>
      <c r="L796" s="486" t="s">
        <v>2800</v>
      </c>
      <c r="M796" s="403" t="s">
        <v>1570</v>
      </c>
      <c r="N796" s="549" t="s">
        <v>7690</v>
      </c>
      <c r="O796" s="549" t="s">
        <v>7691</v>
      </c>
      <c r="P796" s="539">
        <v>5200</v>
      </c>
      <c r="Q796" s="540">
        <v>142.19999999999999</v>
      </c>
      <c r="R796" s="539">
        <f t="shared" si="53"/>
        <v>739440</v>
      </c>
      <c r="S796" s="378">
        <v>202310</v>
      </c>
      <c r="T796" s="514" t="s">
        <v>7692</v>
      </c>
      <c r="U796" s="448"/>
      <c r="V796" s="541">
        <v>139.755203247</v>
      </c>
      <c r="W796" s="541">
        <v>144.5</v>
      </c>
      <c r="X796" s="383"/>
      <c r="Y796" s="383"/>
      <c r="Z796" s="386" t="s">
        <v>7693</v>
      </c>
      <c r="AA796" s="506">
        <v>0.3</v>
      </c>
      <c r="AB796" s="410">
        <v>260</v>
      </c>
      <c r="AC796" s="448">
        <f t="shared" si="54"/>
        <v>78</v>
      </c>
    </row>
    <row r="797" spans="1:29" s="385" customFormat="1" ht="15" customHeight="1">
      <c r="A797" s="388" t="s">
        <v>823</v>
      </c>
      <c r="B797" s="388" t="s">
        <v>7101</v>
      </c>
      <c r="C797" s="388" t="s">
        <v>887</v>
      </c>
      <c r="D797" s="386" t="s">
        <v>7115</v>
      </c>
      <c r="E797" s="388" t="s">
        <v>7668</v>
      </c>
      <c r="F797" s="388" t="s">
        <v>7669</v>
      </c>
      <c r="G797" s="388" t="s">
        <v>165</v>
      </c>
      <c r="H797" s="389" t="s">
        <v>7670</v>
      </c>
      <c r="I797" s="369" t="e">
        <f>VLOOKUP(H797,'合同高级查询数据-10月新返回合同'!A:A,1,0)</f>
        <v>#N/A</v>
      </c>
      <c r="J797" s="499" t="s">
        <v>3724</v>
      </c>
      <c r="K797" s="388" t="s">
        <v>7694</v>
      </c>
      <c r="L797" s="486" t="s">
        <v>2788</v>
      </c>
      <c r="M797" s="403" t="s">
        <v>7695</v>
      </c>
      <c r="N797" s="475">
        <v>43438</v>
      </c>
      <c r="O797" s="538" t="s">
        <v>1542</v>
      </c>
      <c r="P797" s="539">
        <v>5200</v>
      </c>
      <c r="Q797" s="540">
        <v>72.400000000000006</v>
      </c>
      <c r="R797" s="539">
        <f t="shared" si="53"/>
        <v>376480</v>
      </c>
      <c r="S797" s="378">
        <v>202310</v>
      </c>
      <c r="T797" s="514" t="s">
        <v>7696</v>
      </c>
      <c r="U797" s="448"/>
      <c r="V797" s="541">
        <v>71.144409179999997</v>
      </c>
      <c r="W797" s="541">
        <v>73.64</v>
      </c>
      <c r="X797" s="383"/>
      <c r="Y797" s="383"/>
      <c r="Z797" s="386" t="s">
        <v>7697</v>
      </c>
      <c r="AA797" s="506">
        <v>0.3</v>
      </c>
      <c r="AB797" s="410">
        <v>200</v>
      </c>
      <c r="AC797" s="448">
        <f t="shared" si="54"/>
        <v>60</v>
      </c>
    </row>
    <row r="798" spans="1:29" s="577" customFormat="1" ht="15" customHeight="1">
      <c r="A798" s="563" t="s">
        <v>823</v>
      </c>
      <c r="B798" s="563" t="s">
        <v>7101</v>
      </c>
      <c r="C798" s="563" t="s">
        <v>887</v>
      </c>
      <c r="D798" s="561" t="s">
        <v>7115</v>
      </c>
      <c r="E798" s="563" t="s">
        <v>7668</v>
      </c>
      <c r="F798" s="563" t="s">
        <v>7669</v>
      </c>
      <c r="G798" s="563" t="s">
        <v>165</v>
      </c>
      <c r="H798" s="564" t="s">
        <v>7698</v>
      </c>
      <c r="I798" s="565" t="e">
        <f>VLOOKUP(H798,'合同高级查询数据-10月新返回合同'!A:A,1,0)</f>
        <v>#N/A</v>
      </c>
      <c r="J798" s="674" t="s">
        <v>4000</v>
      </c>
      <c r="K798" s="563" t="s">
        <v>7694</v>
      </c>
      <c r="L798" s="675" t="s">
        <v>7699</v>
      </c>
      <c r="M798" s="596" t="s">
        <v>7695</v>
      </c>
      <c r="N798" s="657">
        <v>44075</v>
      </c>
      <c r="O798" s="726" t="s">
        <v>7700</v>
      </c>
      <c r="P798" s="719">
        <v>5500</v>
      </c>
      <c r="Q798" s="720">
        <v>0</v>
      </c>
      <c r="R798" s="719">
        <f t="shared" si="53"/>
        <v>0</v>
      </c>
      <c r="S798" s="570">
        <v>202310</v>
      </c>
      <c r="T798" s="693" t="s">
        <v>7701</v>
      </c>
      <c r="U798" s="713"/>
      <c r="V798" s="721">
        <v>0</v>
      </c>
      <c r="W798" s="721"/>
      <c r="X798" s="574">
        <v>45017</v>
      </c>
      <c r="Y798" s="574">
        <v>45382</v>
      </c>
      <c r="Z798" s="723"/>
      <c r="AA798" s="691">
        <v>0</v>
      </c>
      <c r="AB798" s="713">
        <v>0</v>
      </c>
      <c r="AC798" s="713">
        <f t="shared" si="54"/>
        <v>0</v>
      </c>
    </row>
    <row r="799" spans="1:29" s="577" customFormat="1" ht="15" customHeight="1">
      <c r="A799" s="563" t="s">
        <v>823</v>
      </c>
      <c r="B799" s="563" t="s">
        <v>7101</v>
      </c>
      <c r="C799" s="563" t="s">
        <v>887</v>
      </c>
      <c r="D799" s="561" t="s">
        <v>7115</v>
      </c>
      <c r="E799" s="563" t="s">
        <v>7668</v>
      </c>
      <c r="F799" s="563" t="s">
        <v>7669</v>
      </c>
      <c r="G799" s="563" t="s">
        <v>165</v>
      </c>
      <c r="H799" s="564" t="s">
        <v>7702</v>
      </c>
      <c r="I799" s="565" t="e">
        <f>VLOOKUP(H799,'合同高级查询数据-10月新返回合同'!A:A,1,0)</f>
        <v>#N/A</v>
      </c>
      <c r="J799" s="674" t="s">
        <v>4875</v>
      </c>
      <c r="K799" s="563" t="s">
        <v>7703</v>
      </c>
      <c r="L799" s="732" t="s">
        <v>7704</v>
      </c>
      <c r="M799" s="596" t="s">
        <v>1592</v>
      </c>
      <c r="N799" s="657">
        <v>43773</v>
      </c>
      <c r="O799" s="726" t="s">
        <v>2187</v>
      </c>
      <c r="P799" s="719">
        <v>5500</v>
      </c>
      <c r="Q799" s="720">
        <v>51.5</v>
      </c>
      <c r="R799" s="719">
        <f t="shared" si="53"/>
        <v>283250</v>
      </c>
      <c r="S799" s="570">
        <v>202310</v>
      </c>
      <c r="T799" s="693" t="s">
        <v>7705</v>
      </c>
      <c r="U799" s="713"/>
      <c r="V799" s="721">
        <v>50.445500557999999</v>
      </c>
      <c r="W799" s="721">
        <v>52.45</v>
      </c>
      <c r="X799" s="574">
        <v>45017</v>
      </c>
      <c r="Y799" s="574">
        <v>45382</v>
      </c>
      <c r="Z799" s="561" t="s">
        <v>7706</v>
      </c>
      <c r="AA799" s="683">
        <v>0.3</v>
      </c>
      <c r="AB799" s="582">
        <v>100</v>
      </c>
      <c r="AC799" s="582">
        <f t="shared" si="54"/>
        <v>30</v>
      </c>
    </row>
    <row r="800" spans="1:29" s="577" customFormat="1" ht="15" customHeight="1">
      <c r="A800" s="563" t="s">
        <v>823</v>
      </c>
      <c r="B800" s="563" t="s">
        <v>7101</v>
      </c>
      <c r="C800" s="563" t="s">
        <v>887</v>
      </c>
      <c r="D800" s="561" t="s">
        <v>7115</v>
      </c>
      <c r="E800" s="563" t="s">
        <v>7668</v>
      </c>
      <c r="F800" s="563" t="s">
        <v>7669</v>
      </c>
      <c r="G800" s="563" t="s">
        <v>165</v>
      </c>
      <c r="H800" s="564" t="s">
        <v>7698</v>
      </c>
      <c r="I800" s="565" t="e">
        <f>VLOOKUP(H800,'合同高级查询数据-10月新返回合同'!A:A,1,0)</f>
        <v>#N/A</v>
      </c>
      <c r="J800" s="674" t="s">
        <v>3724</v>
      </c>
      <c r="K800" s="561" t="s">
        <v>7671</v>
      </c>
      <c r="L800" s="561" t="s">
        <v>7707</v>
      </c>
      <c r="M800" s="561" t="s">
        <v>7673</v>
      </c>
      <c r="N800" s="574" t="s">
        <v>7708</v>
      </c>
      <c r="O800" s="561" t="s">
        <v>7709</v>
      </c>
      <c r="P800" s="719">
        <v>5500</v>
      </c>
      <c r="Q800" s="720">
        <v>0</v>
      </c>
      <c r="R800" s="719">
        <f t="shared" si="53"/>
        <v>0</v>
      </c>
      <c r="S800" s="570">
        <v>202310</v>
      </c>
      <c r="T800" s="742" t="s">
        <v>7710</v>
      </c>
      <c r="U800" s="728"/>
      <c r="V800" s="721">
        <v>0</v>
      </c>
      <c r="W800" s="721"/>
      <c r="X800" s="574">
        <v>45017</v>
      </c>
      <c r="Y800" s="574">
        <v>45382</v>
      </c>
      <c r="Z800" s="723"/>
      <c r="AA800" s="691">
        <v>0</v>
      </c>
      <c r="AB800" s="713">
        <v>0</v>
      </c>
      <c r="AC800" s="713">
        <f t="shared" si="54"/>
        <v>0</v>
      </c>
    </row>
    <row r="801" spans="1:29" s="385" customFormat="1" ht="15" customHeight="1">
      <c r="A801" s="388" t="s">
        <v>823</v>
      </c>
      <c r="B801" s="388" t="s">
        <v>7101</v>
      </c>
      <c r="C801" s="388" t="s">
        <v>887</v>
      </c>
      <c r="D801" s="386" t="s">
        <v>7115</v>
      </c>
      <c r="E801" s="388" t="s">
        <v>7668</v>
      </c>
      <c r="F801" s="388" t="s">
        <v>7669</v>
      </c>
      <c r="G801" s="388" t="s">
        <v>165</v>
      </c>
      <c r="H801" s="389" t="s">
        <v>7670</v>
      </c>
      <c r="I801" s="369" t="e">
        <f>VLOOKUP(H801,'合同高级查询数据-10月新返回合同'!A:A,1,0)</f>
        <v>#N/A</v>
      </c>
      <c r="J801" s="499" t="s">
        <v>3724</v>
      </c>
      <c r="K801" s="386" t="s">
        <v>7671</v>
      </c>
      <c r="L801" s="386" t="s">
        <v>7711</v>
      </c>
      <c r="M801" s="386" t="s">
        <v>7712</v>
      </c>
      <c r="N801" s="383" t="s">
        <v>7713</v>
      </c>
      <c r="O801" s="386" t="s">
        <v>7714</v>
      </c>
      <c r="P801" s="539">
        <v>5200</v>
      </c>
      <c r="Q801" s="540">
        <v>66.7</v>
      </c>
      <c r="R801" s="539">
        <f t="shared" si="53"/>
        <v>346840</v>
      </c>
      <c r="S801" s="378">
        <v>202310</v>
      </c>
      <c r="T801" s="542" t="s">
        <v>7715</v>
      </c>
      <c r="U801" s="547"/>
      <c r="V801" s="541">
        <v>66.652351378999995</v>
      </c>
      <c r="W801" s="541"/>
      <c r="X801" s="383"/>
      <c r="Y801" s="383"/>
      <c r="Z801" s="411" t="s">
        <v>7716</v>
      </c>
      <c r="AA801" s="506">
        <v>0.3</v>
      </c>
      <c r="AB801" s="410">
        <v>200</v>
      </c>
      <c r="AC801" s="448">
        <f t="shared" si="54"/>
        <v>60</v>
      </c>
    </row>
    <row r="802" spans="1:29" s="577" customFormat="1" ht="15" customHeight="1">
      <c r="A802" s="563" t="s">
        <v>823</v>
      </c>
      <c r="B802" s="563" t="s">
        <v>7101</v>
      </c>
      <c r="C802" s="563" t="s">
        <v>7569</v>
      </c>
      <c r="D802" s="561" t="s">
        <v>7115</v>
      </c>
      <c r="E802" s="563" t="s">
        <v>7668</v>
      </c>
      <c r="F802" s="563" t="s">
        <v>7669</v>
      </c>
      <c r="G802" s="563" t="s">
        <v>165</v>
      </c>
      <c r="H802" s="564" t="s">
        <v>7717</v>
      </c>
      <c r="I802" s="565" t="e">
        <f>VLOOKUP(H802,'合同高级查询数据-10月新返回合同'!A:A,1,0)</f>
        <v>#N/A</v>
      </c>
      <c r="J802" s="674" t="s">
        <v>3724</v>
      </c>
      <c r="K802" s="563" t="s">
        <v>6244</v>
      </c>
      <c r="L802" s="732" t="s">
        <v>7718</v>
      </c>
      <c r="M802" s="596" t="s">
        <v>7719</v>
      </c>
      <c r="N802" s="731" t="s">
        <v>7720</v>
      </c>
      <c r="O802" s="731" t="s">
        <v>7721</v>
      </c>
      <c r="P802" s="719">
        <v>4200</v>
      </c>
      <c r="Q802" s="720">
        <v>0</v>
      </c>
      <c r="R802" s="719">
        <f t="shared" si="53"/>
        <v>0</v>
      </c>
      <c r="S802" s="570">
        <v>202310</v>
      </c>
      <c r="T802" s="693" t="s">
        <v>7722</v>
      </c>
      <c r="U802" s="713"/>
      <c r="V802" s="721">
        <v>0</v>
      </c>
      <c r="W802" s="721"/>
      <c r="X802" s="574">
        <v>45017</v>
      </c>
      <c r="Y802" s="574">
        <v>45382</v>
      </c>
      <c r="Z802" s="723"/>
      <c r="AA802" s="683">
        <v>0</v>
      </c>
      <c r="AB802" s="582">
        <v>0</v>
      </c>
      <c r="AC802" s="713">
        <f t="shared" si="54"/>
        <v>0</v>
      </c>
    </row>
    <row r="803" spans="1:29" s="577" customFormat="1" ht="15" customHeight="1">
      <c r="A803" s="563" t="s">
        <v>823</v>
      </c>
      <c r="B803" s="563" t="s">
        <v>7101</v>
      </c>
      <c r="C803" s="563" t="s">
        <v>5601</v>
      </c>
      <c r="D803" s="561" t="s">
        <v>7115</v>
      </c>
      <c r="E803" s="563" t="s">
        <v>7668</v>
      </c>
      <c r="F803" s="563" t="s">
        <v>7669</v>
      </c>
      <c r="G803" s="563" t="s">
        <v>165</v>
      </c>
      <c r="H803" s="564" t="s">
        <v>7723</v>
      </c>
      <c r="I803" s="565" t="e">
        <f>VLOOKUP(H803,'合同高级查询数据-10月新返回合同'!A:A,1,0)</f>
        <v>#N/A</v>
      </c>
      <c r="J803" s="674" t="s">
        <v>3724</v>
      </c>
      <c r="K803" s="563" t="s">
        <v>6017</v>
      </c>
      <c r="L803" s="675" t="s">
        <v>7724</v>
      </c>
      <c r="M803" s="596" t="s">
        <v>7725</v>
      </c>
      <c r="N803" s="574" t="s">
        <v>7726</v>
      </c>
      <c r="O803" s="561" t="s">
        <v>7727</v>
      </c>
      <c r="P803" s="719">
        <v>5500</v>
      </c>
      <c r="Q803" s="720">
        <v>0</v>
      </c>
      <c r="R803" s="719">
        <f t="shared" si="53"/>
        <v>0</v>
      </c>
      <c r="S803" s="570">
        <v>202310</v>
      </c>
      <c r="T803" s="742" t="s">
        <v>7728</v>
      </c>
      <c r="U803" s="728"/>
      <c r="V803" s="721">
        <v>0</v>
      </c>
      <c r="W803" s="721"/>
      <c r="X803" s="731">
        <v>44197</v>
      </c>
      <c r="Y803" s="731">
        <v>44561</v>
      </c>
      <c r="Z803" s="723"/>
      <c r="AA803" s="691">
        <v>0</v>
      </c>
      <c r="AB803" s="713">
        <v>0</v>
      </c>
      <c r="AC803" s="713">
        <f t="shared" si="54"/>
        <v>0</v>
      </c>
    </row>
    <row r="804" spans="1:29" s="577" customFormat="1" ht="15" customHeight="1">
      <c r="A804" s="563" t="s">
        <v>823</v>
      </c>
      <c r="B804" s="563" t="s">
        <v>7101</v>
      </c>
      <c r="C804" s="563" t="s">
        <v>4881</v>
      </c>
      <c r="D804" s="561" t="s">
        <v>7155</v>
      </c>
      <c r="E804" s="563" t="s">
        <v>7668</v>
      </c>
      <c r="F804" s="563" t="s">
        <v>7669</v>
      </c>
      <c r="G804" s="563" t="s">
        <v>165</v>
      </c>
      <c r="H804" s="564" t="s">
        <v>7729</v>
      </c>
      <c r="I804" s="565" t="e">
        <f>VLOOKUP(H804,'合同高级查询数据-10月新返回合同'!A:A,1,0)</f>
        <v>#N/A</v>
      </c>
      <c r="J804" s="674" t="s">
        <v>3724</v>
      </c>
      <c r="K804" s="563" t="s">
        <v>4916</v>
      </c>
      <c r="L804" s="675" t="s">
        <v>7730</v>
      </c>
      <c r="M804" s="596" t="s">
        <v>7731</v>
      </c>
      <c r="N804" s="731" t="s">
        <v>7732</v>
      </c>
      <c r="O804" s="561" t="s">
        <v>7733</v>
      </c>
      <c r="P804" s="639">
        <v>5500</v>
      </c>
      <c r="Q804" s="720">
        <v>0</v>
      </c>
      <c r="R804" s="719">
        <f t="shared" si="53"/>
        <v>0</v>
      </c>
      <c r="S804" s="570">
        <v>202310</v>
      </c>
      <c r="T804" s="693" t="s">
        <v>7734</v>
      </c>
      <c r="U804" s="728"/>
      <c r="V804" s="721">
        <v>0</v>
      </c>
      <c r="W804" s="721"/>
      <c r="X804" s="574">
        <v>44287</v>
      </c>
      <c r="Y804" s="574">
        <v>44561</v>
      </c>
      <c r="Z804" s="723"/>
      <c r="AA804" s="691">
        <v>0</v>
      </c>
      <c r="AB804" s="713">
        <v>0</v>
      </c>
      <c r="AC804" s="713">
        <f t="shared" si="54"/>
        <v>0</v>
      </c>
    </row>
    <row r="805" spans="1:29" s="577" customFormat="1" ht="15" customHeight="1">
      <c r="A805" s="563" t="s">
        <v>823</v>
      </c>
      <c r="B805" s="561" t="s">
        <v>7101</v>
      </c>
      <c r="C805" s="561" t="s">
        <v>4881</v>
      </c>
      <c r="D805" s="561" t="s">
        <v>7155</v>
      </c>
      <c r="E805" s="563" t="s">
        <v>7668</v>
      </c>
      <c r="F805" s="563" t="s">
        <v>7669</v>
      </c>
      <c r="G805" s="563" t="s">
        <v>165</v>
      </c>
      <c r="H805" s="564" t="s">
        <v>7729</v>
      </c>
      <c r="I805" s="565" t="e">
        <f>VLOOKUP(H805,'合同高级查询数据-10月新返回合同'!A:A,1,0)</f>
        <v>#N/A</v>
      </c>
      <c r="J805" s="674" t="s">
        <v>3724</v>
      </c>
      <c r="K805" s="563" t="s">
        <v>4916</v>
      </c>
      <c r="L805" s="675" t="s">
        <v>7735</v>
      </c>
      <c r="M805" s="596" t="s">
        <v>7731</v>
      </c>
      <c r="N805" s="735">
        <v>44287</v>
      </c>
      <c r="O805" s="743" t="s">
        <v>5525</v>
      </c>
      <c r="P805" s="719">
        <v>5500</v>
      </c>
      <c r="Q805" s="720">
        <v>0</v>
      </c>
      <c r="R805" s="719">
        <f t="shared" si="53"/>
        <v>0</v>
      </c>
      <c r="S805" s="570">
        <v>202310</v>
      </c>
      <c r="T805" s="693" t="s">
        <v>7736</v>
      </c>
      <c r="U805" s="728"/>
      <c r="V805" s="721">
        <v>0</v>
      </c>
      <c r="W805" s="721"/>
      <c r="X805" s="574">
        <v>44287</v>
      </c>
      <c r="Y805" s="574">
        <v>44561</v>
      </c>
      <c r="Z805" s="723"/>
      <c r="AA805" s="691">
        <v>0</v>
      </c>
      <c r="AB805" s="713">
        <v>0</v>
      </c>
      <c r="AC805" s="713">
        <f t="shared" si="54"/>
        <v>0</v>
      </c>
    </row>
    <row r="806" spans="1:29" s="385" customFormat="1" ht="15" customHeight="1">
      <c r="A806" s="388" t="s">
        <v>823</v>
      </c>
      <c r="B806" s="552" t="s">
        <v>7101</v>
      </c>
      <c r="C806" s="386" t="s">
        <v>887</v>
      </c>
      <c r="D806" s="386" t="s">
        <v>7115</v>
      </c>
      <c r="E806" s="388" t="s">
        <v>7668</v>
      </c>
      <c r="F806" s="388" t="s">
        <v>7669</v>
      </c>
      <c r="G806" s="388" t="s">
        <v>165</v>
      </c>
      <c r="H806" s="389" t="s">
        <v>7737</v>
      </c>
      <c r="I806" s="369" t="e">
        <f>VLOOKUP(H806,'合同高级查询数据-10月新返回合同'!A:A,1,0)</f>
        <v>#N/A</v>
      </c>
      <c r="J806" s="499" t="s">
        <v>3724</v>
      </c>
      <c r="K806" s="388" t="s">
        <v>7671</v>
      </c>
      <c r="L806" s="486" t="s">
        <v>7738</v>
      </c>
      <c r="M806" s="403" t="s">
        <v>7712</v>
      </c>
      <c r="N806" s="383" t="s">
        <v>7739</v>
      </c>
      <c r="O806" s="386" t="s">
        <v>7740</v>
      </c>
      <c r="P806" s="539">
        <v>5200</v>
      </c>
      <c r="Q806" s="540">
        <v>47.9</v>
      </c>
      <c r="R806" s="539">
        <f t="shared" si="53"/>
        <v>249080</v>
      </c>
      <c r="S806" s="378">
        <v>202310</v>
      </c>
      <c r="T806" s="514" t="s">
        <v>7741</v>
      </c>
      <c r="U806" s="547"/>
      <c r="V806" s="541">
        <v>47.860183716000002</v>
      </c>
      <c r="W806" s="541"/>
      <c r="X806" s="383"/>
      <c r="Y806" s="425"/>
      <c r="Z806" s="386" t="s">
        <v>7742</v>
      </c>
      <c r="AA806" s="506">
        <v>0.4</v>
      </c>
      <c r="AB806" s="410">
        <v>100</v>
      </c>
      <c r="AC806" s="448">
        <f t="shared" si="54"/>
        <v>40</v>
      </c>
    </row>
    <row r="807" spans="1:29" s="577" customFormat="1" ht="15" customHeight="1">
      <c r="A807" s="563" t="s">
        <v>823</v>
      </c>
      <c r="B807" s="563" t="s">
        <v>7101</v>
      </c>
      <c r="C807" s="563" t="s">
        <v>887</v>
      </c>
      <c r="D807" s="561" t="s">
        <v>7115</v>
      </c>
      <c r="E807" s="563" t="s">
        <v>7668</v>
      </c>
      <c r="F807" s="563" t="s">
        <v>7669</v>
      </c>
      <c r="G807" s="563" t="s">
        <v>165</v>
      </c>
      <c r="H807" s="564" t="s">
        <v>7743</v>
      </c>
      <c r="I807" s="565" t="e">
        <f>VLOOKUP(H807,'合同高级查询数据-10月新返回合同'!A:A,1,0)</f>
        <v>#N/A</v>
      </c>
      <c r="J807" s="674" t="s">
        <v>3724</v>
      </c>
      <c r="K807" s="563" t="s">
        <v>2069</v>
      </c>
      <c r="L807" s="675" t="s">
        <v>7744</v>
      </c>
      <c r="M807" s="721" t="s">
        <v>7745</v>
      </c>
      <c r="N807" s="731" t="s">
        <v>7746</v>
      </c>
      <c r="O807" s="561" t="s">
        <v>7747</v>
      </c>
      <c r="P807" s="719">
        <v>5200</v>
      </c>
      <c r="Q807" s="720">
        <v>0</v>
      </c>
      <c r="R807" s="719">
        <f t="shared" si="53"/>
        <v>0</v>
      </c>
      <c r="S807" s="570">
        <v>202310</v>
      </c>
      <c r="T807" s="693" t="s">
        <v>7748</v>
      </c>
      <c r="U807" s="728"/>
      <c r="V807" s="721">
        <v>0</v>
      </c>
      <c r="W807" s="721"/>
      <c r="X807" s="574">
        <v>44927</v>
      </c>
      <c r="Y807" s="574">
        <v>45291</v>
      </c>
      <c r="Z807" s="723"/>
      <c r="AA807" s="691">
        <v>0</v>
      </c>
      <c r="AB807" s="713">
        <v>0</v>
      </c>
      <c r="AC807" s="713">
        <f t="shared" si="54"/>
        <v>0</v>
      </c>
    </row>
    <row r="808" spans="1:29" s="577" customFormat="1" ht="15" customHeight="1">
      <c r="A808" s="563" t="s">
        <v>823</v>
      </c>
      <c r="B808" s="561" t="s">
        <v>7101</v>
      </c>
      <c r="C808" s="561" t="s">
        <v>887</v>
      </c>
      <c r="D808" s="561" t="s">
        <v>7115</v>
      </c>
      <c r="E808" s="563" t="s">
        <v>7668</v>
      </c>
      <c r="F808" s="563" t="s">
        <v>7669</v>
      </c>
      <c r="G808" s="563" t="s">
        <v>165</v>
      </c>
      <c r="H808" s="564" t="s">
        <v>7743</v>
      </c>
      <c r="I808" s="565" t="e">
        <f>VLOOKUP(H808,'合同高级查询数据-10月新返回合同'!A:A,1,0)</f>
        <v>#N/A</v>
      </c>
      <c r="J808" s="674" t="s">
        <v>3724</v>
      </c>
      <c r="K808" s="563" t="s">
        <v>2069</v>
      </c>
      <c r="L808" s="675" t="s">
        <v>7749</v>
      </c>
      <c r="M808" s="596" t="s">
        <v>7745</v>
      </c>
      <c r="N808" s="574">
        <v>44287</v>
      </c>
      <c r="O808" s="561" t="s">
        <v>6675</v>
      </c>
      <c r="P808" s="719">
        <v>5200</v>
      </c>
      <c r="Q808" s="720">
        <v>0</v>
      </c>
      <c r="R808" s="719">
        <f t="shared" si="53"/>
        <v>0</v>
      </c>
      <c r="S808" s="570">
        <v>202310</v>
      </c>
      <c r="T808" s="693" t="s">
        <v>7750</v>
      </c>
      <c r="U808" s="728"/>
      <c r="V808" s="721">
        <v>0</v>
      </c>
      <c r="W808" s="721"/>
      <c r="X808" s="574">
        <v>44927</v>
      </c>
      <c r="Y808" s="574">
        <v>45291</v>
      </c>
      <c r="Z808" s="723"/>
      <c r="AA808" s="691">
        <v>0</v>
      </c>
      <c r="AB808" s="713">
        <v>0</v>
      </c>
      <c r="AC808" s="713">
        <f t="shared" si="54"/>
        <v>0</v>
      </c>
    </row>
    <row r="809" spans="1:29" s="577" customFormat="1" ht="15" customHeight="1">
      <c r="A809" s="563" t="s">
        <v>823</v>
      </c>
      <c r="B809" s="561" t="s">
        <v>7101</v>
      </c>
      <c r="C809" s="561" t="s">
        <v>188</v>
      </c>
      <c r="D809" s="561" t="s">
        <v>4593</v>
      </c>
      <c r="E809" s="563" t="s">
        <v>7668</v>
      </c>
      <c r="F809" s="563" t="s">
        <v>7669</v>
      </c>
      <c r="G809" s="563" t="s">
        <v>165</v>
      </c>
      <c r="H809" s="564" t="s">
        <v>7751</v>
      </c>
      <c r="I809" s="565" t="e">
        <f>VLOOKUP(H809,'合同高级查询数据-10月新返回合同'!A:A,1,0)</f>
        <v>#N/A</v>
      </c>
      <c r="J809" s="674" t="s">
        <v>3724</v>
      </c>
      <c r="K809" s="563" t="s">
        <v>7752</v>
      </c>
      <c r="L809" s="675" t="s">
        <v>3556</v>
      </c>
      <c r="M809" s="596" t="s">
        <v>7753</v>
      </c>
      <c r="N809" s="574">
        <v>44348</v>
      </c>
      <c r="O809" s="561" t="s">
        <v>4764</v>
      </c>
      <c r="P809" s="719">
        <v>3400</v>
      </c>
      <c r="Q809" s="720">
        <v>160</v>
      </c>
      <c r="R809" s="719">
        <f t="shared" si="53"/>
        <v>544000</v>
      </c>
      <c r="S809" s="570">
        <v>202310</v>
      </c>
      <c r="T809" s="693" t="s">
        <v>7754</v>
      </c>
      <c r="U809" s="728"/>
      <c r="V809" s="721">
        <v>125.300720215</v>
      </c>
      <c r="W809" s="721"/>
      <c r="X809" s="574">
        <v>45017</v>
      </c>
      <c r="Y809" s="574">
        <v>45382</v>
      </c>
      <c r="Z809" s="561" t="s">
        <v>7755</v>
      </c>
      <c r="AA809" s="683">
        <v>1</v>
      </c>
      <c r="AB809" s="582">
        <v>160</v>
      </c>
      <c r="AC809" s="713">
        <f t="shared" si="54"/>
        <v>160</v>
      </c>
    </row>
    <row r="810" spans="1:29" s="385" customFormat="1" ht="15" customHeight="1">
      <c r="A810" s="388" t="s">
        <v>823</v>
      </c>
      <c r="B810" s="386" t="s">
        <v>7101</v>
      </c>
      <c r="C810" s="388" t="s">
        <v>887</v>
      </c>
      <c r="D810" s="386" t="s">
        <v>7115</v>
      </c>
      <c r="E810" s="388" t="s">
        <v>7668</v>
      </c>
      <c r="F810" s="388" t="s">
        <v>7669</v>
      </c>
      <c r="G810" s="388" t="s">
        <v>165</v>
      </c>
      <c r="H810" s="389" t="s">
        <v>7756</v>
      </c>
      <c r="I810" s="369" t="e">
        <f>VLOOKUP(H810,'合同高级查询数据-10月新返回合同'!A:A,1,0)</f>
        <v>#N/A</v>
      </c>
      <c r="J810" s="499" t="s">
        <v>3724</v>
      </c>
      <c r="K810" s="388" t="s">
        <v>2805</v>
      </c>
      <c r="L810" s="551" t="s">
        <v>7757</v>
      </c>
      <c r="M810" s="403" t="s">
        <v>7758</v>
      </c>
      <c r="N810" s="549">
        <v>44591</v>
      </c>
      <c r="O810" s="549" t="s">
        <v>1542</v>
      </c>
      <c r="P810" s="539">
        <v>5200</v>
      </c>
      <c r="Q810" s="540">
        <v>67.900000000000006</v>
      </c>
      <c r="R810" s="539">
        <f t="shared" si="53"/>
        <v>353080</v>
      </c>
      <c r="S810" s="378">
        <v>202310</v>
      </c>
      <c r="T810" s="514" t="s">
        <v>7759</v>
      </c>
      <c r="U810" s="547"/>
      <c r="V810" s="541">
        <v>66.681137085000003</v>
      </c>
      <c r="W810" s="541">
        <v>69.010000000000005</v>
      </c>
      <c r="X810" s="383"/>
      <c r="Y810" s="383"/>
      <c r="Z810" s="386" t="s">
        <v>7760</v>
      </c>
      <c r="AA810" s="506">
        <v>0.3</v>
      </c>
      <c r="AB810" s="410">
        <v>200</v>
      </c>
      <c r="AC810" s="448">
        <f t="shared" si="54"/>
        <v>60</v>
      </c>
    </row>
    <row r="811" spans="1:29" s="577" customFormat="1" ht="15" customHeight="1">
      <c r="A811" s="563" t="s">
        <v>823</v>
      </c>
      <c r="B811" s="561" t="s">
        <v>7101</v>
      </c>
      <c r="C811" s="563" t="s">
        <v>887</v>
      </c>
      <c r="D811" s="561" t="s">
        <v>7115</v>
      </c>
      <c r="E811" s="563" t="s">
        <v>7668</v>
      </c>
      <c r="F811" s="563" t="s">
        <v>7669</v>
      </c>
      <c r="G811" s="563" t="s">
        <v>165</v>
      </c>
      <c r="H811" s="564" t="s">
        <v>7761</v>
      </c>
      <c r="I811" s="565" t="e">
        <f>VLOOKUP(H811,'合同高级查询数据-10月新返回合同'!A:A,1,0)</f>
        <v>#N/A</v>
      </c>
      <c r="J811" s="674" t="s">
        <v>3724</v>
      </c>
      <c r="K811" s="563" t="s">
        <v>2069</v>
      </c>
      <c r="L811" s="732" t="s">
        <v>7762</v>
      </c>
      <c r="M811" s="596" t="s">
        <v>7763</v>
      </c>
      <c r="N811" s="731" t="s">
        <v>7764</v>
      </c>
      <c r="O811" s="731" t="s">
        <v>6675</v>
      </c>
      <c r="P811" s="719">
        <v>5200</v>
      </c>
      <c r="Q811" s="720">
        <v>0</v>
      </c>
      <c r="R811" s="719">
        <f t="shared" si="53"/>
        <v>0</v>
      </c>
      <c r="S811" s="570">
        <v>202310</v>
      </c>
      <c r="T811" s="693" t="s">
        <v>7765</v>
      </c>
      <c r="U811" s="728"/>
      <c r="V811" s="721">
        <v>0</v>
      </c>
      <c r="W811" s="721"/>
      <c r="X811" s="574">
        <v>44927</v>
      </c>
      <c r="Y811" s="574">
        <v>45291</v>
      </c>
      <c r="Z811" s="723"/>
      <c r="AA811" s="691">
        <v>0</v>
      </c>
      <c r="AB811" s="713">
        <v>0</v>
      </c>
      <c r="AC811" s="713">
        <f t="shared" si="54"/>
        <v>0</v>
      </c>
    </row>
    <row r="812" spans="1:29" s="577" customFormat="1" ht="15" customHeight="1">
      <c r="A812" s="563" t="s">
        <v>813</v>
      </c>
      <c r="B812" s="561" t="s">
        <v>7101</v>
      </c>
      <c r="C812" s="561" t="s">
        <v>887</v>
      </c>
      <c r="D812" s="561" t="s">
        <v>7115</v>
      </c>
      <c r="E812" s="561" t="s">
        <v>7668</v>
      </c>
      <c r="F812" s="561" t="s">
        <v>7669</v>
      </c>
      <c r="G812" s="563" t="s">
        <v>165</v>
      </c>
      <c r="H812" s="561" t="s">
        <v>7766</v>
      </c>
      <c r="I812" s="565" t="str">
        <f>VLOOKUP(H812,'合同高级查询数据-10月新返回合同'!A:A,1,0)</f>
        <v>182315IDC00540</v>
      </c>
      <c r="J812" s="674" t="s">
        <v>3724</v>
      </c>
      <c r="K812" s="561" t="s">
        <v>2805</v>
      </c>
      <c r="L812" s="561" t="s">
        <v>7767</v>
      </c>
      <c r="M812" s="561" t="s">
        <v>7768</v>
      </c>
      <c r="N812" s="574" t="s">
        <v>7769</v>
      </c>
      <c r="O812" s="561" t="s">
        <v>7770</v>
      </c>
      <c r="P812" s="581">
        <v>4650</v>
      </c>
      <c r="Q812" s="720">
        <v>46</v>
      </c>
      <c r="R812" s="719">
        <f t="shared" si="53"/>
        <v>213900</v>
      </c>
      <c r="S812" s="570">
        <v>202310</v>
      </c>
      <c r="T812" s="693" t="s">
        <v>7771</v>
      </c>
      <c r="U812" s="561"/>
      <c r="V812" s="721">
        <v>45.216072083</v>
      </c>
      <c r="W812" s="721">
        <v>46.69</v>
      </c>
      <c r="X812" s="574">
        <v>45139</v>
      </c>
      <c r="Y812" s="574">
        <v>45504</v>
      </c>
      <c r="Z812" s="561" t="s">
        <v>7772</v>
      </c>
      <c r="AA812" s="683">
        <v>0.25</v>
      </c>
      <c r="AB812" s="582">
        <v>100</v>
      </c>
      <c r="AC812" s="713">
        <f t="shared" si="54"/>
        <v>25</v>
      </c>
    </row>
    <row r="813" spans="1:29" s="577" customFormat="1" ht="15" customHeight="1">
      <c r="A813" s="563" t="s">
        <v>813</v>
      </c>
      <c r="B813" s="561" t="s">
        <v>7101</v>
      </c>
      <c r="C813" s="561" t="s">
        <v>887</v>
      </c>
      <c r="D813" s="561" t="s">
        <v>7115</v>
      </c>
      <c r="E813" s="561" t="s">
        <v>7668</v>
      </c>
      <c r="F813" s="561" t="s">
        <v>7669</v>
      </c>
      <c r="G813" s="563" t="s">
        <v>165</v>
      </c>
      <c r="H813" s="561" t="s">
        <v>7766</v>
      </c>
      <c r="I813" s="565" t="str">
        <f>VLOOKUP(H813,'合同高级查询数据-10月新返回合同'!A:A,1,0)</f>
        <v>182315IDC00540</v>
      </c>
      <c r="J813" s="674" t="s">
        <v>3724</v>
      </c>
      <c r="K813" s="561" t="s">
        <v>2805</v>
      </c>
      <c r="L813" s="561" t="s">
        <v>7773</v>
      </c>
      <c r="M813" s="561" t="s">
        <v>7768</v>
      </c>
      <c r="N813" s="574" t="s">
        <v>7774</v>
      </c>
      <c r="O813" s="561" t="s">
        <v>7775</v>
      </c>
      <c r="P813" s="581">
        <v>4650</v>
      </c>
      <c r="Q813" s="720">
        <v>37.299999999999997</v>
      </c>
      <c r="R813" s="719">
        <f t="shared" si="53"/>
        <v>173445</v>
      </c>
      <c r="S813" s="570">
        <v>202310</v>
      </c>
      <c r="T813" s="693" t="s">
        <v>7776</v>
      </c>
      <c r="U813" s="561"/>
      <c r="V813" s="721">
        <v>37.263362884999999</v>
      </c>
      <c r="W813" s="721"/>
      <c r="X813" s="574">
        <v>45139</v>
      </c>
      <c r="Y813" s="574">
        <v>45504</v>
      </c>
      <c r="Z813" s="561" t="s">
        <v>7777</v>
      </c>
      <c r="AA813" s="683">
        <v>0.25</v>
      </c>
      <c r="AB813" s="582">
        <v>100</v>
      </c>
      <c r="AC813" s="713">
        <f t="shared" si="54"/>
        <v>25</v>
      </c>
    </row>
    <row r="814" spans="1:29" s="577" customFormat="1" ht="15" customHeight="1">
      <c r="A814" s="563" t="s">
        <v>823</v>
      </c>
      <c r="B814" s="561" t="s">
        <v>7101</v>
      </c>
      <c r="C814" s="563" t="s">
        <v>887</v>
      </c>
      <c r="D814" s="561" t="s">
        <v>7115</v>
      </c>
      <c r="E814" s="563" t="s">
        <v>7668</v>
      </c>
      <c r="F814" s="563" t="s">
        <v>7669</v>
      </c>
      <c r="G814" s="563" t="s">
        <v>165</v>
      </c>
      <c r="H814" s="561" t="s">
        <v>7778</v>
      </c>
      <c r="I814" s="565" t="e">
        <f>VLOOKUP(H814,'合同高级查询数据-10月新返回合同'!A:A,1,0)</f>
        <v>#N/A</v>
      </c>
      <c r="J814" s="674" t="s">
        <v>3724</v>
      </c>
      <c r="K814" s="561" t="s">
        <v>7779</v>
      </c>
      <c r="L814" s="561" t="s">
        <v>3596</v>
      </c>
      <c r="M814" s="561" t="s">
        <v>7780</v>
      </c>
      <c r="N814" s="574" t="s">
        <v>7781</v>
      </c>
      <c r="O814" s="561" t="s">
        <v>5228</v>
      </c>
      <c r="P814" s="581">
        <v>4200</v>
      </c>
      <c r="Q814" s="720">
        <v>0</v>
      </c>
      <c r="R814" s="719">
        <f t="shared" si="53"/>
        <v>0</v>
      </c>
      <c r="S814" s="570">
        <v>202310</v>
      </c>
      <c r="T814" s="693" t="s">
        <v>7782</v>
      </c>
      <c r="U814" s="561"/>
      <c r="V814" s="721">
        <v>0</v>
      </c>
      <c r="W814" s="721"/>
      <c r="X814" s="574">
        <v>44835</v>
      </c>
      <c r="Y814" s="574">
        <v>45199</v>
      </c>
      <c r="Z814" s="561"/>
      <c r="AA814" s="683">
        <v>0</v>
      </c>
      <c r="AB814" s="582">
        <v>0</v>
      </c>
      <c r="AC814" s="713">
        <f t="shared" si="54"/>
        <v>0</v>
      </c>
    </row>
    <row r="815" spans="1:29" s="577" customFormat="1" ht="15" customHeight="1">
      <c r="A815" s="563" t="s">
        <v>823</v>
      </c>
      <c r="B815" s="561" t="s">
        <v>7101</v>
      </c>
      <c r="C815" s="563" t="s">
        <v>887</v>
      </c>
      <c r="D815" s="561" t="s">
        <v>7115</v>
      </c>
      <c r="E815" s="563" t="s">
        <v>7668</v>
      </c>
      <c r="F815" s="563" t="s">
        <v>7669</v>
      </c>
      <c r="G815" s="563" t="s">
        <v>165</v>
      </c>
      <c r="H815" s="561" t="s">
        <v>7783</v>
      </c>
      <c r="I815" s="565" t="e">
        <f>VLOOKUP(H815,'合同高级查询数据-10月新返回合同'!A:A,1,0)</f>
        <v>#N/A</v>
      </c>
      <c r="J815" s="674" t="s">
        <v>3724</v>
      </c>
      <c r="K815" s="561" t="s">
        <v>7779</v>
      </c>
      <c r="L815" s="561" t="s">
        <v>7784</v>
      </c>
      <c r="M815" s="561" t="s">
        <v>7780</v>
      </c>
      <c r="N815" s="574">
        <v>45109</v>
      </c>
      <c r="O815" s="561" t="s">
        <v>1542</v>
      </c>
      <c r="P815" s="581">
        <v>5200</v>
      </c>
      <c r="Q815" s="720">
        <v>89.2</v>
      </c>
      <c r="R815" s="719">
        <f t="shared" si="53"/>
        <v>463840</v>
      </c>
      <c r="S815" s="570">
        <v>202310</v>
      </c>
      <c r="T815" s="693" t="s">
        <v>7785</v>
      </c>
      <c r="U815" s="561"/>
      <c r="V815" s="721">
        <v>89.124916076999995</v>
      </c>
      <c r="W815" s="721"/>
      <c r="X815" s="574">
        <v>45108</v>
      </c>
      <c r="Y815" s="574">
        <v>45473</v>
      </c>
      <c r="Z815" s="723" t="s">
        <v>7786</v>
      </c>
      <c r="AA815" s="683">
        <v>0.4</v>
      </c>
      <c r="AB815" s="713">
        <v>200</v>
      </c>
      <c r="AC815" s="582">
        <f t="shared" si="54"/>
        <v>80</v>
      </c>
    </row>
    <row r="816" spans="1:29" s="577" customFormat="1" ht="15" customHeight="1">
      <c r="A816" s="563" t="s">
        <v>823</v>
      </c>
      <c r="B816" s="561" t="s">
        <v>7101</v>
      </c>
      <c r="C816" s="563" t="s">
        <v>887</v>
      </c>
      <c r="D816" s="561" t="s">
        <v>7115</v>
      </c>
      <c r="E816" s="563" t="s">
        <v>7668</v>
      </c>
      <c r="F816" s="563" t="s">
        <v>7669</v>
      </c>
      <c r="G816" s="563" t="s">
        <v>165</v>
      </c>
      <c r="H816" s="561" t="s">
        <v>7787</v>
      </c>
      <c r="I816" s="565" t="e">
        <f>VLOOKUP(H816,'合同高级查询数据-10月新返回合同'!A:A,1,0)</f>
        <v>#N/A</v>
      </c>
      <c r="J816" s="674" t="s">
        <v>3724</v>
      </c>
      <c r="K816" s="561" t="s">
        <v>2821</v>
      </c>
      <c r="L816" s="561" t="s">
        <v>7788</v>
      </c>
      <c r="M816" s="561" t="s">
        <v>7789</v>
      </c>
      <c r="N816" s="574">
        <v>45139</v>
      </c>
      <c r="O816" s="561" t="s">
        <v>1542</v>
      </c>
      <c r="P816" s="581">
        <v>5200</v>
      </c>
      <c r="Q816" s="720">
        <v>87.3</v>
      </c>
      <c r="R816" s="719">
        <f t="shared" si="53"/>
        <v>453960</v>
      </c>
      <c r="S816" s="570">
        <v>202310</v>
      </c>
      <c r="T816" s="693" t="s">
        <v>7533</v>
      </c>
      <c r="U816" s="561"/>
      <c r="V816" s="721">
        <v>87.277893066000004</v>
      </c>
      <c r="W816" s="721"/>
      <c r="X816" s="574">
        <v>45139</v>
      </c>
      <c r="Y816" s="597">
        <v>45504</v>
      </c>
      <c r="Z816" s="723" t="s">
        <v>7790</v>
      </c>
      <c r="AA816" s="691">
        <v>0.4</v>
      </c>
      <c r="AB816" s="713">
        <v>200</v>
      </c>
      <c r="AC816" s="582">
        <f t="shared" si="54"/>
        <v>80</v>
      </c>
    </row>
    <row r="817" spans="1:29" s="577" customFormat="1" ht="15" customHeight="1">
      <c r="A817" s="563" t="s">
        <v>823</v>
      </c>
      <c r="B817" s="561" t="s">
        <v>7101</v>
      </c>
      <c r="C817" s="563" t="s">
        <v>887</v>
      </c>
      <c r="D817" s="561" t="s">
        <v>7115</v>
      </c>
      <c r="E817" s="563" t="s">
        <v>7668</v>
      </c>
      <c r="F817" s="563" t="s">
        <v>7669</v>
      </c>
      <c r="G817" s="563" t="s">
        <v>165</v>
      </c>
      <c r="H817" s="561" t="s">
        <v>7787</v>
      </c>
      <c r="I817" s="565" t="e">
        <f>VLOOKUP(H817,'合同高级查询数据-10月新返回合同'!A:A,1,0)</f>
        <v>#N/A</v>
      </c>
      <c r="J817" s="674" t="s">
        <v>3724</v>
      </c>
      <c r="K817" s="561" t="s">
        <v>2821</v>
      </c>
      <c r="L817" s="561" t="s">
        <v>7791</v>
      </c>
      <c r="M817" s="561" t="s">
        <v>7789</v>
      </c>
      <c r="N817" s="574">
        <v>45139</v>
      </c>
      <c r="O817" s="561" t="s">
        <v>1542</v>
      </c>
      <c r="P817" s="581">
        <v>5200</v>
      </c>
      <c r="Q817" s="720">
        <v>89.3</v>
      </c>
      <c r="R817" s="719">
        <f t="shared" si="53"/>
        <v>464360</v>
      </c>
      <c r="S817" s="570">
        <v>202310</v>
      </c>
      <c r="T817" s="693" t="s">
        <v>7533</v>
      </c>
      <c r="U817" s="561"/>
      <c r="V817" s="721">
        <v>89.216720581000004</v>
      </c>
      <c r="W817" s="721"/>
      <c r="X817" s="574">
        <v>45139</v>
      </c>
      <c r="Y817" s="597">
        <v>45504</v>
      </c>
      <c r="Z817" s="723" t="s">
        <v>7792</v>
      </c>
      <c r="AA817" s="691">
        <v>0.4</v>
      </c>
      <c r="AB817" s="713">
        <v>200</v>
      </c>
      <c r="AC817" s="582">
        <f t="shared" si="54"/>
        <v>80</v>
      </c>
    </row>
    <row r="818" spans="1:29" s="385" customFormat="1" ht="15" customHeight="1">
      <c r="A818" s="388" t="s">
        <v>823</v>
      </c>
      <c r="B818" s="386" t="s">
        <v>7101</v>
      </c>
      <c r="C818" s="388" t="s">
        <v>4721</v>
      </c>
      <c r="D818" s="386" t="s">
        <v>7155</v>
      </c>
      <c r="E818" s="388" t="s">
        <v>7668</v>
      </c>
      <c r="F818" s="388" t="s">
        <v>7669</v>
      </c>
      <c r="G818" s="388" t="s">
        <v>165</v>
      </c>
      <c r="H818" s="386" t="s">
        <v>7793</v>
      </c>
      <c r="I818" s="369" t="e">
        <f>VLOOKUP(H818,'合同高级查询数据-10月新返回合同'!A:A,1,0)</f>
        <v>#N/A</v>
      </c>
      <c r="J818" s="499" t="s">
        <v>3724</v>
      </c>
      <c r="K818" s="386" t="s">
        <v>801</v>
      </c>
      <c r="L818" s="386" t="s">
        <v>7794</v>
      </c>
      <c r="M818" s="386" t="s">
        <v>7795</v>
      </c>
      <c r="N818" s="383">
        <v>45170</v>
      </c>
      <c r="O818" s="386" t="s">
        <v>1542</v>
      </c>
      <c r="P818" s="413">
        <v>4000</v>
      </c>
      <c r="Q818" s="540">
        <v>104.8</v>
      </c>
      <c r="R818" s="539">
        <f t="shared" si="53"/>
        <v>419200</v>
      </c>
      <c r="S818" s="378">
        <v>202310</v>
      </c>
      <c r="T818" s="514" t="s">
        <v>7796</v>
      </c>
      <c r="U818" s="386"/>
      <c r="V818" s="541">
        <v>104.77371978799999</v>
      </c>
      <c r="W818" s="410"/>
      <c r="X818" s="383"/>
      <c r="Y818" s="425"/>
      <c r="Z818" s="386" t="s">
        <v>7797</v>
      </c>
      <c r="AA818" s="506">
        <v>0.4</v>
      </c>
      <c r="AB818" s="410">
        <v>200</v>
      </c>
      <c r="AC818" s="410">
        <f t="shared" si="54"/>
        <v>80</v>
      </c>
    </row>
    <row r="819" spans="1:29" s="385" customFormat="1" ht="15" customHeight="1">
      <c r="A819" s="388" t="s">
        <v>823</v>
      </c>
      <c r="B819" s="386" t="s">
        <v>7101</v>
      </c>
      <c r="C819" s="388" t="s">
        <v>47</v>
      </c>
      <c r="D819" s="386" t="s">
        <v>9554</v>
      </c>
      <c r="E819" s="388" t="s">
        <v>7668</v>
      </c>
      <c r="F819" s="388" t="s">
        <v>7669</v>
      </c>
      <c r="G819" s="388" t="s">
        <v>165</v>
      </c>
      <c r="H819" s="386" t="s">
        <v>7798</v>
      </c>
      <c r="I819" s="369" t="e">
        <f>VLOOKUP(H819,'合同高级查询数据-10月新返回合同'!A:A,1,0)</f>
        <v>#N/A</v>
      </c>
      <c r="J819" s="499" t="s">
        <v>3724</v>
      </c>
      <c r="K819" s="386" t="s">
        <v>47</v>
      </c>
      <c r="L819" s="386" t="s">
        <v>7799</v>
      </c>
      <c r="M819" s="386" t="s">
        <v>7800</v>
      </c>
      <c r="N819" s="383">
        <v>45200</v>
      </c>
      <c r="O819" s="386" t="s">
        <v>1542</v>
      </c>
      <c r="P819" s="413">
        <v>4200</v>
      </c>
      <c r="Q819" s="413">
        <v>87</v>
      </c>
      <c r="R819" s="539">
        <f t="shared" si="53"/>
        <v>365400</v>
      </c>
      <c r="S819" s="378">
        <v>202310</v>
      </c>
      <c r="T819" s="514" t="s">
        <v>7801</v>
      </c>
      <c r="U819" s="386"/>
      <c r="V819" s="541">
        <v>86.953964232999994</v>
      </c>
      <c r="W819" s="386"/>
      <c r="X819" s="383"/>
      <c r="Y819" s="425"/>
      <c r="Z819" s="386" t="s">
        <v>7802</v>
      </c>
      <c r="AA819" s="506">
        <v>0.4</v>
      </c>
      <c r="AB819" s="410">
        <v>200</v>
      </c>
      <c r="AC819" s="410">
        <f t="shared" si="54"/>
        <v>80</v>
      </c>
    </row>
    <row r="820" spans="1:29" s="577" customFormat="1" ht="15" customHeight="1">
      <c r="A820" s="563" t="s">
        <v>823</v>
      </c>
      <c r="B820" s="563" t="s">
        <v>7101</v>
      </c>
      <c r="C820" s="563" t="s">
        <v>887</v>
      </c>
      <c r="D820" s="561" t="s">
        <v>7115</v>
      </c>
      <c r="E820" s="563" t="s">
        <v>7668</v>
      </c>
      <c r="F820" s="563" t="s">
        <v>7669</v>
      </c>
      <c r="G820" s="563" t="s">
        <v>165</v>
      </c>
      <c r="H820" s="564" t="s">
        <v>7702</v>
      </c>
      <c r="I820" s="565" t="e">
        <f>VLOOKUP(H820,'合同高级查询数据-10月新返回合同'!A:A,1,0)</f>
        <v>#N/A</v>
      </c>
      <c r="J820" s="674" t="s">
        <v>4875</v>
      </c>
      <c r="K820" s="563" t="s">
        <v>7703</v>
      </c>
      <c r="L820" s="732" t="s">
        <v>7704</v>
      </c>
      <c r="M820" s="596" t="s">
        <v>1592</v>
      </c>
      <c r="N820" s="657">
        <v>43773</v>
      </c>
      <c r="O820" s="726" t="s">
        <v>2187</v>
      </c>
      <c r="P820" s="719">
        <v>5500</v>
      </c>
      <c r="Q820" s="581">
        <v>0.7</v>
      </c>
      <c r="R820" s="719">
        <f t="shared" si="53"/>
        <v>3850</v>
      </c>
      <c r="S820" s="570">
        <v>202309</v>
      </c>
      <c r="T820" s="693" t="s">
        <v>7803</v>
      </c>
      <c r="U820" s="561"/>
      <c r="V820" s="582"/>
      <c r="W820" s="561"/>
      <c r="X820" s="574">
        <v>45017</v>
      </c>
      <c r="Y820" s="574">
        <v>45382</v>
      </c>
      <c r="Z820" s="561"/>
      <c r="AA820" s="683"/>
      <c r="AB820" s="582"/>
      <c r="AC820" s="582"/>
    </row>
    <row r="821" spans="1:29" s="577" customFormat="1" ht="15" customHeight="1">
      <c r="A821" s="563" t="s">
        <v>813</v>
      </c>
      <c r="B821" s="561" t="s">
        <v>7101</v>
      </c>
      <c r="C821" s="561" t="s">
        <v>887</v>
      </c>
      <c r="D821" s="561" t="s">
        <v>7115</v>
      </c>
      <c r="E821" s="561" t="s">
        <v>7668</v>
      </c>
      <c r="F821" s="561" t="s">
        <v>7669</v>
      </c>
      <c r="G821" s="563" t="s">
        <v>165</v>
      </c>
      <c r="H821" s="561" t="s">
        <v>7766</v>
      </c>
      <c r="I821" s="565" t="str">
        <f>VLOOKUP(H821,'合同高级查询数据-10月新返回合同'!A:A,1,0)</f>
        <v>182315IDC00540</v>
      </c>
      <c r="J821" s="674" t="s">
        <v>3724</v>
      </c>
      <c r="K821" s="561" t="s">
        <v>2805</v>
      </c>
      <c r="L821" s="561" t="s">
        <v>7767</v>
      </c>
      <c r="M821" s="561" t="s">
        <v>7768</v>
      </c>
      <c r="N821" s="574" t="s">
        <v>7769</v>
      </c>
      <c r="O821" s="561" t="s">
        <v>7770</v>
      </c>
      <c r="P821" s="581">
        <v>4650</v>
      </c>
      <c r="Q821" s="581">
        <v>0.6</v>
      </c>
      <c r="R821" s="719">
        <f t="shared" si="53"/>
        <v>2790</v>
      </c>
      <c r="S821" s="570">
        <v>202309</v>
      </c>
      <c r="T821" s="693" t="s">
        <v>7804</v>
      </c>
      <c r="U821" s="561"/>
      <c r="V821" s="582"/>
      <c r="W821" s="561"/>
      <c r="X821" s="574">
        <v>45139</v>
      </c>
      <c r="Y821" s="574">
        <v>45504</v>
      </c>
      <c r="Z821" s="561"/>
      <c r="AA821" s="683"/>
      <c r="AB821" s="582"/>
      <c r="AC821" s="582"/>
    </row>
    <row r="822" spans="1:29" s="577" customFormat="1" ht="15" customHeight="1">
      <c r="A822" s="563" t="s">
        <v>823</v>
      </c>
      <c r="B822" s="563" t="s">
        <v>7101</v>
      </c>
      <c r="C822" s="563" t="s">
        <v>188</v>
      </c>
      <c r="D822" s="561" t="s">
        <v>4593</v>
      </c>
      <c r="E822" s="563" t="s">
        <v>7805</v>
      </c>
      <c r="F822" s="563" t="s">
        <v>7806</v>
      </c>
      <c r="G822" s="563" t="s">
        <v>165</v>
      </c>
      <c r="H822" s="564" t="s">
        <v>7807</v>
      </c>
      <c r="I822" s="565" t="e">
        <f>VLOOKUP(H822,'合同高级查询数据-10月新返回合同'!A:A,1,0)</f>
        <v>#N/A</v>
      </c>
      <c r="J822" s="674" t="s">
        <v>3724</v>
      </c>
      <c r="K822" s="563" t="s">
        <v>7373</v>
      </c>
      <c r="L822" s="675" t="s">
        <v>7808</v>
      </c>
      <c r="M822" s="596" t="s">
        <v>7809</v>
      </c>
      <c r="N822" s="731" t="s">
        <v>7810</v>
      </c>
      <c r="O822" s="731" t="s">
        <v>4899</v>
      </c>
      <c r="P822" s="719">
        <v>4800</v>
      </c>
      <c r="Q822" s="720">
        <v>0</v>
      </c>
      <c r="R822" s="719">
        <f t="shared" si="53"/>
        <v>0</v>
      </c>
      <c r="S822" s="570">
        <v>202310</v>
      </c>
      <c r="T822" s="693" t="s">
        <v>7811</v>
      </c>
      <c r="U822" s="713"/>
      <c r="V822" s="721">
        <v>0</v>
      </c>
      <c r="W822" s="721"/>
      <c r="X822" s="574">
        <v>44927</v>
      </c>
      <c r="Y822" s="574">
        <v>45291</v>
      </c>
      <c r="Z822" s="723"/>
      <c r="AA822" s="691">
        <v>0</v>
      </c>
      <c r="AB822" s="713">
        <v>0</v>
      </c>
      <c r="AC822" s="713">
        <f t="shared" ref="AC822:AC885" si="55">AA822*AB822</f>
        <v>0</v>
      </c>
    </row>
    <row r="823" spans="1:29" s="577" customFormat="1" ht="15" customHeight="1">
      <c r="A823" s="563" t="s">
        <v>829</v>
      </c>
      <c r="B823" s="738" t="s">
        <v>7101</v>
      </c>
      <c r="C823" s="561" t="s">
        <v>188</v>
      </c>
      <c r="D823" s="561" t="s">
        <v>4593</v>
      </c>
      <c r="E823" s="563" t="s">
        <v>7805</v>
      </c>
      <c r="F823" s="563" t="s">
        <v>7806</v>
      </c>
      <c r="G823" s="563" t="s">
        <v>165</v>
      </c>
      <c r="H823" s="564" t="s">
        <v>7812</v>
      </c>
      <c r="I823" s="565" t="e">
        <f>VLOOKUP(H823,'合同高级查询数据-10月新返回合同'!A:A,1,0)</f>
        <v>#N/A</v>
      </c>
      <c r="J823" s="674" t="s">
        <v>3724</v>
      </c>
      <c r="K823" s="563" t="s">
        <v>2706</v>
      </c>
      <c r="L823" s="675" t="s">
        <v>7813</v>
      </c>
      <c r="M823" s="596" t="s">
        <v>7814</v>
      </c>
      <c r="N823" s="574" t="s">
        <v>7815</v>
      </c>
      <c r="O823" s="561" t="s">
        <v>5228</v>
      </c>
      <c r="P823" s="719">
        <v>6833</v>
      </c>
      <c r="Q823" s="720">
        <v>0</v>
      </c>
      <c r="R823" s="719">
        <f t="shared" si="53"/>
        <v>0</v>
      </c>
      <c r="S823" s="570">
        <v>202310</v>
      </c>
      <c r="T823" s="693" t="s">
        <v>7816</v>
      </c>
      <c r="U823" s="728"/>
      <c r="V823" s="721">
        <v>0</v>
      </c>
      <c r="W823" s="721"/>
      <c r="X823" s="574">
        <v>44562</v>
      </c>
      <c r="Y823" s="574">
        <v>44926</v>
      </c>
      <c r="Z823" s="723"/>
      <c r="AA823" s="691">
        <v>0</v>
      </c>
      <c r="AB823" s="713">
        <v>0</v>
      </c>
      <c r="AC823" s="713">
        <f t="shared" si="55"/>
        <v>0</v>
      </c>
    </row>
    <row r="824" spans="1:29" s="577" customFormat="1" ht="15" customHeight="1">
      <c r="A824" s="563" t="s">
        <v>823</v>
      </c>
      <c r="B824" s="563" t="s">
        <v>7101</v>
      </c>
      <c r="C824" s="563" t="s">
        <v>188</v>
      </c>
      <c r="D824" s="561" t="s">
        <v>4593</v>
      </c>
      <c r="E824" s="563" t="s">
        <v>7805</v>
      </c>
      <c r="F824" s="563" t="s">
        <v>7806</v>
      </c>
      <c r="G824" s="563" t="s">
        <v>165</v>
      </c>
      <c r="H824" s="564" t="s">
        <v>7817</v>
      </c>
      <c r="I824" s="565" t="e">
        <f>VLOOKUP(H824,'合同高级查询数据-10月新返回合同'!A:A,1,0)</f>
        <v>#N/A</v>
      </c>
      <c r="J824" s="674" t="s">
        <v>3724</v>
      </c>
      <c r="K824" s="563" t="s">
        <v>2660</v>
      </c>
      <c r="L824" s="675" t="s">
        <v>7818</v>
      </c>
      <c r="M824" s="596" t="s">
        <v>7819</v>
      </c>
      <c r="N824" s="731" t="s">
        <v>7820</v>
      </c>
      <c r="O824" s="731" t="s">
        <v>7821</v>
      </c>
      <c r="P824" s="719">
        <v>4800</v>
      </c>
      <c r="Q824" s="720">
        <v>0</v>
      </c>
      <c r="R824" s="719">
        <f t="shared" si="53"/>
        <v>0</v>
      </c>
      <c r="S824" s="570">
        <v>202310</v>
      </c>
      <c r="T824" s="693" t="s">
        <v>7822</v>
      </c>
      <c r="U824" s="713"/>
      <c r="V824" s="721">
        <v>0</v>
      </c>
      <c r="W824" s="721"/>
      <c r="X824" s="574">
        <v>44927</v>
      </c>
      <c r="Y824" s="574">
        <v>45291</v>
      </c>
      <c r="Z824" s="723"/>
      <c r="AA824" s="691">
        <v>0</v>
      </c>
      <c r="AB824" s="713">
        <v>0</v>
      </c>
      <c r="AC824" s="713">
        <f t="shared" si="55"/>
        <v>0</v>
      </c>
    </row>
    <row r="825" spans="1:29" s="577" customFormat="1" ht="15" customHeight="1">
      <c r="A825" s="736" t="s">
        <v>823</v>
      </c>
      <c r="B825" s="738" t="s">
        <v>7101</v>
      </c>
      <c r="C825" s="561" t="s">
        <v>6654</v>
      </c>
      <c r="D825" s="561" t="s">
        <v>4593</v>
      </c>
      <c r="E825" s="563" t="s">
        <v>7805</v>
      </c>
      <c r="F825" s="563" t="s">
        <v>7806</v>
      </c>
      <c r="G825" s="563" t="s">
        <v>165</v>
      </c>
      <c r="H825" s="564" t="s">
        <v>7823</v>
      </c>
      <c r="I825" s="565" t="e">
        <f>VLOOKUP(H825,'合同高级查询数据-10月新返回合同'!A:A,1,0)</f>
        <v>#N/A</v>
      </c>
      <c r="J825" s="674" t="s">
        <v>3724</v>
      </c>
      <c r="K825" s="563" t="s">
        <v>7149</v>
      </c>
      <c r="L825" s="675" t="s">
        <v>7824</v>
      </c>
      <c r="M825" s="596" t="s">
        <v>7825</v>
      </c>
      <c r="N825" s="574" t="s">
        <v>7826</v>
      </c>
      <c r="O825" s="561" t="s">
        <v>5525</v>
      </c>
      <c r="P825" s="719">
        <v>4900</v>
      </c>
      <c r="Q825" s="720">
        <v>0</v>
      </c>
      <c r="R825" s="719">
        <f t="shared" si="53"/>
        <v>0</v>
      </c>
      <c r="S825" s="570">
        <v>202310</v>
      </c>
      <c r="T825" s="693" t="s">
        <v>7827</v>
      </c>
      <c r="U825" s="728"/>
      <c r="V825" s="721">
        <v>0</v>
      </c>
      <c r="W825" s="721"/>
      <c r="X825" s="731">
        <v>44743</v>
      </c>
      <c r="Y825" s="574">
        <v>45107</v>
      </c>
      <c r="Z825" s="723"/>
      <c r="AA825" s="691">
        <v>0</v>
      </c>
      <c r="AB825" s="713">
        <v>0</v>
      </c>
      <c r="AC825" s="713">
        <f t="shared" si="55"/>
        <v>0</v>
      </c>
    </row>
    <row r="826" spans="1:29" s="577" customFormat="1" ht="15" customHeight="1">
      <c r="A826" s="736" t="s">
        <v>829</v>
      </c>
      <c r="B826" s="561" t="s">
        <v>7101</v>
      </c>
      <c r="C826" s="561" t="s">
        <v>887</v>
      </c>
      <c r="D826" s="561" t="s">
        <v>7115</v>
      </c>
      <c r="E826" s="563" t="s">
        <v>7828</v>
      </c>
      <c r="F826" s="563" t="s">
        <v>7829</v>
      </c>
      <c r="G826" s="563" t="s">
        <v>165</v>
      </c>
      <c r="H826" s="564" t="s">
        <v>7830</v>
      </c>
      <c r="I826" s="565" t="e">
        <f>VLOOKUP(H826,'合同高级查询数据-10月新返回合同'!A:A,1,0)</f>
        <v>#N/A</v>
      </c>
      <c r="J826" s="674" t="s">
        <v>3724</v>
      </c>
      <c r="K826" s="563" t="s">
        <v>7671</v>
      </c>
      <c r="L826" s="675" t="s">
        <v>7831</v>
      </c>
      <c r="M826" s="596" t="s">
        <v>7832</v>
      </c>
      <c r="N826" s="574" t="s">
        <v>7833</v>
      </c>
      <c r="O826" s="561" t="s">
        <v>7834</v>
      </c>
      <c r="P826" s="719">
        <v>5833</v>
      </c>
      <c r="Q826" s="720">
        <v>67</v>
      </c>
      <c r="R826" s="719">
        <f t="shared" si="53"/>
        <v>390811</v>
      </c>
      <c r="S826" s="570">
        <v>202310</v>
      </c>
      <c r="T826" s="693" t="s">
        <v>7835</v>
      </c>
      <c r="U826" s="728"/>
      <c r="V826" s="721">
        <v>66.921592712000006</v>
      </c>
      <c r="W826" s="721"/>
      <c r="X826" s="574">
        <v>45047</v>
      </c>
      <c r="Y826" s="574">
        <v>45412</v>
      </c>
      <c r="Z826" s="561" t="s">
        <v>7836</v>
      </c>
      <c r="AA826" s="683">
        <v>0.3</v>
      </c>
      <c r="AB826" s="582">
        <v>200</v>
      </c>
      <c r="AC826" s="713">
        <f t="shared" si="55"/>
        <v>60</v>
      </c>
    </row>
    <row r="827" spans="1:29" s="577" customFormat="1" ht="15" customHeight="1">
      <c r="A827" s="736" t="s">
        <v>829</v>
      </c>
      <c r="B827" s="561" t="s">
        <v>7101</v>
      </c>
      <c r="C827" s="561" t="s">
        <v>887</v>
      </c>
      <c r="D827" s="561" t="s">
        <v>7115</v>
      </c>
      <c r="E827" s="563" t="s">
        <v>7828</v>
      </c>
      <c r="F827" s="563" t="s">
        <v>7829</v>
      </c>
      <c r="G827" s="563" t="s">
        <v>165</v>
      </c>
      <c r="H827" s="564" t="s">
        <v>7830</v>
      </c>
      <c r="I827" s="565" t="e">
        <f>VLOOKUP(H827,'合同高级查询数据-10月新返回合同'!A:A,1,0)</f>
        <v>#N/A</v>
      </c>
      <c r="J827" s="674" t="s">
        <v>3724</v>
      </c>
      <c r="K827" s="563" t="s">
        <v>7671</v>
      </c>
      <c r="L827" s="675" t="s">
        <v>7837</v>
      </c>
      <c r="M827" s="596" t="s">
        <v>7832</v>
      </c>
      <c r="N827" s="574" t="s">
        <v>7838</v>
      </c>
      <c r="O827" s="561" t="s">
        <v>7839</v>
      </c>
      <c r="P827" s="719">
        <v>5833</v>
      </c>
      <c r="Q827" s="720">
        <v>66.8</v>
      </c>
      <c r="R827" s="719">
        <f t="shared" si="53"/>
        <v>389644.4</v>
      </c>
      <c r="S827" s="570">
        <v>202310</v>
      </c>
      <c r="T827" s="693" t="s">
        <v>7840</v>
      </c>
      <c r="U827" s="728"/>
      <c r="V827" s="721">
        <v>66.802330017000003</v>
      </c>
      <c r="W827" s="721"/>
      <c r="X827" s="574">
        <v>45047</v>
      </c>
      <c r="Y827" s="574">
        <v>45412</v>
      </c>
      <c r="Z827" s="723" t="s">
        <v>7841</v>
      </c>
      <c r="AA827" s="683">
        <v>0.3</v>
      </c>
      <c r="AB827" s="582">
        <v>200</v>
      </c>
      <c r="AC827" s="713">
        <f t="shared" si="55"/>
        <v>60</v>
      </c>
    </row>
    <row r="828" spans="1:29" s="577" customFormat="1" ht="15" customHeight="1">
      <c r="A828" s="736" t="s">
        <v>829</v>
      </c>
      <c r="B828" s="561" t="s">
        <v>7101</v>
      </c>
      <c r="C828" s="561" t="s">
        <v>887</v>
      </c>
      <c r="D828" s="561" t="s">
        <v>7115</v>
      </c>
      <c r="E828" s="563" t="s">
        <v>7828</v>
      </c>
      <c r="F828" s="563" t="s">
        <v>7829</v>
      </c>
      <c r="G828" s="563" t="s">
        <v>165</v>
      </c>
      <c r="H828" s="564" t="s">
        <v>7842</v>
      </c>
      <c r="I828" s="565" t="e">
        <f>VLOOKUP(H828,'合同高级查询数据-10月新返回合同'!A:A,1,0)</f>
        <v>#N/A</v>
      </c>
      <c r="J828" s="674" t="s">
        <v>3724</v>
      </c>
      <c r="K828" s="563" t="s">
        <v>7843</v>
      </c>
      <c r="L828" s="675" t="s">
        <v>7844</v>
      </c>
      <c r="M828" s="596" t="s">
        <v>7845</v>
      </c>
      <c r="N828" s="574" t="s">
        <v>7846</v>
      </c>
      <c r="O828" s="713" t="s">
        <v>5228</v>
      </c>
      <c r="P828" s="581">
        <v>6500</v>
      </c>
      <c r="Q828" s="720">
        <v>0</v>
      </c>
      <c r="R828" s="719">
        <f t="shared" si="53"/>
        <v>0</v>
      </c>
      <c r="S828" s="570">
        <v>202310</v>
      </c>
      <c r="T828" s="693" t="s">
        <v>7847</v>
      </c>
      <c r="U828" s="728"/>
      <c r="V828" s="721">
        <v>0</v>
      </c>
      <c r="W828" s="721"/>
      <c r="X828" s="574">
        <v>45047</v>
      </c>
      <c r="Y828" s="574">
        <v>45107</v>
      </c>
      <c r="Z828" s="723"/>
      <c r="AA828" s="691">
        <v>0</v>
      </c>
      <c r="AB828" s="713">
        <v>0</v>
      </c>
      <c r="AC828" s="713">
        <f t="shared" si="55"/>
        <v>0</v>
      </c>
    </row>
    <row r="829" spans="1:29" s="577" customFormat="1" ht="15" customHeight="1">
      <c r="A829" s="736" t="s">
        <v>813</v>
      </c>
      <c r="B829" s="561" t="s">
        <v>7101</v>
      </c>
      <c r="C829" s="561" t="s">
        <v>887</v>
      </c>
      <c r="D829" s="561" t="s">
        <v>7115</v>
      </c>
      <c r="E829" s="563" t="s">
        <v>7828</v>
      </c>
      <c r="F829" s="563" t="s">
        <v>7829</v>
      </c>
      <c r="G829" s="563" t="s">
        <v>165</v>
      </c>
      <c r="H829" s="564" t="s">
        <v>7848</v>
      </c>
      <c r="I829" s="565" t="e">
        <f>VLOOKUP(H829,'合同高级查询数据-10月新返回合同'!A:A,1,0)</f>
        <v>#N/A</v>
      </c>
      <c r="J829" s="674" t="s">
        <v>3724</v>
      </c>
      <c r="K829" s="563" t="s">
        <v>7671</v>
      </c>
      <c r="L829" s="675" t="s">
        <v>2294</v>
      </c>
      <c r="M829" s="596" t="s">
        <v>7849</v>
      </c>
      <c r="N829" s="574">
        <v>44927</v>
      </c>
      <c r="O829" s="561" t="s">
        <v>4288</v>
      </c>
      <c r="P829" s="581">
        <v>5417</v>
      </c>
      <c r="Q829" s="720">
        <v>56.2</v>
      </c>
      <c r="R829" s="719">
        <f t="shared" si="53"/>
        <v>304435.40000000002</v>
      </c>
      <c r="S829" s="570">
        <v>202310</v>
      </c>
      <c r="T829" s="693" t="s">
        <v>7850</v>
      </c>
      <c r="U829" s="728"/>
      <c r="V829" s="721">
        <v>56.141246795999997</v>
      </c>
      <c r="W829" s="721"/>
      <c r="X829" s="574">
        <v>44927</v>
      </c>
      <c r="Y829" s="574">
        <v>45291</v>
      </c>
      <c r="Z829" s="561" t="s">
        <v>7851</v>
      </c>
      <c r="AA829" s="683">
        <v>0.3</v>
      </c>
      <c r="AB829" s="582">
        <v>150</v>
      </c>
      <c r="AC829" s="713">
        <f t="shared" si="55"/>
        <v>45</v>
      </c>
    </row>
    <row r="830" spans="1:29" s="577" customFormat="1" ht="15" customHeight="1">
      <c r="A830" s="736" t="s">
        <v>813</v>
      </c>
      <c r="B830" s="561" t="s">
        <v>7101</v>
      </c>
      <c r="C830" s="561" t="s">
        <v>887</v>
      </c>
      <c r="D830" s="561" t="s">
        <v>7115</v>
      </c>
      <c r="E830" s="563" t="s">
        <v>7828</v>
      </c>
      <c r="F830" s="563" t="s">
        <v>7829</v>
      </c>
      <c r="G830" s="563" t="s">
        <v>165</v>
      </c>
      <c r="H830" s="564" t="s">
        <v>7848</v>
      </c>
      <c r="I830" s="565" t="e">
        <f>VLOOKUP(H830,'合同高级查询数据-10月新返回合同'!A:A,1,0)</f>
        <v>#N/A</v>
      </c>
      <c r="J830" s="674" t="s">
        <v>3724</v>
      </c>
      <c r="K830" s="563" t="s">
        <v>7671</v>
      </c>
      <c r="L830" s="675" t="s">
        <v>2296</v>
      </c>
      <c r="M830" s="596" t="s">
        <v>7849</v>
      </c>
      <c r="N830" s="574" t="s">
        <v>7852</v>
      </c>
      <c r="O830" s="561" t="s">
        <v>7853</v>
      </c>
      <c r="P830" s="581">
        <v>5417</v>
      </c>
      <c r="Q830" s="720">
        <v>0</v>
      </c>
      <c r="R830" s="719">
        <f t="shared" si="53"/>
        <v>0</v>
      </c>
      <c r="S830" s="570">
        <v>202310</v>
      </c>
      <c r="T830" s="693" t="s">
        <v>7850</v>
      </c>
      <c r="U830" s="728"/>
      <c r="V830" s="721">
        <v>0</v>
      </c>
      <c r="W830" s="721"/>
      <c r="X830" s="574">
        <v>44927</v>
      </c>
      <c r="Y830" s="574">
        <v>45291</v>
      </c>
      <c r="Z830" s="561"/>
      <c r="AA830" s="683">
        <v>0</v>
      </c>
      <c r="AB830" s="582">
        <v>0</v>
      </c>
      <c r="AC830" s="713">
        <f t="shared" si="55"/>
        <v>0</v>
      </c>
    </row>
    <row r="831" spans="1:29" s="577" customFormat="1" ht="15" customHeight="1">
      <c r="A831" s="736" t="s">
        <v>813</v>
      </c>
      <c r="B831" s="561" t="s">
        <v>7101</v>
      </c>
      <c r="C831" s="561" t="s">
        <v>887</v>
      </c>
      <c r="D831" s="561" t="s">
        <v>7115</v>
      </c>
      <c r="E831" s="563" t="s">
        <v>7828</v>
      </c>
      <c r="F831" s="563" t="s">
        <v>7829</v>
      </c>
      <c r="G831" s="563" t="s">
        <v>165</v>
      </c>
      <c r="H831" s="564" t="s">
        <v>7854</v>
      </c>
      <c r="I831" s="565" t="str">
        <f>VLOOKUP(H831,'合同高级查询数据-10月新返回合同'!A:A,1,0)</f>
        <v>182315IDC00542</v>
      </c>
      <c r="J831" s="674" t="s">
        <v>3724</v>
      </c>
      <c r="K831" s="563" t="s">
        <v>7671</v>
      </c>
      <c r="L831" s="675" t="s">
        <v>2267</v>
      </c>
      <c r="M831" s="596" t="s">
        <v>2193</v>
      </c>
      <c r="N831" s="574">
        <v>45108</v>
      </c>
      <c r="O831" s="561" t="s">
        <v>1542</v>
      </c>
      <c r="P831" s="581">
        <v>5416</v>
      </c>
      <c r="Q831" s="720">
        <v>69.599999999999994</v>
      </c>
      <c r="R831" s="719">
        <f t="shared" si="53"/>
        <v>376953.59999999998</v>
      </c>
      <c r="S831" s="570">
        <v>202310</v>
      </c>
      <c r="T831" s="693" t="s">
        <v>7855</v>
      </c>
      <c r="U831" s="728"/>
      <c r="V831" s="721">
        <v>69.585510253999999</v>
      </c>
      <c r="W831" s="721"/>
      <c r="X831" s="574">
        <v>45108</v>
      </c>
      <c r="Y831" s="574">
        <v>45382</v>
      </c>
      <c r="Z831" s="723" t="s">
        <v>4163</v>
      </c>
      <c r="AA831" s="683">
        <v>0.3</v>
      </c>
      <c r="AB831" s="713">
        <v>200</v>
      </c>
      <c r="AC831" s="582">
        <f t="shared" si="55"/>
        <v>60</v>
      </c>
    </row>
    <row r="832" spans="1:29" s="577" customFormat="1" ht="15" customHeight="1">
      <c r="A832" s="563" t="s">
        <v>823</v>
      </c>
      <c r="B832" s="561" t="s">
        <v>7101</v>
      </c>
      <c r="C832" s="561" t="s">
        <v>5601</v>
      </c>
      <c r="D832" s="561" t="s">
        <v>7115</v>
      </c>
      <c r="E832" s="563" t="s">
        <v>7856</v>
      </c>
      <c r="F832" s="563" t="s">
        <v>7857</v>
      </c>
      <c r="G832" s="563" t="s">
        <v>165</v>
      </c>
      <c r="H832" s="564" t="s">
        <v>7858</v>
      </c>
      <c r="I832" s="565" t="e">
        <f>VLOOKUP(H832,'合同高级查询数据-10月新返回合同'!A:A,1,0)</f>
        <v>#N/A</v>
      </c>
      <c r="J832" s="674" t="s">
        <v>3724</v>
      </c>
      <c r="K832" s="563" t="s">
        <v>6017</v>
      </c>
      <c r="L832" s="675" t="s">
        <v>7859</v>
      </c>
      <c r="M832" s="596" t="s">
        <v>7860</v>
      </c>
      <c r="N832" s="574" t="s">
        <v>7861</v>
      </c>
      <c r="O832" s="561" t="s">
        <v>7862</v>
      </c>
      <c r="P832" s="719">
        <v>5400</v>
      </c>
      <c r="Q832" s="720">
        <v>139.19999999999999</v>
      </c>
      <c r="R832" s="719">
        <f t="shared" ref="R832:R895" si="56">ROUND(P832*Q832,2)</f>
        <v>751680</v>
      </c>
      <c r="S832" s="570">
        <v>202310</v>
      </c>
      <c r="T832" s="693" t="s">
        <v>7863</v>
      </c>
      <c r="U832" s="728"/>
      <c r="V832" s="721">
        <v>139.203399658</v>
      </c>
      <c r="W832" s="721"/>
      <c r="X832" s="574">
        <v>44927</v>
      </c>
      <c r="Y832" s="574">
        <v>45291</v>
      </c>
      <c r="Z832" s="561" t="s">
        <v>7864</v>
      </c>
      <c r="AA832" s="683">
        <v>0.4</v>
      </c>
      <c r="AB832" s="582">
        <v>300</v>
      </c>
      <c r="AC832" s="713">
        <f t="shared" si="55"/>
        <v>120</v>
      </c>
    </row>
    <row r="833" spans="1:29" s="577" customFormat="1" ht="15" customHeight="1">
      <c r="A833" s="563" t="s">
        <v>823</v>
      </c>
      <c r="B833" s="561" t="s">
        <v>7101</v>
      </c>
      <c r="C833" s="561" t="s">
        <v>5601</v>
      </c>
      <c r="D833" s="561" t="s">
        <v>7115</v>
      </c>
      <c r="E833" s="563" t="s">
        <v>7856</v>
      </c>
      <c r="F833" s="563" t="s">
        <v>7857</v>
      </c>
      <c r="G833" s="563" t="s">
        <v>165</v>
      </c>
      <c r="H833" s="564" t="s">
        <v>7865</v>
      </c>
      <c r="I833" s="565" t="e">
        <f>VLOOKUP(H833,'合同高级查询数据-10月新返回合同'!A:A,1,0)</f>
        <v>#N/A</v>
      </c>
      <c r="J833" s="674" t="s">
        <v>3724</v>
      </c>
      <c r="K833" s="563" t="s">
        <v>6017</v>
      </c>
      <c r="L833" s="675" t="s">
        <v>7866</v>
      </c>
      <c r="M833" s="596" t="s">
        <v>7860</v>
      </c>
      <c r="N833" s="574">
        <v>44625</v>
      </c>
      <c r="O833" s="561" t="s">
        <v>2187</v>
      </c>
      <c r="P833" s="719">
        <v>4500</v>
      </c>
      <c r="Q833" s="720">
        <v>100</v>
      </c>
      <c r="R833" s="719">
        <f t="shared" si="56"/>
        <v>450000</v>
      </c>
      <c r="S833" s="570">
        <v>202310</v>
      </c>
      <c r="T833" s="693" t="s">
        <v>7867</v>
      </c>
      <c r="U833" s="728"/>
      <c r="V833" s="721">
        <v>80.443756104000002</v>
      </c>
      <c r="W833" s="721"/>
      <c r="X833" s="574">
        <v>44986</v>
      </c>
      <c r="Y833" s="574">
        <v>45291</v>
      </c>
      <c r="Z833" s="561" t="s">
        <v>7868</v>
      </c>
      <c r="AA833" s="683">
        <v>1</v>
      </c>
      <c r="AB833" s="582">
        <v>100</v>
      </c>
      <c r="AC833" s="713">
        <f t="shared" si="55"/>
        <v>100</v>
      </c>
    </row>
    <row r="834" spans="1:29" s="577" customFormat="1" ht="15" customHeight="1">
      <c r="A834" s="563" t="s">
        <v>823</v>
      </c>
      <c r="B834" s="561" t="s">
        <v>7101</v>
      </c>
      <c r="C834" s="561" t="s">
        <v>6280</v>
      </c>
      <c r="D834" s="561" t="s">
        <v>7115</v>
      </c>
      <c r="E834" s="563" t="s">
        <v>7869</v>
      </c>
      <c r="F834" s="563" t="s">
        <v>7870</v>
      </c>
      <c r="G834" s="563" t="s">
        <v>165</v>
      </c>
      <c r="H834" s="564" t="s">
        <v>7871</v>
      </c>
      <c r="I834" s="565" t="e">
        <f>VLOOKUP(H834,'合同高级查询数据-10月新返回合同'!A:A,1,0)</f>
        <v>#N/A</v>
      </c>
      <c r="J834" s="674" t="s">
        <v>3724</v>
      </c>
      <c r="K834" s="563" t="s">
        <v>6303</v>
      </c>
      <c r="L834" s="675" t="s">
        <v>7872</v>
      </c>
      <c r="M834" s="596" t="s">
        <v>7873</v>
      </c>
      <c r="N834" s="574" t="s">
        <v>7874</v>
      </c>
      <c r="O834" s="561" t="s">
        <v>7875</v>
      </c>
      <c r="P834" s="719">
        <v>5200</v>
      </c>
      <c r="Q834" s="720">
        <v>0</v>
      </c>
      <c r="R834" s="719">
        <f t="shared" si="56"/>
        <v>0</v>
      </c>
      <c r="S834" s="570">
        <v>202310</v>
      </c>
      <c r="T834" s="693" t="s">
        <v>7876</v>
      </c>
      <c r="U834" s="728"/>
      <c r="V834" s="721">
        <v>0</v>
      </c>
      <c r="W834" s="721"/>
      <c r="X834" s="574">
        <v>44470</v>
      </c>
      <c r="Y834" s="574">
        <v>44834</v>
      </c>
      <c r="Z834" s="723"/>
      <c r="AA834" s="691">
        <v>0</v>
      </c>
      <c r="AB834" s="713">
        <v>0</v>
      </c>
      <c r="AC834" s="713">
        <f t="shared" si="55"/>
        <v>0</v>
      </c>
    </row>
    <row r="835" spans="1:29" s="577" customFormat="1" ht="15" customHeight="1">
      <c r="A835" s="563" t="s">
        <v>823</v>
      </c>
      <c r="B835" s="561" t="s">
        <v>7101</v>
      </c>
      <c r="C835" s="561" t="s">
        <v>6280</v>
      </c>
      <c r="D835" s="561" t="s">
        <v>7115</v>
      </c>
      <c r="E835" s="563" t="s">
        <v>7869</v>
      </c>
      <c r="F835" s="563" t="s">
        <v>7870</v>
      </c>
      <c r="G835" s="563" t="s">
        <v>165</v>
      </c>
      <c r="H835" s="564" t="s">
        <v>7871</v>
      </c>
      <c r="I835" s="565" t="e">
        <f>VLOOKUP(H835,'合同高级查询数据-10月新返回合同'!A:A,1,0)</f>
        <v>#N/A</v>
      </c>
      <c r="J835" s="674" t="s">
        <v>3724</v>
      </c>
      <c r="K835" s="563" t="s">
        <v>6303</v>
      </c>
      <c r="L835" s="675" t="s">
        <v>7877</v>
      </c>
      <c r="M835" s="596" t="s">
        <v>7873</v>
      </c>
      <c r="N835" s="574" t="s">
        <v>7878</v>
      </c>
      <c r="O835" s="561" t="s">
        <v>7747</v>
      </c>
      <c r="P835" s="719">
        <v>5200</v>
      </c>
      <c r="Q835" s="720">
        <v>0</v>
      </c>
      <c r="R835" s="719">
        <f t="shared" si="56"/>
        <v>0</v>
      </c>
      <c r="S835" s="570">
        <v>202310</v>
      </c>
      <c r="T835" s="693" t="s">
        <v>7879</v>
      </c>
      <c r="U835" s="728"/>
      <c r="V835" s="721">
        <v>0</v>
      </c>
      <c r="W835" s="721"/>
      <c r="X835" s="574">
        <v>44470</v>
      </c>
      <c r="Y835" s="574">
        <v>44834</v>
      </c>
      <c r="Z835" s="723"/>
      <c r="AA835" s="691">
        <v>0</v>
      </c>
      <c r="AB835" s="713">
        <v>0</v>
      </c>
      <c r="AC835" s="713">
        <f t="shared" si="55"/>
        <v>0</v>
      </c>
    </row>
    <row r="836" spans="1:29" s="577" customFormat="1" ht="15" customHeight="1">
      <c r="A836" s="736" t="s">
        <v>829</v>
      </c>
      <c r="B836" s="561" t="s">
        <v>7101</v>
      </c>
      <c r="C836" s="561" t="s">
        <v>188</v>
      </c>
      <c r="D836" s="561" t="s">
        <v>4593</v>
      </c>
      <c r="E836" s="563" t="s">
        <v>7869</v>
      </c>
      <c r="F836" s="563" t="s">
        <v>7870</v>
      </c>
      <c r="G836" s="563" t="s">
        <v>165</v>
      </c>
      <c r="H836" s="564" t="s">
        <v>7880</v>
      </c>
      <c r="I836" s="565" t="e">
        <f>VLOOKUP(H836,'合同高级查询数据-10月新返回合同'!A:A,1,0)</f>
        <v>#N/A</v>
      </c>
      <c r="J836" s="674" t="s">
        <v>3724</v>
      </c>
      <c r="K836" s="563" t="s">
        <v>7881</v>
      </c>
      <c r="L836" s="675" t="s">
        <v>7882</v>
      </c>
      <c r="M836" s="596" t="s">
        <v>7883</v>
      </c>
      <c r="N836" s="574" t="s">
        <v>7884</v>
      </c>
      <c r="O836" s="561" t="s">
        <v>5228</v>
      </c>
      <c r="P836" s="719">
        <v>6916.67</v>
      </c>
      <c r="Q836" s="720">
        <v>0</v>
      </c>
      <c r="R836" s="719">
        <f t="shared" si="56"/>
        <v>0</v>
      </c>
      <c r="S836" s="570">
        <v>202310</v>
      </c>
      <c r="T836" s="693" t="s">
        <v>7885</v>
      </c>
      <c r="U836" s="561"/>
      <c r="V836" s="721">
        <v>0</v>
      </c>
      <c r="W836" s="721"/>
      <c r="X836" s="574">
        <v>44958</v>
      </c>
      <c r="Y836" s="574">
        <v>45322</v>
      </c>
      <c r="Z836" s="723"/>
      <c r="AA836" s="691">
        <v>0</v>
      </c>
      <c r="AB836" s="713">
        <v>0</v>
      </c>
      <c r="AC836" s="713">
        <f t="shared" si="55"/>
        <v>0</v>
      </c>
    </row>
    <row r="837" spans="1:29" s="385" customFormat="1" ht="15" customHeight="1">
      <c r="A837" s="548" t="s">
        <v>829</v>
      </c>
      <c r="B837" s="386" t="s">
        <v>7101</v>
      </c>
      <c r="C837" s="386" t="s">
        <v>188</v>
      </c>
      <c r="D837" s="386" t="s">
        <v>4593</v>
      </c>
      <c r="E837" s="388" t="s">
        <v>7869</v>
      </c>
      <c r="F837" s="388" t="s">
        <v>7870</v>
      </c>
      <c r="G837" s="388" t="s">
        <v>165</v>
      </c>
      <c r="H837" s="389" t="s">
        <v>7886</v>
      </c>
      <c r="I837" s="369" t="e">
        <f>VLOOKUP(H837,'合同高级查询数据-10月新返回合同'!A:A,1,0)</f>
        <v>#N/A</v>
      </c>
      <c r="J837" s="499" t="s">
        <v>3724</v>
      </c>
      <c r="K837" s="388" t="s">
        <v>7881</v>
      </c>
      <c r="L837" s="486" t="s">
        <v>7887</v>
      </c>
      <c r="M837" s="403" t="s">
        <v>7888</v>
      </c>
      <c r="N837" s="383" t="s">
        <v>7889</v>
      </c>
      <c r="O837" s="386" t="s">
        <v>7890</v>
      </c>
      <c r="P837" s="539">
        <v>11666.66</v>
      </c>
      <c r="Q837" s="540">
        <v>49.5</v>
      </c>
      <c r="R837" s="539">
        <f t="shared" si="56"/>
        <v>577499.67000000004</v>
      </c>
      <c r="S837" s="378">
        <v>202310</v>
      </c>
      <c r="T837" s="514" t="s">
        <v>7891</v>
      </c>
      <c r="U837" s="386"/>
      <c r="V837" s="541">
        <v>49.496852875000002</v>
      </c>
      <c r="W837" s="541"/>
      <c r="X837" s="383"/>
      <c r="Y837" s="383"/>
      <c r="Z837" s="386" t="s">
        <v>7892</v>
      </c>
      <c r="AA837" s="506">
        <v>0.25</v>
      </c>
      <c r="AB837" s="410">
        <v>160</v>
      </c>
      <c r="AC837" s="448">
        <f t="shared" si="55"/>
        <v>40</v>
      </c>
    </row>
    <row r="838" spans="1:29" s="577" customFormat="1" ht="15" customHeight="1">
      <c r="A838" s="563" t="s">
        <v>829</v>
      </c>
      <c r="B838" s="561" t="s">
        <v>7101</v>
      </c>
      <c r="C838" s="561" t="s">
        <v>5501</v>
      </c>
      <c r="D838" s="561" t="s">
        <v>7155</v>
      </c>
      <c r="E838" s="563" t="s">
        <v>7869</v>
      </c>
      <c r="F838" s="563" t="s">
        <v>7870</v>
      </c>
      <c r="G838" s="563" t="s">
        <v>165</v>
      </c>
      <c r="H838" s="564" t="s">
        <v>7893</v>
      </c>
      <c r="I838" s="565" t="e">
        <f>VLOOKUP(H838,'合同高级查询数据-10月新返回合同'!A:A,1,0)</f>
        <v>#N/A</v>
      </c>
      <c r="J838" s="674" t="s">
        <v>3724</v>
      </c>
      <c r="K838" s="563" t="s">
        <v>5505</v>
      </c>
      <c r="L838" s="675" t="s">
        <v>7894</v>
      </c>
      <c r="M838" s="596" t="s">
        <v>7895</v>
      </c>
      <c r="N838" s="574">
        <v>44441</v>
      </c>
      <c r="O838" s="561" t="s">
        <v>2187</v>
      </c>
      <c r="P838" s="719">
        <v>4600</v>
      </c>
      <c r="Q838" s="720">
        <v>33.5</v>
      </c>
      <c r="R838" s="719">
        <f t="shared" si="56"/>
        <v>154100</v>
      </c>
      <c r="S838" s="570">
        <v>202310</v>
      </c>
      <c r="T838" s="693" t="s">
        <v>7896</v>
      </c>
      <c r="U838" s="728"/>
      <c r="V838" s="721">
        <v>32.930099487</v>
      </c>
      <c r="W838" s="721">
        <v>34.03</v>
      </c>
      <c r="X838" s="574">
        <v>45017</v>
      </c>
      <c r="Y838" s="574">
        <v>45382</v>
      </c>
      <c r="Z838" s="561" t="s">
        <v>7897</v>
      </c>
      <c r="AA838" s="683">
        <v>0.3</v>
      </c>
      <c r="AB838" s="582">
        <v>100</v>
      </c>
      <c r="AC838" s="713">
        <f t="shared" si="55"/>
        <v>30</v>
      </c>
    </row>
    <row r="839" spans="1:29" s="577" customFormat="1" ht="15" customHeight="1">
      <c r="A839" s="563" t="s">
        <v>829</v>
      </c>
      <c r="B839" s="561" t="s">
        <v>7101</v>
      </c>
      <c r="C839" s="561" t="s">
        <v>4721</v>
      </c>
      <c r="D839" s="561" t="s">
        <v>7155</v>
      </c>
      <c r="E839" s="563" t="s">
        <v>7869</v>
      </c>
      <c r="F839" s="563" t="s">
        <v>7870</v>
      </c>
      <c r="G839" s="563" t="s">
        <v>165</v>
      </c>
      <c r="H839" s="564" t="s">
        <v>7898</v>
      </c>
      <c r="I839" s="565" t="e">
        <f>VLOOKUP(H839,'合同高级查询数据-10月新返回合同'!A:A,1,0)</f>
        <v>#N/A</v>
      </c>
      <c r="J839" s="674" t="s">
        <v>3724</v>
      </c>
      <c r="K839" s="563" t="s">
        <v>7899</v>
      </c>
      <c r="L839" s="675" t="s">
        <v>7900</v>
      </c>
      <c r="M839" s="596" t="s">
        <v>7901</v>
      </c>
      <c r="N839" s="574">
        <v>44470</v>
      </c>
      <c r="O839" s="561" t="s">
        <v>1542</v>
      </c>
      <c r="P839" s="719">
        <v>13750</v>
      </c>
      <c r="Q839" s="720">
        <v>56.5</v>
      </c>
      <c r="R839" s="719">
        <f t="shared" si="56"/>
        <v>776875</v>
      </c>
      <c r="S839" s="570">
        <v>202310</v>
      </c>
      <c r="T839" s="693" t="s">
        <v>7902</v>
      </c>
      <c r="U839" s="728"/>
      <c r="V839" s="721">
        <v>56.434692382999998</v>
      </c>
      <c r="W839" s="721"/>
      <c r="X839" s="574">
        <v>45017</v>
      </c>
      <c r="Y839" s="574">
        <v>45382</v>
      </c>
      <c r="Z839" s="561" t="s">
        <v>7903</v>
      </c>
      <c r="AA839" s="683">
        <v>0.2</v>
      </c>
      <c r="AB839" s="582">
        <v>200</v>
      </c>
      <c r="AC839" s="713">
        <f t="shared" si="55"/>
        <v>40</v>
      </c>
    </row>
    <row r="840" spans="1:29" s="577" customFormat="1" ht="15" customHeight="1">
      <c r="A840" s="563" t="s">
        <v>823</v>
      </c>
      <c r="B840" s="561" t="s">
        <v>7101</v>
      </c>
      <c r="C840" s="561" t="s">
        <v>6735</v>
      </c>
      <c r="D840" s="561" t="s">
        <v>7155</v>
      </c>
      <c r="E840" s="563" t="s">
        <v>7904</v>
      </c>
      <c r="F840" s="563" t="s">
        <v>7905</v>
      </c>
      <c r="G840" s="563" t="s">
        <v>165</v>
      </c>
      <c r="H840" s="564" t="s">
        <v>7906</v>
      </c>
      <c r="I840" s="565" t="e">
        <f>VLOOKUP(H840,'合同高级查询数据-10月新返回合同'!A:A,1,0)</f>
        <v>#N/A</v>
      </c>
      <c r="J840" s="674" t="s">
        <v>3724</v>
      </c>
      <c r="K840" s="563" t="s">
        <v>6561</v>
      </c>
      <c r="L840" s="675" t="s">
        <v>7907</v>
      </c>
      <c r="M840" s="596" t="s">
        <v>7908</v>
      </c>
      <c r="N840" s="574" t="s">
        <v>7909</v>
      </c>
      <c r="O840" s="561" t="s">
        <v>6675</v>
      </c>
      <c r="P840" s="719">
        <v>4800</v>
      </c>
      <c r="Q840" s="720">
        <v>0</v>
      </c>
      <c r="R840" s="719">
        <f t="shared" si="56"/>
        <v>0</v>
      </c>
      <c r="S840" s="570">
        <v>202310</v>
      </c>
      <c r="T840" s="693" t="s">
        <v>7910</v>
      </c>
      <c r="U840" s="728"/>
      <c r="V840" s="721">
        <v>0</v>
      </c>
      <c r="W840" s="721"/>
      <c r="X840" s="574">
        <v>44234</v>
      </c>
      <c r="Y840" s="574">
        <v>44592</v>
      </c>
      <c r="Z840" s="723"/>
      <c r="AA840" s="691">
        <v>0</v>
      </c>
      <c r="AB840" s="713">
        <v>0</v>
      </c>
      <c r="AC840" s="713">
        <f t="shared" si="55"/>
        <v>0</v>
      </c>
    </row>
    <row r="841" spans="1:29" s="577" customFormat="1" ht="15" customHeight="1">
      <c r="A841" s="563" t="s">
        <v>829</v>
      </c>
      <c r="B841" s="563" t="s">
        <v>7101</v>
      </c>
      <c r="C841" s="563" t="s">
        <v>4721</v>
      </c>
      <c r="D841" s="561" t="s">
        <v>7155</v>
      </c>
      <c r="E841" s="563" t="s">
        <v>7911</v>
      </c>
      <c r="F841" s="563" t="s">
        <v>7912</v>
      </c>
      <c r="G841" s="563" t="s">
        <v>165</v>
      </c>
      <c r="H841" s="564" t="s">
        <v>7913</v>
      </c>
      <c r="I841" s="565" t="e">
        <f>VLOOKUP(H841,'合同高级查询数据-10月新返回合同'!A:A,1,0)</f>
        <v>#N/A</v>
      </c>
      <c r="J841" s="674" t="s">
        <v>3724</v>
      </c>
      <c r="K841" s="563" t="s">
        <v>7159</v>
      </c>
      <c r="L841" s="675" t="s">
        <v>7914</v>
      </c>
      <c r="M841" s="596" t="s">
        <v>7915</v>
      </c>
      <c r="N841" s="731" t="s">
        <v>7916</v>
      </c>
      <c r="O841" s="731" t="s">
        <v>5228</v>
      </c>
      <c r="P841" s="719">
        <v>6667</v>
      </c>
      <c r="Q841" s="720">
        <v>0</v>
      </c>
      <c r="R841" s="719">
        <f t="shared" si="56"/>
        <v>0</v>
      </c>
      <c r="S841" s="570">
        <v>202310</v>
      </c>
      <c r="T841" s="693" t="s">
        <v>7917</v>
      </c>
      <c r="U841" s="713"/>
      <c r="V841" s="721">
        <v>0</v>
      </c>
      <c r="W841" s="721"/>
      <c r="X841" s="731">
        <v>44075</v>
      </c>
      <c r="Y841" s="731">
        <v>44439</v>
      </c>
      <c r="Z841" s="723"/>
      <c r="AA841" s="691">
        <v>0</v>
      </c>
      <c r="AB841" s="713">
        <v>0</v>
      </c>
      <c r="AC841" s="713">
        <f t="shared" si="55"/>
        <v>0</v>
      </c>
    </row>
    <row r="842" spans="1:29" s="577" customFormat="1" ht="15" customHeight="1">
      <c r="A842" s="563" t="s">
        <v>823</v>
      </c>
      <c r="B842" s="561" t="s">
        <v>7101</v>
      </c>
      <c r="C842" s="561" t="s">
        <v>6209</v>
      </c>
      <c r="D842" s="561" t="s">
        <v>7155</v>
      </c>
      <c r="E842" s="563" t="s">
        <v>7918</v>
      </c>
      <c r="F842" s="563" t="s">
        <v>7919</v>
      </c>
      <c r="G842" s="563" t="s">
        <v>165</v>
      </c>
      <c r="H842" s="564" t="s">
        <v>7920</v>
      </c>
      <c r="I842" s="565" t="str">
        <f>VLOOKUP(H842,'合同高级查询数据-10月新返回合同'!A:A,1,0)</f>
        <v>182315IDC00505</v>
      </c>
      <c r="J842" s="674" t="s">
        <v>3724</v>
      </c>
      <c r="K842" s="563" t="s">
        <v>7921</v>
      </c>
      <c r="L842" s="675" t="s">
        <v>7922</v>
      </c>
      <c r="M842" s="596" t="s">
        <v>7923</v>
      </c>
      <c r="N842" s="574" t="s">
        <v>7861</v>
      </c>
      <c r="O842" s="561" t="s">
        <v>4351</v>
      </c>
      <c r="P842" s="719">
        <v>5500</v>
      </c>
      <c r="Q842" s="720">
        <v>80.599999999999994</v>
      </c>
      <c r="R842" s="719">
        <f t="shared" si="56"/>
        <v>443300</v>
      </c>
      <c r="S842" s="570">
        <v>202310</v>
      </c>
      <c r="T842" s="693" t="s">
        <v>7924</v>
      </c>
      <c r="U842" s="728"/>
      <c r="V842" s="721">
        <v>80.512031554999993</v>
      </c>
      <c r="W842" s="721"/>
      <c r="X842" s="574">
        <v>45108</v>
      </c>
      <c r="Y842" s="574">
        <v>45473</v>
      </c>
      <c r="Z842" s="723" t="s">
        <v>7925</v>
      </c>
      <c r="AA842" s="691">
        <v>0.4</v>
      </c>
      <c r="AB842" s="713">
        <v>200</v>
      </c>
      <c r="AC842" s="713">
        <f t="shared" si="55"/>
        <v>80</v>
      </c>
    </row>
    <row r="843" spans="1:29" s="577" customFormat="1" ht="15" customHeight="1">
      <c r="A843" s="563" t="s">
        <v>823</v>
      </c>
      <c r="B843" s="561" t="s">
        <v>7101</v>
      </c>
      <c r="C843" s="561" t="s">
        <v>6209</v>
      </c>
      <c r="D843" s="561" t="s">
        <v>7155</v>
      </c>
      <c r="E843" s="563" t="s">
        <v>7918</v>
      </c>
      <c r="F843" s="563" t="s">
        <v>7919</v>
      </c>
      <c r="G843" s="563" t="s">
        <v>165</v>
      </c>
      <c r="H843" s="564" t="s">
        <v>7926</v>
      </c>
      <c r="I843" s="565" t="e">
        <f>VLOOKUP(H843,'合同高级查询数据-10月新返回合同'!A:A,1,0)</f>
        <v>#N/A</v>
      </c>
      <c r="J843" s="674" t="s">
        <v>3724</v>
      </c>
      <c r="K843" s="563" t="s">
        <v>7921</v>
      </c>
      <c r="L843" s="675" t="s">
        <v>7927</v>
      </c>
      <c r="M843" s="596" t="s">
        <v>7928</v>
      </c>
      <c r="N843" s="574" t="s">
        <v>7929</v>
      </c>
      <c r="O843" s="561" t="s">
        <v>6681</v>
      </c>
      <c r="P843" s="719">
        <v>5800</v>
      </c>
      <c r="Q843" s="720">
        <v>0</v>
      </c>
      <c r="R843" s="719">
        <f t="shared" si="56"/>
        <v>0</v>
      </c>
      <c r="S843" s="570">
        <v>202310</v>
      </c>
      <c r="T843" s="693" t="s">
        <v>7930</v>
      </c>
      <c r="U843" s="728"/>
      <c r="V843" s="721">
        <v>0</v>
      </c>
      <c r="W843" s="721"/>
      <c r="X843" s="574">
        <v>44805</v>
      </c>
      <c r="Y843" s="597">
        <v>45107</v>
      </c>
      <c r="Z843" s="723"/>
      <c r="AA843" s="691">
        <v>0</v>
      </c>
      <c r="AB843" s="713">
        <v>0</v>
      </c>
      <c r="AC843" s="713">
        <f t="shared" si="55"/>
        <v>0</v>
      </c>
    </row>
    <row r="844" spans="1:29" s="577" customFormat="1" ht="15" customHeight="1">
      <c r="A844" s="563" t="s">
        <v>823</v>
      </c>
      <c r="B844" s="561" t="s">
        <v>7101</v>
      </c>
      <c r="C844" s="561" t="s">
        <v>6209</v>
      </c>
      <c r="D844" s="561" t="s">
        <v>7155</v>
      </c>
      <c r="E844" s="563" t="s">
        <v>7918</v>
      </c>
      <c r="F844" s="563" t="s">
        <v>7919</v>
      </c>
      <c r="G844" s="563" t="s">
        <v>165</v>
      </c>
      <c r="H844" s="564" t="s">
        <v>7931</v>
      </c>
      <c r="I844" s="565" t="e">
        <f>VLOOKUP(H844,'合同高级查询数据-10月新返回合同'!A:A,1,0)</f>
        <v>#N/A</v>
      </c>
      <c r="J844" s="674" t="s">
        <v>3724</v>
      </c>
      <c r="K844" s="563" t="s">
        <v>6213</v>
      </c>
      <c r="L844" s="675" t="s">
        <v>7932</v>
      </c>
      <c r="M844" s="596" t="s">
        <v>7933</v>
      </c>
      <c r="N844" s="574" t="s">
        <v>7934</v>
      </c>
      <c r="O844" s="561" t="s">
        <v>7935</v>
      </c>
      <c r="P844" s="719">
        <v>5800</v>
      </c>
      <c r="Q844" s="720">
        <v>0</v>
      </c>
      <c r="R844" s="719">
        <f t="shared" si="56"/>
        <v>0</v>
      </c>
      <c r="S844" s="570">
        <v>202310</v>
      </c>
      <c r="T844" s="693" t="s">
        <v>7936</v>
      </c>
      <c r="U844" s="728"/>
      <c r="V844" s="721">
        <v>0</v>
      </c>
      <c r="W844" s="721"/>
      <c r="X844" s="574">
        <v>44562</v>
      </c>
      <c r="Y844" s="574">
        <v>44985</v>
      </c>
      <c r="Z844" s="723"/>
      <c r="AA844" s="691">
        <v>0</v>
      </c>
      <c r="AB844" s="713">
        <v>0</v>
      </c>
      <c r="AC844" s="713">
        <f t="shared" si="55"/>
        <v>0</v>
      </c>
    </row>
    <row r="845" spans="1:29" s="577" customFormat="1" ht="15" customHeight="1">
      <c r="A845" s="563" t="s">
        <v>813</v>
      </c>
      <c r="B845" s="563" t="s">
        <v>7101</v>
      </c>
      <c r="C845" s="563" t="s">
        <v>4937</v>
      </c>
      <c r="D845" s="561" t="s">
        <v>7155</v>
      </c>
      <c r="E845" s="563" t="s">
        <v>7937</v>
      </c>
      <c r="F845" s="563" t="s">
        <v>7938</v>
      </c>
      <c r="G845" s="563" t="s">
        <v>165</v>
      </c>
      <c r="H845" s="564" t="s">
        <v>7939</v>
      </c>
      <c r="I845" s="565" t="e">
        <f>VLOOKUP(H845,'合同高级查询数据-10月新返回合同'!A:A,1,0)</f>
        <v>#N/A</v>
      </c>
      <c r="J845" s="674" t="s">
        <v>3724</v>
      </c>
      <c r="K845" s="563" t="s">
        <v>4967</v>
      </c>
      <c r="L845" s="675" t="s">
        <v>7940</v>
      </c>
      <c r="M845" s="596" t="s">
        <v>7941</v>
      </c>
      <c r="N845" s="657">
        <v>43617</v>
      </c>
      <c r="O845" s="726" t="s">
        <v>4796</v>
      </c>
      <c r="P845" s="719">
        <v>5200</v>
      </c>
      <c r="Q845" s="720">
        <v>17</v>
      </c>
      <c r="R845" s="719">
        <f t="shared" si="56"/>
        <v>88400</v>
      </c>
      <c r="S845" s="570">
        <v>202310</v>
      </c>
      <c r="T845" s="693" t="s">
        <v>7942</v>
      </c>
      <c r="U845" s="713"/>
      <c r="V845" s="721">
        <v>16.963428496999999</v>
      </c>
      <c r="W845" s="721"/>
      <c r="X845" s="574">
        <v>45017</v>
      </c>
      <c r="Y845" s="574">
        <v>45382</v>
      </c>
      <c r="Z845" s="561" t="s">
        <v>7943</v>
      </c>
      <c r="AA845" s="683">
        <v>0.4</v>
      </c>
      <c r="AB845" s="582">
        <v>40</v>
      </c>
      <c r="AC845" s="713">
        <f t="shared" si="55"/>
        <v>16</v>
      </c>
    </row>
    <row r="846" spans="1:29" s="577" customFormat="1" ht="15" customHeight="1">
      <c r="A846" s="563" t="s">
        <v>813</v>
      </c>
      <c r="B846" s="563" t="s">
        <v>7101</v>
      </c>
      <c r="C846" s="563" t="s">
        <v>838</v>
      </c>
      <c r="D846" s="561" t="s">
        <v>4593</v>
      </c>
      <c r="E846" s="563" t="s">
        <v>7944</v>
      </c>
      <c r="F846" s="563" t="s">
        <v>7945</v>
      </c>
      <c r="G846" s="563" t="s">
        <v>165</v>
      </c>
      <c r="H846" s="564" t="s">
        <v>7946</v>
      </c>
      <c r="I846" s="565" t="e">
        <f>VLOOKUP(H846,'合同高级查询数据-10月新返回合同'!A:A,1,0)</f>
        <v>#N/A</v>
      </c>
      <c r="J846" s="674" t="s">
        <v>3724</v>
      </c>
      <c r="K846" s="563" t="s">
        <v>7359</v>
      </c>
      <c r="L846" s="675" t="s">
        <v>7947</v>
      </c>
      <c r="M846" s="596" t="s">
        <v>7948</v>
      </c>
      <c r="N846" s="574" t="s">
        <v>7949</v>
      </c>
      <c r="O846" s="574" t="s">
        <v>4899</v>
      </c>
      <c r="P846" s="719">
        <v>7667</v>
      </c>
      <c r="Q846" s="720">
        <v>0</v>
      </c>
      <c r="R846" s="719">
        <f t="shared" si="56"/>
        <v>0</v>
      </c>
      <c r="S846" s="570">
        <v>202310</v>
      </c>
      <c r="T846" s="693" t="s">
        <v>7950</v>
      </c>
      <c r="U846" s="713"/>
      <c r="V846" s="721">
        <v>0</v>
      </c>
      <c r="W846" s="721"/>
      <c r="X846" s="574">
        <v>44348</v>
      </c>
      <c r="Y846" s="574">
        <v>44712</v>
      </c>
      <c r="Z846" s="723"/>
      <c r="AA846" s="691">
        <v>0</v>
      </c>
      <c r="AB846" s="713">
        <v>0</v>
      </c>
      <c r="AC846" s="713">
        <f t="shared" si="55"/>
        <v>0</v>
      </c>
    </row>
    <row r="847" spans="1:29" s="577" customFormat="1" ht="15" customHeight="1">
      <c r="A847" s="563" t="s">
        <v>823</v>
      </c>
      <c r="B847" s="563" t="s">
        <v>7101</v>
      </c>
      <c r="C847" s="563" t="s">
        <v>814</v>
      </c>
      <c r="D847" s="561" t="s">
        <v>4593</v>
      </c>
      <c r="E847" s="563" t="s">
        <v>815</v>
      </c>
      <c r="F847" s="563" t="s">
        <v>7951</v>
      </c>
      <c r="G847" s="563" t="s">
        <v>165</v>
      </c>
      <c r="H847" s="564" t="s">
        <v>7952</v>
      </c>
      <c r="I847" s="565" t="e">
        <f>VLOOKUP(H847,'合同高级查询数据-10月新返回合同'!A:A,1,0)</f>
        <v>#N/A</v>
      </c>
      <c r="J847" s="674" t="s">
        <v>3724</v>
      </c>
      <c r="K847" s="563" t="s">
        <v>7953</v>
      </c>
      <c r="L847" s="675" t="s">
        <v>7954</v>
      </c>
      <c r="M847" s="596" t="s">
        <v>7955</v>
      </c>
      <c r="N847" s="731" t="s">
        <v>7956</v>
      </c>
      <c r="O847" s="731" t="s">
        <v>7957</v>
      </c>
      <c r="P847" s="719">
        <v>5500</v>
      </c>
      <c r="Q847" s="720">
        <v>0</v>
      </c>
      <c r="R847" s="719">
        <f t="shared" si="56"/>
        <v>0</v>
      </c>
      <c r="S847" s="570">
        <v>202310</v>
      </c>
      <c r="T847" s="693" t="s">
        <v>7958</v>
      </c>
      <c r="U847" s="713"/>
      <c r="V847" s="721">
        <v>0</v>
      </c>
      <c r="W847" s="721"/>
      <c r="X847" s="731">
        <v>44197</v>
      </c>
      <c r="Y847" s="731">
        <v>44561</v>
      </c>
      <c r="Z847" s="723"/>
      <c r="AA847" s="691">
        <v>0</v>
      </c>
      <c r="AB847" s="713">
        <v>0</v>
      </c>
      <c r="AC847" s="713">
        <f t="shared" si="55"/>
        <v>0</v>
      </c>
    </row>
    <row r="848" spans="1:29" s="385" customFormat="1" ht="15" customHeight="1">
      <c r="A848" s="388" t="s">
        <v>823</v>
      </c>
      <c r="B848" s="388" t="s">
        <v>7101</v>
      </c>
      <c r="C848" s="388" t="s">
        <v>814</v>
      </c>
      <c r="D848" s="386" t="s">
        <v>4593</v>
      </c>
      <c r="E848" s="388" t="s">
        <v>815</v>
      </c>
      <c r="F848" s="388" t="s">
        <v>7951</v>
      </c>
      <c r="G848" s="388" t="s">
        <v>165</v>
      </c>
      <c r="H848" s="389" t="s">
        <v>7959</v>
      </c>
      <c r="I848" s="369" t="e">
        <f>VLOOKUP(H848,'合同高级查询数据-10月新返回合同'!A:A,1,0)</f>
        <v>#N/A</v>
      </c>
      <c r="J848" s="499" t="s">
        <v>3724</v>
      </c>
      <c r="K848" s="388" t="s">
        <v>2001</v>
      </c>
      <c r="L848" s="486" t="s">
        <v>2966</v>
      </c>
      <c r="M848" s="403" t="s">
        <v>7960</v>
      </c>
      <c r="N848" s="549" t="s">
        <v>7961</v>
      </c>
      <c r="O848" s="549" t="s">
        <v>4254</v>
      </c>
      <c r="P848" s="539">
        <v>4200</v>
      </c>
      <c r="Q848" s="540">
        <v>95.1</v>
      </c>
      <c r="R848" s="539">
        <f t="shared" si="56"/>
        <v>399420</v>
      </c>
      <c r="S848" s="378">
        <v>202310</v>
      </c>
      <c r="T848" s="514" t="s">
        <v>7962</v>
      </c>
      <c r="U848" s="448"/>
      <c r="V848" s="541">
        <v>95.062095642000003</v>
      </c>
      <c r="W848" s="541"/>
      <c r="X848" s="549"/>
      <c r="Y848" s="549"/>
      <c r="Z848" s="386" t="s">
        <v>7963</v>
      </c>
      <c r="AA848" s="506">
        <v>0.4</v>
      </c>
      <c r="AB848" s="410">
        <v>200</v>
      </c>
      <c r="AC848" s="448">
        <f t="shared" si="55"/>
        <v>80</v>
      </c>
    </row>
    <row r="849" spans="1:29" s="385" customFormat="1" ht="15" customHeight="1">
      <c r="A849" s="388" t="s">
        <v>829</v>
      </c>
      <c r="B849" s="388" t="s">
        <v>7101</v>
      </c>
      <c r="C849" s="388" t="s">
        <v>814</v>
      </c>
      <c r="D849" s="386" t="s">
        <v>4593</v>
      </c>
      <c r="E849" s="388" t="s">
        <v>815</v>
      </c>
      <c r="F849" s="388" t="s">
        <v>7951</v>
      </c>
      <c r="G849" s="388" t="s">
        <v>165</v>
      </c>
      <c r="H849" s="389" t="s">
        <v>7964</v>
      </c>
      <c r="I849" s="369" t="e">
        <f>VLOOKUP(H849,'合同高级查询数据-10月新返回合同'!A:A,1,0)</f>
        <v>#N/A</v>
      </c>
      <c r="J849" s="499" t="s">
        <v>3724</v>
      </c>
      <c r="K849" s="388" t="s">
        <v>2001</v>
      </c>
      <c r="L849" s="486" t="s">
        <v>7965</v>
      </c>
      <c r="M849" s="403" t="s">
        <v>7966</v>
      </c>
      <c r="N849" s="549" t="s">
        <v>7967</v>
      </c>
      <c r="O849" s="549" t="s">
        <v>7968</v>
      </c>
      <c r="P849" s="539">
        <v>5000</v>
      </c>
      <c r="Q849" s="540">
        <v>49.2</v>
      </c>
      <c r="R849" s="539">
        <f t="shared" si="56"/>
        <v>246000</v>
      </c>
      <c r="S849" s="378">
        <v>202310</v>
      </c>
      <c r="T849" s="514" t="s">
        <v>7969</v>
      </c>
      <c r="U849" s="448"/>
      <c r="V849" s="541">
        <v>49.158237456999998</v>
      </c>
      <c r="W849" s="541"/>
      <c r="X849" s="546"/>
      <c r="Y849" s="549"/>
      <c r="Z849" s="386" t="s">
        <v>7970</v>
      </c>
      <c r="AA849" s="506">
        <v>0.2</v>
      </c>
      <c r="AB849" s="410">
        <v>200</v>
      </c>
      <c r="AC849" s="448">
        <f t="shared" si="55"/>
        <v>40</v>
      </c>
    </row>
    <row r="850" spans="1:29" s="385" customFormat="1" ht="15" customHeight="1">
      <c r="A850" s="388" t="s">
        <v>823</v>
      </c>
      <c r="B850" s="388" t="s">
        <v>7101</v>
      </c>
      <c r="C850" s="388" t="s">
        <v>814</v>
      </c>
      <c r="D850" s="386" t="s">
        <v>4593</v>
      </c>
      <c r="E850" s="388" t="s">
        <v>815</v>
      </c>
      <c r="F850" s="388" t="s">
        <v>7951</v>
      </c>
      <c r="G850" s="388" t="s">
        <v>165</v>
      </c>
      <c r="H850" s="389" t="s">
        <v>7971</v>
      </c>
      <c r="I850" s="369" t="e">
        <f>VLOOKUP(H850,'合同高级查询数据-10月新返回合同'!A:A,1,0)</f>
        <v>#N/A</v>
      </c>
      <c r="J850" s="499" t="s">
        <v>3724</v>
      </c>
      <c r="K850" s="388" t="s">
        <v>2001</v>
      </c>
      <c r="L850" s="486" t="s">
        <v>7972</v>
      </c>
      <c r="M850" s="403" t="s">
        <v>7973</v>
      </c>
      <c r="N850" s="383">
        <v>43983</v>
      </c>
      <c r="O850" s="550" t="s">
        <v>2187</v>
      </c>
      <c r="P850" s="539">
        <v>3200</v>
      </c>
      <c r="Q850" s="540">
        <v>100</v>
      </c>
      <c r="R850" s="539">
        <f t="shared" si="56"/>
        <v>320000</v>
      </c>
      <c r="S850" s="378">
        <v>202310</v>
      </c>
      <c r="T850" s="514" t="s">
        <v>7974</v>
      </c>
      <c r="U850" s="547"/>
      <c r="V850" s="541">
        <v>79.264869689999998</v>
      </c>
      <c r="W850" s="541"/>
      <c r="X850" s="549"/>
      <c r="Y850" s="549"/>
      <c r="Z850" s="386" t="s">
        <v>7975</v>
      </c>
      <c r="AA850" s="506">
        <v>1</v>
      </c>
      <c r="AB850" s="410">
        <v>100</v>
      </c>
      <c r="AC850" s="448">
        <f t="shared" si="55"/>
        <v>100</v>
      </c>
    </row>
    <row r="851" spans="1:29" s="577" customFormat="1" ht="15" customHeight="1">
      <c r="A851" s="563" t="s">
        <v>823</v>
      </c>
      <c r="B851" s="738" t="s">
        <v>7101</v>
      </c>
      <c r="C851" s="561" t="s">
        <v>6311</v>
      </c>
      <c r="D851" s="561" t="s">
        <v>7115</v>
      </c>
      <c r="E851" s="563" t="s">
        <v>815</v>
      </c>
      <c r="F851" s="563" t="s">
        <v>7951</v>
      </c>
      <c r="G851" s="563" t="s">
        <v>165</v>
      </c>
      <c r="H851" s="564" t="s">
        <v>7976</v>
      </c>
      <c r="I851" s="565" t="e">
        <f>VLOOKUP(H851,'合同高级查询数据-10月新返回合同'!A:A,1,0)</f>
        <v>#N/A</v>
      </c>
      <c r="J851" s="674" t="s">
        <v>3724</v>
      </c>
      <c r="K851" s="563" t="s">
        <v>6311</v>
      </c>
      <c r="L851" s="675" t="s">
        <v>7977</v>
      </c>
      <c r="M851" s="596" t="s">
        <v>7978</v>
      </c>
      <c r="N851" s="574" t="s">
        <v>7979</v>
      </c>
      <c r="O851" s="561" t="s">
        <v>6675</v>
      </c>
      <c r="P851" s="719">
        <v>5500</v>
      </c>
      <c r="Q851" s="720">
        <v>0</v>
      </c>
      <c r="R851" s="719">
        <f t="shared" si="56"/>
        <v>0</v>
      </c>
      <c r="S851" s="570">
        <v>202310</v>
      </c>
      <c r="T851" s="693" t="s">
        <v>7980</v>
      </c>
      <c r="U851" s="728"/>
      <c r="V851" s="721">
        <v>0</v>
      </c>
      <c r="W851" s="721"/>
      <c r="X851" s="574">
        <v>44440</v>
      </c>
      <c r="Y851" s="574">
        <v>44804</v>
      </c>
      <c r="Z851" s="723"/>
      <c r="AA851" s="691">
        <v>0</v>
      </c>
      <c r="AB851" s="713">
        <v>0</v>
      </c>
      <c r="AC851" s="713">
        <f t="shared" si="55"/>
        <v>0</v>
      </c>
    </row>
    <row r="852" spans="1:29" s="577" customFormat="1" ht="15" customHeight="1">
      <c r="A852" s="736" t="s">
        <v>829</v>
      </c>
      <c r="B852" s="738" t="s">
        <v>7101</v>
      </c>
      <c r="C852" s="563" t="s">
        <v>814</v>
      </c>
      <c r="D852" s="561" t="s">
        <v>4593</v>
      </c>
      <c r="E852" s="563" t="s">
        <v>815</v>
      </c>
      <c r="F852" s="563" t="s">
        <v>7951</v>
      </c>
      <c r="G852" s="563" t="s">
        <v>165</v>
      </c>
      <c r="H852" s="564" t="s">
        <v>7981</v>
      </c>
      <c r="I852" s="565" t="e">
        <f>VLOOKUP(H852,'合同高级查询数据-10月新返回合同'!A:A,1,0)</f>
        <v>#N/A</v>
      </c>
      <c r="J852" s="674" t="s">
        <v>3724</v>
      </c>
      <c r="K852" s="563" t="s">
        <v>2001</v>
      </c>
      <c r="L852" s="675" t="s">
        <v>7982</v>
      </c>
      <c r="M852" s="596" t="s">
        <v>7983</v>
      </c>
      <c r="N852" s="574" t="s">
        <v>7984</v>
      </c>
      <c r="O852" s="561" t="s">
        <v>6675</v>
      </c>
      <c r="P852" s="719">
        <v>7000</v>
      </c>
      <c r="Q852" s="720">
        <v>0</v>
      </c>
      <c r="R852" s="719">
        <f t="shared" si="56"/>
        <v>0</v>
      </c>
      <c r="S852" s="570">
        <v>202310</v>
      </c>
      <c r="T852" s="693" t="s">
        <v>7985</v>
      </c>
      <c r="U852" s="728"/>
      <c r="V852" s="721">
        <v>0</v>
      </c>
      <c r="W852" s="721"/>
      <c r="X852" s="574">
        <v>44378</v>
      </c>
      <c r="Y852" s="574">
        <v>44742</v>
      </c>
      <c r="Z852" s="723"/>
      <c r="AA852" s="691">
        <v>0</v>
      </c>
      <c r="AB852" s="713">
        <v>0</v>
      </c>
      <c r="AC852" s="713">
        <f t="shared" si="55"/>
        <v>0</v>
      </c>
    </row>
    <row r="853" spans="1:29" s="577" customFormat="1" ht="15" customHeight="1">
      <c r="A853" s="563" t="s">
        <v>823</v>
      </c>
      <c r="B853" s="738" t="s">
        <v>7101</v>
      </c>
      <c r="C853" s="563" t="s">
        <v>188</v>
      </c>
      <c r="D853" s="561" t="s">
        <v>4593</v>
      </c>
      <c r="E853" s="563" t="s">
        <v>815</v>
      </c>
      <c r="F853" s="563" t="s">
        <v>7951</v>
      </c>
      <c r="G853" s="563" t="s">
        <v>165</v>
      </c>
      <c r="H853" s="564" t="s">
        <v>7986</v>
      </c>
      <c r="I853" s="565" t="e">
        <f>VLOOKUP(H853,'合同高级查询数据-10月新返回合同'!A:A,1,0)</f>
        <v>#N/A</v>
      </c>
      <c r="J853" s="674" t="s">
        <v>3724</v>
      </c>
      <c r="K853" s="563" t="s">
        <v>649</v>
      </c>
      <c r="L853" s="675" t="s">
        <v>2506</v>
      </c>
      <c r="M853" s="596" t="s">
        <v>7987</v>
      </c>
      <c r="N853" s="574" t="s">
        <v>7988</v>
      </c>
      <c r="O853" s="561" t="s">
        <v>6675</v>
      </c>
      <c r="P853" s="719">
        <v>4800</v>
      </c>
      <c r="Q853" s="720">
        <v>0</v>
      </c>
      <c r="R853" s="719">
        <f t="shared" si="56"/>
        <v>0</v>
      </c>
      <c r="S853" s="570">
        <v>202310</v>
      </c>
      <c r="T853" s="693" t="s">
        <v>7989</v>
      </c>
      <c r="U853" s="728"/>
      <c r="V853" s="721">
        <v>0</v>
      </c>
      <c r="W853" s="721"/>
      <c r="X853" s="574">
        <v>44317</v>
      </c>
      <c r="Y853" s="574">
        <v>44681</v>
      </c>
      <c r="Z853" s="723"/>
      <c r="AA853" s="691">
        <v>0</v>
      </c>
      <c r="AB853" s="713">
        <v>0</v>
      </c>
      <c r="AC853" s="713">
        <f t="shared" si="55"/>
        <v>0</v>
      </c>
    </row>
    <row r="854" spans="1:29" s="577" customFormat="1" ht="15" customHeight="1">
      <c r="A854" s="563" t="s">
        <v>823</v>
      </c>
      <c r="B854" s="738" t="s">
        <v>7101</v>
      </c>
      <c r="C854" s="561" t="s">
        <v>5529</v>
      </c>
      <c r="D854" s="561" t="s">
        <v>4593</v>
      </c>
      <c r="E854" s="563" t="s">
        <v>815</v>
      </c>
      <c r="F854" s="563" t="s">
        <v>7951</v>
      </c>
      <c r="G854" s="563" t="s">
        <v>165</v>
      </c>
      <c r="H854" s="564" t="s">
        <v>7990</v>
      </c>
      <c r="I854" s="565" t="e">
        <f>VLOOKUP(H854,'合同高级查询数据-10月新返回合同'!A:A,1,0)</f>
        <v>#N/A</v>
      </c>
      <c r="J854" s="674" t="s">
        <v>3724</v>
      </c>
      <c r="K854" s="563" t="s">
        <v>5828</v>
      </c>
      <c r="L854" s="675" t="s">
        <v>7991</v>
      </c>
      <c r="M854" s="596" t="s">
        <v>7992</v>
      </c>
      <c r="N854" s="574" t="s">
        <v>7993</v>
      </c>
      <c r="O854" s="561" t="s">
        <v>5228</v>
      </c>
      <c r="P854" s="719">
        <v>4300</v>
      </c>
      <c r="Q854" s="720">
        <v>0</v>
      </c>
      <c r="R854" s="719">
        <f t="shared" si="56"/>
        <v>0</v>
      </c>
      <c r="S854" s="570">
        <v>202310</v>
      </c>
      <c r="T854" s="693" t="s">
        <v>7994</v>
      </c>
      <c r="U854" s="728"/>
      <c r="V854" s="721">
        <v>0</v>
      </c>
      <c r="W854" s="721"/>
      <c r="X854" s="731">
        <v>44409</v>
      </c>
      <c r="Y854" s="731">
        <v>44773</v>
      </c>
      <c r="Z854" s="723"/>
      <c r="AA854" s="691">
        <v>0</v>
      </c>
      <c r="AB854" s="713">
        <v>0</v>
      </c>
      <c r="AC854" s="713">
        <f t="shared" si="55"/>
        <v>0</v>
      </c>
    </row>
    <row r="855" spans="1:29" s="577" customFormat="1" ht="15" customHeight="1">
      <c r="A855" s="563" t="s">
        <v>823</v>
      </c>
      <c r="B855" s="563" t="s">
        <v>7101</v>
      </c>
      <c r="C855" s="563" t="s">
        <v>5529</v>
      </c>
      <c r="D855" s="561" t="s">
        <v>4593</v>
      </c>
      <c r="E855" s="563" t="s">
        <v>815</v>
      </c>
      <c r="F855" s="563" t="s">
        <v>7951</v>
      </c>
      <c r="G855" s="563" t="s">
        <v>165</v>
      </c>
      <c r="H855" s="564" t="s">
        <v>7990</v>
      </c>
      <c r="I855" s="565" t="e">
        <f>VLOOKUP(H855,'合同高级查询数据-10月新返回合同'!A:A,1,0)</f>
        <v>#N/A</v>
      </c>
      <c r="J855" s="674" t="s">
        <v>3724</v>
      </c>
      <c r="K855" s="563" t="s">
        <v>5828</v>
      </c>
      <c r="L855" s="563" t="s">
        <v>7995</v>
      </c>
      <c r="M855" s="596" t="s">
        <v>7992</v>
      </c>
      <c r="N855" s="574" t="s">
        <v>7996</v>
      </c>
      <c r="O855" s="731" t="s">
        <v>7997</v>
      </c>
      <c r="P855" s="719">
        <v>4300</v>
      </c>
      <c r="Q855" s="720">
        <v>0</v>
      </c>
      <c r="R855" s="719">
        <f t="shared" si="56"/>
        <v>0</v>
      </c>
      <c r="S855" s="570">
        <v>202310</v>
      </c>
      <c r="T855" s="693" t="s">
        <v>7998</v>
      </c>
      <c r="U855" s="713"/>
      <c r="V855" s="721">
        <v>0</v>
      </c>
      <c r="W855" s="721"/>
      <c r="X855" s="731">
        <v>44409</v>
      </c>
      <c r="Y855" s="731">
        <v>44773</v>
      </c>
      <c r="Z855" s="723"/>
      <c r="AA855" s="691">
        <v>0</v>
      </c>
      <c r="AB855" s="713">
        <v>0</v>
      </c>
      <c r="AC855" s="713">
        <f t="shared" si="55"/>
        <v>0</v>
      </c>
    </row>
    <row r="856" spans="1:29" s="577" customFormat="1" ht="15" customHeight="1">
      <c r="A856" s="563" t="s">
        <v>823</v>
      </c>
      <c r="B856" s="563" t="s">
        <v>7101</v>
      </c>
      <c r="C856" s="563" t="s">
        <v>188</v>
      </c>
      <c r="D856" s="561" t="s">
        <v>4593</v>
      </c>
      <c r="E856" s="563" t="s">
        <v>815</v>
      </c>
      <c r="F856" s="563" t="s">
        <v>7951</v>
      </c>
      <c r="G856" s="563" t="s">
        <v>165</v>
      </c>
      <c r="H856" s="564" t="s">
        <v>7999</v>
      </c>
      <c r="I856" s="565" t="e">
        <f>VLOOKUP(H856,'合同高级查询数据-10月新返回合同'!A:A,1,0)</f>
        <v>#N/A</v>
      </c>
      <c r="J856" s="674" t="s">
        <v>3724</v>
      </c>
      <c r="K856" s="563" t="s">
        <v>649</v>
      </c>
      <c r="L856" s="563" t="s">
        <v>8000</v>
      </c>
      <c r="M856" s="596" t="s">
        <v>8001</v>
      </c>
      <c r="N856" s="574" t="s">
        <v>8002</v>
      </c>
      <c r="O856" s="731" t="s">
        <v>8003</v>
      </c>
      <c r="P856" s="719">
        <v>4800</v>
      </c>
      <c r="Q856" s="720">
        <v>8.5</v>
      </c>
      <c r="R856" s="719">
        <f t="shared" si="56"/>
        <v>40800</v>
      </c>
      <c r="S856" s="570">
        <v>202310</v>
      </c>
      <c r="T856" s="693" t="s">
        <v>8004</v>
      </c>
      <c r="U856" s="713"/>
      <c r="V856" s="721">
        <v>8.4088172910000001</v>
      </c>
      <c r="W856" s="721"/>
      <c r="X856" s="574">
        <v>44866</v>
      </c>
      <c r="Y856" s="574">
        <v>45230</v>
      </c>
      <c r="Z856" s="561" t="s">
        <v>8005</v>
      </c>
      <c r="AA856" s="683">
        <v>0.4</v>
      </c>
      <c r="AB856" s="582">
        <v>20</v>
      </c>
      <c r="AC856" s="713">
        <f t="shared" si="55"/>
        <v>8</v>
      </c>
    </row>
    <row r="857" spans="1:29" s="577" customFormat="1" ht="15" customHeight="1">
      <c r="A857" s="563" t="s">
        <v>823</v>
      </c>
      <c r="B857" s="563" t="s">
        <v>7101</v>
      </c>
      <c r="C857" s="563" t="s">
        <v>6654</v>
      </c>
      <c r="D857" s="561" t="s">
        <v>4593</v>
      </c>
      <c r="E857" s="563" t="s">
        <v>815</v>
      </c>
      <c r="F857" s="563" t="s">
        <v>7951</v>
      </c>
      <c r="G857" s="563" t="s">
        <v>165</v>
      </c>
      <c r="H857" s="564" t="s">
        <v>8006</v>
      </c>
      <c r="I857" s="565" t="e">
        <f>VLOOKUP(H857,'合同高级查询数据-10月新返回合同'!A:A,1,0)</f>
        <v>#N/A</v>
      </c>
      <c r="J857" s="674" t="s">
        <v>3724</v>
      </c>
      <c r="K857" s="563" t="s">
        <v>6869</v>
      </c>
      <c r="L857" s="563" t="s">
        <v>8007</v>
      </c>
      <c r="M857" s="596" t="s">
        <v>8008</v>
      </c>
      <c r="N857" s="574" t="s">
        <v>8009</v>
      </c>
      <c r="O857" s="731" t="s">
        <v>6675</v>
      </c>
      <c r="P857" s="719">
        <v>4900</v>
      </c>
      <c r="Q857" s="720">
        <v>0</v>
      </c>
      <c r="R857" s="719">
        <f t="shared" si="56"/>
        <v>0</v>
      </c>
      <c r="S857" s="570">
        <v>202310</v>
      </c>
      <c r="T857" s="693" t="s">
        <v>8010</v>
      </c>
      <c r="U857" s="713"/>
      <c r="V857" s="721">
        <v>0</v>
      </c>
      <c r="W857" s="721"/>
      <c r="X857" s="574">
        <v>44621</v>
      </c>
      <c r="Y857" s="722">
        <v>45016</v>
      </c>
      <c r="Z857" s="723"/>
      <c r="AA857" s="691">
        <v>0</v>
      </c>
      <c r="AB857" s="713">
        <v>0</v>
      </c>
      <c r="AC857" s="713">
        <f t="shared" si="55"/>
        <v>0</v>
      </c>
    </row>
    <row r="858" spans="1:29" s="385" customFormat="1" ht="15" customHeight="1">
      <c r="A858" s="548" t="s">
        <v>829</v>
      </c>
      <c r="B858" s="388" t="s">
        <v>7101</v>
      </c>
      <c r="C858" s="388" t="s">
        <v>5529</v>
      </c>
      <c r="D858" s="386" t="s">
        <v>4593</v>
      </c>
      <c r="E858" s="388" t="s">
        <v>815</v>
      </c>
      <c r="F858" s="388" t="s">
        <v>7951</v>
      </c>
      <c r="G858" s="388" t="s">
        <v>165</v>
      </c>
      <c r="H858" s="389" t="s">
        <v>8011</v>
      </c>
      <c r="I858" s="369" t="e">
        <f>VLOOKUP(H858,'合同高级查询数据-10月新返回合同'!A:A,1,0)</f>
        <v>#N/A</v>
      </c>
      <c r="J858" s="499" t="s">
        <v>3724</v>
      </c>
      <c r="K858" s="388" t="s">
        <v>5672</v>
      </c>
      <c r="L858" s="388" t="s">
        <v>8012</v>
      </c>
      <c r="M858" s="403" t="s">
        <v>8013</v>
      </c>
      <c r="N858" s="383">
        <v>45170</v>
      </c>
      <c r="O858" s="549" t="s">
        <v>3847</v>
      </c>
      <c r="P858" s="539">
        <v>6000</v>
      </c>
      <c r="Q858" s="540">
        <v>9.5</v>
      </c>
      <c r="R858" s="539">
        <f t="shared" si="56"/>
        <v>57000</v>
      </c>
      <c r="S858" s="378">
        <v>202310</v>
      </c>
      <c r="T858" s="514" t="s">
        <v>8014</v>
      </c>
      <c r="U858" s="448"/>
      <c r="V858" s="541">
        <v>9.4340496060000003</v>
      </c>
      <c r="W858" s="448"/>
      <c r="X858" s="383"/>
      <c r="Y858" s="546"/>
      <c r="Z858" s="386" t="s">
        <v>8015</v>
      </c>
      <c r="AA858" s="506">
        <v>0.3</v>
      </c>
      <c r="AB858" s="410">
        <v>20</v>
      </c>
      <c r="AC858" s="410">
        <f t="shared" si="55"/>
        <v>6</v>
      </c>
    </row>
    <row r="859" spans="1:29" s="385" customFormat="1" ht="15" customHeight="1">
      <c r="A859" s="548" t="s">
        <v>813</v>
      </c>
      <c r="B859" s="388" t="s">
        <v>7101</v>
      </c>
      <c r="C859" s="388" t="s">
        <v>5529</v>
      </c>
      <c r="D859" s="386" t="s">
        <v>4593</v>
      </c>
      <c r="E859" s="388" t="s">
        <v>815</v>
      </c>
      <c r="F859" s="388" t="s">
        <v>7951</v>
      </c>
      <c r="G859" s="388" t="s">
        <v>165</v>
      </c>
      <c r="H859" s="389" t="s">
        <v>8011</v>
      </c>
      <c r="I859" s="369" t="e">
        <f>VLOOKUP(H859,'合同高级查询数据-10月新返回合同'!A:A,1,0)</f>
        <v>#N/A</v>
      </c>
      <c r="J859" s="499" t="s">
        <v>3724</v>
      </c>
      <c r="K859" s="388" t="s">
        <v>5672</v>
      </c>
      <c r="L859" s="388" t="s">
        <v>8016</v>
      </c>
      <c r="M859" s="403" t="s">
        <v>8013</v>
      </c>
      <c r="N859" s="383">
        <v>45170</v>
      </c>
      <c r="O859" s="549" t="s">
        <v>2509</v>
      </c>
      <c r="P859" s="539">
        <v>5833.33</v>
      </c>
      <c r="Q859" s="540">
        <v>5.0999999999999996</v>
      </c>
      <c r="R859" s="539">
        <f t="shared" si="56"/>
        <v>29749.98</v>
      </c>
      <c r="S859" s="378">
        <v>202310</v>
      </c>
      <c r="T859" s="514" t="s">
        <v>8017</v>
      </c>
      <c r="U859" s="448"/>
      <c r="V859" s="541">
        <v>5.048822403</v>
      </c>
      <c r="W859" s="448"/>
      <c r="X859" s="383"/>
      <c r="Y859" s="546"/>
      <c r="Z859" s="386" t="s">
        <v>8018</v>
      </c>
      <c r="AA859" s="506">
        <v>0.3</v>
      </c>
      <c r="AB859" s="410">
        <v>10</v>
      </c>
      <c r="AC859" s="410">
        <f t="shared" si="55"/>
        <v>3</v>
      </c>
    </row>
    <row r="860" spans="1:29" s="385" customFormat="1" ht="15" customHeight="1">
      <c r="A860" s="388" t="s">
        <v>823</v>
      </c>
      <c r="B860" s="388" t="s">
        <v>7101</v>
      </c>
      <c r="C860" s="388" t="s">
        <v>5529</v>
      </c>
      <c r="D860" s="386" t="s">
        <v>4593</v>
      </c>
      <c r="E860" s="388" t="s">
        <v>815</v>
      </c>
      <c r="F860" s="388" t="s">
        <v>7951</v>
      </c>
      <c r="G860" s="388" t="s">
        <v>165</v>
      </c>
      <c r="H860" s="389" t="s">
        <v>8011</v>
      </c>
      <c r="I860" s="369" t="e">
        <f>VLOOKUP(H860,'合同高级查询数据-10月新返回合同'!A:A,1,0)</f>
        <v>#N/A</v>
      </c>
      <c r="J860" s="499" t="s">
        <v>3724</v>
      </c>
      <c r="K860" s="388" t="s">
        <v>5672</v>
      </c>
      <c r="L860" s="388" t="s">
        <v>8019</v>
      </c>
      <c r="M860" s="403" t="s">
        <v>8013</v>
      </c>
      <c r="N860" s="383">
        <v>45170</v>
      </c>
      <c r="O860" s="549" t="s">
        <v>3847</v>
      </c>
      <c r="P860" s="539">
        <v>4800</v>
      </c>
      <c r="Q860" s="540">
        <v>8</v>
      </c>
      <c r="R860" s="539">
        <f t="shared" si="56"/>
        <v>38400</v>
      </c>
      <c r="S860" s="378">
        <v>202310</v>
      </c>
      <c r="T860" s="514" t="s">
        <v>8020</v>
      </c>
      <c r="U860" s="448"/>
      <c r="V860" s="541">
        <v>7.2945408819999997</v>
      </c>
      <c r="W860" s="448"/>
      <c r="X860" s="383"/>
      <c r="Y860" s="546"/>
      <c r="Z860" s="386" t="s">
        <v>8021</v>
      </c>
      <c r="AA860" s="506">
        <v>0.4</v>
      </c>
      <c r="AB860" s="410">
        <v>20</v>
      </c>
      <c r="AC860" s="410">
        <f t="shared" si="55"/>
        <v>8</v>
      </c>
    </row>
    <row r="861" spans="1:29" s="385" customFormat="1" ht="15" customHeight="1">
      <c r="A861" s="548" t="s">
        <v>829</v>
      </c>
      <c r="B861" s="388" t="s">
        <v>7101</v>
      </c>
      <c r="C861" s="388" t="s">
        <v>4721</v>
      </c>
      <c r="D861" s="386" t="s">
        <v>7155</v>
      </c>
      <c r="E861" s="388" t="s">
        <v>815</v>
      </c>
      <c r="F861" s="388" t="s">
        <v>7951</v>
      </c>
      <c r="G861" s="388" t="s">
        <v>165</v>
      </c>
      <c r="H861" s="389" t="s">
        <v>8022</v>
      </c>
      <c r="I861" s="369" t="e">
        <f>VLOOKUP(H861,'合同高级查询数据-10月新返回合同'!A:A,1,0)</f>
        <v>#N/A</v>
      </c>
      <c r="J861" s="499" t="s">
        <v>3724</v>
      </c>
      <c r="K861" s="388" t="s">
        <v>4836</v>
      </c>
      <c r="L861" s="388" t="s">
        <v>8023</v>
      </c>
      <c r="M861" s="403" t="s">
        <v>8024</v>
      </c>
      <c r="N861" s="383">
        <v>45170</v>
      </c>
      <c r="O861" s="549" t="s">
        <v>3847</v>
      </c>
      <c r="P861" s="539">
        <v>5667</v>
      </c>
      <c r="Q861" s="540">
        <v>6.1</v>
      </c>
      <c r="R861" s="539">
        <f t="shared" si="56"/>
        <v>34568.699999999997</v>
      </c>
      <c r="S861" s="378">
        <v>202310</v>
      </c>
      <c r="T861" s="514" t="s">
        <v>8014</v>
      </c>
      <c r="U861" s="448"/>
      <c r="V861" s="541">
        <v>6.095383644</v>
      </c>
      <c r="W861" s="448"/>
      <c r="X861" s="383"/>
      <c r="Y861" s="546"/>
      <c r="Z861" s="386" t="s">
        <v>8025</v>
      </c>
      <c r="AA861" s="506">
        <v>0.3</v>
      </c>
      <c r="AB861" s="410">
        <v>20</v>
      </c>
      <c r="AC861" s="410">
        <f t="shared" si="55"/>
        <v>6</v>
      </c>
    </row>
    <row r="862" spans="1:29" s="385" customFormat="1" ht="15" customHeight="1">
      <c r="A862" s="548" t="s">
        <v>813</v>
      </c>
      <c r="B862" s="388" t="s">
        <v>7101</v>
      </c>
      <c r="C862" s="388" t="s">
        <v>4721</v>
      </c>
      <c r="D862" s="386" t="s">
        <v>7155</v>
      </c>
      <c r="E862" s="388" t="s">
        <v>815</v>
      </c>
      <c r="F862" s="388" t="s">
        <v>7951</v>
      </c>
      <c r="G862" s="388" t="s">
        <v>165</v>
      </c>
      <c r="H862" s="389" t="s">
        <v>8022</v>
      </c>
      <c r="I862" s="369" t="e">
        <f>VLOOKUP(H862,'合同高级查询数据-10月新返回合同'!A:A,1,0)</f>
        <v>#N/A</v>
      </c>
      <c r="J862" s="499" t="s">
        <v>3724</v>
      </c>
      <c r="K862" s="388" t="s">
        <v>4836</v>
      </c>
      <c r="L862" s="388" t="s">
        <v>8026</v>
      </c>
      <c r="M862" s="403" t="s">
        <v>8024</v>
      </c>
      <c r="N862" s="383">
        <v>45170</v>
      </c>
      <c r="O862" s="549" t="s">
        <v>2509</v>
      </c>
      <c r="P862" s="539">
        <v>4500</v>
      </c>
      <c r="Q862" s="540">
        <v>3.5</v>
      </c>
      <c r="R862" s="539">
        <f t="shared" si="56"/>
        <v>15750</v>
      </c>
      <c r="S862" s="378">
        <v>202310</v>
      </c>
      <c r="T862" s="514" t="s">
        <v>8017</v>
      </c>
      <c r="U862" s="448"/>
      <c r="V862" s="541">
        <v>3.4279863829999999</v>
      </c>
      <c r="W862" s="448"/>
      <c r="X862" s="383"/>
      <c r="Y862" s="546"/>
      <c r="Z862" s="386" t="s">
        <v>8027</v>
      </c>
      <c r="AA862" s="506">
        <v>0.3</v>
      </c>
      <c r="AB862" s="410">
        <v>10</v>
      </c>
      <c r="AC862" s="410">
        <f t="shared" si="55"/>
        <v>3</v>
      </c>
    </row>
    <row r="863" spans="1:29" s="385" customFormat="1" ht="15" customHeight="1">
      <c r="A863" s="388" t="s">
        <v>823</v>
      </c>
      <c r="B863" s="388" t="s">
        <v>7101</v>
      </c>
      <c r="C863" s="388" t="s">
        <v>4721</v>
      </c>
      <c r="D863" s="386" t="s">
        <v>7155</v>
      </c>
      <c r="E863" s="388" t="s">
        <v>815</v>
      </c>
      <c r="F863" s="388" t="s">
        <v>7951</v>
      </c>
      <c r="G863" s="388" t="s">
        <v>165</v>
      </c>
      <c r="H863" s="389" t="s">
        <v>8022</v>
      </c>
      <c r="I863" s="369" t="e">
        <f>VLOOKUP(H863,'合同高级查询数据-10月新返回合同'!A:A,1,0)</f>
        <v>#N/A</v>
      </c>
      <c r="J863" s="499" t="s">
        <v>3724</v>
      </c>
      <c r="K863" s="388" t="s">
        <v>4836</v>
      </c>
      <c r="L863" s="388" t="s">
        <v>8028</v>
      </c>
      <c r="M863" s="403" t="s">
        <v>8024</v>
      </c>
      <c r="N863" s="383">
        <v>45170</v>
      </c>
      <c r="O863" s="549" t="s">
        <v>3847</v>
      </c>
      <c r="P863" s="539">
        <v>4500</v>
      </c>
      <c r="Q863" s="540">
        <v>8</v>
      </c>
      <c r="R863" s="539">
        <f t="shared" si="56"/>
        <v>36000</v>
      </c>
      <c r="S863" s="378">
        <v>202310</v>
      </c>
      <c r="T863" s="514" t="s">
        <v>8020</v>
      </c>
      <c r="U863" s="448"/>
      <c r="V863" s="541">
        <v>7.9244418139999997</v>
      </c>
      <c r="W863" s="448"/>
      <c r="X863" s="383"/>
      <c r="Y863" s="546"/>
      <c r="Z863" s="386" t="s">
        <v>8029</v>
      </c>
      <c r="AA863" s="506">
        <v>0.4</v>
      </c>
      <c r="AB863" s="410">
        <v>20</v>
      </c>
      <c r="AC863" s="410">
        <f t="shared" si="55"/>
        <v>8</v>
      </c>
    </row>
    <row r="864" spans="1:29" s="385" customFormat="1" ht="15" customHeight="1">
      <c r="A864" s="548" t="s">
        <v>829</v>
      </c>
      <c r="B864" s="388" t="s">
        <v>7101</v>
      </c>
      <c r="C864" s="388" t="s">
        <v>887</v>
      </c>
      <c r="D864" s="386" t="s">
        <v>7115</v>
      </c>
      <c r="E864" s="388" t="s">
        <v>815</v>
      </c>
      <c r="F864" s="388" t="s">
        <v>7951</v>
      </c>
      <c r="G864" s="388" t="s">
        <v>165</v>
      </c>
      <c r="H864" s="389" t="s">
        <v>8030</v>
      </c>
      <c r="I864" s="369" t="e">
        <f>VLOOKUP(H864,'合同高级查询数据-10月新返回合同'!A:A,1,0)</f>
        <v>#N/A</v>
      </c>
      <c r="J864" s="499" t="s">
        <v>3724</v>
      </c>
      <c r="K864" s="388" t="s">
        <v>2069</v>
      </c>
      <c r="L864" s="388" t="s">
        <v>8031</v>
      </c>
      <c r="M864" s="403" t="s">
        <v>8032</v>
      </c>
      <c r="N864" s="383">
        <v>45170</v>
      </c>
      <c r="O864" s="549" t="s">
        <v>3847</v>
      </c>
      <c r="P864" s="539">
        <v>6250</v>
      </c>
      <c r="Q864" s="540">
        <v>8.3000000000000007</v>
      </c>
      <c r="R864" s="539">
        <f t="shared" si="56"/>
        <v>51875</v>
      </c>
      <c r="S864" s="378">
        <v>202310</v>
      </c>
      <c r="T864" s="514" t="s">
        <v>8014</v>
      </c>
      <c r="U864" s="448"/>
      <c r="V864" s="541">
        <v>8.2288990020000004</v>
      </c>
      <c r="W864" s="448"/>
      <c r="X864" s="383"/>
      <c r="Y864" s="546"/>
      <c r="Z864" s="386" t="s">
        <v>8033</v>
      </c>
      <c r="AA864" s="506">
        <v>0.3</v>
      </c>
      <c r="AB864" s="410">
        <v>20</v>
      </c>
      <c r="AC864" s="410">
        <f t="shared" si="55"/>
        <v>6</v>
      </c>
    </row>
    <row r="865" spans="1:29" s="385" customFormat="1" ht="15" customHeight="1">
      <c r="A865" s="548" t="s">
        <v>813</v>
      </c>
      <c r="B865" s="388" t="s">
        <v>7101</v>
      </c>
      <c r="C865" s="388" t="s">
        <v>887</v>
      </c>
      <c r="D865" s="386" t="s">
        <v>7115</v>
      </c>
      <c r="E865" s="388" t="s">
        <v>815</v>
      </c>
      <c r="F865" s="388" t="s">
        <v>7951</v>
      </c>
      <c r="G865" s="388" t="s">
        <v>165</v>
      </c>
      <c r="H865" s="389" t="s">
        <v>8030</v>
      </c>
      <c r="I865" s="369" t="e">
        <f>VLOOKUP(H865,'合同高级查询数据-10月新返回合同'!A:A,1,0)</f>
        <v>#N/A</v>
      </c>
      <c r="J865" s="499" t="s">
        <v>3724</v>
      </c>
      <c r="K865" s="388" t="s">
        <v>2069</v>
      </c>
      <c r="L865" s="388" t="s">
        <v>8034</v>
      </c>
      <c r="M865" s="403" t="s">
        <v>8032</v>
      </c>
      <c r="N865" s="383">
        <v>45170</v>
      </c>
      <c r="O865" s="549" t="s">
        <v>2509</v>
      </c>
      <c r="P865" s="539">
        <v>5416.67</v>
      </c>
      <c r="Q865" s="540">
        <v>5.9</v>
      </c>
      <c r="R865" s="539">
        <f t="shared" si="56"/>
        <v>31958.35</v>
      </c>
      <c r="S865" s="378">
        <v>202310</v>
      </c>
      <c r="T865" s="514" t="s">
        <v>8017</v>
      </c>
      <c r="U865" s="448"/>
      <c r="V865" s="541">
        <v>5.80797863</v>
      </c>
      <c r="W865" s="448"/>
      <c r="X865" s="383"/>
      <c r="Y865" s="546"/>
      <c r="Z865" s="386" t="s">
        <v>8035</v>
      </c>
      <c r="AA865" s="506">
        <v>0.3</v>
      </c>
      <c r="AB865" s="410">
        <v>10</v>
      </c>
      <c r="AC865" s="410">
        <f t="shared" si="55"/>
        <v>3</v>
      </c>
    </row>
    <row r="866" spans="1:29" s="385" customFormat="1" ht="15" customHeight="1">
      <c r="A866" s="388" t="s">
        <v>823</v>
      </c>
      <c r="B866" s="388" t="s">
        <v>7101</v>
      </c>
      <c r="C866" s="388" t="s">
        <v>887</v>
      </c>
      <c r="D866" s="386" t="s">
        <v>7115</v>
      </c>
      <c r="E866" s="388" t="s">
        <v>815</v>
      </c>
      <c r="F866" s="388" t="s">
        <v>7951</v>
      </c>
      <c r="G866" s="388" t="s">
        <v>165</v>
      </c>
      <c r="H866" s="389" t="s">
        <v>8030</v>
      </c>
      <c r="I866" s="369" t="e">
        <f>VLOOKUP(H866,'合同高级查询数据-10月新返回合同'!A:A,1,0)</f>
        <v>#N/A</v>
      </c>
      <c r="J866" s="499" t="s">
        <v>3724</v>
      </c>
      <c r="K866" s="388" t="s">
        <v>2069</v>
      </c>
      <c r="L866" s="388" t="s">
        <v>8036</v>
      </c>
      <c r="M866" s="403" t="s">
        <v>8032</v>
      </c>
      <c r="N866" s="383">
        <v>45170</v>
      </c>
      <c r="O866" s="549" t="s">
        <v>3847</v>
      </c>
      <c r="P866" s="539">
        <v>5200</v>
      </c>
      <c r="Q866" s="540">
        <v>8</v>
      </c>
      <c r="R866" s="539">
        <f t="shared" si="56"/>
        <v>41600</v>
      </c>
      <c r="S866" s="378">
        <v>202310</v>
      </c>
      <c r="T866" s="514" t="s">
        <v>8020</v>
      </c>
      <c r="U866" s="448"/>
      <c r="V866" s="541">
        <v>6.8357419970000004</v>
      </c>
      <c r="W866" s="448"/>
      <c r="X866" s="383"/>
      <c r="Y866" s="546"/>
      <c r="Z866" s="386" t="s">
        <v>8037</v>
      </c>
      <c r="AA866" s="506">
        <v>0.4</v>
      </c>
      <c r="AB866" s="410">
        <v>20</v>
      </c>
      <c r="AC866" s="410">
        <f t="shared" si="55"/>
        <v>8</v>
      </c>
    </row>
    <row r="867" spans="1:29" s="385" customFormat="1" ht="15" customHeight="1">
      <c r="A867" s="388" t="s">
        <v>823</v>
      </c>
      <c r="B867" s="552" t="s">
        <v>7101</v>
      </c>
      <c r="C867" s="386" t="s">
        <v>838</v>
      </c>
      <c r="D867" s="386" t="s">
        <v>4593</v>
      </c>
      <c r="E867" s="388" t="s">
        <v>8038</v>
      </c>
      <c r="F867" s="388" t="s">
        <v>8039</v>
      </c>
      <c r="G867" s="388" t="s">
        <v>165</v>
      </c>
      <c r="H867" s="389" t="s">
        <v>8040</v>
      </c>
      <c r="I867" s="369" t="e">
        <f>VLOOKUP(H867,'合同高级查询数据-10月新返回合同'!A:A,1,0)</f>
        <v>#N/A</v>
      </c>
      <c r="J867" s="499" t="s">
        <v>3724</v>
      </c>
      <c r="K867" s="388" t="s">
        <v>865</v>
      </c>
      <c r="L867" s="486" t="s">
        <v>8041</v>
      </c>
      <c r="M867" s="403" t="s">
        <v>8042</v>
      </c>
      <c r="N867" s="383" t="s">
        <v>8043</v>
      </c>
      <c r="O867" s="386" t="s">
        <v>8044</v>
      </c>
      <c r="P867" s="539">
        <v>4300</v>
      </c>
      <c r="Q867" s="540">
        <v>81.5</v>
      </c>
      <c r="R867" s="539">
        <f t="shared" si="56"/>
        <v>350450</v>
      </c>
      <c r="S867" s="378">
        <v>202310</v>
      </c>
      <c r="T867" s="514" t="s">
        <v>8045</v>
      </c>
      <c r="U867" s="547"/>
      <c r="V867" s="541">
        <v>81.422538756999998</v>
      </c>
      <c r="W867" s="541"/>
      <c r="X867" s="383"/>
      <c r="Y867" s="553"/>
      <c r="Z867" s="386" t="s">
        <v>8046</v>
      </c>
      <c r="AA867" s="506">
        <v>0.3</v>
      </c>
      <c r="AB867" s="410">
        <v>200</v>
      </c>
      <c r="AC867" s="448">
        <f t="shared" si="55"/>
        <v>60</v>
      </c>
    </row>
    <row r="868" spans="1:29" s="385" customFormat="1" ht="15" customHeight="1">
      <c r="A868" s="388" t="s">
        <v>823</v>
      </c>
      <c r="B868" s="552" t="s">
        <v>7101</v>
      </c>
      <c r="C868" s="386" t="s">
        <v>838</v>
      </c>
      <c r="D868" s="386" t="s">
        <v>4593</v>
      </c>
      <c r="E868" s="388" t="s">
        <v>8038</v>
      </c>
      <c r="F868" s="388" t="s">
        <v>8039</v>
      </c>
      <c r="G868" s="388" t="s">
        <v>165</v>
      </c>
      <c r="H868" s="389" t="s">
        <v>8040</v>
      </c>
      <c r="I868" s="369" t="e">
        <f>VLOOKUP(H868,'合同高级查询数据-10月新返回合同'!A:A,1,0)</f>
        <v>#N/A</v>
      </c>
      <c r="J868" s="499" t="s">
        <v>3724</v>
      </c>
      <c r="K868" s="388" t="s">
        <v>865</v>
      </c>
      <c r="L868" s="486" t="s">
        <v>8047</v>
      </c>
      <c r="M868" s="403" t="s">
        <v>8042</v>
      </c>
      <c r="N868" s="383">
        <v>45170</v>
      </c>
      <c r="O868" s="386" t="s">
        <v>1542</v>
      </c>
      <c r="P868" s="539">
        <v>4300</v>
      </c>
      <c r="Q868" s="540">
        <v>85.6</v>
      </c>
      <c r="R868" s="539">
        <f t="shared" si="56"/>
        <v>368080</v>
      </c>
      <c r="S868" s="378">
        <v>202310</v>
      </c>
      <c r="T868" s="514" t="s">
        <v>8048</v>
      </c>
      <c r="U868" s="547"/>
      <c r="V868" s="541">
        <v>85.539161682</v>
      </c>
      <c r="W868" s="410"/>
      <c r="X868" s="383"/>
      <c r="Y868" s="425"/>
      <c r="Z868" s="386" t="s">
        <v>8049</v>
      </c>
      <c r="AA868" s="506">
        <v>0.3</v>
      </c>
      <c r="AB868" s="410">
        <v>200</v>
      </c>
      <c r="AC868" s="410">
        <f t="shared" si="55"/>
        <v>60</v>
      </c>
    </row>
    <row r="869" spans="1:29" s="577" customFormat="1" ht="15" customHeight="1">
      <c r="A869" s="563" t="s">
        <v>823</v>
      </c>
      <c r="B869" s="738" t="s">
        <v>7101</v>
      </c>
      <c r="C869" s="561" t="s">
        <v>5055</v>
      </c>
      <c r="D869" s="561" t="s">
        <v>4593</v>
      </c>
      <c r="E869" s="563" t="s">
        <v>8038</v>
      </c>
      <c r="F869" s="563" t="s">
        <v>8039</v>
      </c>
      <c r="G869" s="563" t="s">
        <v>165</v>
      </c>
      <c r="H869" s="564" t="s">
        <v>8050</v>
      </c>
      <c r="I869" s="565" t="str">
        <f>VLOOKUP(H869,'合同高级查询数据-10月新返回合同'!A:A,1,0)</f>
        <v>182315IDC00509</v>
      </c>
      <c r="J869" s="674" t="s">
        <v>3724</v>
      </c>
      <c r="K869" s="563" t="s">
        <v>5077</v>
      </c>
      <c r="L869" s="675" t="s">
        <v>8051</v>
      </c>
      <c r="M869" s="596" t="s">
        <v>8052</v>
      </c>
      <c r="N869" s="574" t="s">
        <v>8053</v>
      </c>
      <c r="O869" s="561" t="s">
        <v>8054</v>
      </c>
      <c r="P869" s="719">
        <v>4500</v>
      </c>
      <c r="Q869" s="720">
        <v>3.3</v>
      </c>
      <c r="R869" s="719">
        <f t="shared" si="56"/>
        <v>14850</v>
      </c>
      <c r="S869" s="570">
        <v>202310</v>
      </c>
      <c r="T869" s="693" t="s">
        <v>8055</v>
      </c>
      <c r="U869" s="728"/>
      <c r="V869" s="721">
        <v>3.2398209570000001</v>
      </c>
      <c r="W869" s="721"/>
      <c r="X869" s="574">
        <v>45108</v>
      </c>
      <c r="Y869" s="574">
        <v>45230</v>
      </c>
      <c r="Z869" s="561" t="s">
        <v>8056</v>
      </c>
      <c r="AA869" s="683">
        <v>0</v>
      </c>
      <c r="AB869" s="582">
        <v>60</v>
      </c>
      <c r="AC869" s="713">
        <f t="shared" si="55"/>
        <v>0</v>
      </c>
    </row>
    <row r="870" spans="1:29" s="385" customFormat="1" ht="15" customHeight="1">
      <c r="A870" s="388" t="s">
        <v>823</v>
      </c>
      <c r="B870" s="552" t="s">
        <v>7101</v>
      </c>
      <c r="C870" s="386" t="s">
        <v>6654</v>
      </c>
      <c r="D870" s="386" t="s">
        <v>4593</v>
      </c>
      <c r="E870" s="388" t="s">
        <v>8038</v>
      </c>
      <c r="F870" s="388" t="s">
        <v>8039</v>
      </c>
      <c r="G870" s="388" t="s">
        <v>165</v>
      </c>
      <c r="H870" s="389" t="s">
        <v>8057</v>
      </c>
      <c r="I870" s="369" t="e">
        <f>VLOOKUP(H870,'合同高级查询数据-10月新返回合同'!A:A,1,0)</f>
        <v>#N/A</v>
      </c>
      <c r="J870" s="499" t="s">
        <v>3724</v>
      </c>
      <c r="K870" s="388" t="s">
        <v>7149</v>
      </c>
      <c r="L870" s="486" t="s">
        <v>8058</v>
      </c>
      <c r="M870" s="403" t="s">
        <v>8059</v>
      </c>
      <c r="N870" s="383" t="s">
        <v>8060</v>
      </c>
      <c r="O870" s="386" t="s">
        <v>8061</v>
      </c>
      <c r="P870" s="539">
        <v>4200</v>
      </c>
      <c r="Q870" s="540">
        <v>153.9</v>
      </c>
      <c r="R870" s="539">
        <f t="shared" si="56"/>
        <v>646380</v>
      </c>
      <c r="S870" s="378">
        <v>202310</v>
      </c>
      <c r="T870" s="514" t="s">
        <v>8062</v>
      </c>
      <c r="U870" s="547"/>
      <c r="V870" s="541">
        <v>153.901687622</v>
      </c>
      <c r="W870" s="541"/>
      <c r="X870" s="549"/>
      <c r="Y870" s="549"/>
      <c r="Z870" s="386" t="s">
        <v>8063</v>
      </c>
      <c r="AA870" s="506">
        <v>0.4</v>
      </c>
      <c r="AB870" s="410">
        <v>300</v>
      </c>
      <c r="AC870" s="448">
        <f t="shared" si="55"/>
        <v>120</v>
      </c>
    </row>
    <row r="871" spans="1:29" s="577" customFormat="1" ht="15" customHeight="1">
      <c r="A871" s="563" t="s">
        <v>823</v>
      </c>
      <c r="B871" s="738" t="s">
        <v>7101</v>
      </c>
      <c r="C871" s="561" t="s">
        <v>6311</v>
      </c>
      <c r="D871" s="561" t="s">
        <v>7115</v>
      </c>
      <c r="E871" s="563" t="s">
        <v>8038</v>
      </c>
      <c r="F871" s="563" t="s">
        <v>8039</v>
      </c>
      <c r="G871" s="563" t="s">
        <v>165</v>
      </c>
      <c r="H871" s="564" t="s">
        <v>8064</v>
      </c>
      <c r="I871" s="565" t="e">
        <f>VLOOKUP(H871,'合同高级查询数据-10月新返回合同'!A:A,1,0)</f>
        <v>#N/A</v>
      </c>
      <c r="J871" s="674" t="s">
        <v>3724</v>
      </c>
      <c r="K871" s="563" t="s">
        <v>6311</v>
      </c>
      <c r="L871" s="675" t="s">
        <v>8065</v>
      </c>
      <c r="M871" s="596" t="s">
        <v>8066</v>
      </c>
      <c r="N871" s="574">
        <v>44927</v>
      </c>
      <c r="O871" s="561" t="s">
        <v>1542</v>
      </c>
      <c r="P871" s="719">
        <v>4800</v>
      </c>
      <c r="Q871" s="720">
        <v>94.1</v>
      </c>
      <c r="R871" s="719">
        <f t="shared" si="56"/>
        <v>451680</v>
      </c>
      <c r="S871" s="570">
        <v>202310</v>
      </c>
      <c r="T871" s="693" t="s">
        <v>7560</v>
      </c>
      <c r="U871" s="728"/>
      <c r="V871" s="721">
        <v>94.038597107000001</v>
      </c>
      <c r="W871" s="721"/>
      <c r="X871" s="731">
        <v>44924</v>
      </c>
      <c r="Y871" s="731">
        <v>45291</v>
      </c>
      <c r="Z871" s="561" t="s">
        <v>8067</v>
      </c>
      <c r="AA871" s="683">
        <v>0.4</v>
      </c>
      <c r="AB871" s="582">
        <v>200</v>
      </c>
      <c r="AC871" s="713">
        <f t="shared" si="55"/>
        <v>80</v>
      </c>
    </row>
    <row r="872" spans="1:29" s="577" customFormat="1" ht="15" customHeight="1">
      <c r="A872" s="563" t="s">
        <v>823</v>
      </c>
      <c r="B872" s="561" t="s">
        <v>7101</v>
      </c>
      <c r="C872" s="561" t="s">
        <v>4881</v>
      </c>
      <c r="D872" s="561" t="s">
        <v>7155</v>
      </c>
      <c r="E872" s="563" t="s">
        <v>8038</v>
      </c>
      <c r="F872" s="563" t="s">
        <v>8039</v>
      </c>
      <c r="G872" s="562" t="s">
        <v>165</v>
      </c>
      <c r="H872" s="564" t="s">
        <v>8068</v>
      </c>
      <c r="I872" s="565" t="e">
        <f>VLOOKUP(H872,'合同高级查询数据-10月新返回合同'!A:A,1,0)</f>
        <v>#N/A</v>
      </c>
      <c r="J872" s="674" t="s">
        <v>3724</v>
      </c>
      <c r="K872" s="562" t="s">
        <v>8069</v>
      </c>
      <c r="L872" s="562" t="s">
        <v>8070</v>
      </c>
      <c r="M872" s="596" t="s">
        <v>8071</v>
      </c>
      <c r="N872" s="574">
        <v>44927</v>
      </c>
      <c r="O872" s="649" t="s">
        <v>2187</v>
      </c>
      <c r="P872" s="719">
        <v>5200</v>
      </c>
      <c r="Q872" s="720">
        <v>46.9</v>
      </c>
      <c r="R872" s="719">
        <f t="shared" si="56"/>
        <v>243880</v>
      </c>
      <c r="S872" s="570">
        <v>202310</v>
      </c>
      <c r="T872" s="741" t="s">
        <v>8072</v>
      </c>
      <c r="U872" s="728"/>
      <c r="V872" s="721">
        <v>46.874385834000002</v>
      </c>
      <c r="W872" s="721"/>
      <c r="X872" s="574">
        <v>44927</v>
      </c>
      <c r="Y872" s="574">
        <v>45291</v>
      </c>
      <c r="Z872" s="561" t="s">
        <v>8073</v>
      </c>
      <c r="AA872" s="683">
        <v>0.4</v>
      </c>
      <c r="AB872" s="582">
        <v>100</v>
      </c>
      <c r="AC872" s="713">
        <f t="shared" si="55"/>
        <v>40</v>
      </c>
    </row>
    <row r="873" spans="1:29" s="577" customFormat="1" ht="15" customHeight="1">
      <c r="A873" s="563" t="s">
        <v>823</v>
      </c>
      <c r="B873" s="738" t="s">
        <v>7101</v>
      </c>
      <c r="C873" s="561" t="s">
        <v>5055</v>
      </c>
      <c r="D873" s="561" t="s">
        <v>4593</v>
      </c>
      <c r="E873" s="563" t="s">
        <v>8038</v>
      </c>
      <c r="F873" s="563" t="s">
        <v>8039</v>
      </c>
      <c r="G873" s="563" t="s">
        <v>165</v>
      </c>
      <c r="H873" s="564" t="s">
        <v>8074</v>
      </c>
      <c r="I873" s="565" t="str">
        <f>VLOOKUP(H873,'合同高级查询数据-10月新返回合同'!A:A,1,0)</f>
        <v>182315IDC00511</v>
      </c>
      <c r="J873" s="674" t="s">
        <v>3724</v>
      </c>
      <c r="K873" s="563" t="s">
        <v>5077</v>
      </c>
      <c r="L873" s="675" t="s">
        <v>8075</v>
      </c>
      <c r="M873" s="596" t="s">
        <v>8076</v>
      </c>
      <c r="N873" s="574" t="s">
        <v>8077</v>
      </c>
      <c r="O873" s="649" t="s">
        <v>5888</v>
      </c>
      <c r="P873" s="719">
        <v>4500</v>
      </c>
      <c r="Q873" s="720">
        <v>74.5</v>
      </c>
      <c r="R873" s="719">
        <f t="shared" si="56"/>
        <v>335250</v>
      </c>
      <c r="S873" s="570">
        <v>202310</v>
      </c>
      <c r="T873" s="741" t="s">
        <v>8078</v>
      </c>
      <c r="U873" s="728"/>
      <c r="V873" s="721">
        <v>74.488609314000001</v>
      </c>
      <c r="W873" s="721"/>
      <c r="X873" s="574">
        <v>45047</v>
      </c>
      <c r="Y873" s="574">
        <v>45230</v>
      </c>
      <c r="Z873" s="561" t="s">
        <v>8079</v>
      </c>
      <c r="AA873" s="683">
        <v>0.4</v>
      </c>
      <c r="AB873" s="582">
        <v>140</v>
      </c>
      <c r="AC873" s="582">
        <f t="shared" si="55"/>
        <v>56</v>
      </c>
    </row>
    <row r="874" spans="1:29" s="385" customFormat="1" ht="15" customHeight="1">
      <c r="A874" s="548" t="s">
        <v>829</v>
      </c>
      <c r="B874" s="552" t="s">
        <v>7101</v>
      </c>
      <c r="C874" s="386" t="s">
        <v>4721</v>
      </c>
      <c r="D874" s="386" t="s">
        <v>7155</v>
      </c>
      <c r="E874" s="388" t="s">
        <v>8080</v>
      </c>
      <c r="F874" s="388" t="s">
        <v>8081</v>
      </c>
      <c r="G874" s="388" t="s">
        <v>165</v>
      </c>
      <c r="H874" s="389" t="s">
        <v>8082</v>
      </c>
      <c r="I874" s="369" t="e">
        <f>VLOOKUP(H874,'合同高级查询数据-10月新返回合同'!A:A,1,0)</f>
        <v>#N/A</v>
      </c>
      <c r="J874" s="499" t="s">
        <v>3724</v>
      </c>
      <c r="K874" s="388" t="s">
        <v>8083</v>
      </c>
      <c r="L874" s="486" t="s">
        <v>8084</v>
      </c>
      <c r="M874" s="403" t="s">
        <v>8085</v>
      </c>
      <c r="N874" s="383" t="s">
        <v>8086</v>
      </c>
      <c r="O874" s="386" t="s">
        <v>8087</v>
      </c>
      <c r="P874" s="539">
        <v>5000</v>
      </c>
      <c r="Q874" s="540">
        <v>52.7</v>
      </c>
      <c r="R874" s="539">
        <f t="shared" si="56"/>
        <v>263500</v>
      </c>
      <c r="S874" s="378">
        <v>202310</v>
      </c>
      <c r="T874" s="514" t="s">
        <v>8088</v>
      </c>
      <c r="U874" s="547"/>
      <c r="V874" s="541">
        <v>52.691123961999999</v>
      </c>
      <c r="W874" s="541"/>
      <c r="X874" s="549"/>
      <c r="Y874" s="549"/>
      <c r="Z874" s="386" t="s">
        <v>8089</v>
      </c>
      <c r="AA874" s="506">
        <v>0.3</v>
      </c>
      <c r="AB874" s="410">
        <v>160</v>
      </c>
      <c r="AC874" s="448">
        <f t="shared" si="55"/>
        <v>48</v>
      </c>
    </row>
    <row r="875" spans="1:29" s="385" customFormat="1" ht="15" customHeight="1">
      <c r="A875" s="548" t="s">
        <v>829</v>
      </c>
      <c r="B875" s="552" t="s">
        <v>7101</v>
      </c>
      <c r="C875" s="386" t="s">
        <v>4721</v>
      </c>
      <c r="D875" s="386" t="s">
        <v>7155</v>
      </c>
      <c r="E875" s="388" t="s">
        <v>8080</v>
      </c>
      <c r="F875" s="388" t="s">
        <v>8081</v>
      </c>
      <c r="G875" s="388" t="s">
        <v>165</v>
      </c>
      <c r="H875" s="389" t="s">
        <v>8082</v>
      </c>
      <c r="I875" s="369" t="e">
        <f>VLOOKUP(H875,'合同高级查询数据-10月新返回合同'!A:A,1,0)</f>
        <v>#N/A</v>
      </c>
      <c r="J875" s="499" t="s">
        <v>3724</v>
      </c>
      <c r="K875" s="388" t="s">
        <v>8083</v>
      </c>
      <c r="L875" s="486" t="s">
        <v>8090</v>
      </c>
      <c r="M875" s="403" t="s">
        <v>8085</v>
      </c>
      <c r="N875" s="383">
        <v>45170</v>
      </c>
      <c r="O875" s="386" t="s">
        <v>4029</v>
      </c>
      <c r="P875" s="539">
        <v>5000</v>
      </c>
      <c r="Q875" s="540">
        <v>48.8</v>
      </c>
      <c r="R875" s="539">
        <f t="shared" si="56"/>
        <v>244000</v>
      </c>
      <c r="S875" s="378">
        <v>202310</v>
      </c>
      <c r="T875" s="514" t="s">
        <v>8091</v>
      </c>
      <c r="U875" s="547"/>
      <c r="V875" s="541">
        <v>48.784622192</v>
      </c>
      <c r="W875" s="410"/>
      <c r="X875" s="549"/>
      <c r="Y875" s="549"/>
      <c r="Z875" s="386" t="s">
        <v>8092</v>
      </c>
      <c r="AA875" s="506">
        <v>0.3</v>
      </c>
      <c r="AB875" s="410">
        <v>140</v>
      </c>
      <c r="AC875" s="410">
        <f t="shared" si="55"/>
        <v>42</v>
      </c>
    </row>
    <row r="876" spans="1:29" s="577" customFormat="1" ht="15" customHeight="1">
      <c r="A876" s="736" t="s">
        <v>829</v>
      </c>
      <c r="B876" s="561" t="s">
        <v>7101</v>
      </c>
      <c r="C876" s="561" t="s">
        <v>5055</v>
      </c>
      <c r="D876" s="561" t="s">
        <v>4593</v>
      </c>
      <c r="E876" s="563" t="s">
        <v>8080</v>
      </c>
      <c r="F876" s="563" t="s">
        <v>8081</v>
      </c>
      <c r="G876" s="563" t="s">
        <v>165</v>
      </c>
      <c r="H876" s="564" t="s">
        <v>8093</v>
      </c>
      <c r="I876" s="565" t="e">
        <f>VLOOKUP(H876,'合同高级查询数据-10月新返回合同'!A:A,1,0)</f>
        <v>#N/A</v>
      </c>
      <c r="J876" s="674" t="s">
        <v>3724</v>
      </c>
      <c r="K876" s="563" t="s">
        <v>8094</v>
      </c>
      <c r="L876" s="675" t="s">
        <v>8095</v>
      </c>
      <c r="M876" s="596" t="s">
        <v>8096</v>
      </c>
      <c r="N876" s="574">
        <v>44652</v>
      </c>
      <c r="O876" s="561" t="s">
        <v>2187</v>
      </c>
      <c r="P876" s="719">
        <v>11666.67</v>
      </c>
      <c r="Q876" s="720">
        <v>33.1</v>
      </c>
      <c r="R876" s="719">
        <f t="shared" si="56"/>
        <v>386166.78</v>
      </c>
      <c r="S876" s="570">
        <v>202310</v>
      </c>
      <c r="T876" s="693" t="s">
        <v>8097</v>
      </c>
      <c r="U876" s="728"/>
      <c r="V876" s="721">
        <v>33.050643921000002</v>
      </c>
      <c r="W876" s="721"/>
      <c r="X876" s="574">
        <v>45017</v>
      </c>
      <c r="Y876" s="574">
        <v>45382</v>
      </c>
      <c r="Z876" s="561" t="s">
        <v>8098</v>
      </c>
      <c r="AA876" s="683">
        <v>0.25</v>
      </c>
      <c r="AB876" s="582">
        <v>100</v>
      </c>
      <c r="AC876" s="713">
        <f t="shared" si="55"/>
        <v>25</v>
      </c>
    </row>
    <row r="877" spans="1:29" s="577" customFormat="1" ht="15" customHeight="1">
      <c r="A877" s="736" t="s">
        <v>813</v>
      </c>
      <c r="B877" s="561" t="s">
        <v>7101</v>
      </c>
      <c r="C877" s="561" t="s">
        <v>6280</v>
      </c>
      <c r="D877" s="561" t="s">
        <v>7115</v>
      </c>
      <c r="E877" s="563" t="s">
        <v>8080</v>
      </c>
      <c r="F877" s="563" t="s">
        <v>8081</v>
      </c>
      <c r="G877" s="563" t="s">
        <v>165</v>
      </c>
      <c r="H877" s="564" t="s">
        <v>8099</v>
      </c>
      <c r="I877" s="565" t="e">
        <f>VLOOKUP(H877,'合同高级查询数据-10月新返回合同'!A:A,1,0)</f>
        <v>#N/A</v>
      </c>
      <c r="J877" s="674" t="s">
        <v>3724</v>
      </c>
      <c r="K877" s="563" t="s">
        <v>8100</v>
      </c>
      <c r="L877" s="675" t="s">
        <v>8101</v>
      </c>
      <c r="M877" s="596" t="s">
        <v>8102</v>
      </c>
      <c r="N877" s="574" t="s">
        <v>8103</v>
      </c>
      <c r="O877" s="561" t="s">
        <v>5228</v>
      </c>
      <c r="P877" s="719">
        <v>9000</v>
      </c>
      <c r="Q877" s="720">
        <v>0</v>
      </c>
      <c r="R877" s="719">
        <f t="shared" si="56"/>
        <v>0</v>
      </c>
      <c r="S877" s="570">
        <v>202310</v>
      </c>
      <c r="T877" s="693" t="s">
        <v>8104</v>
      </c>
      <c r="U877" s="728"/>
      <c r="V877" s="721">
        <v>0</v>
      </c>
      <c r="W877" s="721"/>
      <c r="X877" s="574">
        <v>45078</v>
      </c>
      <c r="Y877" s="574">
        <v>45138</v>
      </c>
      <c r="Z877" s="723"/>
      <c r="AA877" s="691">
        <v>0</v>
      </c>
      <c r="AB877" s="713">
        <v>0</v>
      </c>
      <c r="AC877" s="582">
        <f t="shared" si="55"/>
        <v>0</v>
      </c>
    </row>
    <row r="878" spans="1:29" s="385" customFormat="1" ht="15" customHeight="1">
      <c r="A878" s="548" t="s">
        <v>829</v>
      </c>
      <c r="B878" s="552" t="s">
        <v>7101</v>
      </c>
      <c r="C878" s="386" t="s">
        <v>5006</v>
      </c>
      <c r="D878" s="386" t="s">
        <v>4593</v>
      </c>
      <c r="E878" s="388" t="s">
        <v>8080</v>
      </c>
      <c r="F878" s="388" t="s">
        <v>8081</v>
      </c>
      <c r="G878" s="388" t="s">
        <v>165</v>
      </c>
      <c r="H878" s="389" t="s">
        <v>8105</v>
      </c>
      <c r="I878" s="369" t="e">
        <f>VLOOKUP(H878,'合同高级查询数据-10月新返回合同'!A:A,1,0)</f>
        <v>#N/A</v>
      </c>
      <c r="J878" s="499" t="s">
        <v>3724</v>
      </c>
      <c r="K878" s="388" t="s">
        <v>5042</v>
      </c>
      <c r="L878" s="486" t="s">
        <v>8106</v>
      </c>
      <c r="M878" s="403" t="s">
        <v>8107</v>
      </c>
      <c r="N878" s="383">
        <v>45170</v>
      </c>
      <c r="O878" s="386" t="s">
        <v>3847</v>
      </c>
      <c r="P878" s="539">
        <v>6000</v>
      </c>
      <c r="Q878" s="540">
        <v>6.4</v>
      </c>
      <c r="R878" s="539">
        <f t="shared" si="56"/>
        <v>38400</v>
      </c>
      <c r="S878" s="378">
        <v>202310</v>
      </c>
      <c r="T878" s="514" t="s">
        <v>8014</v>
      </c>
      <c r="U878" s="547"/>
      <c r="V878" s="541">
        <v>6.3437004090000002</v>
      </c>
      <c r="W878" s="410"/>
      <c r="X878" s="549"/>
      <c r="Y878" s="549"/>
      <c r="Z878" s="386" t="s">
        <v>8108</v>
      </c>
      <c r="AA878" s="506">
        <v>0.3</v>
      </c>
      <c r="AB878" s="410">
        <v>20</v>
      </c>
      <c r="AC878" s="410">
        <f t="shared" si="55"/>
        <v>6</v>
      </c>
    </row>
    <row r="879" spans="1:29" s="385" customFormat="1" ht="15" customHeight="1">
      <c r="A879" s="548" t="s">
        <v>813</v>
      </c>
      <c r="B879" s="552" t="s">
        <v>7101</v>
      </c>
      <c r="C879" s="386" t="s">
        <v>5006</v>
      </c>
      <c r="D879" s="386" t="s">
        <v>4593</v>
      </c>
      <c r="E879" s="388" t="s">
        <v>8080</v>
      </c>
      <c r="F879" s="388" t="s">
        <v>8081</v>
      </c>
      <c r="G879" s="388" t="s">
        <v>165</v>
      </c>
      <c r="H879" s="389" t="s">
        <v>8105</v>
      </c>
      <c r="I879" s="369" t="e">
        <f>VLOOKUP(H879,'合同高级查询数据-10月新返回合同'!A:A,1,0)</f>
        <v>#N/A</v>
      </c>
      <c r="J879" s="499" t="s">
        <v>3724</v>
      </c>
      <c r="K879" s="388" t="s">
        <v>5042</v>
      </c>
      <c r="L879" s="486" t="s">
        <v>8109</v>
      </c>
      <c r="M879" s="403" t="s">
        <v>8107</v>
      </c>
      <c r="N879" s="383">
        <v>45170</v>
      </c>
      <c r="O879" s="386" t="s">
        <v>2509</v>
      </c>
      <c r="P879" s="539">
        <v>5833</v>
      </c>
      <c r="Q879" s="540">
        <v>3.3</v>
      </c>
      <c r="R879" s="539">
        <f t="shared" si="56"/>
        <v>19248.900000000001</v>
      </c>
      <c r="S879" s="378">
        <v>202310</v>
      </c>
      <c r="T879" s="514" t="s">
        <v>8017</v>
      </c>
      <c r="U879" s="547"/>
      <c r="V879" s="541">
        <v>3.2847394940000001</v>
      </c>
      <c r="W879" s="410"/>
      <c r="X879" s="549"/>
      <c r="Y879" s="549"/>
      <c r="Z879" s="386" t="s">
        <v>8110</v>
      </c>
      <c r="AA879" s="506">
        <v>0.3</v>
      </c>
      <c r="AB879" s="410">
        <v>10</v>
      </c>
      <c r="AC879" s="410">
        <f t="shared" si="55"/>
        <v>3</v>
      </c>
    </row>
    <row r="880" spans="1:29" s="385" customFormat="1" ht="15" customHeight="1">
      <c r="A880" s="388" t="s">
        <v>823</v>
      </c>
      <c r="B880" s="552" t="s">
        <v>7101</v>
      </c>
      <c r="C880" s="386" t="s">
        <v>5006</v>
      </c>
      <c r="D880" s="386" t="s">
        <v>4593</v>
      </c>
      <c r="E880" s="388" t="s">
        <v>8080</v>
      </c>
      <c r="F880" s="388" t="s">
        <v>8081</v>
      </c>
      <c r="G880" s="388" t="s">
        <v>165</v>
      </c>
      <c r="H880" s="389" t="s">
        <v>8105</v>
      </c>
      <c r="I880" s="369" t="e">
        <f>VLOOKUP(H880,'合同高级查询数据-10月新返回合同'!A:A,1,0)</f>
        <v>#N/A</v>
      </c>
      <c r="J880" s="499" t="s">
        <v>3724</v>
      </c>
      <c r="K880" s="388" t="s">
        <v>5042</v>
      </c>
      <c r="L880" s="486" t="s">
        <v>8111</v>
      </c>
      <c r="M880" s="403" t="s">
        <v>8107</v>
      </c>
      <c r="N880" s="383">
        <v>45170</v>
      </c>
      <c r="O880" s="386" t="s">
        <v>3847</v>
      </c>
      <c r="P880" s="539">
        <v>5400</v>
      </c>
      <c r="Q880" s="540">
        <v>8.4</v>
      </c>
      <c r="R880" s="539">
        <f t="shared" si="56"/>
        <v>45360</v>
      </c>
      <c r="S880" s="378">
        <v>202310</v>
      </c>
      <c r="T880" s="514" t="s">
        <v>8112</v>
      </c>
      <c r="U880" s="547"/>
      <c r="V880" s="541">
        <v>8.3146381379999994</v>
      </c>
      <c r="W880" s="410"/>
      <c r="X880" s="549"/>
      <c r="Y880" s="549"/>
      <c r="Z880" s="386" t="s">
        <v>8113</v>
      </c>
      <c r="AA880" s="506">
        <v>0.4</v>
      </c>
      <c r="AB880" s="410">
        <v>20</v>
      </c>
      <c r="AC880" s="410">
        <f t="shared" si="55"/>
        <v>8</v>
      </c>
    </row>
    <row r="881" spans="1:29" s="577" customFormat="1" ht="15" customHeight="1">
      <c r="A881" s="736" t="s">
        <v>829</v>
      </c>
      <c r="B881" s="738" t="s">
        <v>7101</v>
      </c>
      <c r="C881" s="563" t="s">
        <v>6209</v>
      </c>
      <c r="D881" s="561" t="s">
        <v>7155</v>
      </c>
      <c r="E881" s="563" t="s">
        <v>8114</v>
      </c>
      <c r="F881" s="563" t="s">
        <v>8115</v>
      </c>
      <c r="G881" s="563" t="s">
        <v>165</v>
      </c>
      <c r="H881" s="564" t="s">
        <v>8116</v>
      </c>
      <c r="I881" s="565" t="e">
        <f>VLOOKUP(H881,'合同高级查询数据-10月新返回合同'!A:A,1,0)</f>
        <v>#N/A</v>
      </c>
      <c r="J881" s="674" t="s">
        <v>3724</v>
      </c>
      <c r="K881" s="563" t="s">
        <v>6213</v>
      </c>
      <c r="L881" s="675" t="s">
        <v>8117</v>
      </c>
      <c r="M881" s="596" t="s">
        <v>8118</v>
      </c>
      <c r="N881" s="574" t="s">
        <v>8119</v>
      </c>
      <c r="O881" s="561" t="s">
        <v>8120</v>
      </c>
      <c r="P881" s="719">
        <v>5416.6</v>
      </c>
      <c r="Q881" s="720">
        <v>50.3</v>
      </c>
      <c r="R881" s="719">
        <f t="shared" si="56"/>
        <v>272454.98</v>
      </c>
      <c r="S881" s="570">
        <v>202310</v>
      </c>
      <c r="T881" s="693" t="s">
        <v>8121</v>
      </c>
      <c r="U881" s="728"/>
      <c r="V881" s="721">
        <v>50.231979369999998</v>
      </c>
      <c r="W881" s="721"/>
      <c r="X881" s="574">
        <v>44927</v>
      </c>
      <c r="Y881" s="722">
        <v>45291</v>
      </c>
      <c r="Z881" s="561" t="s">
        <v>8122</v>
      </c>
      <c r="AA881" s="683">
        <v>0.4</v>
      </c>
      <c r="AB881" s="582">
        <v>120</v>
      </c>
      <c r="AC881" s="713">
        <f t="shared" si="55"/>
        <v>48</v>
      </c>
    </row>
    <row r="882" spans="1:29" s="577" customFormat="1" ht="15" customHeight="1">
      <c r="A882" s="736" t="s">
        <v>829</v>
      </c>
      <c r="B882" s="738" t="s">
        <v>7101</v>
      </c>
      <c r="C882" s="561" t="s">
        <v>814</v>
      </c>
      <c r="D882" s="561" t="s">
        <v>4593</v>
      </c>
      <c r="E882" s="563" t="s">
        <v>3801</v>
      </c>
      <c r="F882" s="563" t="s">
        <v>8123</v>
      </c>
      <c r="G882" s="563" t="s">
        <v>165</v>
      </c>
      <c r="H882" s="564" t="s">
        <v>8124</v>
      </c>
      <c r="I882" s="565" t="e">
        <f>VLOOKUP(H882,'合同高级查询数据-10月新返回合同'!A:A,1,0)</f>
        <v>#N/A</v>
      </c>
      <c r="J882" s="674" t="s">
        <v>3724</v>
      </c>
      <c r="K882" s="563" t="s">
        <v>2001</v>
      </c>
      <c r="L882" s="675" t="s">
        <v>8125</v>
      </c>
      <c r="M882" s="596" t="s">
        <v>8126</v>
      </c>
      <c r="N882" s="574" t="s">
        <v>8127</v>
      </c>
      <c r="O882" s="561" t="s">
        <v>5228</v>
      </c>
      <c r="P882" s="719">
        <v>6250</v>
      </c>
      <c r="Q882" s="720">
        <v>0</v>
      </c>
      <c r="R882" s="719">
        <f t="shared" si="56"/>
        <v>0</v>
      </c>
      <c r="S882" s="570">
        <v>202310</v>
      </c>
      <c r="T882" s="693" t="s">
        <v>8128</v>
      </c>
      <c r="U882" s="728"/>
      <c r="V882" s="721">
        <v>0</v>
      </c>
      <c r="W882" s="721"/>
      <c r="X882" s="574">
        <v>44378</v>
      </c>
      <c r="Y882" s="574">
        <v>44742</v>
      </c>
      <c r="Z882" s="723"/>
      <c r="AA882" s="691">
        <v>0</v>
      </c>
      <c r="AB882" s="713">
        <v>0</v>
      </c>
      <c r="AC882" s="713">
        <f t="shared" si="55"/>
        <v>0</v>
      </c>
    </row>
    <row r="883" spans="1:29" s="577" customFormat="1" ht="15" customHeight="1">
      <c r="A883" s="736" t="s">
        <v>829</v>
      </c>
      <c r="B883" s="738" t="s">
        <v>7101</v>
      </c>
      <c r="C883" s="561" t="s">
        <v>5055</v>
      </c>
      <c r="D883" s="561" t="s">
        <v>4593</v>
      </c>
      <c r="E883" s="563" t="s">
        <v>8129</v>
      </c>
      <c r="F883" s="563" t="s">
        <v>8130</v>
      </c>
      <c r="G883" s="563" t="s">
        <v>165</v>
      </c>
      <c r="H883" s="564" t="s">
        <v>8131</v>
      </c>
      <c r="I883" s="565" t="e">
        <f>VLOOKUP(H883,'合同高级查询数据-10月新返回合同'!A:A,1,0)</f>
        <v>#N/A</v>
      </c>
      <c r="J883" s="674" t="s">
        <v>3724</v>
      </c>
      <c r="K883" s="563" t="s">
        <v>8132</v>
      </c>
      <c r="L883" s="675" t="s">
        <v>8133</v>
      </c>
      <c r="M883" s="596" t="s">
        <v>8134</v>
      </c>
      <c r="N883" s="574" t="s">
        <v>8135</v>
      </c>
      <c r="O883" s="561" t="s">
        <v>5228</v>
      </c>
      <c r="P883" s="719">
        <v>6500</v>
      </c>
      <c r="Q883" s="720">
        <v>0</v>
      </c>
      <c r="R883" s="719">
        <f t="shared" si="56"/>
        <v>0</v>
      </c>
      <c r="S883" s="570">
        <v>202310</v>
      </c>
      <c r="T883" s="693" t="s">
        <v>8136</v>
      </c>
      <c r="U883" s="728"/>
      <c r="V883" s="721">
        <v>0</v>
      </c>
      <c r="W883" s="721"/>
      <c r="X883" s="574">
        <v>44774</v>
      </c>
      <c r="Y883" s="574">
        <v>44834</v>
      </c>
      <c r="Z883" s="723"/>
      <c r="AA883" s="691">
        <v>0</v>
      </c>
      <c r="AB883" s="713">
        <v>0</v>
      </c>
      <c r="AC883" s="713">
        <f t="shared" si="55"/>
        <v>0</v>
      </c>
    </row>
    <row r="884" spans="1:29" s="577" customFormat="1" ht="15" customHeight="1">
      <c r="A884" s="736" t="s">
        <v>829</v>
      </c>
      <c r="B884" s="738" t="s">
        <v>7101</v>
      </c>
      <c r="C884" s="561" t="s">
        <v>5055</v>
      </c>
      <c r="D884" s="561" t="s">
        <v>4593</v>
      </c>
      <c r="E884" s="563" t="s">
        <v>8129</v>
      </c>
      <c r="F884" s="563" t="s">
        <v>8130</v>
      </c>
      <c r="G884" s="563" t="s">
        <v>165</v>
      </c>
      <c r="H884" s="564" t="s">
        <v>8137</v>
      </c>
      <c r="I884" s="565" t="e">
        <f>VLOOKUP(H884,'合同高级查询数据-10月新返回合同'!A:A,1,0)</f>
        <v>#N/A</v>
      </c>
      <c r="J884" s="674" t="s">
        <v>3724</v>
      </c>
      <c r="K884" s="563" t="s">
        <v>7449</v>
      </c>
      <c r="L884" s="675" t="s">
        <v>8138</v>
      </c>
      <c r="M884" s="596" t="s">
        <v>8139</v>
      </c>
      <c r="N884" s="574" t="s">
        <v>8140</v>
      </c>
      <c r="O884" s="561" t="s">
        <v>6675</v>
      </c>
      <c r="P884" s="719">
        <v>6500</v>
      </c>
      <c r="Q884" s="720">
        <v>0</v>
      </c>
      <c r="R884" s="719">
        <f t="shared" si="56"/>
        <v>0</v>
      </c>
      <c r="S884" s="570">
        <v>202310</v>
      </c>
      <c r="T884" s="693" t="s">
        <v>8141</v>
      </c>
      <c r="U884" s="728"/>
      <c r="V884" s="721">
        <v>0</v>
      </c>
      <c r="W884" s="721"/>
      <c r="X884" s="574">
        <v>44470</v>
      </c>
      <c r="Y884" s="574">
        <v>44834</v>
      </c>
      <c r="Z884" s="723"/>
      <c r="AA884" s="691">
        <v>0</v>
      </c>
      <c r="AB884" s="713">
        <v>0</v>
      </c>
      <c r="AC884" s="713">
        <f t="shared" si="55"/>
        <v>0</v>
      </c>
    </row>
    <row r="885" spans="1:29" s="577" customFormat="1" ht="15" customHeight="1">
      <c r="A885" s="736" t="s">
        <v>823</v>
      </c>
      <c r="B885" s="738" t="s">
        <v>7101</v>
      </c>
      <c r="C885" s="561" t="s">
        <v>6654</v>
      </c>
      <c r="D885" s="561" t="s">
        <v>4593</v>
      </c>
      <c r="E885" s="563" t="s">
        <v>8142</v>
      </c>
      <c r="F885" s="563" t="s">
        <v>8143</v>
      </c>
      <c r="G885" s="563" t="s">
        <v>165</v>
      </c>
      <c r="H885" s="564" t="s">
        <v>8144</v>
      </c>
      <c r="I885" s="565" t="e">
        <f>VLOOKUP(H885,'合同高级查询数据-10月新返回合同'!A:A,1,0)</f>
        <v>#N/A</v>
      </c>
      <c r="J885" s="674" t="s">
        <v>3724</v>
      </c>
      <c r="K885" s="563" t="s">
        <v>7149</v>
      </c>
      <c r="L885" s="675" t="s">
        <v>8145</v>
      </c>
      <c r="M885" s="596" t="s">
        <v>8146</v>
      </c>
      <c r="N885" s="574" t="s">
        <v>8147</v>
      </c>
      <c r="O885" s="561" t="s">
        <v>5525</v>
      </c>
      <c r="P885" s="719">
        <v>4600</v>
      </c>
      <c r="Q885" s="720">
        <v>0</v>
      </c>
      <c r="R885" s="719">
        <f t="shared" si="56"/>
        <v>0</v>
      </c>
      <c r="S885" s="570">
        <v>202310</v>
      </c>
      <c r="T885" s="693" t="s">
        <v>8148</v>
      </c>
      <c r="U885" s="728"/>
      <c r="V885" s="721">
        <v>0</v>
      </c>
      <c r="W885" s="721"/>
      <c r="X885" s="574">
        <v>44409</v>
      </c>
      <c r="Y885" s="574">
        <v>44773</v>
      </c>
      <c r="Z885" s="723"/>
      <c r="AA885" s="691">
        <v>0</v>
      </c>
      <c r="AB885" s="713">
        <v>0</v>
      </c>
      <c r="AC885" s="713">
        <f t="shared" si="55"/>
        <v>0</v>
      </c>
    </row>
    <row r="886" spans="1:29" s="577" customFormat="1" ht="15" customHeight="1">
      <c r="A886" s="563" t="s">
        <v>823</v>
      </c>
      <c r="B886" s="738" t="s">
        <v>7101</v>
      </c>
      <c r="C886" s="561" t="s">
        <v>6735</v>
      </c>
      <c r="D886" s="561" t="s">
        <v>7155</v>
      </c>
      <c r="E886" s="563" t="s">
        <v>8149</v>
      </c>
      <c r="F886" s="563" t="s">
        <v>8150</v>
      </c>
      <c r="G886" s="563" t="s">
        <v>165</v>
      </c>
      <c r="H886" s="564" t="s">
        <v>8151</v>
      </c>
      <c r="I886" s="565" t="e">
        <f>VLOOKUP(H886,'合同高级查询数据-10月新返回合同'!A:A,1,0)</f>
        <v>#N/A</v>
      </c>
      <c r="J886" s="674" t="s">
        <v>3724</v>
      </c>
      <c r="K886" s="563" t="s">
        <v>6561</v>
      </c>
      <c r="L886" s="675" t="s">
        <v>8152</v>
      </c>
      <c r="M886" s="596" t="s">
        <v>7908</v>
      </c>
      <c r="N886" s="574" t="s">
        <v>8153</v>
      </c>
      <c r="O886" s="561" t="s">
        <v>6675</v>
      </c>
      <c r="P886" s="719">
        <v>5500</v>
      </c>
      <c r="Q886" s="720">
        <v>0</v>
      </c>
      <c r="R886" s="719">
        <f t="shared" si="56"/>
        <v>0</v>
      </c>
      <c r="S886" s="570">
        <v>202310</v>
      </c>
      <c r="T886" s="693" t="s">
        <v>8154</v>
      </c>
      <c r="U886" s="728"/>
      <c r="V886" s="721">
        <v>0</v>
      </c>
      <c r="W886" s="721"/>
      <c r="X886" s="574">
        <v>44409</v>
      </c>
      <c r="Y886" s="574">
        <v>44773</v>
      </c>
      <c r="Z886" s="723"/>
      <c r="AA886" s="691">
        <v>0</v>
      </c>
      <c r="AB886" s="713">
        <v>0</v>
      </c>
      <c r="AC886" s="713">
        <f t="shared" ref="AC886:AC949" si="57">AA886*AB886</f>
        <v>0</v>
      </c>
    </row>
    <row r="887" spans="1:29" s="577" customFormat="1" ht="15" customHeight="1">
      <c r="A887" s="563" t="s">
        <v>823</v>
      </c>
      <c r="B887" s="738" t="s">
        <v>7101</v>
      </c>
      <c r="C887" s="738" t="s">
        <v>6735</v>
      </c>
      <c r="D887" s="561" t="s">
        <v>7155</v>
      </c>
      <c r="E887" s="563" t="s">
        <v>8149</v>
      </c>
      <c r="F887" s="563" t="s">
        <v>8150</v>
      </c>
      <c r="G887" s="563" t="s">
        <v>165</v>
      </c>
      <c r="H887" s="564" t="s">
        <v>8151</v>
      </c>
      <c r="I887" s="565" t="e">
        <f>VLOOKUP(H887,'合同高级查询数据-10月新返回合同'!A:A,1,0)</f>
        <v>#N/A</v>
      </c>
      <c r="J887" s="674" t="s">
        <v>3724</v>
      </c>
      <c r="K887" s="563" t="s">
        <v>6561</v>
      </c>
      <c r="L887" s="675" t="s">
        <v>8155</v>
      </c>
      <c r="M887" s="596" t="s">
        <v>8156</v>
      </c>
      <c r="N887" s="574" t="s">
        <v>8157</v>
      </c>
      <c r="O887" s="561" t="s">
        <v>6675</v>
      </c>
      <c r="P887" s="719">
        <v>5500</v>
      </c>
      <c r="Q887" s="720">
        <v>0</v>
      </c>
      <c r="R887" s="719">
        <f t="shared" si="56"/>
        <v>0</v>
      </c>
      <c r="S887" s="570">
        <v>202310</v>
      </c>
      <c r="T887" s="693" t="s">
        <v>8158</v>
      </c>
      <c r="U887" s="728"/>
      <c r="V887" s="721">
        <v>0</v>
      </c>
      <c r="W887" s="721"/>
      <c r="X887" s="574">
        <v>44409</v>
      </c>
      <c r="Y887" s="574">
        <v>44773</v>
      </c>
      <c r="Z887" s="723"/>
      <c r="AA887" s="691">
        <v>0</v>
      </c>
      <c r="AB887" s="713">
        <v>0</v>
      </c>
      <c r="AC887" s="713">
        <f t="shared" si="57"/>
        <v>0</v>
      </c>
    </row>
    <row r="888" spans="1:29" s="577" customFormat="1" ht="15" customHeight="1">
      <c r="A888" s="563" t="s">
        <v>813</v>
      </c>
      <c r="B888" s="561" t="s">
        <v>7101</v>
      </c>
      <c r="C888" s="561" t="s">
        <v>6735</v>
      </c>
      <c r="D888" s="561" t="s">
        <v>7155</v>
      </c>
      <c r="E888" s="563" t="s">
        <v>8159</v>
      </c>
      <c r="F888" s="563" t="s">
        <v>8160</v>
      </c>
      <c r="G888" s="563" t="s">
        <v>165</v>
      </c>
      <c r="H888" s="564" t="s">
        <v>8161</v>
      </c>
      <c r="I888" s="565" t="e">
        <f>VLOOKUP(H888,'合同高级查询数据-10月新返回合同'!A:A,1,0)</f>
        <v>#N/A</v>
      </c>
      <c r="J888" s="674" t="s">
        <v>3724</v>
      </c>
      <c r="K888" s="563" t="s">
        <v>8162</v>
      </c>
      <c r="L888" s="675" t="s">
        <v>8163</v>
      </c>
      <c r="M888" s="596" t="s">
        <v>8164</v>
      </c>
      <c r="N888" s="574" t="s">
        <v>8165</v>
      </c>
      <c r="O888" s="561" t="s">
        <v>4982</v>
      </c>
      <c r="P888" s="719">
        <v>6833.33</v>
      </c>
      <c r="Q888" s="720">
        <v>0</v>
      </c>
      <c r="R888" s="719">
        <f t="shared" si="56"/>
        <v>0</v>
      </c>
      <c r="S888" s="570">
        <v>202310</v>
      </c>
      <c r="T888" s="693" t="s">
        <v>8166</v>
      </c>
      <c r="U888" s="728"/>
      <c r="V888" s="721">
        <v>0</v>
      </c>
      <c r="W888" s="721"/>
      <c r="X888" s="740">
        <v>44440</v>
      </c>
      <c r="Y888" s="740">
        <v>44804</v>
      </c>
      <c r="Z888" s="723"/>
      <c r="AA888" s="691">
        <v>0</v>
      </c>
      <c r="AB888" s="713">
        <v>0</v>
      </c>
      <c r="AC888" s="713">
        <f t="shared" si="57"/>
        <v>0</v>
      </c>
    </row>
    <row r="889" spans="1:29" s="577" customFormat="1" ht="15" customHeight="1">
      <c r="A889" s="563" t="s">
        <v>813</v>
      </c>
      <c r="B889" s="561" t="s">
        <v>7101</v>
      </c>
      <c r="C889" s="561" t="s">
        <v>6058</v>
      </c>
      <c r="D889" s="561" t="s">
        <v>7155</v>
      </c>
      <c r="E889" s="563" t="s">
        <v>8167</v>
      </c>
      <c r="F889" s="563" t="s">
        <v>8168</v>
      </c>
      <c r="G889" s="563" t="s">
        <v>165</v>
      </c>
      <c r="H889" s="564" t="s">
        <v>8169</v>
      </c>
      <c r="I889" s="565" t="e">
        <f>VLOOKUP(H889,'合同高级查询数据-10月新返回合同'!A:A,1,0)</f>
        <v>#N/A</v>
      </c>
      <c r="J889" s="674" t="s">
        <v>3724</v>
      </c>
      <c r="K889" s="563" t="s">
        <v>6145</v>
      </c>
      <c r="L889" s="675" t="s">
        <v>8170</v>
      </c>
      <c r="M889" s="596" t="s">
        <v>8171</v>
      </c>
      <c r="N889" s="574" t="s">
        <v>8172</v>
      </c>
      <c r="O889" s="561" t="s">
        <v>8173</v>
      </c>
      <c r="P889" s="719">
        <v>6666.67</v>
      </c>
      <c r="Q889" s="720">
        <v>0</v>
      </c>
      <c r="R889" s="719">
        <f t="shared" si="56"/>
        <v>0</v>
      </c>
      <c r="S889" s="570">
        <v>202310</v>
      </c>
      <c r="T889" s="693" t="s">
        <v>8174</v>
      </c>
      <c r="U889" s="728"/>
      <c r="V889" s="721">
        <v>0</v>
      </c>
      <c r="W889" s="721"/>
      <c r="X889" s="574">
        <v>44593</v>
      </c>
      <c r="Y889" s="574">
        <v>44957</v>
      </c>
      <c r="Z889" s="723"/>
      <c r="AA889" s="691">
        <v>0</v>
      </c>
      <c r="AB889" s="713">
        <v>0</v>
      </c>
      <c r="AC889" s="713">
        <f t="shared" si="57"/>
        <v>0</v>
      </c>
    </row>
    <row r="890" spans="1:29" s="385" customFormat="1" ht="15" customHeight="1">
      <c r="A890" s="388" t="s">
        <v>823</v>
      </c>
      <c r="B890" s="386" t="s">
        <v>7101</v>
      </c>
      <c r="C890" s="386" t="s">
        <v>188</v>
      </c>
      <c r="D890" s="386" t="s">
        <v>4593</v>
      </c>
      <c r="E890" s="388" t="s">
        <v>8175</v>
      </c>
      <c r="F890" s="388" t="s">
        <v>8176</v>
      </c>
      <c r="G890" s="388" t="s">
        <v>165</v>
      </c>
      <c r="H890" s="389" t="s">
        <v>8177</v>
      </c>
      <c r="I890" s="369" t="e">
        <f>VLOOKUP(H890,'合同高级查询数据-10月新返回合同'!A:A,1,0)</f>
        <v>#N/A</v>
      </c>
      <c r="J890" s="499" t="s">
        <v>3724</v>
      </c>
      <c r="K890" s="388" t="s">
        <v>1259</v>
      </c>
      <c r="L890" s="386" t="s">
        <v>2527</v>
      </c>
      <c r="M890" s="403" t="s">
        <v>8178</v>
      </c>
      <c r="N890" s="383" t="s">
        <v>8179</v>
      </c>
      <c r="O890" s="386" t="s">
        <v>8180</v>
      </c>
      <c r="P890" s="539">
        <v>4200</v>
      </c>
      <c r="Q890" s="540">
        <v>77.3</v>
      </c>
      <c r="R890" s="539">
        <f t="shared" si="56"/>
        <v>324660</v>
      </c>
      <c r="S890" s="378">
        <v>202310</v>
      </c>
      <c r="T890" s="514" t="s">
        <v>8181</v>
      </c>
      <c r="U890" s="547"/>
      <c r="V890" s="541">
        <v>77.293540954999997</v>
      </c>
      <c r="W890" s="541"/>
      <c r="X890" s="383"/>
      <c r="Y890" s="383"/>
      <c r="Z890" s="386" t="s">
        <v>8182</v>
      </c>
      <c r="AA890" s="506">
        <v>0.4</v>
      </c>
      <c r="AB890" s="410">
        <v>150</v>
      </c>
      <c r="AC890" s="448">
        <f t="shared" si="57"/>
        <v>60</v>
      </c>
    </row>
    <row r="891" spans="1:29" s="385" customFormat="1" ht="15" customHeight="1">
      <c r="A891" s="388" t="s">
        <v>823</v>
      </c>
      <c r="B891" s="386" t="s">
        <v>7101</v>
      </c>
      <c r="C891" s="386" t="s">
        <v>188</v>
      </c>
      <c r="D891" s="386" t="s">
        <v>4593</v>
      </c>
      <c r="E891" s="388" t="s">
        <v>8175</v>
      </c>
      <c r="F891" s="388" t="s">
        <v>8176</v>
      </c>
      <c r="G891" s="388" t="s">
        <v>165</v>
      </c>
      <c r="H891" s="389" t="s">
        <v>8177</v>
      </c>
      <c r="I891" s="369" t="e">
        <f>VLOOKUP(H891,'合同高级查询数据-10月新返回合同'!A:A,1,0)</f>
        <v>#N/A</v>
      </c>
      <c r="J891" s="499" t="s">
        <v>3724</v>
      </c>
      <c r="K891" s="388" t="s">
        <v>1259</v>
      </c>
      <c r="L891" s="386" t="s">
        <v>8183</v>
      </c>
      <c r="M891" s="403" t="s">
        <v>8178</v>
      </c>
      <c r="N891" s="383">
        <v>44805</v>
      </c>
      <c r="O891" s="386" t="s">
        <v>4288</v>
      </c>
      <c r="P891" s="539">
        <v>4200</v>
      </c>
      <c r="Q891" s="540">
        <v>80</v>
      </c>
      <c r="R891" s="539">
        <f t="shared" si="56"/>
        <v>336000</v>
      </c>
      <c r="S891" s="378">
        <v>202310</v>
      </c>
      <c r="T891" s="514" t="s">
        <v>8184</v>
      </c>
      <c r="U891" s="547"/>
      <c r="V891" s="541">
        <v>79.952461243000002</v>
      </c>
      <c r="W891" s="541"/>
      <c r="X891" s="383"/>
      <c r="Y891" s="383"/>
      <c r="Z891" s="386" t="s">
        <v>8185</v>
      </c>
      <c r="AA891" s="506">
        <v>0.4</v>
      </c>
      <c r="AB891" s="410">
        <v>150</v>
      </c>
      <c r="AC891" s="448">
        <f t="shared" si="57"/>
        <v>60</v>
      </c>
    </row>
    <row r="892" spans="1:29" s="577" customFormat="1" ht="15" customHeight="1">
      <c r="A892" s="563" t="s">
        <v>823</v>
      </c>
      <c r="B892" s="561" t="s">
        <v>7101</v>
      </c>
      <c r="C892" s="561" t="s">
        <v>188</v>
      </c>
      <c r="D892" s="561" t="s">
        <v>4593</v>
      </c>
      <c r="E892" s="563" t="s">
        <v>8175</v>
      </c>
      <c r="F892" s="563" t="s">
        <v>8176</v>
      </c>
      <c r="G892" s="563" t="s">
        <v>165</v>
      </c>
      <c r="H892" s="564" t="s">
        <v>8186</v>
      </c>
      <c r="I892" s="565" t="e">
        <f>VLOOKUP(H892,'合同高级查询数据-10月新返回合同'!A:A,1,0)</f>
        <v>#N/A</v>
      </c>
      <c r="J892" s="674" t="s">
        <v>3724</v>
      </c>
      <c r="K892" s="563" t="s">
        <v>1259</v>
      </c>
      <c r="L892" s="561" t="s">
        <v>8187</v>
      </c>
      <c r="M892" s="596" t="s">
        <v>8178</v>
      </c>
      <c r="N892" s="574">
        <v>44682</v>
      </c>
      <c r="O892" s="561" t="s">
        <v>1542</v>
      </c>
      <c r="P892" s="719">
        <v>4350</v>
      </c>
      <c r="Q892" s="720">
        <v>99.1</v>
      </c>
      <c r="R892" s="719">
        <f t="shared" si="56"/>
        <v>431085</v>
      </c>
      <c r="S892" s="570">
        <v>202310</v>
      </c>
      <c r="T892" s="693" t="s">
        <v>9178</v>
      </c>
      <c r="U892" s="728"/>
      <c r="V892" s="721">
        <v>96.586036682</v>
      </c>
      <c r="W892" s="721">
        <v>101.59</v>
      </c>
      <c r="X892" s="574">
        <v>45047</v>
      </c>
      <c r="Y892" s="574">
        <v>45412</v>
      </c>
      <c r="Z892" s="561" t="s">
        <v>8188</v>
      </c>
      <c r="AA892" s="683">
        <v>0.4</v>
      </c>
      <c r="AB892" s="582">
        <v>200</v>
      </c>
      <c r="AC892" s="713">
        <f t="shared" si="57"/>
        <v>80</v>
      </c>
    </row>
    <row r="893" spans="1:29" s="577" customFormat="1" ht="15" customHeight="1">
      <c r="A893" s="563" t="s">
        <v>813</v>
      </c>
      <c r="B893" s="561" t="s">
        <v>7101</v>
      </c>
      <c r="C893" s="561" t="s">
        <v>6335</v>
      </c>
      <c r="D893" s="561" t="s">
        <v>7115</v>
      </c>
      <c r="E893" s="563" t="s">
        <v>8189</v>
      </c>
      <c r="F893" s="563" t="s">
        <v>8190</v>
      </c>
      <c r="G893" s="563" t="s">
        <v>165</v>
      </c>
      <c r="H893" s="564" t="s">
        <v>8191</v>
      </c>
      <c r="I893" s="565" t="e">
        <f>VLOOKUP(H893,'合同高级查询数据-10月新返回合同'!A:A,1,0)</f>
        <v>#N/A</v>
      </c>
      <c r="J893" s="674" t="s">
        <v>3724</v>
      </c>
      <c r="K893" s="563" t="s">
        <v>8192</v>
      </c>
      <c r="L893" s="675" t="s">
        <v>8193</v>
      </c>
      <c r="M893" s="596" t="s">
        <v>8194</v>
      </c>
      <c r="N893" s="574">
        <v>44470</v>
      </c>
      <c r="O893" s="561" t="s">
        <v>2187</v>
      </c>
      <c r="P893" s="719">
        <v>4167</v>
      </c>
      <c r="Q893" s="720">
        <v>32.5</v>
      </c>
      <c r="R893" s="719">
        <f t="shared" si="56"/>
        <v>135427.5</v>
      </c>
      <c r="S893" s="570">
        <v>202310</v>
      </c>
      <c r="T893" s="693" t="s">
        <v>8195</v>
      </c>
      <c r="U893" s="728"/>
      <c r="V893" s="721">
        <v>32.493743895999998</v>
      </c>
      <c r="W893" s="721"/>
      <c r="X893" s="574">
        <v>45108</v>
      </c>
      <c r="Y893" s="574">
        <v>45473</v>
      </c>
      <c r="Z893" s="561" t="s">
        <v>8196</v>
      </c>
      <c r="AA893" s="683">
        <v>0.3</v>
      </c>
      <c r="AB893" s="582">
        <v>100</v>
      </c>
      <c r="AC893" s="713">
        <f t="shared" si="57"/>
        <v>30</v>
      </c>
    </row>
    <row r="894" spans="1:29" s="577" customFormat="1" ht="15" customHeight="1">
      <c r="A894" s="563" t="s">
        <v>823</v>
      </c>
      <c r="B894" s="561" t="s">
        <v>7101</v>
      </c>
      <c r="C894" s="561" t="s">
        <v>5177</v>
      </c>
      <c r="D894" s="561" t="s">
        <v>7115</v>
      </c>
      <c r="E894" s="563" t="s">
        <v>8197</v>
      </c>
      <c r="F894" s="563" t="s">
        <v>8198</v>
      </c>
      <c r="G894" s="563" t="s">
        <v>165</v>
      </c>
      <c r="H894" s="564" t="s">
        <v>8199</v>
      </c>
      <c r="I894" s="565" t="e">
        <f>VLOOKUP(H894,'合同高级查询数据-10月新返回合同'!A:A,1,0)</f>
        <v>#N/A</v>
      </c>
      <c r="J894" s="674" t="s">
        <v>3724</v>
      </c>
      <c r="K894" s="563" t="s">
        <v>5424</v>
      </c>
      <c r="L894" s="675" t="s">
        <v>8200</v>
      </c>
      <c r="M894" s="596" t="s">
        <v>8201</v>
      </c>
      <c r="N894" s="574" t="s">
        <v>8202</v>
      </c>
      <c r="O894" s="561" t="s">
        <v>5151</v>
      </c>
      <c r="P894" s="719">
        <v>5200</v>
      </c>
      <c r="Q894" s="720">
        <v>0</v>
      </c>
      <c r="R894" s="719">
        <f t="shared" si="56"/>
        <v>0</v>
      </c>
      <c r="S894" s="570">
        <v>202310</v>
      </c>
      <c r="T894" s="693" t="s">
        <v>8203</v>
      </c>
      <c r="U894" s="728"/>
      <c r="V894" s="721">
        <v>0</v>
      </c>
      <c r="W894" s="721"/>
      <c r="X894" s="574">
        <v>44470</v>
      </c>
      <c r="Y894" s="574">
        <v>44834</v>
      </c>
      <c r="Z894" s="723"/>
      <c r="AA894" s="691">
        <v>0</v>
      </c>
      <c r="AB894" s="713">
        <v>0</v>
      </c>
      <c r="AC894" s="713">
        <f t="shared" si="57"/>
        <v>0</v>
      </c>
    </row>
    <row r="895" spans="1:29" s="577" customFormat="1" ht="15" customHeight="1">
      <c r="A895" s="563" t="s">
        <v>823</v>
      </c>
      <c r="B895" s="561" t="s">
        <v>7101</v>
      </c>
      <c r="C895" s="561" t="s">
        <v>5177</v>
      </c>
      <c r="D895" s="561" t="s">
        <v>7115</v>
      </c>
      <c r="E895" s="563" t="s">
        <v>8197</v>
      </c>
      <c r="F895" s="563" t="s">
        <v>8198</v>
      </c>
      <c r="G895" s="563" t="s">
        <v>165</v>
      </c>
      <c r="H895" s="564" t="s">
        <v>8204</v>
      </c>
      <c r="I895" s="565" t="e">
        <f>VLOOKUP(H895,'合同高级查询数据-10月新返回合同'!A:A,1,0)</f>
        <v>#N/A</v>
      </c>
      <c r="J895" s="674" t="s">
        <v>3724</v>
      </c>
      <c r="K895" s="563" t="s">
        <v>5424</v>
      </c>
      <c r="L895" s="675" t="s">
        <v>8205</v>
      </c>
      <c r="M895" s="596" t="s">
        <v>8201</v>
      </c>
      <c r="N895" s="574" t="s">
        <v>8206</v>
      </c>
      <c r="O895" s="561" t="s">
        <v>6038</v>
      </c>
      <c r="P895" s="719">
        <v>5200</v>
      </c>
      <c r="Q895" s="720">
        <v>47.7</v>
      </c>
      <c r="R895" s="719">
        <f t="shared" si="56"/>
        <v>248040</v>
      </c>
      <c r="S895" s="570">
        <v>202310</v>
      </c>
      <c r="T895" s="693" t="s">
        <v>9173</v>
      </c>
      <c r="U895" s="728"/>
      <c r="V895" s="721">
        <v>46.715091704999999</v>
      </c>
      <c r="W895" s="721">
        <v>48.497999999999998</v>
      </c>
      <c r="X895" s="574">
        <v>45078</v>
      </c>
      <c r="Y895" s="574">
        <v>45443</v>
      </c>
      <c r="Z895" s="561" t="s">
        <v>8207</v>
      </c>
      <c r="AA895" s="683">
        <v>0.2</v>
      </c>
      <c r="AB895" s="582">
        <v>200</v>
      </c>
      <c r="AC895" s="713">
        <f t="shared" si="57"/>
        <v>40</v>
      </c>
    </row>
    <row r="896" spans="1:29" s="577" customFormat="1" ht="15" customHeight="1">
      <c r="A896" s="563" t="s">
        <v>813</v>
      </c>
      <c r="B896" s="561" t="s">
        <v>7101</v>
      </c>
      <c r="C896" s="561" t="s">
        <v>6280</v>
      </c>
      <c r="D896" s="561" t="s">
        <v>7115</v>
      </c>
      <c r="E896" s="563" t="s">
        <v>3767</v>
      </c>
      <c r="F896" s="563" t="s">
        <v>3768</v>
      </c>
      <c r="G896" s="563" t="s">
        <v>165</v>
      </c>
      <c r="H896" s="564" t="s">
        <v>8208</v>
      </c>
      <c r="I896" s="565" t="e">
        <f>VLOOKUP(H896,'合同高级查询数据-10月新返回合同'!A:A,1,0)</f>
        <v>#N/A</v>
      </c>
      <c r="J896" s="674" t="s">
        <v>3724</v>
      </c>
      <c r="K896" s="563" t="s">
        <v>7342</v>
      </c>
      <c r="L896" s="675" t="s">
        <v>8209</v>
      </c>
      <c r="M896" s="596" t="s">
        <v>8210</v>
      </c>
      <c r="N896" s="574">
        <v>44501</v>
      </c>
      <c r="O896" s="561" t="s">
        <v>1542</v>
      </c>
      <c r="P896" s="719">
        <v>4200</v>
      </c>
      <c r="Q896" s="720">
        <v>65.2</v>
      </c>
      <c r="R896" s="719">
        <f t="shared" ref="R896:R959" si="58">ROUND(P896*Q896,2)</f>
        <v>273840</v>
      </c>
      <c r="S896" s="570">
        <v>202310</v>
      </c>
      <c r="T896" s="693" t="s">
        <v>8211</v>
      </c>
      <c r="U896" s="728"/>
      <c r="V896" s="721">
        <v>65.198402404999996</v>
      </c>
      <c r="W896" s="721"/>
      <c r="X896" s="722">
        <v>45017</v>
      </c>
      <c r="Y896" s="722">
        <v>45382</v>
      </c>
      <c r="Z896" s="723" t="s">
        <v>8212</v>
      </c>
      <c r="AA896" s="683">
        <v>0.25</v>
      </c>
      <c r="AB896" s="713">
        <v>200</v>
      </c>
      <c r="AC896" s="713">
        <f t="shared" si="57"/>
        <v>50</v>
      </c>
    </row>
    <row r="897" spans="1:29" s="577" customFormat="1" ht="15" customHeight="1">
      <c r="A897" s="563" t="s">
        <v>813</v>
      </c>
      <c r="B897" s="561" t="s">
        <v>7101</v>
      </c>
      <c r="C897" s="561" t="s">
        <v>6280</v>
      </c>
      <c r="D897" s="561" t="s">
        <v>7115</v>
      </c>
      <c r="E897" s="561" t="s">
        <v>3767</v>
      </c>
      <c r="F897" s="561" t="s">
        <v>3768</v>
      </c>
      <c r="G897" s="563" t="s">
        <v>165</v>
      </c>
      <c r="H897" s="564" t="s">
        <v>8208</v>
      </c>
      <c r="I897" s="565" t="e">
        <f>VLOOKUP(H897,'合同高级查询数据-10月新返回合同'!A:A,1,0)</f>
        <v>#N/A</v>
      </c>
      <c r="J897" s="674" t="s">
        <v>3724</v>
      </c>
      <c r="K897" s="563" t="s">
        <v>7342</v>
      </c>
      <c r="L897" s="561" t="s">
        <v>8213</v>
      </c>
      <c r="M897" s="561" t="s">
        <v>8210</v>
      </c>
      <c r="N897" s="574">
        <v>44593</v>
      </c>
      <c r="O897" s="561" t="s">
        <v>1542</v>
      </c>
      <c r="P897" s="719">
        <v>4200</v>
      </c>
      <c r="Q897" s="720">
        <v>75.599999999999994</v>
      </c>
      <c r="R897" s="719">
        <f t="shared" si="58"/>
        <v>317520</v>
      </c>
      <c r="S897" s="570">
        <v>202310</v>
      </c>
      <c r="T897" s="693" t="s">
        <v>8214</v>
      </c>
      <c r="U897" s="561"/>
      <c r="V897" s="721">
        <v>75.572845459000007</v>
      </c>
      <c r="W897" s="721"/>
      <c r="X897" s="722">
        <v>45017</v>
      </c>
      <c r="Y897" s="722">
        <v>45382</v>
      </c>
      <c r="Z897" s="561" t="s">
        <v>8215</v>
      </c>
      <c r="AA897" s="683">
        <v>0.25</v>
      </c>
      <c r="AB897" s="582">
        <v>200</v>
      </c>
      <c r="AC897" s="713">
        <f t="shared" si="57"/>
        <v>50</v>
      </c>
    </row>
    <row r="898" spans="1:29" s="577" customFormat="1" ht="15" customHeight="1">
      <c r="A898" s="563" t="s">
        <v>813</v>
      </c>
      <c r="B898" s="561" t="s">
        <v>7101</v>
      </c>
      <c r="C898" s="561" t="s">
        <v>6280</v>
      </c>
      <c r="D898" s="561" t="s">
        <v>7115</v>
      </c>
      <c r="E898" s="561" t="s">
        <v>3767</v>
      </c>
      <c r="F898" s="561" t="s">
        <v>3768</v>
      </c>
      <c r="G898" s="563" t="s">
        <v>165</v>
      </c>
      <c r="H898" s="674" t="s">
        <v>8216</v>
      </c>
      <c r="I898" s="565" t="e">
        <f>VLOOKUP(H898,'合同高级查询数据-10月新返回合同'!A:A,1,0)</f>
        <v>#N/A</v>
      </c>
      <c r="J898" s="674" t="s">
        <v>3724</v>
      </c>
      <c r="K898" s="563" t="s">
        <v>7119</v>
      </c>
      <c r="L898" s="561" t="s">
        <v>8217</v>
      </c>
      <c r="M898" s="561" t="s">
        <v>7121</v>
      </c>
      <c r="N898" s="574" t="s">
        <v>8218</v>
      </c>
      <c r="O898" s="561" t="s">
        <v>5228</v>
      </c>
      <c r="P898" s="581">
        <v>4200</v>
      </c>
      <c r="Q898" s="720">
        <v>0</v>
      </c>
      <c r="R898" s="719">
        <f t="shared" si="58"/>
        <v>0</v>
      </c>
      <c r="S898" s="570">
        <v>202310</v>
      </c>
      <c r="T898" s="693" t="s">
        <v>8219</v>
      </c>
      <c r="U898" s="561"/>
      <c r="V898" s="721">
        <v>0</v>
      </c>
      <c r="W898" s="721"/>
      <c r="X898" s="574">
        <v>44654</v>
      </c>
      <c r="Y898" s="574">
        <v>45016</v>
      </c>
      <c r="Z898" s="723"/>
      <c r="AA898" s="691">
        <v>0</v>
      </c>
      <c r="AB898" s="713">
        <v>0</v>
      </c>
      <c r="AC898" s="713">
        <f t="shared" si="57"/>
        <v>0</v>
      </c>
    </row>
    <row r="899" spans="1:29" s="577" customFormat="1" ht="15" customHeight="1">
      <c r="A899" s="563" t="s">
        <v>829</v>
      </c>
      <c r="B899" s="561" t="s">
        <v>7101</v>
      </c>
      <c r="C899" s="561" t="s">
        <v>6280</v>
      </c>
      <c r="D899" s="561" t="s">
        <v>7115</v>
      </c>
      <c r="E899" s="561" t="s">
        <v>3767</v>
      </c>
      <c r="F899" s="561" t="s">
        <v>3768</v>
      </c>
      <c r="G899" s="563" t="s">
        <v>165</v>
      </c>
      <c r="H899" s="674" t="s">
        <v>8220</v>
      </c>
      <c r="I899" s="565" t="e">
        <f>VLOOKUP(H899,'合同高级查询数据-10月新返回合同'!A:A,1,0)</f>
        <v>#N/A</v>
      </c>
      <c r="J899" s="674" t="s">
        <v>3724</v>
      </c>
      <c r="K899" s="563" t="s">
        <v>8221</v>
      </c>
      <c r="L899" s="561" t="s">
        <v>8222</v>
      </c>
      <c r="M899" s="561" t="s">
        <v>8223</v>
      </c>
      <c r="N899" s="574" t="s">
        <v>8224</v>
      </c>
      <c r="O899" s="561" t="s">
        <v>6675</v>
      </c>
      <c r="P899" s="581">
        <v>4200</v>
      </c>
      <c r="Q899" s="720">
        <v>0</v>
      </c>
      <c r="R899" s="719">
        <f t="shared" si="58"/>
        <v>0</v>
      </c>
      <c r="S899" s="570">
        <v>202310</v>
      </c>
      <c r="T899" s="693" t="s">
        <v>8225</v>
      </c>
      <c r="U899" s="561"/>
      <c r="V899" s="721">
        <v>0</v>
      </c>
      <c r="W899" s="721"/>
      <c r="X899" s="574">
        <v>44744</v>
      </c>
      <c r="Y899" s="574">
        <v>45016</v>
      </c>
      <c r="Z899" s="723"/>
      <c r="AA899" s="691">
        <v>0</v>
      </c>
      <c r="AB899" s="713">
        <v>0</v>
      </c>
      <c r="AC899" s="713">
        <f t="shared" si="57"/>
        <v>0</v>
      </c>
    </row>
    <row r="900" spans="1:29" s="577" customFormat="1" ht="15" customHeight="1">
      <c r="A900" s="563" t="s">
        <v>813</v>
      </c>
      <c r="B900" s="561" t="s">
        <v>7101</v>
      </c>
      <c r="C900" s="561" t="s">
        <v>6280</v>
      </c>
      <c r="D900" s="561" t="s">
        <v>7115</v>
      </c>
      <c r="E900" s="561" t="s">
        <v>3767</v>
      </c>
      <c r="F900" s="561" t="s">
        <v>3768</v>
      </c>
      <c r="G900" s="563" t="s">
        <v>165</v>
      </c>
      <c r="H900" s="674" t="s">
        <v>8226</v>
      </c>
      <c r="I900" s="565" t="e">
        <f>VLOOKUP(H900,'合同高级查询数据-10月新返回合同'!A:A,1,0)</f>
        <v>#N/A</v>
      </c>
      <c r="J900" s="674" t="s">
        <v>3724</v>
      </c>
      <c r="K900" s="563" t="s">
        <v>8227</v>
      </c>
      <c r="L900" s="561" t="s">
        <v>8228</v>
      </c>
      <c r="M900" s="561" t="s">
        <v>8229</v>
      </c>
      <c r="N900" s="574" t="s">
        <v>8230</v>
      </c>
      <c r="O900" s="561" t="s">
        <v>5228</v>
      </c>
      <c r="P900" s="581">
        <v>4200</v>
      </c>
      <c r="Q900" s="720">
        <v>0</v>
      </c>
      <c r="R900" s="719">
        <f t="shared" si="58"/>
        <v>0</v>
      </c>
      <c r="S900" s="570">
        <v>202310</v>
      </c>
      <c r="T900" s="693" t="s">
        <v>8231</v>
      </c>
      <c r="U900" s="561"/>
      <c r="V900" s="721">
        <v>0</v>
      </c>
      <c r="W900" s="721"/>
      <c r="X900" s="722">
        <v>45017</v>
      </c>
      <c r="Y900" s="722">
        <v>45382</v>
      </c>
      <c r="Z900" s="723"/>
      <c r="AA900" s="691">
        <v>0</v>
      </c>
      <c r="AB900" s="713">
        <v>0</v>
      </c>
      <c r="AC900" s="713">
        <f t="shared" si="57"/>
        <v>0</v>
      </c>
    </row>
    <row r="901" spans="1:29" s="577" customFormat="1" ht="15" customHeight="1">
      <c r="A901" s="563" t="s">
        <v>829</v>
      </c>
      <c r="B901" s="561" t="s">
        <v>7101</v>
      </c>
      <c r="C901" s="561" t="s">
        <v>6280</v>
      </c>
      <c r="D901" s="561" t="s">
        <v>7115</v>
      </c>
      <c r="E901" s="561" t="s">
        <v>3767</v>
      </c>
      <c r="F901" s="561" t="s">
        <v>3768</v>
      </c>
      <c r="G901" s="563" t="s">
        <v>165</v>
      </c>
      <c r="H901" s="674" t="s">
        <v>8232</v>
      </c>
      <c r="I901" s="565" t="e">
        <f>VLOOKUP(H901,'合同高级查询数据-10月新返回合同'!A:A,1,0)</f>
        <v>#N/A</v>
      </c>
      <c r="J901" s="674" t="s">
        <v>3724</v>
      </c>
      <c r="K901" s="563" t="s">
        <v>8227</v>
      </c>
      <c r="L901" s="561" t="s">
        <v>8233</v>
      </c>
      <c r="M901" s="561" t="s">
        <v>8234</v>
      </c>
      <c r="N901" s="574" t="s">
        <v>8235</v>
      </c>
      <c r="O901" s="582" t="s">
        <v>5228</v>
      </c>
      <c r="P901" s="581">
        <v>4200</v>
      </c>
      <c r="Q901" s="720">
        <v>0</v>
      </c>
      <c r="R901" s="719">
        <f t="shared" si="58"/>
        <v>0</v>
      </c>
      <c r="S901" s="570">
        <v>202310</v>
      </c>
      <c r="T901" s="693" t="s">
        <v>8236</v>
      </c>
      <c r="U901" s="561"/>
      <c r="V901" s="721">
        <v>0</v>
      </c>
      <c r="W901" s="721"/>
      <c r="X901" s="574">
        <v>44805</v>
      </c>
      <c r="Y901" s="722">
        <v>45016</v>
      </c>
      <c r="Z901" s="723"/>
      <c r="AA901" s="691">
        <v>0</v>
      </c>
      <c r="AB901" s="713">
        <v>0</v>
      </c>
      <c r="AC901" s="713">
        <f t="shared" si="57"/>
        <v>0</v>
      </c>
    </row>
    <row r="902" spans="1:29" s="385" customFormat="1" ht="15" customHeight="1">
      <c r="A902" s="388" t="s">
        <v>823</v>
      </c>
      <c r="B902" s="386" t="s">
        <v>7101</v>
      </c>
      <c r="C902" s="386" t="s">
        <v>6724</v>
      </c>
      <c r="D902" s="386" t="s">
        <v>7155</v>
      </c>
      <c r="E902" s="386" t="s">
        <v>3767</v>
      </c>
      <c r="F902" s="386" t="s">
        <v>3768</v>
      </c>
      <c r="G902" s="388" t="s">
        <v>165</v>
      </c>
      <c r="H902" s="499" t="s">
        <v>8237</v>
      </c>
      <c r="I902" s="369" t="e">
        <f>VLOOKUP(H902,'合同高级查询数据-10月新返回合同'!A:A,1,0)</f>
        <v>#N/A</v>
      </c>
      <c r="J902" s="499" t="s">
        <v>3724</v>
      </c>
      <c r="K902" s="388" t="s">
        <v>6916</v>
      </c>
      <c r="L902" s="386" t="s">
        <v>8238</v>
      </c>
      <c r="M902" s="386" t="s">
        <v>8239</v>
      </c>
      <c r="N902" s="383">
        <v>45170</v>
      </c>
      <c r="O902" s="410" t="s">
        <v>1542</v>
      </c>
      <c r="P902" s="413">
        <v>4900</v>
      </c>
      <c r="Q902" s="540">
        <v>80.8</v>
      </c>
      <c r="R902" s="539">
        <f t="shared" si="58"/>
        <v>395920</v>
      </c>
      <c r="S902" s="378">
        <v>202310</v>
      </c>
      <c r="T902" s="514" t="s">
        <v>7796</v>
      </c>
      <c r="U902" s="386"/>
      <c r="V902" s="541">
        <v>80.776695251000007</v>
      </c>
      <c r="W902" s="386"/>
      <c r="X902" s="383"/>
      <c r="Y902" s="546"/>
      <c r="Z902" s="386" t="s">
        <v>8240</v>
      </c>
      <c r="AA902" s="506">
        <v>0.4</v>
      </c>
      <c r="AB902" s="410">
        <v>200</v>
      </c>
      <c r="AC902" s="410">
        <f t="shared" si="57"/>
        <v>80</v>
      </c>
    </row>
    <row r="903" spans="1:29" s="385" customFormat="1" ht="15" customHeight="1">
      <c r="A903" s="388" t="s">
        <v>823</v>
      </c>
      <c r="B903" s="386" t="s">
        <v>7101</v>
      </c>
      <c r="C903" s="386" t="s">
        <v>6724</v>
      </c>
      <c r="D903" s="386" t="s">
        <v>7155</v>
      </c>
      <c r="E903" s="386" t="s">
        <v>3767</v>
      </c>
      <c r="F903" s="386" t="s">
        <v>3768</v>
      </c>
      <c r="G903" s="388" t="s">
        <v>165</v>
      </c>
      <c r="H903" s="499" t="s">
        <v>8241</v>
      </c>
      <c r="I903" s="369" t="e">
        <f>VLOOKUP(H903,'合同高级查询数据-10月新返回合同'!A:A,1,0)</f>
        <v>#N/A</v>
      </c>
      <c r="J903" s="499" t="s">
        <v>3724</v>
      </c>
      <c r="K903" s="388" t="s">
        <v>6916</v>
      </c>
      <c r="L903" s="386" t="s">
        <v>8242</v>
      </c>
      <c r="M903" s="386" t="s">
        <v>8239</v>
      </c>
      <c r="N903" s="383">
        <v>45200</v>
      </c>
      <c r="O903" s="410" t="s">
        <v>2187</v>
      </c>
      <c r="P903" s="413">
        <v>4900</v>
      </c>
      <c r="Q903" s="413">
        <v>46.4</v>
      </c>
      <c r="R903" s="539">
        <f t="shared" si="58"/>
        <v>227360</v>
      </c>
      <c r="S903" s="378">
        <v>202310</v>
      </c>
      <c r="T903" s="514" t="s">
        <v>8243</v>
      </c>
      <c r="U903" s="386"/>
      <c r="V903" s="541">
        <v>46.353389739999997</v>
      </c>
      <c r="W903" s="386"/>
      <c r="X903" s="383"/>
      <c r="Y903" s="546"/>
      <c r="Z903" s="386" t="s">
        <v>8244</v>
      </c>
      <c r="AA903" s="506">
        <v>0.4</v>
      </c>
      <c r="AB903" s="410">
        <v>100</v>
      </c>
      <c r="AC903" s="410">
        <f t="shared" si="57"/>
        <v>40</v>
      </c>
    </row>
    <row r="904" spans="1:29" s="577" customFormat="1" ht="15" customHeight="1">
      <c r="A904" s="563" t="s">
        <v>829</v>
      </c>
      <c r="B904" s="561" t="s">
        <v>7101</v>
      </c>
      <c r="C904" s="561" t="s">
        <v>6654</v>
      </c>
      <c r="D904" s="561" t="s">
        <v>4593</v>
      </c>
      <c r="E904" s="563" t="s">
        <v>8245</v>
      </c>
      <c r="F904" s="563" t="s">
        <v>8246</v>
      </c>
      <c r="G904" s="563" t="s">
        <v>165</v>
      </c>
      <c r="H904" s="564" t="s">
        <v>8247</v>
      </c>
      <c r="I904" s="565" t="e">
        <f>VLOOKUP(H904,'合同高级查询数据-10月新返回合同'!A:A,1,0)</f>
        <v>#N/A</v>
      </c>
      <c r="J904" s="674" t="s">
        <v>3724</v>
      </c>
      <c r="K904" s="561" t="s">
        <v>7149</v>
      </c>
      <c r="L904" s="561" t="s">
        <v>7386</v>
      </c>
      <c r="M904" s="561" t="s">
        <v>7387</v>
      </c>
      <c r="N904" s="574" t="s">
        <v>8248</v>
      </c>
      <c r="O904" s="561" t="s">
        <v>7389</v>
      </c>
      <c r="P904" s="581">
        <v>10417</v>
      </c>
      <c r="Q904" s="720">
        <v>0</v>
      </c>
      <c r="R904" s="719">
        <f t="shared" si="58"/>
        <v>0</v>
      </c>
      <c r="S904" s="570">
        <v>202310</v>
      </c>
      <c r="T904" s="693" t="s">
        <v>8249</v>
      </c>
      <c r="U904" s="728"/>
      <c r="V904" s="721">
        <v>0</v>
      </c>
      <c r="W904" s="721"/>
      <c r="X904" s="574">
        <v>44470</v>
      </c>
      <c r="Y904" s="574">
        <v>44834</v>
      </c>
      <c r="Z904" s="723"/>
      <c r="AA904" s="691">
        <v>0</v>
      </c>
      <c r="AB904" s="713">
        <v>0</v>
      </c>
      <c r="AC904" s="713">
        <f t="shared" si="57"/>
        <v>0</v>
      </c>
    </row>
    <row r="905" spans="1:29" s="577" customFormat="1" ht="15" customHeight="1">
      <c r="A905" s="563" t="s">
        <v>829</v>
      </c>
      <c r="B905" s="561" t="s">
        <v>7101</v>
      </c>
      <c r="C905" s="561" t="s">
        <v>6654</v>
      </c>
      <c r="D905" s="561" t="s">
        <v>4593</v>
      </c>
      <c r="E905" s="563" t="s">
        <v>8245</v>
      </c>
      <c r="F905" s="563" t="s">
        <v>8246</v>
      </c>
      <c r="G905" s="563" t="s">
        <v>165</v>
      </c>
      <c r="H905" s="564" t="s">
        <v>8247</v>
      </c>
      <c r="I905" s="565" t="e">
        <f>VLOOKUP(H905,'合同高级查询数据-10月新返回合同'!A:A,1,0)</f>
        <v>#N/A</v>
      </c>
      <c r="J905" s="674" t="s">
        <v>3724</v>
      </c>
      <c r="K905" s="563" t="s">
        <v>7149</v>
      </c>
      <c r="L905" s="675" t="s">
        <v>7391</v>
      </c>
      <c r="M905" s="596" t="s">
        <v>7392</v>
      </c>
      <c r="N905" s="574" t="s">
        <v>8250</v>
      </c>
      <c r="O905" s="561" t="s">
        <v>8251</v>
      </c>
      <c r="P905" s="581">
        <v>10417</v>
      </c>
      <c r="Q905" s="720">
        <v>0</v>
      </c>
      <c r="R905" s="719">
        <f t="shared" si="58"/>
        <v>0</v>
      </c>
      <c r="S905" s="570">
        <v>202310</v>
      </c>
      <c r="T905" s="693" t="s">
        <v>8252</v>
      </c>
      <c r="U905" s="728"/>
      <c r="V905" s="721">
        <v>0</v>
      </c>
      <c r="W905" s="721"/>
      <c r="X905" s="574">
        <v>44470</v>
      </c>
      <c r="Y905" s="574">
        <v>44834</v>
      </c>
      <c r="Z905" s="723"/>
      <c r="AA905" s="691">
        <v>0</v>
      </c>
      <c r="AB905" s="713">
        <v>0</v>
      </c>
      <c r="AC905" s="713">
        <f t="shared" si="57"/>
        <v>0</v>
      </c>
    </row>
    <row r="906" spans="1:29" s="577" customFormat="1" ht="15" customHeight="1">
      <c r="A906" s="563" t="s">
        <v>829</v>
      </c>
      <c r="B906" s="561" t="s">
        <v>7101</v>
      </c>
      <c r="C906" s="561" t="s">
        <v>6654</v>
      </c>
      <c r="D906" s="561" t="s">
        <v>4593</v>
      </c>
      <c r="E906" s="563" t="s">
        <v>8245</v>
      </c>
      <c r="F906" s="563" t="s">
        <v>8246</v>
      </c>
      <c r="G906" s="562" t="s">
        <v>165</v>
      </c>
      <c r="H906" s="564" t="s">
        <v>8253</v>
      </c>
      <c r="I906" s="565" t="e">
        <f>VLOOKUP(H906,'合同高级查询数据-10月新返回合同'!A:A,1,0)</f>
        <v>#N/A</v>
      </c>
      <c r="J906" s="674" t="s">
        <v>3724</v>
      </c>
      <c r="K906" s="562" t="s">
        <v>6555</v>
      </c>
      <c r="L906" s="739" t="s">
        <v>7425</v>
      </c>
      <c r="M906" s="596" t="s">
        <v>7426</v>
      </c>
      <c r="N906" s="574" t="s">
        <v>8254</v>
      </c>
      <c r="O906" s="649" t="s">
        <v>8255</v>
      </c>
      <c r="P906" s="581">
        <v>10417</v>
      </c>
      <c r="Q906" s="720">
        <v>0</v>
      </c>
      <c r="R906" s="719">
        <f t="shared" si="58"/>
        <v>0</v>
      </c>
      <c r="S906" s="570">
        <v>202310</v>
      </c>
      <c r="T906" s="741" t="s">
        <v>8256</v>
      </c>
      <c r="U906" s="728"/>
      <c r="V906" s="721">
        <v>0</v>
      </c>
      <c r="W906" s="721"/>
      <c r="X906" s="574">
        <v>44593</v>
      </c>
      <c r="Y906" s="574">
        <v>44834</v>
      </c>
      <c r="Z906" s="723"/>
      <c r="AA906" s="691">
        <v>0</v>
      </c>
      <c r="AB906" s="713">
        <v>0</v>
      </c>
      <c r="AC906" s="713">
        <f t="shared" si="57"/>
        <v>0</v>
      </c>
    </row>
    <row r="907" spans="1:29" s="385" customFormat="1" ht="15" customHeight="1">
      <c r="A907" s="548" t="s">
        <v>829</v>
      </c>
      <c r="B907" s="386" t="s">
        <v>7101</v>
      </c>
      <c r="C907" s="386" t="s">
        <v>5055</v>
      </c>
      <c r="D907" s="386" t="s">
        <v>4593</v>
      </c>
      <c r="E907" s="388" t="s">
        <v>8245</v>
      </c>
      <c r="F907" s="388" t="s">
        <v>8246</v>
      </c>
      <c r="G907" s="388" t="s">
        <v>165</v>
      </c>
      <c r="H907" s="389" t="s">
        <v>8257</v>
      </c>
      <c r="I907" s="369" t="e">
        <f>VLOOKUP(H907,'合同高级查询数据-10月新返回合同'!A:A,1,0)</f>
        <v>#N/A</v>
      </c>
      <c r="J907" s="499" t="s">
        <v>3724</v>
      </c>
      <c r="K907" s="388" t="s">
        <v>7449</v>
      </c>
      <c r="L907" s="486" t="s">
        <v>7450</v>
      </c>
      <c r="M907" s="403" t="s">
        <v>7451</v>
      </c>
      <c r="N907" s="383">
        <v>44958</v>
      </c>
      <c r="O907" s="386" t="s">
        <v>2187</v>
      </c>
      <c r="P907" s="539">
        <v>5000</v>
      </c>
      <c r="Q907" s="540">
        <v>37.5</v>
      </c>
      <c r="R907" s="539">
        <f t="shared" si="58"/>
        <v>187500</v>
      </c>
      <c r="S907" s="378">
        <v>202310</v>
      </c>
      <c r="T907" s="514" t="s">
        <v>8258</v>
      </c>
      <c r="U907" s="547"/>
      <c r="V907" s="541">
        <v>37.472301483000003</v>
      </c>
      <c r="W907" s="541"/>
      <c r="X907" s="383"/>
      <c r="Y907" s="546"/>
      <c r="Z907" s="386" t="s">
        <v>8259</v>
      </c>
      <c r="AA907" s="506">
        <v>0.3</v>
      </c>
      <c r="AB907" s="410">
        <v>100</v>
      </c>
      <c r="AC907" s="448">
        <f t="shared" si="57"/>
        <v>30</v>
      </c>
    </row>
    <row r="908" spans="1:29" s="385" customFormat="1" ht="15" customHeight="1">
      <c r="A908" s="548" t="s">
        <v>829</v>
      </c>
      <c r="B908" s="386" t="s">
        <v>7101</v>
      </c>
      <c r="C908" s="386" t="s">
        <v>814</v>
      </c>
      <c r="D908" s="386" t="s">
        <v>4593</v>
      </c>
      <c r="E908" s="388" t="s">
        <v>8245</v>
      </c>
      <c r="F908" s="388" t="s">
        <v>8246</v>
      </c>
      <c r="G908" s="388" t="s">
        <v>165</v>
      </c>
      <c r="H908" s="389" t="s">
        <v>8260</v>
      </c>
      <c r="I908" s="369" t="e">
        <f>VLOOKUP(H908,'合同高级查询数据-10月新返回合同'!A:A,1,0)</f>
        <v>#N/A</v>
      </c>
      <c r="J908" s="499" t="s">
        <v>3724</v>
      </c>
      <c r="K908" s="388" t="s">
        <v>2875</v>
      </c>
      <c r="L908" s="486" t="s">
        <v>7455</v>
      </c>
      <c r="M908" s="403" t="s">
        <v>7456</v>
      </c>
      <c r="N908" s="383">
        <v>44958</v>
      </c>
      <c r="O908" s="386" t="s">
        <v>1542</v>
      </c>
      <c r="P908" s="539">
        <v>4584</v>
      </c>
      <c r="Q908" s="540">
        <v>70.2</v>
      </c>
      <c r="R908" s="539">
        <f t="shared" si="58"/>
        <v>321796.8</v>
      </c>
      <c r="S908" s="378">
        <v>202310</v>
      </c>
      <c r="T908" s="514" t="s">
        <v>8261</v>
      </c>
      <c r="U908" s="547"/>
      <c r="V908" s="541">
        <v>70.160034179999997</v>
      </c>
      <c r="W908" s="541"/>
      <c r="X908" s="383"/>
      <c r="Y908" s="383"/>
      <c r="Z908" s="386" t="s">
        <v>8262</v>
      </c>
      <c r="AA908" s="506">
        <v>0.3</v>
      </c>
      <c r="AB908" s="410">
        <v>200</v>
      </c>
      <c r="AC908" s="448">
        <f t="shared" si="57"/>
        <v>60</v>
      </c>
    </row>
    <row r="909" spans="1:29" s="577" customFormat="1" ht="15" customHeight="1">
      <c r="A909" s="736" t="s">
        <v>829</v>
      </c>
      <c r="B909" s="561" t="s">
        <v>7101</v>
      </c>
      <c r="C909" s="561" t="s">
        <v>6654</v>
      </c>
      <c r="D909" s="561" t="s">
        <v>4593</v>
      </c>
      <c r="E909" s="563" t="s">
        <v>8245</v>
      </c>
      <c r="F909" s="563" t="s">
        <v>8246</v>
      </c>
      <c r="G909" s="563" t="s">
        <v>165</v>
      </c>
      <c r="H909" s="564" t="s">
        <v>8263</v>
      </c>
      <c r="I909" s="565" t="e">
        <f>VLOOKUP(H909,'合同高级查询数据-10月新返回合同'!A:A,1,0)</f>
        <v>#N/A</v>
      </c>
      <c r="J909" s="674" t="s">
        <v>3724</v>
      </c>
      <c r="K909" s="563" t="s">
        <v>6555</v>
      </c>
      <c r="L909" s="675" t="s">
        <v>7464</v>
      </c>
      <c r="M909" s="596" t="s">
        <v>7465</v>
      </c>
      <c r="N909" s="574" t="s">
        <v>8264</v>
      </c>
      <c r="O909" s="561" t="s">
        <v>5228</v>
      </c>
      <c r="P909" s="719">
        <v>8333</v>
      </c>
      <c r="Q909" s="720">
        <v>0</v>
      </c>
      <c r="R909" s="719">
        <f t="shared" si="58"/>
        <v>0</v>
      </c>
      <c r="S909" s="570">
        <v>202310</v>
      </c>
      <c r="T909" s="693" t="s">
        <v>8265</v>
      </c>
      <c r="U909" s="728"/>
      <c r="V909" s="721">
        <v>0</v>
      </c>
      <c r="W909" s="721"/>
      <c r="X909" s="574">
        <v>44958</v>
      </c>
      <c r="Y909" s="722">
        <v>45230</v>
      </c>
      <c r="Z909" s="561"/>
      <c r="AA909" s="683">
        <v>0</v>
      </c>
      <c r="AB909" s="582">
        <v>0</v>
      </c>
      <c r="AC909" s="713">
        <f t="shared" si="57"/>
        <v>0</v>
      </c>
    </row>
    <row r="910" spans="1:29" s="385" customFormat="1" ht="15" customHeight="1">
      <c r="A910" s="548" t="s">
        <v>829</v>
      </c>
      <c r="B910" s="386" t="s">
        <v>7101</v>
      </c>
      <c r="C910" s="386" t="s">
        <v>6654</v>
      </c>
      <c r="D910" s="386" t="s">
        <v>4593</v>
      </c>
      <c r="E910" s="388" t="s">
        <v>8245</v>
      </c>
      <c r="F910" s="388" t="s">
        <v>8246</v>
      </c>
      <c r="G910" s="388" t="s">
        <v>165</v>
      </c>
      <c r="H910" s="389" t="s">
        <v>8266</v>
      </c>
      <c r="I910" s="369" t="e">
        <f>VLOOKUP(H910,'合同高级查询数据-10月新返回合同'!A:A,1,0)</f>
        <v>#N/A</v>
      </c>
      <c r="J910" s="499" t="s">
        <v>3724</v>
      </c>
      <c r="K910" s="388" t="s">
        <v>7087</v>
      </c>
      <c r="L910" s="486" t="s">
        <v>8267</v>
      </c>
      <c r="M910" s="403" t="s">
        <v>8268</v>
      </c>
      <c r="N910" s="383">
        <v>45200</v>
      </c>
      <c r="O910" s="386" t="s">
        <v>2187</v>
      </c>
      <c r="P910" s="539">
        <v>7166</v>
      </c>
      <c r="Q910" s="540">
        <v>48.2</v>
      </c>
      <c r="R910" s="539">
        <f t="shared" si="58"/>
        <v>345401.2</v>
      </c>
      <c r="S910" s="378">
        <v>202310</v>
      </c>
      <c r="T910" s="514" t="s">
        <v>8269</v>
      </c>
      <c r="U910" s="547"/>
      <c r="V910" s="541">
        <v>48.144622802999997</v>
      </c>
      <c r="W910" s="410"/>
      <c r="X910" s="383"/>
      <c r="Y910" s="546"/>
      <c r="Z910" s="386" t="s">
        <v>8270</v>
      </c>
      <c r="AA910" s="506">
        <v>0.3</v>
      </c>
      <c r="AB910" s="410">
        <v>100</v>
      </c>
      <c r="AC910" s="410">
        <f t="shared" si="57"/>
        <v>30</v>
      </c>
    </row>
    <row r="911" spans="1:29" s="577" customFormat="1" ht="15" customHeight="1">
      <c r="A911" s="563" t="s">
        <v>829</v>
      </c>
      <c r="B911" s="561" t="s">
        <v>7101</v>
      </c>
      <c r="C911" s="561" t="s">
        <v>5177</v>
      </c>
      <c r="D911" s="561" t="s">
        <v>7115</v>
      </c>
      <c r="E911" s="563" t="s">
        <v>8271</v>
      </c>
      <c r="F911" s="563" t="s">
        <v>8272</v>
      </c>
      <c r="G911" s="562" t="s">
        <v>165</v>
      </c>
      <c r="H911" s="564" t="s">
        <v>8273</v>
      </c>
      <c r="I911" s="565" t="e">
        <f>VLOOKUP(H911,'合同高级查询数据-10月新返回合同'!A:A,1,0)</f>
        <v>#N/A</v>
      </c>
      <c r="J911" s="674" t="s">
        <v>3724</v>
      </c>
      <c r="K911" s="562" t="s">
        <v>8274</v>
      </c>
      <c r="L911" s="739" t="s">
        <v>8275</v>
      </c>
      <c r="M911" s="596" t="s">
        <v>8276</v>
      </c>
      <c r="N911" s="574" t="s">
        <v>8277</v>
      </c>
      <c r="O911" s="649" t="s">
        <v>5228</v>
      </c>
      <c r="P911" s="719">
        <v>5416.67</v>
      </c>
      <c r="Q911" s="720">
        <v>0</v>
      </c>
      <c r="R911" s="719">
        <f t="shared" si="58"/>
        <v>0</v>
      </c>
      <c r="S911" s="570">
        <v>202310</v>
      </c>
      <c r="T911" s="741" t="s">
        <v>8278</v>
      </c>
      <c r="U911" s="728"/>
      <c r="V911" s="721">
        <v>0</v>
      </c>
      <c r="W911" s="721"/>
      <c r="X911" s="574">
        <v>45017</v>
      </c>
      <c r="Y911" s="574">
        <v>45107</v>
      </c>
      <c r="Z911" s="723"/>
      <c r="AA911" s="691">
        <v>0</v>
      </c>
      <c r="AB911" s="713">
        <v>0</v>
      </c>
      <c r="AC911" s="713">
        <f t="shared" si="57"/>
        <v>0</v>
      </c>
    </row>
    <row r="912" spans="1:29" s="385" customFormat="1" ht="15" customHeight="1">
      <c r="A912" s="388" t="s">
        <v>813</v>
      </c>
      <c r="B912" s="386" t="s">
        <v>7101</v>
      </c>
      <c r="C912" s="386" t="s">
        <v>5177</v>
      </c>
      <c r="D912" s="386" t="s">
        <v>7115</v>
      </c>
      <c r="E912" s="388" t="s">
        <v>8271</v>
      </c>
      <c r="F912" s="388" t="s">
        <v>8272</v>
      </c>
      <c r="G912" s="387" t="s">
        <v>165</v>
      </c>
      <c r="H912" s="389" t="s">
        <v>8279</v>
      </c>
      <c r="I912" s="369" t="e">
        <f>VLOOKUP(H912,'合同高级查询数据-10月新返回合同'!A:A,1,0)</f>
        <v>#N/A</v>
      </c>
      <c r="J912" s="499" t="s">
        <v>3724</v>
      </c>
      <c r="K912" s="387" t="s">
        <v>8274</v>
      </c>
      <c r="L912" s="554" t="s">
        <v>8280</v>
      </c>
      <c r="M912" s="403" t="s">
        <v>8281</v>
      </c>
      <c r="N912" s="383">
        <v>45170</v>
      </c>
      <c r="O912" s="416" t="s">
        <v>1542</v>
      </c>
      <c r="P912" s="539">
        <v>5416.67</v>
      </c>
      <c r="Q912" s="540">
        <v>74.400000000000006</v>
      </c>
      <c r="R912" s="539">
        <f t="shared" si="58"/>
        <v>403000.25</v>
      </c>
      <c r="S912" s="378">
        <v>202310</v>
      </c>
      <c r="T912" s="555" t="s">
        <v>8048</v>
      </c>
      <c r="U912" s="547"/>
      <c r="V912" s="541">
        <v>74.319648743000002</v>
      </c>
      <c r="W912" s="410"/>
      <c r="X912" s="383"/>
      <c r="Y912" s="383"/>
      <c r="Z912" s="386" t="s">
        <v>8282</v>
      </c>
      <c r="AA912" s="506">
        <v>0.3</v>
      </c>
      <c r="AB912" s="410">
        <v>200</v>
      </c>
      <c r="AC912" s="410">
        <f t="shared" si="57"/>
        <v>60</v>
      </c>
    </row>
    <row r="913" spans="1:29" s="577" customFormat="1" ht="15" customHeight="1">
      <c r="A913" s="563" t="s">
        <v>829</v>
      </c>
      <c r="B913" s="561" t="s">
        <v>7101</v>
      </c>
      <c r="C913" s="561" t="s">
        <v>4721</v>
      </c>
      <c r="D913" s="561" t="s">
        <v>7155</v>
      </c>
      <c r="E913" s="563" t="s">
        <v>8283</v>
      </c>
      <c r="F913" s="563" t="s">
        <v>8284</v>
      </c>
      <c r="G913" s="562" t="s">
        <v>165</v>
      </c>
      <c r="H913" s="564" t="s">
        <v>8285</v>
      </c>
      <c r="I913" s="565" t="e">
        <f>VLOOKUP(H913,'合同高级查询数据-10月新返回合同'!A:A,1,0)</f>
        <v>#N/A</v>
      </c>
      <c r="J913" s="674" t="s">
        <v>4875</v>
      </c>
      <c r="K913" s="562" t="s">
        <v>801</v>
      </c>
      <c r="L913" s="739" t="s">
        <v>8286</v>
      </c>
      <c r="M913" s="596" t="s">
        <v>4877</v>
      </c>
      <c r="N913" s="574">
        <v>44545</v>
      </c>
      <c r="O913" s="649" t="s">
        <v>4796</v>
      </c>
      <c r="P913" s="719">
        <v>11750</v>
      </c>
      <c r="Q913" s="720">
        <v>12</v>
      </c>
      <c r="R913" s="719">
        <f t="shared" si="58"/>
        <v>141000</v>
      </c>
      <c r="S913" s="570">
        <v>202310</v>
      </c>
      <c r="T913" s="741" t="s">
        <v>8287</v>
      </c>
      <c r="U913" s="728"/>
      <c r="V913" s="721">
        <v>6.7022092459999998</v>
      </c>
      <c r="W913" s="721"/>
      <c r="X913" s="574">
        <v>44896</v>
      </c>
      <c r="Y913" s="574">
        <v>45260</v>
      </c>
      <c r="Z913" s="561" t="s">
        <v>8288</v>
      </c>
      <c r="AA913" s="683">
        <v>0.3</v>
      </c>
      <c r="AB913" s="582">
        <v>40</v>
      </c>
      <c r="AC913" s="582">
        <f t="shared" si="57"/>
        <v>12</v>
      </c>
    </row>
    <row r="914" spans="1:29" s="577" customFormat="1" ht="15" customHeight="1">
      <c r="A914" s="563" t="s">
        <v>813</v>
      </c>
      <c r="B914" s="561" t="s">
        <v>7101</v>
      </c>
      <c r="C914" s="561" t="s">
        <v>4721</v>
      </c>
      <c r="D914" s="561" t="s">
        <v>7155</v>
      </c>
      <c r="E914" s="563" t="s">
        <v>8283</v>
      </c>
      <c r="F914" s="563" t="s">
        <v>8284</v>
      </c>
      <c r="G914" s="562" t="s">
        <v>165</v>
      </c>
      <c r="H914" s="564" t="s">
        <v>8285</v>
      </c>
      <c r="I914" s="565" t="e">
        <f>VLOOKUP(H914,'合同高级查询数据-10月新返回合同'!A:A,1,0)</f>
        <v>#N/A</v>
      </c>
      <c r="J914" s="674" t="s">
        <v>4875</v>
      </c>
      <c r="K914" s="562" t="s">
        <v>801</v>
      </c>
      <c r="L914" s="739" t="s">
        <v>8289</v>
      </c>
      <c r="M914" s="596" t="s">
        <v>4877</v>
      </c>
      <c r="N914" s="574">
        <v>44545</v>
      </c>
      <c r="O914" s="649" t="s">
        <v>4796</v>
      </c>
      <c r="P914" s="719">
        <v>7560</v>
      </c>
      <c r="Q914" s="720">
        <v>12.8</v>
      </c>
      <c r="R914" s="719">
        <f t="shared" si="58"/>
        <v>96768</v>
      </c>
      <c r="S914" s="570">
        <v>202310</v>
      </c>
      <c r="T914" s="741" t="s">
        <v>8290</v>
      </c>
      <c r="U914" s="728"/>
      <c r="V914" s="721">
        <v>12.745407268999999</v>
      </c>
      <c r="W914" s="721"/>
      <c r="X914" s="574">
        <v>44896</v>
      </c>
      <c r="Y914" s="574">
        <v>45260</v>
      </c>
      <c r="Z914" s="561" t="s">
        <v>8291</v>
      </c>
      <c r="AA914" s="683">
        <v>0.3</v>
      </c>
      <c r="AB914" s="582">
        <v>40</v>
      </c>
      <c r="AC914" s="582">
        <f t="shared" si="57"/>
        <v>12</v>
      </c>
    </row>
    <row r="915" spans="1:29" s="577" customFormat="1" ht="15" customHeight="1">
      <c r="A915" s="563" t="s">
        <v>823</v>
      </c>
      <c r="B915" s="561" t="s">
        <v>7101</v>
      </c>
      <c r="C915" s="561" t="s">
        <v>4721</v>
      </c>
      <c r="D915" s="561" t="s">
        <v>7155</v>
      </c>
      <c r="E915" s="563" t="s">
        <v>8283</v>
      </c>
      <c r="F915" s="563" t="s">
        <v>8284</v>
      </c>
      <c r="G915" s="562" t="s">
        <v>165</v>
      </c>
      <c r="H915" s="564" t="s">
        <v>8285</v>
      </c>
      <c r="I915" s="565" t="e">
        <f>VLOOKUP(H915,'合同高级查询数据-10月新返回合同'!A:A,1,0)</f>
        <v>#N/A</v>
      </c>
      <c r="J915" s="674" t="s">
        <v>4875</v>
      </c>
      <c r="K915" s="562" t="s">
        <v>801</v>
      </c>
      <c r="L915" s="739" t="s">
        <v>8292</v>
      </c>
      <c r="M915" s="596" t="s">
        <v>4877</v>
      </c>
      <c r="N915" s="574" t="s">
        <v>8293</v>
      </c>
      <c r="O915" s="649" t="s">
        <v>4982</v>
      </c>
      <c r="P915" s="719">
        <v>7560</v>
      </c>
      <c r="Q915" s="720">
        <v>0</v>
      </c>
      <c r="R915" s="719">
        <f t="shared" si="58"/>
        <v>0</v>
      </c>
      <c r="S915" s="570">
        <v>202310</v>
      </c>
      <c r="T915" s="741" t="s">
        <v>8294</v>
      </c>
      <c r="U915" s="728"/>
      <c r="V915" s="721">
        <v>0</v>
      </c>
      <c r="W915" s="721"/>
      <c r="X915" s="574">
        <v>44896</v>
      </c>
      <c r="Y915" s="574">
        <v>45260</v>
      </c>
      <c r="Z915" s="723"/>
      <c r="AA915" s="691">
        <v>0</v>
      </c>
      <c r="AB915" s="713">
        <v>0</v>
      </c>
      <c r="AC915" s="582">
        <f t="shared" si="57"/>
        <v>0</v>
      </c>
    </row>
    <row r="916" spans="1:29" s="577" customFormat="1" ht="15" customHeight="1">
      <c r="A916" s="563" t="s">
        <v>813</v>
      </c>
      <c r="B916" s="561" t="s">
        <v>7101</v>
      </c>
      <c r="C916" s="561" t="s">
        <v>887</v>
      </c>
      <c r="D916" s="561" t="s">
        <v>7115</v>
      </c>
      <c r="E916" s="563" t="s">
        <v>8295</v>
      </c>
      <c r="F916" s="563" t="s">
        <v>8296</v>
      </c>
      <c r="G916" s="562" t="s">
        <v>165</v>
      </c>
      <c r="H916" s="564" t="s">
        <v>8297</v>
      </c>
      <c r="I916" s="565" t="e">
        <f>VLOOKUP(H916,'合同高级查询数据-10月新返回合同'!A:A,1,0)</f>
        <v>#N/A</v>
      </c>
      <c r="J916" s="674" t="s">
        <v>3724</v>
      </c>
      <c r="K916" s="562" t="s">
        <v>2069</v>
      </c>
      <c r="L916" s="739" t="s">
        <v>8298</v>
      </c>
      <c r="M916" s="596" t="s">
        <v>8299</v>
      </c>
      <c r="N916" s="574" t="s">
        <v>8300</v>
      </c>
      <c r="O916" s="649" t="s">
        <v>5228</v>
      </c>
      <c r="P916" s="719">
        <v>5500</v>
      </c>
      <c r="Q916" s="720">
        <v>0</v>
      </c>
      <c r="R916" s="719">
        <f t="shared" si="58"/>
        <v>0</v>
      </c>
      <c r="S916" s="570">
        <v>202310</v>
      </c>
      <c r="T916" s="741" t="s">
        <v>8301</v>
      </c>
      <c r="U916" s="728"/>
      <c r="V916" s="721">
        <v>0</v>
      </c>
      <c r="W916" s="721"/>
      <c r="X916" s="574">
        <v>44652</v>
      </c>
      <c r="Y916" s="574">
        <v>44681</v>
      </c>
      <c r="Z916" s="723"/>
      <c r="AA916" s="691">
        <v>0</v>
      </c>
      <c r="AB916" s="713">
        <v>0</v>
      </c>
      <c r="AC916" s="713">
        <f t="shared" si="57"/>
        <v>0</v>
      </c>
    </row>
    <row r="917" spans="1:29" s="577" customFormat="1" ht="15" customHeight="1">
      <c r="A917" s="563" t="s">
        <v>823</v>
      </c>
      <c r="B917" s="561" t="s">
        <v>7101</v>
      </c>
      <c r="C917" s="561" t="s">
        <v>5501</v>
      </c>
      <c r="D917" s="561" t="s">
        <v>7155</v>
      </c>
      <c r="E917" s="563" t="s">
        <v>8302</v>
      </c>
      <c r="F917" s="563" t="s">
        <v>8303</v>
      </c>
      <c r="G917" s="562" t="s">
        <v>165</v>
      </c>
      <c r="H917" s="564" t="s">
        <v>8304</v>
      </c>
      <c r="I917" s="565" t="e">
        <f>VLOOKUP(H917,'合同高级查询数据-10月新返回合同'!A:A,1,0)</f>
        <v>#N/A</v>
      </c>
      <c r="J917" s="674" t="s">
        <v>3724</v>
      </c>
      <c r="K917" s="562" t="s">
        <v>5505</v>
      </c>
      <c r="L917" s="739" t="s">
        <v>8305</v>
      </c>
      <c r="M917" s="596" t="s">
        <v>8306</v>
      </c>
      <c r="N917" s="574" t="s">
        <v>8307</v>
      </c>
      <c r="O917" s="649" t="s">
        <v>6675</v>
      </c>
      <c r="P917" s="719">
        <v>4800</v>
      </c>
      <c r="Q917" s="720">
        <v>0</v>
      </c>
      <c r="R917" s="719">
        <f t="shared" si="58"/>
        <v>0</v>
      </c>
      <c r="S917" s="570">
        <v>202310</v>
      </c>
      <c r="T917" s="741" t="s">
        <v>8308</v>
      </c>
      <c r="U917" s="728"/>
      <c r="V917" s="721">
        <v>0</v>
      </c>
      <c r="W917" s="721"/>
      <c r="X917" s="574">
        <v>44562</v>
      </c>
      <c r="Y917" s="574">
        <v>44592</v>
      </c>
      <c r="Z917" s="723"/>
      <c r="AA917" s="691">
        <v>0</v>
      </c>
      <c r="AB917" s="713">
        <v>0</v>
      </c>
      <c r="AC917" s="713">
        <f t="shared" si="57"/>
        <v>0</v>
      </c>
    </row>
    <row r="918" spans="1:29" s="577" customFormat="1" ht="15" customHeight="1">
      <c r="A918" s="563" t="s">
        <v>829</v>
      </c>
      <c r="B918" s="561" t="s">
        <v>7101</v>
      </c>
      <c r="C918" s="561" t="s">
        <v>6654</v>
      </c>
      <c r="D918" s="561" t="s">
        <v>4593</v>
      </c>
      <c r="E918" s="563" t="s">
        <v>8309</v>
      </c>
      <c r="F918" s="563" t="s">
        <v>8310</v>
      </c>
      <c r="G918" s="562" t="s">
        <v>165</v>
      </c>
      <c r="H918" s="564" t="s">
        <v>8311</v>
      </c>
      <c r="I918" s="565" t="e">
        <f>VLOOKUP(H918,'合同高级查询数据-10月新返回合同'!A:A,1,0)</f>
        <v>#N/A</v>
      </c>
      <c r="J918" s="674" t="s">
        <v>3724</v>
      </c>
      <c r="K918" s="562" t="s">
        <v>6869</v>
      </c>
      <c r="L918" s="739" t="s">
        <v>8312</v>
      </c>
      <c r="M918" s="596" t="s">
        <v>8313</v>
      </c>
      <c r="N918" s="574" t="s">
        <v>8314</v>
      </c>
      <c r="O918" s="649" t="s">
        <v>6675</v>
      </c>
      <c r="P918" s="719">
        <v>9600</v>
      </c>
      <c r="Q918" s="720">
        <v>0</v>
      </c>
      <c r="R918" s="719">
        <f t="shared" si="58"/>
        <v>0</v>
      </c>
      <c r="S918" s="570">
        <v>202310</v>
      </c>
      <c r="T918" s="741" t="s">
        <v>8315</v>
      </c>
      <c r="U918" s="728"/>
      <c r="V918" s="721">
        <v>0</v>
      </c>
      <c r="W918" s="721"/>
      <c r="X918" s="574">
        <v>44593</v>
      </c>
      <c r="Y918" s="574">
        <v>44773</v>
      </c>
      <c r="Z918" s="723"/>
      <c r="AA918" s="691">
        <v>0</v>
      </c>
      <c r="AB918" s="713">
        <v>0</v>
      </c>
      <c r="AC918" s="713">
        <f t="shared" si="57"/>
        <v>0</v>
      </c>
    </row>
    <row r="919" spans="1:29" s="577" customFormat="1" ht="15" customHeight="1">
      <c r="A919" s="563" t="s">
        <v>823</v>
      </c>
      <c r="B919" s="561" t="s">
        <v>7101</v>
      </c>
      <c r="C919" s="561" t="s">
        <v>4881</v>
      </c>
      <c r="D919" s="561" t="s">
        <v>7155</v>
      </c>
      <c r="E919" s="561" t="s">
        <v>8316</v>
      </c>
      <c r="F919" s="561" t="s">
        <v>8317</v>
      </c>
      <c r="G919" s="563" t="s">
        <v>165</v>
      </c>
      <c r="H919" s="674" t="s">
        <v>8318</v>
      </c>
      <c r="I919" s="565" t="e">
        <f>VLOOKUP(H919,'合同高级查询数据-10月新返回合同'!A:A,1,0)</f>
        <v>#N/A</v>
      </c>
      <c r="J919" s="674" t="s">
        <v>3724</v>
      </c>
      <c r="K919" s="561" t="s">
        <v>4916</v>
      </c>
      <c r="L919" s="561" t="s">
        <v>8319</v>
      </c>
      <c r="M919" s="561" t="s">
        <v>8320</v>
      </c>
      <c r="N919" s="574">
        <v>44593</v>
      </c>
      <c r="O919" s="561" t="s">
        <v>2187</v>
      </c>
      <c r="P919" s="581">
        <v>4200</v>
      </c>
      <c r="Q919" s="720">
        <v>100</v>
      </c>
      <c r="R919" s="719">
        <f t="shared" si="58"/>
        <v>420000</v>
      </c>
      <c r="S919" s="570">
        <v>202310</v>
      </c>
      <c r="T919" s="693" t="s">
        <v>8321</v>
      </c>
      <c r="U919" s="561"/>
      <c r="V919" s="721">
        <v>80.597961425999998</v>
      </c>
      <c r="W919" s="721"/>
      <c r="X919" s="574">
        <v>44958</v>
      </c>
      <c r="Y919" s="574">
        <v>45322</v>
      </c>
      <c r="Z919" s="561" t="s">
        <v>8322</v>
      </c>
      <c r="AA919" s="683">
        <v>1</v>
      </c>
      <c r="AB919" s="582">
        <v>100</v>
      </c>
      <c r="AC919" s="713">
        <f t="shared" si="57"/>
        <v>100</v>
      </c>
    </row>
    <row r="920" spans="1:29" s="577" customFormat="1" ht="15" customHeight="1">
      <c r="A920" s="563" t="s">
        <v>813</v>
      </c>
      <c r="B920" s="561" t="s">
        <v>7101</v>
      </c>
      <c r="C920" s="561" t="s">
        <v>47</v>
      </c>
      <c r="D920" s="561" t="s">
        <v>4593</v>
      </c>
      <c r="E920" s="561" t="s">
        <v>8323</v>
      </c>
      <c r="F920" s="561" t="s">
        <v>8324</v>
      </c>
      <c r="G920" s="563" t="s">
        <v>165</v>
      </c>
      <c r="H920" s="561" t="s">
        <v>8325</v>
      </c>
      <c r="I920" s="565" t="e">
        <f>VLOOKUP(H920,'合同高级查询数据-10月新返回合同'!A:A,1,0)</f>
        <v>#N/A</v>
      </c>
      <c r="J920" s="674" t="s">
        <v>3724</v>
      </c>
      <c r="K920" s="561" t="s">
        <v>47</v>
      </c>
      <c r="L920" s="561" t="s">
        <v>8326</v>
      </c>
      <c r="M920" s="561" t="s">
        <v>8327</v>
      </c>
      <c r="N920" s="574">
        <v>44593</v>
      </c>
      <c r="O920" s="561" t="s">
        <v>5263</v>
      </c>
      <c r="P920" s="581">
        <v>7000</v>
      </c>
      <c r="Q920" s="720">
        <v>26.6</v>
      </c>
      <c r="R920" s="719">
        <f t="shared" si="58"/>
        <v>186200</v>
      </c>
      <c r="S920" s="570">
        <v>202310</v>
      </c>
      <c r="T920" s="693" t="s">
        <v>9175</v>
      </c>
      <c r="U920" s="561"/>
      <c r="V920" s="721">
        <v>25.989213942999999</v>
      </c>
      <c r="W920" s="721">
        <v>27.1</v>
      </c>
      <c r="X920" s="574">
        <v>44958</v>
      </c>
      <c r="Y920" s="574">
        <v>45322</v>
      </c>
      <c r="Z920" s="561" t="s">
        <v>8328</v>
      </c>
      <c r="AA920" s="683">
        <v>0.25</v>
      </c>
      <c r="AB920" s="582">
        <v>80</v>
      </c>
      <c r="AC920" s="713">
        <f t="shared" si="57"/>
        <v>20</v>
      </c>
    </row>
    <row r="921" spans="1:29" s="577" customFormat="1" ht="15" customHeight="1">
      <c r="A921" s="736" t="s">
        <v>829</v>
      </c>
      <c r="B921" s="561" t="s">
        <v>7101</v>
      </c>
      <c r="C921" s="561" t="s">
        <v>4721</v>
      </c>
      <c r="D921" s="561" t="s">
        <v>7155</v>
      </c>
      <c r="E921" s="561" t="s">
        <v>8329</v>
      </c>
      <c r="F921" s="561" t="s">
        <v>8330</v>
      </c>
      <c r="G921" s="563" t="s">
        <v>165</v>
      </c>
      <c r="H921" s="561" t="s">
        <v>8331</v>
      </c>
      <c r="I921" s="565" t="e">
        <f>VLOOKUP(H921,'合同高级查询数据-10月新返回合同'!A:A,1,0)</f>
        <v>#N/A</v>
      </c>
      <c r="J921" s="674" t="s">
        <v>3724</v>
      </c>
      <c r="K921" s="561" t="s">
        <v>801</v>
      </c>
      <c r="L921" s="561" t="s">
        <v>8332</v>
      </c>
      <c r="M921" s="561" t="s">
        <v>8333</v>
      </c>
      <c r="N921" s="574">
        <v>44652</v>
      </c>
      <c r="O921" s="561" t="s">
        <v>1542</v>
      </c>
      <c r="P921" s="581">
        <v>5083.33</v>
      </c>
      <c r="Q921" s="720">
        <v>66.599999999999994</v>
      </c>
      <c r="R921" s="719">
        <f t="shared" si="58"/>
        <v>338549.78</v>
      </c>
      <c r="S921" s="570">
        <v>202310</v>
      </c>
      <c r="T921" s="693" t="s">
        <v>8334</v>
      </c>
      <c r="U921" s="561"/>
      <c r="V921" s="721">
        <v>66.524337768999999</v>
      </c>
      <c r="W921" s="721"/>
      <c r="X921" s="574">
        <v>45017</v>
      </c>
      <c r="Y921" s="574">
        <v>45382</v>
      </c>
      <c r="Z921" s="561" t="s">
        <v>8335</v>
      </c>
      <c r="AA921" s="683">
        <v>0.3</v>
      </c>
      <c r="AB921" s="582">
        <v>200</v>
      </c>
      <c r="AC921" s="713">
        <f t="shared" si="57"/>
        <v>60</v>
      </c>
    </row>
    <row r="922" spans="1:29" s="577" customFormat="1" ht="15" customHeight="1">
      <c r="A922" s="736" t="s">
        <v>829</v>
      </c>
      <c r="B922" s="561" t="s">
        <v>7101</v>
      </c>
      <c r="C922" s="561" t="s">
        <v>6311</v>
      </c>
      <c r="D922" s="561" t="s">
        <v>7115</v>
      </c>
      <c r="E922" s="561" t="s">
        <v>8329</v>
      </c>
      <c r="F922" s="561" t="s">
        <v>8330</v>
      </c>
      <c r="G922" s="563" t="s">
        <v>165</v>
      </c>
      <c r="H922" s="561" t="s">
        <v>8336</v>
      </c>
      <c r="I922" s="565" t="str">
        <f>VLOOKUP(H922,'合同高级查询数据-10月新返回合同'!A:A,1,0)</f>
        <v>182315IDC00541</v>
      </c>
      <c r="J922" s="674" t="s">
        <v>3724</v>
      </c>
      <c r="K922" s="561" t="s">
        <v>6311</v>
      </c>
      <c r="L922" s="561" t="s">
        <v>8337</v>
      </c>
      <c r="M922" s="561" t="s">
        <v>8338</v>
      </c>
      <c r="N922" s="574">
        <v>44835</v>
      </c>
      <c r="O922" s="561" t="s">
        <v>2187</v>
      </c>
      <c r="P922" s="581">
        <v>6000</v>
      </c>
      <c r="Q922" s="720">
        <v>32.299999999999997</v>
      </c>
      <c r="R922" s="719">
        <f t="shared" si="58"/>
        <v>193800</v>
      </c>
      <c r="S922" s="570">
        <v>202310</v>
      </c>
      <c r="T922" s="693" t="s">
        <v>8339</v>
      </c>
      <c r="U922" s="561"/>
      <c r="V922" s="721">
        <v>32.299655913999999</v>
      </c>
      <c r="W922" s="721"/>
      <c r="X922" s="574">
        <v>45200</v>
      </c>
      <c r="Y922" s="574">
        <v>45565</v>
      </c>
      <c r="Z922" s="561" t="s">
        <v>8340</v>
      </c>
      <c r="AA922" s="683">
        <v>0.3</v>
      </c>
      <c r="AB922" s="582">
        <v>100</v>
      </c>
      <c r="AC922" s="713">
        <f t="shared" si="57"/>
        <v>30</v>
      </c>
    </row>
    <row r="923" spans="1:29" s="577" customFormat="1" ht="15" customHeight="1">
      <c r="A923" s="561" t="s">
        <v>813</v>
      </c>
      <c r="B923" s="561" t="s">
        <v>7101</v>
      </c>
      <c r="C923" s="561" t="s">
        <v>6735</v>
      </c>
      <c r="D923" s="561" t="s">
        <v>7155</v>
      </c>
      <c r="E923" s="561" t="s">
        <v>8329</v>
      </c>
      <c r="F923" s="561" t="s">
        <v>8330</v>
      </c>
      <c r="G923" s="561" t="s">
        <v>165</v>
      </c>
      <c r="H923" s="561" t="s">
        <v>8341</v>
      </c>
      <c r="I923" s="565" t="e">
        <f>VLOOKUP(H923,'合同高级查询数据-10月新返回合同'!A:A,1,0)</f>
        <v>#N/A</v>
      </c>
      <c r="J923" s="561" t="s">
        <v>3724</v>
      </c>
      <c r="K923" s="732" t="s">
        <v>6561</v>
      </c>
      <c r="L923" s="732" t="s">
        <v>7111</v>
      </c>
      <c r="M923" s="561" t="s">
        <v>7112</v>
      </c>
      <c r="N923" s="574">
        <v>44986</v>
      </c>
      <c r="O923" s="561" t="s">
        <v>5440</v>
      </c>
      <c r="P923" s="568">
        <v>6500</v>
      </c>
      <c r="Q923" s="720">
        <v>23.2</v>
      </c>
      <c r="R923" s="719">
        <f t="shared" si="58"/>
        <v>150800</v>
      </c>
      <c r="S923" s="570">
        <v>202310</v>
      </c>
      <c r="T923" s="733" t="s">
        <v>8342</v>
      </c>
      <c r="U923" s="733"/>
      <c r="V923" s="721">
        <v>23.175403594999999</v>
      </c>
      <c r="W923" s="721"/>
      <c r="X923" s="574">
        <v>44986</v>
      </c>
      <c r="Y923" s="574">
        <v>45351</v>
      </c>
      <c r="Z923" s="561" t="s">
        <v>8343</v>
      </c>
      <c r="AA923" s="683">
        <v>0.3</v>
      </c>
      <c r="AB923" s="582">
        <v>60</v>
      </c>
      <c r="AC923" s="713">
        <f t="shared" si="57"/>
        <v>18</v>
      </c>
    </row>
    <row r="924" spans="1:29" s="385" customFormat="1" ht="15" customHeight="1">
      <c r="A924" s="386" t="s">
        <v>829</v>
      </c>
      <c r="B924" s="386" t="s">
        <v>7101</v>
      </c>
      <c r="C924" s="386" t="s">
        <v>6735</v>
      </c>
      <c r="D924" s="386" t="s">
        <v>7155</v>
      </c>
      <c r="E924" s="386" t="s">
        <v>8329</v>
      </c>
      <c r="F924" s="386" t="s">
        <v>8330</v>
      </c>
      <c r="G924" s="386" t="s">
        <v>165</v>
      </c>
      <c r="H924" s="386" t="s">
        <v>8344</v>
      </c>
      <c r="I924" s="369" t="e">
        <f>VLOOKUP(H924,'合同高级查询数据-10月新返回合同'!A:A,1,0)</f>
        <v>#N/A</v>
      </c>
      <c r="J924" s="386" t="s">
        <v>3724</v>
      </c>
      <c r="K924" s="551" t="s">
        <v>6561</v>
      </c>
      <c r="L924" s="551" t="s">
        <v>8345</v>
      </c>
      <c r="M924" s="386" t="s">
        <v>8346</v>
      </c>
      <c r="N924" s="383">
        <v>45170</v>
      </c>
      <c r="O924" s="386" t="s">
        <v>1542</v>
      </c>
      <c r="P924" s="445">
        <v>5333.33</v>
      </c>
      <c r="Q924" s="540">
        <v>64.099999999999994</v>
      </c>
      <c r="R924" s="539">
        <f t="shared" si="58"/>
        <v>341866.45</v>
      </c>
      <c r="S924" s="378">
        <v>202310</v>
      </c>
      <c r="T924" s="556" t="s">
        <v>8048</v>
      </c>
      <c r="U924" s="556"/>
      <c r="V924" s="541">
        <v>64.070877074999999</v>
      </c>
      <c r="W924" s="557"/>
      <c r="X924" s="383"/>
      <c r="Y924" s="383"/>
      <c r="Z924" s="386" t="s">
        <v>8347</v>
      </c>
      <c r="AA924" s="506">
        <v>0.3</v>
      </c>
      <c r="AB924" s="410">
        <v>200</v>
      </c>
      <c r="AC924" s="410">
        <f t="shared" si="57"/>
        <v>60</v>
      </c>
    </row>
    <row r="925" spans="1:29" s="577" customFormat="1" ht="15" customHeight="1">
      <c r="A925" s="561" t="s">
        <v>829</v>
      </c>
      <c r="B925" s="561" t="s">
        <v>7101</v>
      </c>
      <c r="C925" s="561" t="s">
        <v>6735</v>
      </c>
      <c r="D925" s="561" t="s">
        <v>7155</v>
      </c>
      <c r="E925" s="561" t="s">
        <v>8329</v>
      </c>
      <c r="F925" s="561" t="s">
        <v>8330</v>
      </c>
      <c r="G925" s="561" t="s">
        <v>165</v>
      </c>
      <c r="H925" s="561" t="s">
        <v>8348</v>
      </c>
      <c r="I925" s="565" t="str">
        <f>VLOOKUP(H925,'合同高级查询数据-10月新返回合同'!A:A,1,0)</f>
        <v>182315IDC00512</v>
      </c>
      <c r="J925" s="561" t="s">
        <v>3724</v>
      </c>
      <c r="K925" s="732" t="s">
        <v>6561</v>
      </c>
      <c r="L925" s="732" t="s">
        <v>8349</v>
      </c>
      <c r="M925" s="561" t="s">
        <v>8346</v>
      </c>
      <c r="N925" s="574">
        <v>45170</v>
      </c>
      <c r="O925" s="561" t="s">
        <v>1542</v>
      </c>
      <c r="P925" s="633">
        <v>5333.33</v>
      </c>
      <c r="Q925" s="720">
        <v>67</v>
      </c>
      <c r="R925" s="719">
        <f t="shared" si="58"/>
        <v>357333.11</v>
      </c>
      <c r="S925" s="570">
        <v>202310</v>
      </c>
      <c r="T925" s="733" t="s">
        <v>8048</v>
      </c>
      <c r="U925" s="733"/>
      <c r="V925" s="721">
        <v>66.939399718999994</v>
      </c>
      <c r="W925" s="734"/>
      <c r="X925" s="574">
        <v>45170</v>
      </c>
      <c r="Y925" s="574">
        <v>45535</v>
      </c>
      <c r="Z925" s="561" t="s">
        <v>8350</v>
      </c>
      <c r="AA925" s="683">
        <v>0.3</v>
      </c>
      <c r="AB925" s="582">
        <v>200</v>
      </c>
      <c r="AC925" s="582">
        <f t="shared" si="57"/>
        <v>60</v>
      </c>
    </row>
    <row r="926" spans="1:29" s="577" customFormat="1" ht="15" customHeight="1">
      <c r="A926" s="561" t="s">
        <v>829</v>
      </c>
      <c r="B926" s="561" t="s">
        <v>7101</v>
      </c>
      <c r="C926" s="561" t="s">
        <v>6735</v>
      </c>
      <c r="D926" s="561" t="s">
        <v>7155</v>
      </c>
      <c r="E926" s="561" t="s">
        <v>8329</v>
      </c>
      <c r="F926" s="561" t="s">
        <v>8330</v>
      </c>
      <c r="G926" s="561" t="s">
        <v>165</v>
      </c>
      <c r="H926" s="561" t="s">
        <v>8351</v>
      </c>
      <c r="I926" s="565" t="str">
        <f>VLOOKUP(H926,'合同高级查询数据-10月新返回合同'!A:A,1,0)</f>
        <v>182315IDC00513</v>
      </c>
      <c r="J926" s="561" t="s">
        <v>3724</v>
      </c>
      <c r="K926" s="732" t="s">
        <v>6561</v>
      </c>
      <c r="L926" s="732" t="s">
        <v>8352</v>
      </c>
      <c r="M926" s="561" t="s">
        <v>8346</v>
      </c>
      <c r="N926" s="574">
        <v>45170</v>
      </c>
      <c r="O926" s="561" t="s">
        <v>1542</v>
      </c>
      <c r="P926" s="633">
        <v>5333.33</v>
      </c>
      <c r="Q926" s="720">
        <v>65.599999999999994</v>
      </c>
      <c r="R926" s="719">
        <f t="shared" si="58"/>
        <v>349866.45</v>
      </c>
      <c r="S926" s="570">
        <v>202310</v>
      </c>
      <c r="T926" s="733" t="s">
        <v>8048</v>
      </c>
      <c r="U926" s="733"/>
      <c r="V926" s="721">
        <v>65.528190613000007</v>
      </c>
      <c r="W926" s="734"/>
      <c r="X926" s="574">
        <v>45170</v>
      </c>
      <c r="Y926" s="574">
        <v>45535</v>
      </c>
      <c r="Z926" s="561" t="s">
        <v>8353</v>
      </c>
      <c r="AA926" s="683">
        <v>0.3</v>
      </c>
      <c r="AB926" s="582">
        <v>200</v>
      </c>
      <c r="AC926" s="582">
        <f t="shared" si="57"/>
        <v>60</v>
      </c>
    </row>
    <row r="927" spans="1:29" s="577" customFormat="1" ht="15" customHeight="1">
      <c r="A927" s="563" t="s">
        <v>813</v>
      </c>
      <c r="B927" s="561" t="s">
        <v>7101</v>
      </c>
      <c r="C927" s="561" t="s">
        <v>6058</v>
      </c>
      <c r="D927" s="561" t="s">
        <v>7155</v>
      </c>
      <c r="E927" s="561" t="s">
        <v>8354</v>
      </c>
      <c r="F927" s="561" t="s">
        <v>8355</v>
      </c>
      <c r="G927" s="563" t="s">
        <v>165</v>
      </c>
      <c r="H927" s="561" t="s">
        <v>8356</v>
      </c>
      <c r="I927" s="565" t="e">
        <f>VLOOKUP(H927,'合同高级查询数据-10月新返回合同'!A:A,1,0)</f>
        <v>#N/A</v>
      </c>
      <c r="J927" s="674" t="s">
        <v>3724</v>
      </c>
      <c r="K927" s="561" t="s">
        <v>8357</v>
      </c>
      <c r="L927" s="561" t="s">
        <v>8358</v>
      </c>
      <c r="M927" s="561" t="s">
        <v>8359</v>
      </c>
      <c r="N927" s="574">
        <v>44714</v>
      </c>
      <c r="O927" s="561" t="s">
        <v>2187</v>
      </c>
      <c r="P927" s="581">
        <v>5200</v>
      </c>
      <c r="Q927" s="720">
        <v>33.4</v>
      </c>
      <c r="R927" s="719">
        <f t="shared" si="58"/>
        <v>173680</v>
      </c>
      <c r="S927" s="570">
        <v>202310</v>
      </c>
      <c r="T927" s="693" t="s">
        <v>8360</v>
      </c>
      <c r="U927" s="561"/>
      <c r="V927" s="721">
        <v>33.390773772999999</v>
      </c>
      <c r="W927" s="721"/>
      <c r="X927" s="574">
        <v>45078</v>
      </c>
      <c r="Y927" s="574">
        <v>45443</v>
      </c>
      <c r="Z927" s="561" t="s">
        <v>8361</v>
      </c>
      <c r="AA927" s="683">
        <v>0.3</v>
      </c>
      <c r="AB927" s="582">
        <v>100</v>
      </c>
      <c r="AC927" s="713">
        <f t="shared" si="57"/>
        <v>30</v>
      </c>
    </row>
    <row r="928" spans="1:29" s="577" customFormat="1" ht="15" customHeight="1">
      <c r="A928" s="563" t="s">
        <v>823</v>
      </c>
      <c r="B928" s="561" t="s">
        <v>7101</v>
      </c>
      <c r="C928" s="561" t="s">
        <v>6735</v>
      </c>
      <c r="D928" s="561" t="s">
        <v>7155</v>
      </c>
      <c r="E928" s="561" t="s">
        <v>8362</v>
      </c>
      <c r="F928" s="561" t="s">
        <v>8363</v>
      </c>
      <c r="G928" s="563" t="s">
        <v>165</v>
      </c>
      <c r="H928" s="561" t="s">
        <v>8364</v>
      </c>
      <c r="I928" s="565" t="e">
        <f>VLOOKUP(H928,'合同高级查询数据-10月新返回合同'!A:A,1,0)</f>
        <v>#N/A</v>
      </c>
      <c r="J928" s="674" t="s">
        <v>3724</v>
      </c>
      <c r="K928" s="561" t="s">
        <v>6561</v>
      </c>
      <c r="L928" s="561" t="s">
        <v>8365</v>
      </c>
      <c r="M928" s="561" t="s">
        <v>8366</v>
      </c>
      <c r="N928" s="574" t="s">
        <v>8367</v>
      </c>
      <c r="O928" s="561" t="s">
        <v>5228</v>
      </c>
      <c r="P928" s="581">
        <v>4700</v>
      </c>
      <c r="Q928" s="720">
        <v>0</v>
      </c>
      <c r="R928" s="719">
        <f t="shared" si="58"/>
        <v>0</v>
      </c>
      <c r="S928" s="570">
        <v>202310</v>
      </c>
      <c r="T928" s="693" t="s">
        <v>8368</v>
      </c>
      <c r="U928" s="561"/>
      <c r="V928" s="721">
        <v>0</v>
      </c>
      <c r="W928" s="721"/>
      <c r="X928" s="574">
        <v>44713</v>
      </c>
      <c r="Y928" s="574">
        <v>45077</v>
      </c>
      <c r="Z928" s="723"/>
      <c r="AA928" s="691">
        <v>0</v>
      </c>
      <c r="AB928" s="713">
        <v>0</v>
      </c>
      <c r="AC928" s="713">
        <f t="shared" si="57"/>
        <v>0</v>
      </c>
    </row>
    <row r="929" spans="1:29" s="577" customFormat="1" ht="15" customHeight="1">
      <c r="A929" s="736" t="s">
        <v>829</v>
      </c>
      <c r="B929" s="561" t="s">
        <v>7101</v>
      </c>
      <c r="C929" s="561" t="s">
        <v>188</v>
      </c>
      <c r="D929" s="561" t="s">
        <v>4593</v>
      </c>
      <c r="E929" s="561" t="s">
        <v>8369</v>
      </c>
      <c r="F929" s="561" t="s">
        <v>8370</v>
      </c>
      <c r="G929" s="563" t="s">
        <v>165</v>
      </c>
      <c r="H929" s="561" t="s">
        <v>8371</v>
      </c>
      <c r="I929" s="565" t="e">
        <f>VLOOKUP(H929,'合同高级查询数据-10月新返回合同'!A:A,1,0)</f>
        <v>#N/A</v>
      </c>
      <c r="J929" s="674" t="s">
        <v>3724</v>
      </c>
      <c r="K929" s="561" t="s">
        <v>2546</v>
      </c>
      <c r="L929" s="561" t="s">
        <v>8372</v>
      </c>
      <c r="M929" s="561" t="s">
        <v>8373</v>
      </c>
      <c r="N929" s="574" t="s">
        <v>8374</v>
      </c>
      <c r="O929" s="561" t="s">
        <v>8375</v>
      </c>
      <c r="P929" s="581">
        <v>7000</v>
      </c>
      <c r="Q929" s="720">
        <v>0</v>
      </c>
      <c r="R929" s="719">
        <f t="shared" si="58"/>
        <v>0</v>
      </c>
      <c r="S929" s="570">
        <v>202310</v>
      </c>
      <c r="T929" s="693" t="s">
        <v>8376</v>
      </c>
      <c r="U929" s="561"/>
      <c r="V929" s="721">
        <v>0</v>
      </c>
      <c r="W929" s="721"/>
      <c r="X929" s="574">
        <v>44774</v>
      </c>
      <c r="Y929" s="574">
        <v>45138</v>
      </c>
      <c r="Z929" s="723"/>
      <c r="AA929" s="691">
        <v>0</v>
      </c>
      <c r="AB929" s="713">
        <v>0</v>
      </c>
      <c r="AC929" s="713">
        <f t="shared" si="57"/>
        <v>0</v>
      </c>
    </row>
    <row r="930" spans="1:29" s="577" customFormat="1" ht="15" customHeight="1">
      <c r="A930" s="736" t="s">
        <v>829</v>
      </c>
      <c r="B930" s="561" t="s">
        <v>7101</v>
      </c>
      <c r="C930" s="561" t="s">
        <v>188</v>
      </c>
      <c r="D930" s="561" t="s">
        <v>4593</v>
      </c>
      <c r="E930" s="563" t="s">
        <v>8377</v>
      </c>
      <c r="F930" s="563" t="s">
        <v>8378</v>
      </c>
      <c r="G930" s="563" t="s">
        <v>165</v>
      </c>
      <c r="H930" s="564" t="s">
        <v>8379</v>
      </c>
      <c r="I930" s="565" t="e">
        <f>VLOOKUP(H930,'合同高级查询数据-10月新返回合同'!A:A,1,0)</f>
        <v>#N/A</v>
      </c>
      <c r="J930" s="674" t="s">
        <v>3724</v>
      </c>
      <c r="K930" s="563" t="s">
        <v>7373</v>
      </c>
      <c r="L930" s="675" t="s">
        <v>8380</v>
      </c>
      <c r="M930" s="596" t="s">
        <v>8381</v>
      </c>
      <c r="N930" s="574" t="s">
        <v>8382</v>
      </c>
      <c r="O930" s="561" t="s">
        <v>5228</v>
      </c>
      <c r="P930" s="719">
        <v>6000</v>
      </c>
      <c r="Q930" s="720">
        <v>0</v>
      </c>
      <c r="R930" s="719">
        <f t="shared" si="58"/>
        <v>0</v>
      </c>
      <c r="S930" s="570">
        <v>202310</v>
      </c>
      <c r="T930" s="693" t="s">
        <v>8383</v>
      </c>
      <c r="U930" s="728"/>
      <c r="V930" s="721">
        <v>0</v>
      </c>
      <c r="W930" s="721"/>
      <c r="X930" s="574">
        <v>44835</v>
      </c>
      <c r="Y930" s="574">
        <v>45199</v>
      </c>
      <c r="Z930" s="723"/>
      <c r="AA930" s="691">
        <v>0</v>
      </c>
      <c r="AB930" s="713">
        <v>0</v>
      </c>
      <c r="AC930" s="713">
        <f t="shared" si="57"/>
        <v>0</v>
      </c>
    </row>
    <row r="931" spans="1:29" s="577" customFormat="1" ht="15" customHeight="1">
      <c r="A931" s="736" t="s">
        <v>823</v>
      </c>
      <c r="B931" s="561" t="s">
        <v>7101</v>
      </c>
      <c r="C931" s="561" t="s">
        <v>188</v>
      </c>
      <c r="D931" s="561" t="s">
        <v>4593</v>
      </c>
      <c r="E931" s="563" t="s">
        <v>8377</v>
      </c>
      <c r="F931" s="563" t="s">
        <v>8378</v>
      </c>
      <c r="G931" s="563" t="s">
        <v>165</v>
      </c>
      <c r="H931" s="564" t="s">
        <v>8384</v>
      </c>
      <c r="I931" s="565" t="e">
        <f>VLOOKUP(H931,'合同高级查询数据-10月新返回合同'!A:A,1,0)</f>
        <v>#N/A</v>
      </c>
      <c r="J931" s="674" t="s">
        <v>3724</v>
      </c>
      <c r="K931" s="563" t="s">
        <v>7373</v>
      </c>
      <c r="L931" s="675" t="s">
        <v>8385</v>
      </c>
      <c r="M931" s="561" t="s">
        <v>8386</v>
      </c>
      <c r="N931" s="574" t="s">
        <v>8382</v>
      </c>
      <c r="O931" s="561" t="s">
        <v>5228</v>
      </c>
      <c r="P931" s="719">
        <v>4445.83</v>
      </c>
      <c r="Q931" s="720">
        <v>0</v>
      </c>
      <c r="R931" s="719">
        <f t="shared" si="58"/>
        <v>0</v>
      </c>
      <c r="S931" s="570">
        <v>202310</v>
      </c>
      <c r="T931" s="693" t="s">
        <v>8339</v>
      </c>
      <c r="U931" s="728"/>
      <c r="V931" s="721">
        <v>0</v>
      </c>
      <c r="W931" s="721"/>
      <c r="X931" s="574">
        <v>44835</v>
      </c>
      <c r="Y931" s="574">
        <v>45199</v>
      </c>
      <c r="Z931" s="723"/>
      <c r="AA931" s="691">
        <v>0</v>
      </c>
      <c r="AB931" s="713">
        <v>0</v>
      </c>
      <c r="AC931" s="713">
        <f t="shared" si="57"/>
        <v>0</v>
      </c>
    </row>
    <row r="932" spans="1:29" s="577" customFormat="1" ht="15" customHeight="1">
      <c r="A932" s="736" t="s">
        <v>813</v>
      </c>
      <c r="B932" s="561" t="s">
        <v>7101</v>
      </c>
      <c r="C932" s="561" t="s">
        <v>188</v>
      </c>
      <c r="D932" s="561" t="s">
        <v>4593</v>
      </c>
      <c r="E932" s="563" t="s">
        <v>8377</v>
      </c>
      <c r="F932" s="563" t="s">
        <v>8378</v>
      </c>
      <c r="G932" s="563" t="s">
        <v>165</v>
      </c>
      <c r="H932" s="564" t="s">
        <v>8387</v>
      </c>
      <c r="I932" s="565" t="e">
        <f>VLOOKUP(H932,'合同高级查询数据-10月新返回合同'!A:A,1,0)</f>
        <v>#N/A</v>
      </c>
      <c r="J932" s="674" t="s">
        <v>3724</v>
      </c>
      <c r="K932" s="563" t="s">
        <v>7373</v>
      </c>
      <c r="L932" s="675" t="s">
        <v>2012</v>
      </c>
      <c r="M932" s="561" t="s">
        <v>8388</v>
      </c>
      <c r="N932" s="574" t="s">
        <v>8382</v>
      </c>
      <c r="O932" s="561" t="s">
        <v>4982</v>
      </c>
      <c r="P932" s="719">
        <v>5254.17</v>
      </c>
      <c r="Q932" s="720">
        <v>0</v>
      </c>
      <c r="R932" s="719">
        <f t="shared" si="58"/>
        <v>0</v>
      </c>
      <c r="S932" s="570">
        <v>202310</v>
      </c>
      <c r="T932" s="693" t="s">
        <v>8389</v>
      </c>
      <c r="U932" s="728"/>
      <c r="V932" s="721">
        <v>0</v>
      </c>
      <c r="W932" s="721"/>
      <c r="X932" s="574">
        <v>44835</v>
      </c>
      <c r="Y932" s="574">
        <v>45199</v>
      </c>
      <c r="Z932" s="723"/>
      <c r="AA932" s="691">
        <v>0</v>
      </c>
      <c r="AB932" s="713">
        <v>0</v>
      </c>
      <c r="AC932" s="713">
        <f t="shared" si="57"/>
        <v>0</v>
      </c>
    </row>
    <row r="933" spans="1:29" s="385" customFormat="1" ht="15" customHeight="1">
      <c r="A933" s="548" t="s">
        <v>829</v>
      </c>
      <c r="B933" s="386" t="s">
        <v>7101</v>
      </c>
      <c r="C933" s="386" t="s">
        <v>188</v>
      </c>
      <c r="D933" s="386" t="s">
        <v>4593</v>
      </c>
      <c r="E933" s="388" t="s">
        <v>8377</v>
      </c>
      <c r="F933" s="388" t="s">
        <v>8378</v>
      </c>
      <c r="G933" s="388" t="s">
        <v>165</v>
      </c>
      <c r="H933" s="389" t="s">
        <v>8390</v>
      </c>
      <c r="I933" s="369" t="e">
        <f>VLOOKUP(H933,'合同高级查询数据-10月新返回合同'!A:A,1,0)</f>
        <v>#N/A</v>
      </c>
      <c r="J933" s="499" t="s">
        <v>3724</v>
      </c>
      <c r="K933" s="388" t="s">
        <v>7373</v>
      </c>
      <c r="L933" s="486" t="s">
        <v>8391</v>
      </c>
      <c r="M933" s="386" t="s">
        <v>8392</v>
      </c>
      <c r="N933" s="383">
        <v>45078</v>
      </c>
      <c r="O933" s="386" t="s">
        <v>3847</v>
      </c>
      <c r="P933" s="539">
        <v>6200</v>
      </c>
      <c r="Q933" s="540">
        <v>7.7</v>
      </c>
      <c r="R933" s="539">
        <f t="shared" si="58"/>
        <v>47740</v>
      </c>
      <c r="S933" s="378">
        <v>202310</v>
      </c>
      <c r="T933" s="514" t="s">
        <v>6808</v>
      </c>
      <c r="U933" s="547"/>
      <c r="V933" s="541">
        <v>7.6882753370000003</v>
      </c>
      <c r="W933" s="541"/>
      <c r="X933" s="383"/>
      <c r="Y933" s="383"/>
      <c r="Z933" s="386" t="s">
        <v>8393</v>
      </c>
      <c r="AA933" s="506">
        <v>0.3</v>
      </c>
      <c r="AB933" s="410">
        <v>20</v>
      </c>
      <c r="AC933" s="410">
        <f t="shared" si="57"/>
        <v>6</v>
      </c>
    </row>
    <row r="934" spans="1:29" s="385" customFormat="1" ht="15" customHeight="1">
      <c r="A934" s="548" t="s">
        <v>823</v>
      </c>
      <c r="B934" s="386" t="s">
        <v>7101</v>
      </c>
      <c r="C934" s="386" t="s">
        <v>188</v>
      </c>
      <c r="D934" s="386" t="s">
        <v>4593</v>
      </c>
      <c r="E934" s="388" t="s">
        <v>8377</v>
      </c>
      <c r="F934" s="388" t="s">
        <v>8378</v>
      </c>
      <c r="G934" s="388" t="s">
        <v>165</v>
      </c>
      <c r="H934" s="389" t="s">
        <v>8390</v>
      </c>
      <c r="I934" s="369" t="e">
        <f>VLOOKUP(H934,'合同高级查询数据-10月新返回合同'!A:A,1,0)</f>
        <v>#N/A</v>
      </c>
      <c r="J934" s="499" t="s">
        <v>3724</v>
      </c>
      <c r="K934" s="388" t="s">
        <v>7373</v>
      </c>
      <c r="L934" s="486" t="s">
        <v>8394</v>
      </c>
      <c r="M934" s="386" t="s">
        <v>8392</v>
      </c>
      <c r="N934" s="383">
        <v>45078</v>
      </c>
      <c r="O934" s="386" t="s">
        <v>3847</v>
      </c>
      <c r="P934" s="539">
        <v>5000</v>
      </c>
      <c r="Q934" s="540">
        <v>6</v>
      </c>
      <c r="R934" s="539">
        <f t="shared" si="58"/>
        <v>30000</v>
      </c>
      <c r="S934" s="378">
        <v>202310</v>
      </c>
      <c r="T934" s="514" t="s">
        <v>8395</v>
      </c>
      <c r="U934" s="547"/>
      <c r="V934" s="541">
        <v>5.4597148899999999</v>
      </c>
      <c r="W934" s="541"/>
      <c r="X934" s="383"/>
      <c r="Y934" s="383"/>
      <c r="Z934" s="386" t="s">
        <v>8396</v>
      </c>
      <c r="AA934" s="506">
        <v>0.3</v>
      </c>
      <c r="AB934" s="410">
        <v>20</v>
      </c>
      <c r="AC934" s="410">
        <f t="shared" si="57"/>
        <v>6</v>
      </c>
    </row>
    <row r="935" spans="1:29" s="385" customFormat="1" ht="15" customHeight="1">
      <c r="A935" s="548" t="s">
        <v>813</v>
      </c>
      <c r="B935" s="386" t="s">
        <v>7101</v>
      </c>
      <c r="C935" s="386" t="s">
        <v>188</v>
      </c>
      <c r="D935" s="386" t="s">
        <v>4593</v>
      </c>
      <c r="E935" s="388" t="s">
        <v>8377</v>
      </c>
      <c r="F935" s="388" t="s">
        <v>8378</v>
      </c>
      <c r="G935" s="388" t="s">
        <v>165</v>
      </c>
      <c r="H935" s="389" t="s">
        <v>8390</v>
      </c>
      <c r="I935" s="369" t="e">
        <f>VLOOKUP(H935,'合同高级查询数据-10月新返回合同'!A:A,1,0)</f>
        <v>#N/A</v>
      </c>
      <c r="J935" s="499" t="s">
        <v>3724</v>
      </c>
      <c r="K935" s="388" t="s">
        <v>7373</v>
      </c>
      <c r="L935" s="486" t="s">
        <v>8397</v>
      </c>
      <c r="M935" s="386" t="s">
        <v>8392</v>
      </c>
      <c r="N935" s="383">
        <v>45078</v>
      </c>
      <c r="O935" s="386" t="s">
        <v>2509</v>
      </c>
      <c r="P935" s="539">
        <v>6200</v>
      </c>
      <c r="Q935" s="540">
        <v>5</v>
      </c>
      <c r="R935" s="539">
        <f t="shared" si="58"/>
        <v>31000</v>
      </c>
      <c r="S935" s="378">
        <v>202310</v>
      </c>
      <c r="T935" s="514" t="s">
        <v>8398</v>
      </c>
      <c r="U935" s="547"/>
      <c r="V935" s="541">
        <v>4.9528789519999998</v>
      </c>
      <c r="W935" s="541"/>
      <c r="X935" s="383"/>
      <c r="Y935" s="383"/>
      <c r="Z935" s="386" t="s">
        <v>8399</v>
      </c>
      <c r="AA935" s="506">
        <v>0.3</v>
      </c>
      <c r="AB935" s="410">
        <v>10</v>
      </c>
      <c r="AC935" s="410">
        <f t="shared" si="57"/>
        <v>3</v>
      </c>
    </row>
    <row r="936" spans="1:29" s="385" customFormat="1" ht="15" customHeight="1">
      <c r="A936" s="388" t="s">
        <v>823</v>
      </c>
      <c r="B936" s="386" t="s">
        <v>7101</v>
      </c>
      <c r="C936" s="386" t="s">
        <v>188</v>
      </c>
      <c r="D936" s="386" t="s">
        <v>4593</v>
      </c>
      <c r="E936" s="388" t="s">
        <v>8400</v>
      </c>
      <c r="F936" s="388" t="s">
        <v>8401</v>
      </c>
      <c r="G936" s="388" t="s">
        <v>165</v>
      </c>
      <c r="H936" s="389" t="s">
        <v>8402</v>
      </c>
      <c r="I936" s="369" t="e">
        <f>VLOOKUP(H936,'合同高级查询数据-10月新返回合同'!A:A,1,0)</f>
        <v>#N/A</v>
      </c>
      <c r="J936" s="499" t="s">
        <v>3724</v>
      </c>
      <c r="K936" s="388" t="s">
        <v>4252</v>
      </c>
      <c r="L936" s="448" t="s">
        <v>8403</v>
      </c>
      <c r="M936" s="403" t="s">
        <v>2694</v>
      </c>
      <c r="N936" s="383">
        <v>44835</v>
      </c>
      <c r="O936" s="386" t="s">
        <v>2187</v>
      </c>
      <c r="P936" s="539">
        <v>4200</v>
      </c>
      <c r="Q936" s="540">
        <v>44</v>
      </c>
      <c r="R936" s="539">
        <f t="shared" si="58"/>
        <v>184800</v>
      </c>
      <c r="S936" s="378">
        <v>202310</v>
      </c>
      <c r="T936" s="514" t="s">
        <v>8404</v>
      </c>
      <c r="U936" s="547"/>
      <c r="V936" s="541">
        <v>43.973567963000001</v>
      </c>
      <c r="W936" s="541"/>
      <c r="X936" s="383"/>
      <c r="Y936" s="383"/>
      <c r="Z936" s="386" t="s">
        <v>8405</v>
      </c>
      <c r="AA936" s="506">
        <v>0.4</v>
      </c>
      <c r="AB936" s="410">
        <v>100</v>
      </c>
      <c r="AC936" s="448">
        <f t="shared" si="57"/>
        <v>40</v>
      </c>
    </row>
    <row r="937" spans="1:29" s="577" customFormat="1" ht="15" customHeight="1">
      <c r="A937" s="736" t="s">
        <v>823</v>
      </c>
      <c r="B937" s="561" t="s">
        <v>7101</v>
      </c>
      <c r="C937" s="561" t="s">
        <v>887</v>
      </c>
      <c r="D937" s="561" t="s">
        <v>7115</v>
      </c>
      <c r="E937" s="563" t="s">
        <v>8406</v>
      </c>
      <c r="F937" s="563" t="s">
        <v>8407</v>
      </c>
      <c r="G937" s="563" t="s">
        <v>165</v>
      </c>
      <c r="H937" s="564" t="s">
        <v>8408</v>
      </c>
      <c r="I937" s="565" t="e">
        <f>VLOOKUP(H937,'合同高级查询数据-10月新返回合同'!A:A,1,0)</f>
        <v>#N/A</v>
      </c>
      <c r="J937" s="674" t="s">
        <v>3724</v>
      </c>
      <c r="K937" s="563" t="s">
        <v>2069</v>
      </c>
      <c r="L937" s="713" t="s">
        <v>8409</v>
      </c>
      <c r="M937" s="596" t="s">
        <v>8410</v>
      </c>
      <c r="N937" s="574">
        <v>44927</v>
      </c>
      <c r="O937" s="561" t="s">
        <v>8411</v>
      </c>
      <c r="P937" s="719">
        <v>8100</v>
      </c>
      <c r="Q937" s="720">
        <v>0.03</v>
      </c>
      <c r="R937" s="719">
        <f t="shared" si="58"/>
        <v>243</v>
      </c>
      <c r="S937" s="570">
        <v>202310</v>
      </c>
      <c r="T937" s="693" t="s">
        <v>8412</v>
      </c>
      <c r="U937" s="728"/>
      <c r="V937" s="721">
        <v>2.2836995999999998E-2</v>
      </c>
      <c r="W937" s="721"/>
      <c r="X937" s="722">
        <v>44927</v>
      </c>
      <c r="Y937" s="722">
        <v>45291</v>
      </c>
      <c r="Z937" s="561" t="s">
        <v>8413</v>
      </c>
      <c r="AA937" s="683">
        <v>0.1</v>
      </c>
      <c r="AB937" s="582">
        <v>0.3</v>
      </c>
      <c r="AC937" s="713">
        <f t="shared" si="57"/>
        <v>0.03</v>
      </c>
    </row>
    <row r="938" spans="1:29" s="577" customFormat="1" ht="15" customHeight="1">
      <c r="A938" s="736" t="s">
        <v>829</v>
      </c>
      <c r="B938" s="561" t="s">
        <v>7101</v>
      </c>
      <c r="C938" s="561" t="s">
        <v>814</v>
      </c>
      <c r="D938" s="561" t="s">
        <v>4593</v>
      </c>
      <c r="E938" s="563" t="s">
        <v>8414</v>
      </c>
      <c r="F938" s="563" t="s">
        <v>8415</v>
      </c>
      <c r="G938" s="563" t="s">
        <v>165</v>
      </c>
      <c r="H938" s="564" t="s">
        <v>8416</v>
      </c>
      <c r="I938" s="565" t="e">
        <f>VLOOKUP(H938,'合同高级查询数据-10月新返回合同'!A:A,1,0)</f>
        <v>#N/A</v>
      </c>
      <c r="J938" s="674" t="s">
        <v>3724</v>
      </c>
      <c r="K938" s="563" t="s">
        <v>1491</v>
      </c>
      <c r="L938" s="675" t="s">
        <v>8417</v>
      </c>
      <c r="M938" s="596" t="s">
        <v>8418</v>
      </c>
      <c r="N938" s="574" t="s">
        <v>8419</v>
      </c>
      <c r="O938" s="561" t="s">
        <v>5888</v>
      </c>
      <c r="P938" s="569">
        <v>4166</v>
      </c>
      <c r="Q938" s="720">
        <v>0</v>
      </c>
      <c r="R938" s="719">
        <f t="shared" si="58"/>
        <v>0</v>
      </c>
      <c r="S938" s="570">
        <v>202310</v>
      </c>
      <c r="T938" s="693" t="s">
        <v>8420</v>
      </c>
      <c r="U938" s="728"/>
      <c r="V938" s="721">
        <v>0</v>
      </c>
      <c r="W938" s="721"/>
      <c r="X938" s="722">
        <v>44986</v>
      </c>
      <c r="Y938" s="722">
        <v>45351</v>
      </c>
      <c r="Z938" s="723"/>
      <c r="AA938" s="691">
        <v>0</v>
      </c>
      <c r="AB938" s="713">
        <v>0</v>
      </c>
      <c r="AC938" s="713">
        <f t="shared" si="57"/>
        <v>0</v>
      </c>
    </row>
    <row r="939" spans="1:29" s="577" customFormat="1" ht="15" customHeight="1">
      <c r="A939" s="736" t="s">
        <v>829</v>
      </c>
      <c r="B939" s="561" t="s">
        <v>7101</v>
      </c>
      <c r="C939" s="561" t="s">
        <v>814</v>
      </c>
      <c r="D939" s="561" t="s">
        <v>4593</v>
      </c>
      <c r="E939" s="563" t="s">
        <v>8414</v>
      </c>
      <c r="F939" s="563" t="s">
        <v>8415</v>
      </c>
      <c r="G939" s="563" t="s">
        <v>165</v>
      </c>
      <c r="H939" s="564" t="s">
        <v>8421</v>
      </c>
      <c r="I939" s="565" t="e">
        <f>VLOOKUP(H939,'合同高级查询数据-10月新返回合同'!A:A,1,0)</f>
        <v>#N/A</v>
      </c>
      <c r="J939" s="674" t="s">
        <v>3724</v>
      </c>
      <c r="K939" s="563" t="s">
        <v>1491</v>
      </c>
      <c r="L939" s="675" t="s">
        <v>8422</v>
      </c>
      <c r="M939" s="596" t="s">
        <v>8423</v>
      </c>
      <c r="N939" s="574" t="s">
        <v>8424</v>
      </c>
      <c r="O939" s="561" t="s">
        <v>4899</v>
      </c>
      <c r="P939" s="569">
        <v>4000</v>
      </c>
      <c r="Q939" s="720">
        <v>0</v>
      </c>
      <c r="R939" s="719">
        <f t="shared" si="58"/>
        <v>0</v>
      </c>
      <c r="S939" s="570">
        <v>202310</v>
      </c>
      <c r="T939" s="693" t="s">
        <v>8425</v>
      </c>
      <c r="U939" s="728"/>
      <c r="V939" s="721">
        <v>0</v>
      </c>
      <c r="W939" s="721"/>
      <c r="X939" s="574">
        <v>44805</v>
      </c>
      <c r="Y939" s="574">
        <v>45169</v>
      </c>
      <c r="Z939" s="723"/>
      <c r="AA939" s="691">
        <v>0</v>
      </c>
      <c r="AB939" s="713">
        <v>0</v>
      </c>
      <c r="AC939" s="713">
        <f t="shared" si="57"/>
        <v>0</v>
      </c>
    </row>
    <row r="940" spans="1:29" s="577" customFormat="1" ht="15" customHeight="1">
      <c r="A940" s="736" t="s">
        <v>829</v>
      </c>
      <c r="B940" s="561" t="s">
        <v>7101</v>
      </c>
      <c r="C940" s="561" t="s">
        <v>6280</v>
      </c>
      <c r="D940" s="561" t="s">
        <v>7115</v>
      </c>
      <c r="E940" s="563" t="s">
        <v>8426</v>
      </c>
      <c r="F940" s="563" t="s">
        <v>8427</v>
      </c>
      <c r="G940" s="563" t="s">
        <v>165</v>
      </c>
      <c r="H940" s="564" t="s">
        <v>8428</v>
      </c>
      <c r="I940" s="565" t="e">
        <f>VLOOKUP(H940,'合同高级查询数据-10月新返回合同'!A:A,1,0)</f>
        <v>#N/A</v>
      </c>
      <c r="J940" s="674" t="s">
        <v>3724</v>
      </c>
      <c r="K940" s="564" t="s">
        <v>8429</v>
      </c>
      <c r="L940" s="564" t="s">
        <v>8430</v>
      </c>
      <c r="M940" s="564" t="s">
        <v>8431</v>
      </c>
      <c r="N940" s="574">
        <v>45017</v>
      </c>
      <c r="O940" s="561" t="s">
        <v>4288</v>
      </c>
      <c r="P940" s="719">
        <v>4100</v>
      </c>
      <c r="Q940" s="720">
        <v>63.2</v>
      </c>
      <c r="R940" s="719">
        <f t="shared" si="58"/>
        <v>259120</v>
      </c>
      <c r="S940" s="570">
        <v>202310</v>
      </c>
      <c r="T940" s="693" t="s">
        <v>8432</v>
      </c>
      <c r="U940" s="728"/>
      <c r="V940" s="721">
        <v>63.132350922000001</v>
      </c>
      <c r="W940" s="721"/>
      <c r="X940" s="574">
        <v>45017</v>
      </c>
      <c r="Y940" s="574">
        <v>45382</v>
      </c>
      <c r="Z940" s="723" t="s">
        <v>8433</v>
      </c>
      <c r="AA940" s="691">
        <v>0.4</v>
      </c>
      <c r="AB940" s="713">
        <v>150</v>
      </c>
      <c r="AC940" s="713">
        <f t="shared" si="57"/>
        <v>60</v>
      </c>
    </row>
    <row r="941" spans="1:29" s="577" customFormat="1" ht="15" customHeight="1">
      <c r="A941" s="736" t="s">
        <v>829</v>
      </c>
      <c r="B941" s="561" t="s">
        <v>7101</v>
      </c>
      <c r="C941" s="561" t="s">
        <v>6280</v>
      </c>
      <c r="D941" s="561" t="s">
        <v>7115</v>
      </c>
      <c r="E941" s="563" t="s">
        <v>8426</v>
      </c>
      <c r="F941" s="563" t="s">
        <v>8427</v>
      </c>
      <c r="G941" s="563" t="s">
        <v>165</v>
      </c>
      <c r="H941" s="564" t="s">
        <v>8428</v>
      </c>
      <c r="I941" s="565" t="e">
        <f>VLOOKUP(H941,'合同高级查询数据-10月新返回合同'!A:A,1,0)</f>
        <v>#N/A</v>
      </c>
      <c r="J941" s="674" t="s">
        <v>3724</v>
      </c>
      <c r="K941" s="564" t="s">
        <v>8429</v>
      </c>
      <c r="L941" s="564" t="s">
        <v>8434</v>
      </c>
      <c r="M941" s="564" t="s">
        <v>8431</v>
      </c>
      <c r="N941" s="574">
        <v>45017</v>
      </c>
      <c r="O941" s="561" t="s">
        <v>4288</v>
      </c>
      <c r="P941" s="719">
        <v>4100</v>
      </c>
      <c r="Q941" s="720">
        <v>63.9</v>
      </c>
      <c r="R941" s="719">
        <f t="shared" si="58"/>
        <v>261990</v>
      </c>
      <c r="S941" s="570">
        <v>202310</v>
      </c>
      <c r="T941" s="693" t="s">
        <v>8432</v>
      </c>
      <c r="U941" s="728"/>
      <c r="V941" s="721">
        <v>63.818813323999997</v>
      </c>
      <c r="W941" s="721"/>
      <c r="X941" s="574">
        <v>45017</v>
      </c>
      <c r="Y941" s="574">
        <v>45382</v>
      </c>
      <c r="Z941" s="723" t="s">
        <v>8435</v>
      </c>
      <c r="AA941" s="691">
        <v>0.4</v>
      </c>
      <c r="AB941" s="713">
        <v>150</v>
      </c>
      <c r="AC941" s="713">
        <f t="shared" si="57"/>
        <v>60</v>
      </c>
    </row>
    <row r="942" spans="1:29" s="577" customFormat="1" ht="15" customHeight="1">
      <c r="A942" s="736" t="s">
        <v>829</v>
      </c>
      <c r="B942" s="561" t="s">
        <v>7101</v>
      </c>
      <c r="C942" s="561" t="s">
        <v>887</v>
      </c>
      <c r="D942" s="561" t="s">
        <v>7115</v>
      </c>
      <c r="E942" s="563" t="s">
        <v>8436</v>
      </c>
      <c r="F942" s="563" t="s">
        <v>8437</v>
      </c>
      <c r="G942" s="563" t="s">
        <v>165</v>
      </c>
      <c r="H942" s="564" t="s">
        <v>8438</v>
      </c>
      <c r="I942" s="565" t="str">
        <f>VLOOKUP(H942,'合同高级查询数据-10月新返回合同'!A:A,1,0)</f>
        <v>182315IDC00443</v>
      </c>
      <c r="J942" s="674" t="s">
        <v>3724</v>
      </c>
      <c r="K942" s="563" t="s">
        <v>2821</v>
      </c>
      <c r="L942" s="675" t="s">
        <v>8439</v>
      </c>
      <c r="M942" s="596" t="s">
        <v>2823</v>
      </c>
      <c r="N942" s="574">
        <v>45022</v>
      </c>
      <c r="O942" s="561" t="s">
        <v>1542</v>
      </c>
      <c r="P942" s="569">
        <v>5416</v>
      </c>
      <c r="Q942" s="720">
        <v>87.8</v>
      </c>
      <c r="R942" s="719">
        <f t="shared" si="58"/>
        <v>475524.8</v>
      </c>
      <c r="S942" s="570">
        <v>202310</v>
      </c>
      <c r="T942" s="693" t="s">
        <v>8440</v>
      </c>
      <c r="U942" s="728"/>
      <c r="V942" s="721">
        <v>87.712692261000001</v>
      </c>
      <c r="W942" s="721"/>
      <c r="X942" s="574">
        <v>45017</v>
      </c>
      <c r="Y942" s="574">
        <v>45382</v>
      </c>
      <c r="Z942" s="723" t="s">
        <v>8441</v>
      </c>
      <c r="AA942" s="691">
        <v>0.4</v>
      </c>
      <c r="AB942" s="713">
        <v>200</v>
      </c>
      <c r="AC942" s="713">
        <f t="shared" si="57"/>
        <v>80</v>
      </c>
    </row>
    <row r="943" spans="1:29" s="577" customFormat="1" ht="15" customHeight="1">
      <c r="A943" s="736" t="s">
        <v>813</v>
      </c>
      <c r="B943" s="561" t="s">
        <v>7101</v>
      </c>
      <c r="C943" s="561" t="s">
        <v>887</v>
      </c>
      <c r="D943" s="561" t="s">
        <v>7115</v>
      </c>
      <c r="E943" s="563" t="s">
        <v>8436</v>
      </c>
      <c r="F943" s="563" t="s">
        <v>8437</v>
      </c>
      <c r="G943" s="563" t="s">
        <v>165</v>
      </c>
      <c r="H943" s="564" t="s">
        <v>8438</v>
      </c>
      <c r="I943" s="565" t="str">
        <f>VLOOKUP(H943,'合同高级查询数据-10月新返回合同'!A:A,1,0)</f>
        <v>182315IDC00443</v>
      </c>
      <c r="J943" s="674" t="s">
        <v>3724</v>
      </c>
      <c r="K943" s="563" t="s">
        <v>2821</v>
      </c>
      <c r="L943" s="675" t="s">
        <v>8442</v>
      </c>
      <c r="M943" s="596" t="s">
        <v>2823</v>
      </c>
      <c r="N943" s="574">
        <v>45022</v>
      </c>
      <c r="O943" s="561" t="s">
        <v>4772</v>
      </c>
      <c r="P943" s="569">
        <v>5416</v>
      </c>
      <c r="Q943" s="720">
        <v>52.7</v>
      </c>
      <c r="R943" s="719">
        <f t="shared" si="58"/>
        <v>285423.2</v>
      </c>
      <c r="S943" s="570">
        <v>202310</v>
      </c>
      <c r="T943" s="693" t="s">
        <v>8443</v>
      </c>
      <c r="U943" s="728"/>
      <c r="V943" s="721">
        <v>52.670295715000002</v>
      </c>
      <c r="W943" s="721"/>
      <c r="X943" s="574">
        <v>45017</v>
      </c>
      <c r="Y943" s="574">
        <v>45382</v>
      </c>
      <c r="Z943" s="723" t="s">
        <v>8444</v>
      </c>
      <c r="AA943" s="691">
        <v>0.4</v>
      </c>
      <c r="AB943" s="713">
        <v>120</v>
      </c>
      <c r="AC943" s="713">
        <f t="shared" si="57"/>
        <v>48</v>
      </c>
    </row>
    <row r="944" spans="1:29" s="577" customFormat="1" ht="15" customHeight="1">
      <c r="A944" s="736" t="s">
        <v>813</v>
      </c>
      <c r="B944" s="561" t="s">
        <v>7101</v>
      </c>
      <c r="C944" s="561" t="s">
        <v>887</v>
      </c>
      <c r="D944" s="561" t="s">
        <v>7115</v>
      </c>
      <c r="E944" s="563" t="s">
        <v>8445</v>
      </c>
      <c r="F944" s="563" t="s">
        <v>8446</v>
      </c>
      <c r="G944" s="563" t="s">
        <v>165</v>
      </c>
      <c r="H944" s="564" t="s">
        <v>8447</v>
      </c>
      <c r="I944" s="565" t="e">
        <f>VLOOKUP(H944,'合同高级查询数据-10月新返回合同'!A:A,1,0)</f>
        <v>#N/A</v>
      </c>
      <c r="J944" s="674" t="s">
        <v>3724</v>
      </c>
      <c r="K944" s="563" t="s">
        <v>2069</v>
      </c>
      <c r="L944" s="713" t="s">
        <v>8448</v>
      </c>
      <c r="M944" s="596" t="s">
        <v>8449</v>
      </c>
      <c r="N944" s="574" t="s">
        <v>8450</v>
      </c>
      <c r="O944" s="561" t="s">
        <v>4351</v>
      </c>
      <c r="P944" s="719">
        <v>5530</v>
      </c>
      <c r="Q944" s="720">
        <v>67.2</v>
      </c>
      <c r="R944" s="719">
        <f t="shared" si="58"/>
        <v>371616</v>
      </c>
      <c r="S944" s="570">
        <v>202310</v>
      </c>
      <c r="T944" s="693" t="s">
        <v>8451</v>
      </c>
      <c r="U944" s="728"/>
      <c r="V944" s="721">
        <v>67.133414801000001</v>
      </c>
      <c r="W944" s="721"/>
      <c r="X944" s="574">
        <v>45017</v>
      </c>
      <c r="Y944" s="574">
        <v>45382</v>
      </c>
      <c r="Z944" s="561" t="s">
        <v>8452</v>
      </c>
      <c r="AA944" s="683">
        <v>0.3</v>
      </c>
      <c r="AB944" s="582">
        <v>200</v>
      </c>
      <c r="AC944" s="713">
        <f t="shared" si="57"/>
        <v>60</v>
      </c>
    </row>
    <row r="945" spans="1:29" s="577" customFormat="1" ht="15" customHeight="1">
      <c r="A945" s="736" t="s">
        <v>823</v>
      </c>
      <c r="B945" s="561" t="s">
        <v>7101</v>
      </c>
      <c r="C945" s="561" t="s">
        <v>887</v>
      </c>
      <c r="D945" s="561" t="s">
        <v>7115</v>
      </c>
      <c r="E945" s="563" t="s">
        <v>8445</v>
      </c>
      <c r="F945" s="563" t="s">
        <v>8446</v>
      </c>
      <c r="G945" s="563" t="s">
        <v>165</v>
      </c>
      <c r="H945" s="564" t="s">
        <v>8453</v>
      </c>
      <c r="I945" s="565" t="e">
        <f>VLOOKUP(H945,'合同高级查询数据-10月新返回合同'!A:A,1,0)</f>
        <v>#N/A</v>
      </c>
      <c r="J945" s="674" t="s">
        <v>3724</v>
      </c>
      <c r="K945" s="563" t="s">
        <v>2069</v>
      </c>
      <c r="L945" s="713" t="s">
        <v>8454</v>
      </c>
      <c r="M945" s="596" t="s">
        <v>8455</v>
      </c>
      <c r="N945" s="574" t="s">
        <v>8450</v>
      </c>
      <c r="O945" s="561" t="s">
        <v>4351</v>
      </c>
      <c r="P945" s="719">
        <v>4810</v>
      </c>
      <c r="Q945" s="720">
        <v>63.6</v>
      </c>
      <c r="R945" s="719">
        <f t="shared" si="58"/>
        <v>305916</v>
      </c>
      <c r="S945" s="570">
        <v>202310</v>
      </c>
      <c r="T945" s="693" t="s">
        <v>8451</v>
      </c>
      <c r="U945" s="728"/>
      <c r="V945" s="721">
        <v>63.523318261999997</v>
      </c>
      <c r="W945" s="721"/>
      <c r="X945" s="722">
        <v>45017</v>
      </c>
      <c r="Y945" s="722">
        <v>45382</v>
      </c>
      <c r="Z945" s="723" t="s">
        <v>8456</v>
      </c>
      <c r="AA945" s="683">
        <v>0.3</v>
      </c>
      <c r="AB945" s="582">
        <v>200</v>
      </c>
      <c r="AC945" s="713">
        <f t="shared" si="57"/>
        <v>60</v>
      </c>
    </row>
    <row r="946" spans="1:29" s="577" customFormat="1" ht="15" customHeight="1">
      <c r="A946" s="563" t="s">
        <v>823</v>
      </c>
      <c r="B946" s="561" t="s">
        <v>7101</v>
      </c>
      <c r="C946" s="561" t="s">
        <v>4721</v>
      </c>
      <c r="D946" s="561" t="s">
        <v>7155</v>
      </c>
      <c r="E946" s="563" t="s">
        <v>8457</v>
      </c>
      <c r="F946" s="563" t="s">
        <v>8458</v>
      </c>
      <c r="G946" s="562" t="s">
        <v>165</v>
      </c>
      <c r="H946" s="564" t="s">
        <v>8459</v>
      </c>
      <c r="I946" s="565" t="e">
        <f>VLOOKUP(H946,'合同高级查询数据-10月新返回合同'!A:A,1,0)</f>
        <v>#N/A</v>
      </c>
      <c r="J946" s="674" t="s">
        <v>4875</v>
      </c>
      <c r="K946" s="562" t="s">
        <v>801</v>
      </c>
      <c r="L946" s="739" t="s">
        <v>8460</v>
      </c>
      <c r="M946" s="596" t="s">
        <v>8461</v>
      </c>
      <c r="N946" s="574" t="s">
        <v>8462</v>
      </c>
      <c r="O946" s="649" t="s">
        <v>8463</v>
      </c>
      <c r="P946" s="719">
        <v>6700</v>
      </c>
      <c r="Q946" s="720">
        <v>24</v>
      </c>
      <c r="R946" s="719">
        <f t="shared" si="58"/>
        <v>160800</v>
      </c>
      <c r="S946" s="570">
        <v>202310</v>
      </c>
      <c r="T946" s="741" t="s">
        <v>8464</v>
      </c>
      <c r="U946" s="728"/>
      <c r="V946" s="721">
        <v>22.071178576000001</v>
      </c>
      <c r="W946" s="721"/>
      <c r="X946" s="574">
        <v>45047</v>
      </c>
      <c r="Y946" s="574">
        <v>45412</v>
      </c>
      <c r="Z946" s="561" t="s">
        <v>8465</v>
      </c>
      <c r="AA946" s="683">
        <v>0.4</v>
      </c>
      <c r="AB946" s="582">
        <v>60</v>
      </c>
      <c r="AC946" s="582">
        <f t="shared" si="57"/>
        <v>24</v>
      </c>
    </row>
    <row r="947" spans="1:29" s="577" customFormat="1" ht="15" customHeight="1">
      <c r="A947" s="736" t="s">
        <v>823</v>
      </c>
      <c r="B947" s="561" t="s">
        <v>7101</v>
      </c>
      <c r="C947" s="561" t="s">
        <v>6654</v>
      </c>
      <c r="D947" s="561" t="s">
        <v>4593</v>
      </c>
      <c r="E947" s="563" t="s">
        <v>8466</v>
      </c>
      <c r="F947" s="563" t="s">
        <v>8467</v>
      </c>
      <c r="G947" s="563" t="s">
        <v>165</v>
      </c>
      <c r="H947" s="564" t="s">
        <v>8468</v>
      </c>
      <c r="I947" s="565" t="e">
        <f>VLOOKUP(H947,'合同高级查询数据-10月新返回合同'!A:A,1,0)</f>
        <v>#N/A</v>
      </c>
      <c r="J947" s="674" t="s">
        <v>3724</v>
      </c>
      <c r="K947" s="564" t="s">
        <v>6541</v>
      </c>
      <c r="L947" s="564" t="s">
        <v>8469</v>
      </c>
      <c r="M947" s="564" t="s">
        <v>8470</v>
      </c>
      <c r="N947" s="574" t="s">
        <v>8471</v>
      </c>
      <c r="O947" s="561" t="s">
        <v>6675</v>
      </c>
      <c r="P947" s="719">
        <v>4500</v>
      </c>
      <c r="Q947" s="720">
        <v>0</v>
      </c>
      <c r="R947" s="719">
        <f t="shared" si="58"/>
        <v>0</v>
      </c>
      <c r="S947" s="570">
        <v>202310</v>
      </c>
      <c r="T947" s="693" t="s">
        <v>8472</v>
      </c>
      <c r="U947" s="728"/>
      <c r="V947" s="721">
        <v>0</v>
      </c>
      <c r="W947" s="721"/>
      <c r="X947" s="574">
        <v>45017</v>
      </c>
      <c r="Y947" s="574">
        <v>45382</v>
      </c>
      <c r="Z947" s="723"/>
      <c r="AA947" s="691">
        <v>0</v>
      </c>
      <c r="AB947" s="713">
        <v>0</v>
      </c>
      <c r="AC947" s="713">
        <f t="shared" si="57"/>
        <v>0</v>
      </c>
    </row>
    <row r="948" spans="1:29" s="577" customFormat="1" ht="15" customHeight="1">
      <c r="A948" s="736" t="s">
        <v>823</v>
      </c>
      <c r="B948" s="562" t="s">
        <v>7101</v>
      </c>
      <c r="C948" s="561" t="s">
        <v>4881</v>
      </c>
      <c r="D948" s="738" t="s">
        <v>7155</v>
      </c>
      <c r="E948" s="563" t="s">
        <v>8466</v>
      </c>
      <c r="F948" s="563" t="s">
        <v>8467</v>
      </c>
      <c r="G948" s="563" t="s">
        <v>165</v>
      </c>
      <c r="H948" s="561" t="s">
        <v>8473</v>
      </c>
      <c r="I948" s="565" t="str">
        <f>VLOOKUP(H948,'合同高级查询数据-10月新返回合同'!A:A,1,0)</f>
        <v>182315IDC00499</v>
      </c>
      <c r="J948" s="674" t="s">
        <v>3724</v>
      </c>
      <c r="K948" s="561" t="s">
        <v>4916</v>
      </c>
      <c r="L948" s="561" t="s">
        <v>8474</v>
      </c>
      <c r="M948" s="561" t="s">
        <v>8475</v>
      </c>
      <c r="N948" s="574">
        <v>45078</v>
      </c>
      <c r="O948" s="561" t="s">
        <v>2187</v>
      </c>
      <c r="P948" s="579">
        <v>4800</v>
      </c>
      <c r="Q948" s="720">
        <v>53</v>
      </c>
      <c r="R948" s="719">
        <f t="shared" si="58"/>
        <v>254400</v>
      </c>
      <c r="S948" s="570">
        <v>202310</v>
      </c>
      <c r="T948" s="693" t="s">
        <v>8476</v>
      </c>
      <c r="U948" s="728"/>
      <c r="V948" s="721">
        <v>52.987209319999998</v>
      </c>
      <c r="W948" s="721"/>
      <c r="X948" s="574">
        <v>45078</v>
      </c>
      <c r="Y948" s="574">
        <v>45443</v>
      </c>
      <c r="Z948" s="561" t="s">
        <v>8477</v>
      </c>
      <c r="AA948" s="683">
        <v>0.4</v>
      </c>
      <c r="AB948" s="582">
        <v>100</v>
      </c>
      <c r="AC948" s="743">
        <f t="shared" si="57"/>
        <v>40</v>
      </c>
    </row>
    <row r="949" spans="1:29" s="577" customFormat="1" ht="15" customHeight="1">
      <c r="A949" s="561" t="s">
        <v>829</v>
      </c>
      <c r="B949" s="562" t="s">
        <v>7101</v>
      </c>
      <c r="C949" s="563" t="s">
        <v>4937</v>
      </c>
      <c r="D949" s="738" t="s">
        <v>8478</v>
      </c>
      <c r="E949" s="561" t="s">
        <v>3730</v>
      </c>
      <c r="F949" s="561" t="s">
        <v>3731</v>
      </c>
      <c r="G949" s="561" t="s">
        <v>165</v>
      </c>
      <c r="H949" s="564" t="s">
        <v>8479</v>
      </c>
      <c r="I949" s="565" t="e">
        <f>VLOOKUP(H949,'合同高级查询数据-10月新返回合同'!A:A,1,0)</f>
        <v>#N/A</v>
      </c>
      <c r="J949" s="566" t="s">
        <v>3724</v>
      </c>
      <c r="K949" s="561" t="s">
        <v>4967</v>
      </c>
      <c r="L949" s="564" t="s">
        <v>8480</v>
      </c>
      <c r="M949" s="561" t="s">
        <v>8481</v>
      </c>
      <c r="N949" s="567">
        <v>44682</v>
      </c>
      <c r="O949" s="561" t="s">
        <v>2187</v>
      </c>
      <c r="P949" s="638">
        <v>5700</v>
      </c>
      <c r="Q949" s="720">
        <v>30.6</v>
      </c>
      <c r="R949" s="719">
        <f t="shared" si="58"/>
        <v>174420</v>
      </c>
      <c r="S949" s="570">
        <v>202310</v>
      </c>
      <c r="T949" s="744" t="s">
        <v>8482</v>
      </c>
      <c r="U949" s="571"/>
      <c r="V949" s="721">
        <v>30.588178634999998</v>
      </c>
      <c r="W949" s="721"/>
      <c r="X949" s="574">
        <v>45047</v>
      </c>
      <c r="Y949" s="574">
        <v>45412</v>
      </c>
      <c r="Z949" s="561" t="s">
        <v>8483</v>
      </c>
      <c r="AA949" s="683">
        <v>0.3</v>
      </c>
      <c r="AB949" s="582">
        <v>100</v>
      </c>
      <c r="AC949" s="713">
        <f t="shared" si="57"/>
        <v>30</v>
      </c>
    </row>
    <row r="950" spans="1:29" s="577" customFormat="1" ht="15" customHeight="1">
      <c r="A950" s="561" t="s">
        <v>829</v>
      </c>
      <c r="B950" s="562" t="s">
        <v>7101</v>
      </c>
      <c r="C950" s="563" t="s">
        <v>814</v>
      </c>
      <c r="D950" s="738" t="s">
        <v>8478</v>
      </c>
      <c r="E950" s="561" t="s">
        <v>3730</v>
      </c>
      <c r="F950" s="561" t="s">
        <v>3731</v>
      </c>
      <c r="G950" s="561" t="s">
        <v>165</v>
      </c>
      <c r="H950" s="564" t="s">
        <v>8479</v>
      </c>
      <c r="I950" s="565" t="e">
        <f>VLOOKUP(H950,'合同高级查询数据-10月新返回合同'!A:A,1,0)</f>
        <v>#N/A</v>
      </c>
      <c r="J950" s="566" t="s">
        <v>3724</v>
      </c>
      <c r="K950" s="561" t="s">
        <v>2947</v>
      </c>
      <c r="L950" s="564" t="s">
        <v>8484</v>
      </c>
      <c r="M950" s="561" t="s">
        <v>8485</v>
      </c>
      <c r="N950" s="567" t="s">
        <v>8486</v>
      </c>
      <c r="O950" s="561" t="s">
        <v>5228</v>
      </c>
      <c r="P950" s="638">
        <v>5000</v>
      </c>
      <c r="Q950" s="720">
        <v>0</v>
      </c>
      <c r="R950" s="719">
        <f t="shared" si="58"/>
        <v>0</v>
      </c>
      <c r="S950" s="570">
        <v>202310</v>
      </c>
      <c r="T950" s="744" t="s">
        <v>8487</v>
      </c>
      <c r="U950" s="571"/>
      <c r="V950" s="721">
        <v>0</v>
      </c>
      <c r="W950" s="721"/>
      <c r="X950" s="574">
        <v>45047</v>
      </c>
      <c r="Y950" s="574">
        <v>45412</v>
      </c>
      <c r="Z950" s="723"/>
      <c r="AA950" s="691">
        <v>0</v>
      </c>
      <c r="AB950" s="713">
        <v>0</v>
      </c>
      <c r="AC950" s="713">
        <f t="shared" ref="AC950:AC1008" si="59">AA950*AB950</f>
        <v>0</v>
      </c>
    </row>
    <row r="951" spans="1:29" s="577" customFormat="1" ht="15" customHeight="1">
      <c r="A951" s="561" t="s">
        <v>829</v>
      </c>
      <c r="B951" s="562" t="s">
        <v>7101</v>
      </c>
      <c r="C951" s="563" t="s">
        <v>4881</v>
      </c>
      <c r="D951" s="738" t="s">
        <v>8478</v>
      </c>
      <c r="E951" s="561" t="s">
        <v>3730</v>
      </c>
      <c r="F951" s="561" t="s">
        <v>3731</v>
      </c>
      <c r="G951" s="561" t="s">
        <v>165</v>
      </c>
      <c r="H951" s="564" t="s">
        <v>8479</v>
      </c>
      <c r="I951" s="565" t="e">
        <f>VLOOKUP(H951,'合同高级查询数据-10月新返回合同'!A:A,1,0)</f>
        <v>#N/A</v>
      </c>
      <c r="J951" s="566" t="s">
        <v>3724</v>
      </c>
      <c r="K951" s="561" t="s">
        <v>4916</v>
      </c>
      <c r="L951" s="564" t="s">
        <v>8488</v>
      </c>
      <c r="M951" s="561" t="s">
        <v>8489</v>
      </c>
      <c r="N951" s="567">
        <v>44682</v>
      </c>
      <c r="O951" s="561" t="s">
        <v>2187</v>
      </c>
      <c r="P951" s="638">
        <v>5500</v>
      </c>
      <c r="Q951" s="720">
        <v>34.4</v>
      </c>
      <c r="R951" s="719">
        <f t="shared" si="58"/>
        <v>189200</v>
      </c>
      <c r="S951" s="570">
        <v>202310</v>
      </c>
      <c r="T951" s="744" t="s">
        <v>8482</v>
      </c>
      <c r="U951" s="571"/>
      <c r="V951" s="721">
        <v>34.348625183000003</v>
      </c>
      <c r="W951" s="721"/>
      <c r="X951" s="574">
        <v>45047</v>
      </c>
      <c r="Y951" s="574">
        <v>45412</v>
      </c>
      <c r="Z951" s="561" t="s">
        <v>8490</v>
      </c>
      <c r="AA951" s="683">
        <v>0.3</v>
      </c>
      <c r="AB951" s="582">
        <v>100</v>
      </c>
      <c r="AC951" s="713">
        <f t="shared" si="59"/>
        <v>30</v>
      </c>
    </row>
    <row r="952" spans="1:29" s="577" customFormat="1" ht="15" customHeight="1">
      <c r="A952" s="561" t="s">
        <v>829</v>
      </c>
      <c r="B952" s="562" t="s">
        <v>7101</v>
      </c>
      <c r="C952" s="563" t="s">
        <v>4721</v>
      </c>
      <c r="D952" s="738" t="s">
        <v>8478</v>
      </c>
      <c r="E952" s="561" t="s">
        <v>3730</v>
      </c>
      <c r="F952" s="561" t="s">
        <v>3731</v>
      </c>
      <c r="G952" s="561" t="s">
        <v>165</v>
      </c>
      <c r="H952" s="564" t="s">
        <v>8479</v>
      </c>
      <c r="I952" s="565" t="e">
        <f>VLOOKUP(H952,'合同高级查询数据-10月新返回合同'!A:A,1,0)</f>
        <v>#N/A</v>
      </c>
      <c r="J952" s="566" t="s">
        <v>3724</v>
      </c>
      <c r="K952" s="561" t="s">
        <v>801</v>
      </c>
      <c r="L952" s="564" t="s">
        <v>8491</v>
      </c>
      <c r="M952" s="561" t="s">
        <v>8492</v>
      </c>
      <c r="N952" s="567" t="s">
        <v>8486</v>
      </c>
      <c r="O952" s="561" t="s">
        <v>5228</v>
      </c>
      <c r="P952" s="638">
        <v>5000</v>
      </c>
      <c r="Q952" s="720">
        <v>0</v>
      </c>
      <c r="R952" s="719">
        <f t="shared" si="58"/>
        <v>0</v>
      </c>
      <c r="S952" s="570">
        <v>202310</v>
      </c>
      <c r="T952" s="744" t="s">
        <v>8487</v>
      </c>
      <c r="U952" s="571"/>
      <c r="V952" s="721">
        <v>0</v>
      </c>
      <c r="W952" s="721"/>
      <c r="X952" s="574">
        <v>45047</v>
      </c>
      <c r="Y952" s="574">
        <v>45412</v>
      </c>
      <c r="Z952" s="723"/>
      <c r="AA952" s="691">
        <v>0</v>
      </c>
      <c r="AB952" s="713">
        <v>0</v>
      </c>
      <c r="AC952" s="713">
        <f t="shared" si="59"/>
        <v>0</v>
      </c>
    </row>
    <row r="953" spans="1:29" s="577" customFormat="1" ht="15" customHeight="1">
      <c r="A953" s="561" t="s">
        <v>829</v>
      </c>
      <c r="B953" s="562" t="s">
        <v>7101</v>
      </c>
      <c r="C953" s="563" t="s">
        <v>4937</v>
      </c>
      <c r="D953" s="738" t="s">
        <v>8478</v>
      </c>
      <c r="E953" s="561" t="s">
        <v>3730</v>
      </c>
      <c r="F953" s="561" t="s">
        <v>3731</v>
      </c>
      <c r="G953" s="561" t="s">
        <v>165</v>
      </c>
      <c r="H953" s="564" t="s">
        <v>8479</v>
      </c>
      <c r="I953" s="565" t="e">
        <f>VLOOKUP(H953,'合同高级查询数据-10月新返回合同'!A:A,1,0)</f>
        <v>#N/A</v>
      </c>
      <c r="J953" s="566" t="s">
        <v>3724</v>
      </c>
      <c r="K953" s="561" t="s">
        <v>4967</v>
      </c>
      <c r="L953" s="564" t="s">
        <v>8493</v>
      </c>
      <c r="M953" s="561" t="s">
        <v>8481</v>
      </c>
      <c r="N953" s="567" t="s">
        <v>8494</v>
      </c>
      <c r="O953" s="561" t="s">
        <v>8495</v>
      </c>
      <c r="P953" s="638">
        <v>5700</v>
      </c>
      <c r="Q953" s="720">
        <v>61.8</v>
      </c>
      <c r="R953" s="719">
        <f t="shared" si="58"/>
        <v>352260</v>
      </c>
      <c r="S953" s="570">
        <v>202310</v>
      </c>
      <c r="T953" s="744" t="s">
        <v>8496</v>
      </c>
      <c r="U953" s="571"/>
      <c r="V953" s="721">
        <v>61.750938415999997</v>
      </c>
      <c r="W953" s="721"/>
      <c r="X953" s="574">
        <v>45047</v>
      </c>
      <c r="Y953" s="574">
        <v>45412</v>
      </c>
      <c r="Z953" s="561" t="s">
        <v>8497</v>
      </c>
      <c r="AA953" s="683">
        <v>0.3</v>
      </c>
      <c r="AB953" s="582">
        <v>200</v>
      </c>
      <c r="AC953" s="713">
        <f t="shared" si="59"/>
        <v>60</v>
      </c>
    </row>
    <row r="954" spans="1:29" s="577" customFormat="1" ht="15" customHeight="1">
      <c r="A954" s="561" t="s">
        <v>829</v>
      </c>
      <c r="B954" s="562" t="s">
        <v>7101</v>
      </c>
      <c r="C954" s="563" t="s">
        <v>814</v>
      </c>
      <c r="D954" s="738" t="s">
        <v>8478</v>
      </c>
      <c r="E954" s="561" t="s">
        <v>3730</v>
      </c>
      <c r="F954" s="561" t="s">
        <v>3731</v>
      </c>
      <c r="G954" s="561" t="s">
        <v>165</v>
      </c>
      <c r="H954" s="564" t="s">
        <v>8479</v>
      </c>
      <c r="I954" s="565" t="e">
        <f>VLOOKUP(H954,'合同高级查询数据-10月新返回合同'!A:A,1,0)</f>
        <v>#N/A</v>
      </c>
      <c r="J954" s="566" t="s">
        <v>3724</v>
      </c>
      <c r="K954" s="561" t="s">
        <v>2947</v>
      </c>
      <c r="L954" s="564" t="s">
        <v>8498</v>
      </c>
      <c r="M954" s="561" t="s">
        <v>8499</v>
      </c>
      <c r="N954" s="567" t="s">
        <v>8500</v>
      </c>
      <c r="O954" s="561" t="s">
        <v>6675</v>
      </c>
      <c r="P954" s="638">
        <v>5000</v>
      </c>
      <c r="Q954" s="720">
        <v>0</v>
      </c>
      <c r="R954" s="719">
        <f t="shared" si="58"/>
        <v>0</v>
      </c>
      <c r="S954" s="570">
        <v>202310</v>
      </c>
      <c r="T954" s="744" t="s">
        <v>8501</v>
      </c>
      <c r="U954" s="571"/>
      <c r="V954" s="721">
        <v>0</v>
      </c>
      <c r="W954" s="721"/>
      <c r="X954" s="574">
        <v>45047</v>
      </c>
      <c r="Y954" s="574">
        <v>45412</v>
      </c>
      <c r="Z954" s="723"/>
      <c r="AA954" s="691">
        <v>0</v>
      </c>
      <c r="AB954" s="713">
        <v>0</v>
      </c>
      <c r="AC954" s="713">
        <f t="shared" si="59"/>
        <v>0</v>
      </c>
    </row>
    <row r="955" spans="1:29" s="577" customFormat="1" ht="15" customHeight="1">
      <c r="A955" s="561" t="s">
        <v>823</v>
      </c>
      <c r="B955" s="562" t="s">
        <v>7101</v>
      </c>
      <c r="C955" s="563" t="s">
        <v>4721</v>
      </c>
      <c r="D955" s="738" t="s">
        <v>8478</v>
      </c>
      <c r="E955" s="561" t="s">
        <v>3784</v>
      </c>
      <c r="F955" s="561" t="s">
        <v>3785</v>
      </c>
      <c r="G955" s="561" t="s">
        <v>165</v>
      </c>
      <c r="H955" s="564" t="s">
        <v>8502</v>
      </c>
      <c r="I955" s="565" t="e">
        <f>VLOOKUP(H955,'合同高级查询数据-10月新返回合同'!A:A,1,0)</f>
        <v>#N/A</v>
      </c>
      <c r="J955" s="566" t="s">
        <v>3724</v>
      </c>
      <c r="K955" s="561" t="s">
        <v>801</v>
      </c>
      <c r="L955" s="564" t="s">
        <v>8503</v>
      </c>
      <c r="M955" s="561" t="s">
        <v>8504</v>
      </c>
      <c r="N955" s="567">
        <v>44927</v>
      </c>
      <c r="O955" s="561" t="s">
        <v>2187</v>
      </c>
      <c r="P955" s="638">
        <v>5000</v>
      </c>
      <c r="Q955" s="720">
        <v>36.64</v>
      </c>
      <c r="R955" s="639">
        <f t="shared" si="58"/>
        <v>183200</v>
      </c>
      <c r="S955" s="570">
        <v>202310</v>
      </c>
      <c r="T955" s="571" t="s">
        <v>8505</v>
      </c>
      <c r="U955" s="571"/>
      <c r="V955" s="721">
        <v>36.636653899999999</v>
      </c>
      <c r="W955" s="721"/>
      <c r="X955" s="574">
        <v>44927</v>
      </c>
      <c r="Y955" s="574">
        <v>46022</v>
      </c>
      <c r="Z955" s="561" t="s">
        <v>8506</v>
      </c>
      <c r="AA955" s="683">
        <v>0</v>
      </c>
      <c r="AB955" s="582">
        <v>100</v>
      </c>
      <c r="AC955" s="713">
        <f t="shared" si="59"/>
        <v>0</v>
      </c>
    </row>
    <row r="956" spans="1:29" s="577" customFormat="1" ht="15" customHeight="1">
      <c r="A956" s="561" t="s">
        <v>823</v>
      </c>
      <c r="B956" s="562" t="s">
        <v>7101</v>
      </c>
      <c r="C956" s="563" t="s">
        <v>6058</v>
      </c>
      <c r="D956" s="738" t="s">
        <v>8478</v>
      </c>
      <c r="E956" s="561" t="s">
        <v>3784</v>
      </c>
      <c r="F956" s="561" t="s">
        <v>3785</v>
      </c>
      <c r="G956" s="561" t="s">
        <v>165</v>
      </c>
      <c r="H956" s="564" t="s">
        <v>8502</v>
      </c>
      <c r="I956" s="565" t="e">
        <f>VLOOKUP(H956,'合同高级查询数据-10月新返回合同'!A:A,1,0)</f>
        <v>#N/A</v>
      </c>
      <c r="J956" s="566" t="s">
        <v>3724</v>
      </c>
      <c r="K956" s="561" t="s">
        <v>6110</v>
      </c>
      <c r="L956" s="564" t="s">
        <v>8507</v>
      </c>
      <c r="M956" s="561" t="s">
        <v>8508</v>
      </c>
      <c r="N956" s="567" t="s">
        <v>8509</v>
      </c>
      <c r="O956" s="561" t="s">
        <v>8510</v>
      </c>
      <c r="P956" s="638">
        <v>5000</v>
      </c>
      <c r="Q956" s="720">
        <v>51.6</v>
      </c>
      <c r="R956" s="639">
        <f t="shared" si="58"/>
        <v>258000</v>
      </c>
      <c r="S956" s="570">
        <v>202310</v>
      </c>
      <c r="T956" s="571" t="s">
        <v>8511</v>
      </c>
      <c r="U956" s="571"/>
      <c r="V956" s="721">
        <v>51.599044800000001</v>
      </c>
      <c r="W956" s="721"/>
      <c r="X956" s="574">
        <v>44927</v>
      </c>
      <c r="Y956" s="574">
        <v>46022</v>
      </c>
      <c r="Z956" s="561" t="s">
        <v>8512</v>
      </c>
      <c r="AA956" s="683">
        <v>0</v>
      </c>
      <c r="AB956" s="582">
        <v>120</v>
      </c>
      <c r="AC956" s="713">
        <f t="shared" si="59"/>
        <v>0</v>
      </c>
    </row>
    <row r="957" spans="1:29" s="577" customFormat="1" ht="15" customHeight="1">
      <c r="A957" s="736" t="s">
        <v>823</v>
      </c>
      <c r="B957" s="562" t="s">
        <v>7101</v>
      </c>
      <c r="C957" s="561" t="s">
        <v>6624</v>
      </c>
      <c r="D957" s="738" t="s">
        <v>8478</v>
      </c>
      <c r="E957" s="563" t="s">
        <v>3784</v>
      </c>
      <c r="F957" s="563" t="s">
        <v>3785</v>
      </c>
      <c r="G957" s="563" t="s">
        <v>165</v>
      </c>
      <c r="H957" s="564" t="s">
        <v>8502</v>
      </c>
      <c r="I957" s="565" t="e">
        <f>VLOOKUP(H957,'合同高级查询数据-10月新返回合同'!A:A,1,0)</f>
        <v>#N/A</v>
      </c>
      <c r="J957" s="674" t="s">
        <v>3724</v>
      </c>
      <c r="K957" s="563" t="s">
        <v>6646</v>
      </c>
      <c r="L957" s="675" t="s">
        <v>8513</v>
      </c>
      <c r="M957" s="596" t="s">
        <v>8514</v>
      </c>
      <c r="N957" s="574">
        <v>44927</v>
      </c>
      <c r="O957" s="574" t="s">
        <v>4772</v>
      </c>
      <c r="P957" s="579">
        <v>5000</v>
      </c>
      <c r="Q957" s="720">
        <v>47.59</v>
      </c>
      <c r="R957" s="569">
        <f t="shared" si="58"/>
        <v>237950</v>
      </c>
      <c r="S957" s="570">
        <v>202310</v>
      </c>
      <c r="T957" s="693" t="s">
        <v>8505</v>
      </c>
      <c r="U957" s="728"/>
      <c r="V957" s="721">
        <v>47.587257385000001</v>
      </c>
      <c r="W957" s="721"/>
      <c r="X957" s="574">
        <v>44927</v>
      </c>
      <c r="Y957" s="574">
        <v>46022</v>
      </c>
      <c r="Z957" s="561" t="s">
        <v>8515</v>
      </c>
      <c r="AA957" s="683">
        <v>0</v>
      </c>
      <c r="AB957" s="582">
        <v>120</v>
      </c>
      <c r="AC957" s="713">
        <f t="shared" si="59"/>
        <v>0</v>
      </c>
    </row>
    <row r="958" spans="1:29" s="577" customFormat="1" ht="15" customHeight="1">
      <c r="A958" s="561" t="s">
        <v>823</v>
      </c>
      <c r="B958" s="562" t="s">
        <v>7101</v>
      </c>
      <c r="C958" s="563" t="s">
        <v>4937</v>
      </c>
      <c r="D958" s="738" t="s">
        <v>8478</v>
      </c>
      <c r="E958" s="561" t="s">
        <v>3784</v>
      </c>
      <c r="F958" s="561" t="s">
        <v>3785</v>
      </c>
      <c r="G958" s="561" t="s">
        <v>165</v>
      </c>
      <c r="H958" s="564" t="s">
        <v>8502</v>
      </c>
      <c r="I958" s="565" t="e">
        <f>VLOOKUP(H958,'合同高级查询数据-10月新返回合同'!A:A,1,0)</f>
        <v>#N/A</v>
      </c>
      <c r="J958" s="566" t="s">
        <v>3724</v>
      </c>
      <c r="K958" s="561" t="s">
        <v>4937</v>
      </c>
      <c r="L958" s="564" t="s">
        <v>8516</v>
      </c>
      <c r="M958" s="561" t="s">
        <v>8517</v>
      </c>
      <c r="N958" s="567">
        <v>44958</v>
      </c>
      <c r="O958" s="561" t="s">
        <v>4029</v>
      </c>
      <c r="P958" s="638">
        <v>5000</v>
      </c>
      <c r="Q958" s="720">
        <v>60.16</v>
      </c>
      <c r="R958" s="639">
        <f t="shared" si="58"/>
        <v>300800</v>
      </c>
      <c r="S958" s="570">
        <v>202310</v>
      </c>
      <c r="T958" s="571" t="s">
        <v>8518</v>
      </c>
      <c r="U958" s="571"/>
      <c r="V958" s="721">
        <v>60.160400391000003</v>
      </c>
      <c r="W958" s="721"/>
      <c r="X958" s="574">
        <v>44927</v>
      </c>
      <c r="Y958" s="574">
        <v>46022</v>
      </c>
      <c r="Z958" s="561" t="s">
        <v>8519</v>
      </c>
      <c r="AA958" s="683">
        <v>0</v>
      </c>
      <c r="AB958" s="582">
        <v>140</v>
      </c>
      <c r="AC958" s="713">
        <f t="shared" si="59"/>
        <v>0</v>
      </c>
    </row>
    <row r="959" spans="1:29" s="385" customFormat="1" ht="15" customHeight="1">
      <c r="A959" s="386" t="s">
        <v>823</v>
      </c>
      <c r="B959" s="387" t="s">
        <v>7101</v>
      </c>
      <c r="C959" s="388" t="s">
        <v>6567</v>
      </c>
      <c r="D959" s="552" t="s">
        <v>8478</v>
      </c>
      <c r="E959" s="386" t="s">
        <v>3784</v>
      </c>
      <c r="F959" s="386" t="s">
        <v>3785</v>
      </c>
      <c r="G959" s="386" t="s">
        <v>165</v>
      </c>
      <c r="H959" s="389" t="s">
        <v>8520</v>
      </c>
      <c r="I959" s="369" t="e">
        <f>VLOOKUP(H959,'合同高级查询数据-10月新返回合同'!A:A,1,0)</f>
        <v>#N/A</v>
      </c>
      <c r="J959" s="390" t="s">
        <v>3724</v>
      </c>
      <c r="K959" s="386" t="s">
        <v>6567</v>
      </c>
      <c r="L959" s="389" t="s">
        <v>8521</v>
      </c>
      <c r="M959" s="386" t="s">
        <v>8522</v>
      </c>
      <c r="N959" s="391" t="s">
        <v>8523</v>
      </c>
      <c r="O959" s="386" t="s">
        <v>6260</v>
      </c>
      <c r="P959" s="446">
        <v>5000</v>
      </c>
      <c r="Q959" s="540">
        <v>43.5</v>
      </c>
      <c r="R959" s="447">
        <f t="shared" si="58"/>
        <v>217500</v>
      </c>
      <c r="S959" s="378">
        <v>202310</v>
      </c>
      <c r="T959" s="514" t="s">
        <v>8524</v>
      </c>
      <c r="U959" s="394"/>
      <c r="V959" s="541">
        <v>43.496963501000003</v>
      </c>
      <c r="W959" s="541"/>
      <c r="X959" s="383"/>
      <c r="Y959" s="383"/>
      <c r="Z959" s="386" t="s">
        <v>8525</v>
      </c>
      <c r="AA959" s="506">
        <v>0</v>
      </c>
      <c r="AB959" s="410">
        <v>120</v>
      </c>
      <c r="AC959" s="448">
        <f t="shared" si="59"/>
        <v>0</v>
      </c>
    </row>
    <row r="960" spans="1:29" s="577" customFormat="1" ht="15" customHeight="1">
      <c r="A960" s="561" t="s">
        <v>823</v>
      </c>
      <c r="B960" s="562" t="s">
        <v>7101</v>
      </c>
      <c r="C960" s="563" t="s">
        <v>5177</v>
      </c>
      <c r="D960" s="738" t="s">
        <v>8478</v>
      </c>
      <c r="E960" s="561" t="s">
        <v>8526</v>
      </c>
      <c r="F960" s="561" t="s">
        <v>8527</v>
      </c>
      <c r="G960" s="561" t="s">
        <v>165</v>
      </c>
      <c r="H960" s="564" t="s">
        <v>8528</v>
      </c>
      <c r="I960" s="565" t="e">
        <f>VLOOKUP(H960,'合同高级查询数据-10月新返回合同'!A:A,1,0)</f>
        <v>#N/A</v>
      </c>
      <c r="J960" s="566" t="s">
        <v>3724</v>
      </c>
      <c r="K960" s="561" t="s">
        <v>5181</v>
      </c>
      <c r="L960" s="564" t="s">
        <v>8529</v>
      </c>
      <c r="M960" s="561" t="s">
        <v>8530</v>
      </c>
      <c r="N960" s="567" t="s">
        <v>8531</v>
      </c>
      <c r="O960" s="561" t="s">
        <v>5228</v>
      </c>
      <c r="P960" s="638">
        <v>5200</v>
      </c>
      <c r="Q960" s="720">
        <v>0</v>
      </c>
      <c r="R960" s="639">
        <f t="shared" ref="R960:R1023" si="60">ROUND(P960*Q960,2)</f>
        <v>0</v>
      </c>
      <c r="S960" s="570">
        <v>202310</v>
      </c>
      <c r="T960" s="571" t="s">
        <v>8532</v>
      </c>
      <c r="U960" s="571"/>
      <c r="V960" s="721">
        <v>0</v>
      </c>
      <c r="W960" s="721"/>
      <c r="X960" s="574">
        <v>44805</v>
      </c>
      <c r="Y960" s="574">
        <v>45169</v>
      </c>
      <c r="Z960" s="723"/>
      <c r="AA960" s="691">
        <v>0</v>
      </c>
      <c r="AB960" s="713">
        <v>0</v>
      </c>
      <c r="AC960" s="713">
        <f t="shared" si="59"/>
        <v>0</v>
      </c>
    </row>
    <row r="961" spans="1:29" s="577" customFormat="1" ht="15" customHeight="1">
      <c r="A961" s="561" t="s">
        <v>823</v>
      </c>
      <c r="B961" s="562" t="s">
        <v>7101</v>
      </c>
      <c r="C961" s="563" t="s">
        <v>7569</v>
      </c>
      <c r="D961" s="738" t="s">
        <v>8478</v>
      </c>
      <c r="E961" s="561" t="s">
        <v>3801</v>
      </c>
      <c r="F961" s="561" t="s">
        <v>8123</v>
      </c>
      <c r="G961" s="561" t="s">
        <v>165</v>
      </c>
      <c r="H961" s="564" t="s">
        <v>8533</v>
      </c>
      <c r="I961" s="565" t="e">
        <f>VLOOKUP(H961,'合同高级查询数据-10月新返回合同'!A:A,1,0)</f>
        <v>#N/A</v>
      </c>
      <c r="J961" s="566" t="s">
        <v>3724</v>
      </c>
      <c r="K961" s="561" t="s">
        <v>6244</v>
      </c>
      <c r="L961" s="564" t="s">
        <v>8534</v>
      </c>
      <c r="M961" s="561" t="s">
        <v>8535</v>
      </c>
      <c r="N961" s="567" t="s">
        <v>8536</v>
      </c>
      <c r="O961" s="561" t="s">
        <v>8537</v>
      </c>
      <c r="P961" s="638">
        <v>4500</v>
      </c>
      <c r="Q961" s="720">
        <v>0</v>
      </c>
      <c r="R961" s="639">
        <f t="shared" si="60"/>
        <v>0</v>
      </c>
      <c r="S961" s="570">
        <v>202310</v>
      </c>
      <c r="T961" s="571" t="s">
        <v>8538</v>
      </c>
      <c r="U961" s="571"/>
      <c r="V961" s="721">
        <v>0</v>
      </c>
      <c r="W961" s="721"/>
      <c r="X961" s="574">
        <v>44986</v>
      </c>
      <c r="Y961" s="574">
        <v>45382</v>
      </c>
      <c r="Z961" s="723"/>
      <c r="AA961" s="691">
        <v>0</v>
      </c>
      <c r="AB961" s="713">
        <v>0</v>
      </c>
      <c r="AC961" s="713">
        <f t="shared" si="59"/>
        <v>0</v>
      </c>
    </row>
    <row r="962" spans="1:29" s="577" customFormat="1" ht="15" customHeight="1">
      <c r="A962" s="561" t="s">
        <v>829</v>
      </c>
      <c r="B962" s="562" t="s">
        <v>7101</v>
      </c>
      <c r="C962" s="563" t="s">
        <v>887</v>
      </c>
      <c r="D962" s="738" t="s">
        <v>8478</v>
      </c>
      <c r="E962" s="561" t="s">
        <v>3801</v>
      </c>
      <c r="F962" s="561" t="s">
        <v>8123</v>
      </c>
      <c r="G962" s="561" t="s">
        <v>165</v>
      </c>
      <c r="H962" s="564" t="s">
        <v>8539</v>
      </c>
      <c r="I962" s="565" t="e">
        <f>VLOOKUP(H962,'合同高级查询数据-10月新返回合同'!A:A,1,0)</f>
        <v>#N/A</v>
      </c>
      <c r="J962" s="566" t="s">
        <v>3724</v>
      </c>
      <c r="K962" s="561" t="s">
        <v>2069</v>
      </c>
      <c r="L962" s="564" t="s">
        <v>8540</v>
      </c>
      <c r="M962" s="561" t="s">
        <v>8541</v>
      </c>
      <c r="N962" s="567" t="s">
        <v>8542</v>
      </c>
      <c r="O962" s="561" t="s">
        <v>5228</v>
      </c>
      <c r="P962" s="638">
        <v>6000</v>
      </c>
      <c r="Q962" s="720">
        <v>0</v>
      </c>
      <c r="R962" s="639">
        <f t="shared" si="60"/>
        <v>0</v>
      </c>
      <c r="S962" s="570">
        <v>202310</v>
      </c>
      <c r="T962" s="745" t="s">
        <v>8543</v>
      </c>
      <c r="U962" s="571"/>
      <c r="V962" s="721">
        <v>0</v>
      </c>
      <c r="W962" s="721"/>
      <c r="X962" s="574">
        <v>44713</v>
      </c>
      <c r="Y962" s="574">
        <v>45016</v>
      </c>
      <c r="Z962" s="723"/>
      <c r="AA962" s="691">
        <v>0</v>
      </c>
      <c r="AB962" s="713">
        <v>0</v>
      </c>
      <c r="AC962" s="713">
        <f t="shared" si="59"/>
        <v>0</v>
      </c>
    </row>
    <row r="963" spans="1:29" s="577" customFormat="1" ht="15" customHeight="1">
      <c r="A963" s="561" t="s">
        <v>823</v>
      </c>
      <c r="B963" s="562" t="s">
        <v>7101</v>
      </c>
      <c r="C963" s="563" t="s">
        <v>814</v>
      </c>
      <c r="D963" s="738" t="s">
        <v>8478</v>
      </c>
      <c r="E963" s="561" t="s">
        <v>3801</v>
      </c>
      <c r="F963" s="561" t="s">
        <v>8123</v>
      </c>
      <c r="G963" s="561" t="s">
        <v>165</v>
      </c>
      <c r="H963" s="564" t="s">
        <v>8544</v>
      </c>
      <c r="I963" s="565" t="e">
        <f>VLOOKUP(H963,'合同高级查询数据-10月新返回合同'!A:A,1,0)</f>
        <v>#N/A</v>
      </c>
      <c r="J963" s="566" t="s">
        <v>3724</v>
      </c>
      <c r="K963" s="561" t="s">
        <v>1491</v>
      </c>
      <c r="L963" s="564" t="s">
        <v>8545</v>
      </c>
      <c r="M963" s="561" t="s">
        <v>8546</v>
      </c>
      <c r="N963" s="567" t="s">
        <v>8547</v>
      </c>
      <c r="O963" s="561" t="s">
        <v>4170</v>
      </c>
      <c r="P963" s="638">
        <v>4400</v>
      </c>
      <c r="Q963" s="720">
        <v>0</v>
      </c>
      <c r="R963" s="639">
        <f t="shared" si="60"/>
        <v>0</v>
      </c>
      <c r="S963" s="570">
        <v>202310</v>
      </c>
      <c r="T963" s="571" t="s">
        <v>8548</v>
      </c>
      <c r="U963" s="571"/>
      <c r="V963" s="721">
        <v>0</v>
      </c>
      <c r="W963" s="721"/>
      <c r="X963" s="574">
        <v>44652</v>
      </c>
      <c r="Y963" s="574">
        <v>45016</v>
      </c>
      <c r="Z963" s="723"/>
      <c r="AA963" s="691">
        <v>0</v>
      </c>
      <c r="AB963" s="713">
        <v>0</v>
      </c>
      <c r="AC963" s="713">
        <f t="shared" si="59"/>
        <v>0</v>
      </c>
    </row>
    <row r="964" spans="1:29" s="577" customFormat="1" ht="15" customHeight="1">
      <c r="A964" s="561" t="s">
        <v>823</v>
      </c>
      <c r="B964" s="562" t="s">
        <v>7101</v>
      </c>
      <c r="C964" s="563" t="s">
        <v>814</v>
      </c>
      <c r="D964" s="738" t="s">
        <v>8478</v>
      </c>
      <c r="E964" s="561" t="s">
        <v>3801</v>
      </c>
      <c r="F964" s="561" t="s">
        <v>8123</v>
      </c>
      <c r="G964" s="561" t="s">
        <v>165</v>
      </c>
      <c r="H964" s="564" t="s">
        <v>8549</v>
      </c>
      <c r="I964" s="565" t="e">
        <f>VLOOKUP(H964,'合同高级查询数据-10月新返回合同'!A:A,1,0)</f>
        <v>#N/A</v>
      </c>
      <c r="J964" s="566" t="s">
        <v>3724</v>
      </c>
      <c r="K964" s="561" t="s">
        <v>1491</v>
      </c>
      <c r="L964" s="564" t="s">
        <v>8550</v>
      </c>
      <c r="M964" s="561" t="s">
        <v>8546</v>
      </c>
      <c r="N964" s="567" t="s">
        <v>8551</v>
      </c>
      <c r="O964" s="561" t="s">
        <v>4397</v>
      </c>
      <c r="P964" s="638">
        <v>4400</v>
      </c>
      <c r="Q964" s="720">
        <v>0</v>
      </c>
      <c r="R964" s="639">
        <f t="shared" si="60"/>
        <v>0</v>
      </c>
      <c r="S964" s="570">
        <v>202310</v>
      </c>
      <c r="T964" s="571" t="s">
        <v>8552</v>
      </c>
      <c r="U964" s="571"/>
      <c r="V964" s="721">
        <v>0</v>
      </c>
      <c r="W964" s="721"/>
      <c r="X964" s="574">
        <v>44652</v>
      </c>
      <c r="Y964" s="574">
        <v>45016</v>
      </c>
      <c r="Z964" s="723"/>
      <c r="AA964" s="691">
        <v>0</v>
      </c>
      <c r="AB964" s="713">
        <v>0</v>
      </c>
      <c r="AC964" s="713">
        <f t="shared" si="59"/>
        <v>0</v>
      </c>
    </row>
    <row r="965" spans="1:29" s="577" customFormat="1" ht="15" customHeight="1">
      <c r="A965" s="561" t="s">
        <v>829</v>
      </c>
      <c r="B965" s="562" t="s">
        <v>7101</v>
      </c>
      <c r="C965" s="563" t="s">
        <v>887</v>
      </c>
      <c r="D965" s="738" t="s">
        <v>8478</v>
      </c>
      <c r="E965" s="561" t="s">
        <v>3801</v>
      </c>
      <c r="F965" s="561" t="s">
        <v>8123</v>
      </c>
      <c r="G965" s="561" t="s">
        <v>165</v>
      </c>
      <c r="H965" s="564" t="s">
        <v>8553</v>
      </c>
      <c r="I965" s="565" t="e">
        <f>VLOOKUP(H965,'合同高级查询数据-10月新返回合同'!A:A,1,0)</f>
        <v>#N/A</v>
      </c>
      <c r="J965" s="566" t="s">
        <v>3724</v>
      </c>
      <c r="K965" s="561" t="s">
        <v>2069</v>
      </c>
      <c r="L965" s="564" t="s">
        <v>8554</v>
      </c>
      <c r="M965" s="561" t="s">
        <v>8541</v>
      </c>
      <c r="N965" s="567" t="s">
        <v>8555</v>
      </c>
      <c r="O965" s="561" t="s">
        <v>8556</v>
      </c>
      <c r="P965" s="638">
        <v>4900</v>
      </c>
      <c r="Q965" s="720">
        <v>0</v>
      </c>
      <c r="R965" s="639">
        <f t="shared" si="60"/>
        <v>0</v>
      </c>
      <c r="S965" s="570">
        <v>202310</v>
      </c>
      <c r="T965" s="571" t="s">
        <v>8557</v>
      </c>
      <c r="U965" s="571"/>
      <c r="V965" s="721">
        <v>0</v>
      </c>
      <c r="W965" s="721"/>
      <c r="X965" s="574">
        <v>44652</v>
      </c>
      <c r="Y965" s="574">
        <v>45016</v>
      </c>
      <c r="Z965" s="723"/>
      <c r="AA965" s="691">
        <v>0</v>
      </c>
      <c r="AB965" s="713">
        <v>0</v>
      </c>
      <c r="AC965" s="713">
        <f t="shared" si="59"/>
        <v>0</v>
      </c>
    </row>
    <row r="966" spans="1:29" s="577" customFormat="1" ht="15" customHeight="1">
      <c r="A966" s="561" t="s">
        <v>829</v>
      </c>
      <c r="B966" s="562" t="s">
        <v>7101</v>
      </c>
      <c r="C966" s="563" t="s">
        <v>887</v>
      </c>
      <c r="D966" s="738" t="s">
        <v>8478</v>
      </c>
      <c r="E966" s="561" t="s">
        <v>3801</v>
      </c>
      <c r="F966" s="561" t="s">
        <v>8123</v>
      </c>
      <c r="G966" s="561" t="s">
        <v>165</v>
      </c>
      <c r="H966" s="564" t="s">
        <v>8558</v>
      </c>
      <c r="I966" s="565" t="e">
        <f>VLOOKUP(H966,'合同高级查询数据-10月新返回合同'!A:A,1,0)</f>
        <v>#N/A</v>
      </c>
      <c r="J966" s="566" t="s">
        <v>3724</v>
      </c>
      <c r="K966" s="561" t="s">
        <v>2069</v>
      </c>
      <c r="L966" s="564" t="s">
        <v>8559</v>
      </c>
      <c r="M966" s="561" t="s">
        <v>8560</v>
      </c>
      <c r="N966" s="567" t="s">
        <v>8561</v>
      </c>
      <c r="O966" s="561" t="s">
        <v>6675</v>
      </c>
      <c r="P966" s="638">
        <v>6000</v>
      </c>
      <c r="Q966" s="720">
        <v>0</v>
      </c>
      <c r="R966" s="639">
        <f t="shared" si="60"/>
        <v>0</v>
      </c>
      <c r="S966" s="570">
        <v>202310</v>
      </c>
      <c r="T966" s="571" t="s">
        <v>8562</v>
      </c>
      <c r="U966" s="571"/>
      <c r="V966" s="721">
        <v>0</v>
      </c>
      <c r="W966" s="721"/>
      <c r="X966" s="574">
        <v>44658</v>
      </c>
      <c r="Y966" s="574">
        <v>45016</v>
      </c>
      <c r="Z966" s="723"/>
      <c r="AA966" s="691">
        <v>0</v>
      </c>
      <c r="AB966" s="713">
        <v>0</v>
      </c>
      <c r="AC966" s="713">
        <f t="shared" si="59"/>
        <v>0</v>
      </c>
    </row>
    <row r="967" spans="1:29" s="577" customFormat="1" ht="15" customHeight="1">
      <c r="A967" s="561" t="s">
        <v>813</v>
      </c>
      <c r="B967" s="562" t="s">
        <v>7101</v>
      </c>
      <c r="C967" s="563" t="s">
        <v>887</v>
      </c>
      <c r="D967" s="738" t="s">
        <v>8478</v>
      </c>
      <c r="E967" s="561" t="s">
        <v>3801</v>
      </c>
      <c r="F967" s="561" t="s">
        <v>8123</v>
      </c>
      <c r="G967" s="561" t="s">
        <v>165</v>
      </c>
      <c r="H967" s="564" t="s">
        <v>8563</v>
      </c>
      <c r="I967" s="565" t="e">
        <f>VLOOKUP(H967,'合同高级查询数据-10月新返回合同'!A:A,1,0)</f>
        <v>#N/A</v>
      </c>
      <c r="J967" s="566" t="s">
        <v>3724</v>
      </c>
      <c r="K967" s="561" t="s">
        <v>2069</v>
      </c>
      <c r="L967" s="564" t="s">
        <v>8564</v>
      </c>
      <c r="M967" s="561" t="s">
        <v>8565</v>
      </c>
      <c r="N967" s="567" t="s">
        <v>8566</v>
      </c>
      <c r="O967" s="561" t="s">
        <v>5228</v>
      </c>
      <c r="P967" s="638">
        <v>5800</v>
      </c>
      <c r="Q967" s="720">
        <v>0</v>
      </c>
      <c r="R967" s="639">
        <f t="shared" si="60"/>
        <v>0</v>
      </c>
      <c r="S967" s="570">
        <v>202310</v>
      </c>
      <c r="T967" s="571" t="s">
        <v>8567</v>
      </c>
      <c r="U967" s="571"/>
      <c r="V967" s="721">
        <v>0</v>
      </c>
      <c r="W967" s="721"/>
      <c r="X967" s="574">
        <v>44660</v>
      </c>
      <c r="Y967" s="574">
        <v>44712</v>
      </c>
      <c r="Z967" s="723"/>
      <c r="AA967" s="691">
        <v>0</v>
      </c>
      <c r="AB967" s="713">
        <v>0</v>
      </c>
      <c r="AC967" s="713">
        <f t="shared" si="59"/>
        <v>0</v>
      </c>
    </row>
    <row r="968" spans="1:29" s="577" customFormat="1" ht="15" customHeight="1">
      <c r="A968" s="561" t="s">
        <v>813</v>
      </c>
      <c r="B968" s="562" t="s">
        <v>7101</v>
      </c>
      <c r="C968" s="563" t="s">
        <v>887</v>
      </c>
      <c r="D968" s="738" t="s">
        <v>8478</v>
      </c>
      <c r="E968" s="561" t="s">
        <v>3801</v>
      </c>
      <c r="F968" s="561" t="s">
        <v>8123</v>
      </c>
      <c r="G968" s="561" t="s">
        <v>165</v>
      </c>
      <c r="H968" s="564" t="s">
        <v>8568</v>
      </c>
      <c r="I968" s="565" t="e">
        <f>VLOOKUP(H968,'合同高级查询数据-10月新返回合同'!A:A,1,0)</f>
        <v>#N/A</v>
      </c>
      <c r="J968" s="566" t="s">
        <v>3724</v>
      </c>
      <c r="K968" s="561" t="s">
        <v>8569</v>
      </c>
      <c r="L968" s="564" t="s">
        <v>8570</v>
      </c>
      <c r="M968" s="561" t="s">
        <v>8571</v>
      </c>
      <c r="N968" s="567" t="s">
        <v>8572</v>
      </c>
      <c r="O968" s="561" t="s">
        <v>4397</v>
      </c>
      <c r="P968" s="638">
        <v>4700</v>
      </c>
      <c r="Q968" s="720">
        <v>0</v>
      </c>
      <c r="R968" s="639">
        <f t="shared" si="60"/>
        <v>0</v>
      </c>
      <c r="S968" s="570">
        <v>202310</v>
      </c>
      <c r="T968" s="571" t="s">
        <v>8573</v>
      </c>
      <c r="U968" s="571"/>
      <c r="V968" s="721">
        <v>0</v>
      </c>
      <c r="W968" s="721"/>
      <c r="X968" s="574">
        <v>44682</v>
      </c>
      <c r="Y968" s="574">
        <v>45016</v>
      </c>
      <c r="Z968" s="723"/>
      <c r="AA968" s="691">
        <v>0</v>
      </c>
      <c r="AB968" s="713">
        <v>0</v>
      </c>
      <c r="AC968" s="713">
        <f t="shared" si="59"/>
        <v>0</v>
      </c>
    </row>
    <row r="969" spans="1:29" s="577" customFormat="1" ht="15" customHeight="1">
      <c r="A969" s="561" t="s">
        <v>829</v>
      </c>
      <c r="B969" s="562" t="s">
        <v>7101</v>
      </c>
      <c r="C969" s="563" t="s">
        <v>6280</v>
      </c>
      <c r="D969" s="738" t="s">
        <v>8478</v>
      </c>
      <c r="E969" s="561" t="s">
        <v>3801</v>
      </c>
      <c r="F969" s="561" t="s">
        <v>8123</v>
      </c>
      <c r="G969" s="561" t="s">
        <v>165</v>
      </c>
      <c r="H969" s="564" t="s">
        <v>8574</v>
      </c>
      <c r="I969" s="565" t="e">
        <f>VLOOKUP(H969,'合同高级查询数据-10月新返回合同'!A:A,1,0)</f>
        <v>#N/A</v>
      </c>
      <c r="J969" s="566" t="s">
        <v>3724</v>
      </c>
      <c r="K969" s="561" t="s">
        <v>8100</v>
      </c>
      <c r="L969" s="564" t="s">
        <v>8575</v>
      </c>
      <c r="M969" s="561" t="s">
        <v>8576</v>
      </c>
      <c r="N969" s="567" t="s">
        <v>8486</v>
      </c>
      <c r="O969" s="561" t="s">
        <v>4397</v>
      </c>
      <c r="P969" s="638">
        <v>4600</v>
      </c>
      <c r="Q969" s="720">
        <v>0</v>
      </c>
      <c r="R969" s="639">
        <f t="shared" si="60"/>
        <v>0</v>
      </c>
      <c r="S969" s="570">
        <v>202310</v>
      </c>
      <c r="T969" s="571" t="s">
        <v>8577</v>
      </c>
      <c r="U969" s="571"/>
      <c r="V969" s="721">
        <v>0</v>
      </c>
      <c r="W969" s="721"/>
      <c r="X969" s="574">
        <v>45017</v>
      </c>
      <c r="Y969" s="574">
        <v>45382</v>
      </c>
      <c r="Z969" s="723"/>
      <c r="AA969" s="691">
        <v>0</v>
      </c>
      <c r="AB969" s="713">
        <v>0</v>
      </c>
      <c r="AC969" s="713">
        <f t="shared" si="59"/>
        <v>0</v>
      </c>
    </row>
    <row r="970" spans="1:29" s="577" customFormat="1" ht="15" customHeight="1">
      <c r="A970" s="561" t="s">
        <v>829</v>
      </c>
      <c r="B970" s="562" t="s">
        <v>7101</v>
      </c>
      <c r="C970" s="563" t="s">
        <v>6280</v>
      </c>
      <c r="D970" s="738" t="s">
        <v>8478</v>
      </c>
      <c r="E970" s="561" t="s">
        <v>3801</v>
      </c>
      <c r="F970" s="561" t="s">
        <v>8123</v>
      </c>
      <c r="G970" s="561" t="s">
        <v>165</v>
      </c>
      <c r="H970" s="564" t="s">
        <v>8574</v>
      </c>
      <c r="I970" s="565" t="e">
        <f>VLOOKUP(H970,'合同高级查询数据-10月新返回合同'!A:A,1,0)</f>
        <v>#N/A</v>
      </c>
      <c r="J970" s="566" t="s">
        <v>3724</v>
      </c>
      <c r="K970" s="561" t="s">
        <v>8100</v>
      </c>
      <c r="L970" s="564" t="s">
        <v>8578</v>
      </c>
      <c r="M970" s="561" t="s">
        <v>8576</v>
      </c>
      <c r="N970" s="567" t="s">
        <v>8486</v>
      </c>
      <c r="O970" s="561" t="s">
        <v>4397</v>
      </c>
      <c r="P970" s="638">
        <v>4600</v>
      </c>
      <c r="Q970" s="720">
        <v>0</v>
      </c>
      <c r="R970" s="639">
        <f t="shared" si="60"/>
        <v>0</v>
      </c>
      <c r="S970" s="570">
        <v>202310</v>
      </c>
      <c r="T970" s="571" t="s">
        <v>8577</v>
      </c>
      <c r="U970" s="571"/>
      <c r="V970" s="721">
        <v>0</v>
      </c>
      <c r="W970" s="721"/>
      <c r="X970" s="574">
        <v>45017</v>
      </c>
      <c r="Y970" s="574">
        <v>45382</v>
      </c>
      <c r="Z970" s="723"/>
      <c r="AA970" s="691">
        <v>0</v>
      </c>
      <c r="AB970" s="713">
        <v>0</v>
      </c>
      <c r="AC970" s="713">
        <f t="shared" si="59"/>
        <v>0</v>
      </c>
    </row>
    <row r="971" spans="1:29" s="577" customFormat="1" ht="15" customHeight="1">
      <c r="A971" s="561" t="s">
        <v>829</v>
      </c>
      <c r="B971" s="562" t="s">
        <v>7101</v>
      </c>
      <c r="C971" s="563" t="s">
        <v>5501</v>
      </c>
      <c r="D971" s="738" t="s">
        <v>8478</v>
      </c>
      <c r="E971" s="561" t="s">
        <v>3801</v>
      </c>
      <c r="F971" s="561" t="s">
        <v>8123</v>
      </c>
      <c r="G971" s="561" t="s">
        <v>165</v>
      </c>
      <c r="H971" s="564" t="s">
        <v>8579</v>
      </c>
      <c r="I971" s="565" t="e">
        <f>VLOOKUP(H971,'合同高级查询数据-10月新返回合同'!A:A,1,0)</f>
        <v>#N/A</v>
      </c>
      <c r="J971" s="566" t="s">
        <v>3724</v>
      </c>
      <c r="K971" s="561" t="s">
        <v>5505</v>
      </c>
      <c r="L971" s="564" t="s">
        <v>8580</v>
      </c>
      <c r="M971" s="561" t="s">
        <v>8581</v>
      </c>
      <c r="N971" s="567" t="s">
        <v>8582</v>
      </c>
      <c r="O971" s="561" t="s">
        <v>4397</v>
      </c>
      <c r="P971" s="638">
        <v>4800</v>
      </c>
      <c r="Q971" s="720">
        <v>0</v>
      </c>
      <c r="R971" s="639">
        <f t="shared" si="60"/>
        <v>0</v>
      </c>
      <c r="S971" s="570">
        <v>202310</v>
      </c>
      <c r="T971" s="571" t="s">
        <v>8583</v>
      </c>
      <c r="U971" s="571"/>
      <c r="V971" s="721">
        <v>0</v>
      </c>
      <c r="W971" s="721"/>
      <c r="X971" s="574">
        <v>45017</v>
      </c>
      <c r="Y971" s="574">
        <v>45382</v>
      </c>
      <c r="Z971" s="723"/>
      <c r="AA971" s="691">
        <v>0</v>
      </c>
      <c r="AB971" s="713">
        <v>0</v>
      </c>
      <c r="AC971" s="713">
        <f t="shared" si="59"/>
        <v>0</v>
      </c>
    </row>
    <row r="972" spans="1:29" s="577" customFormat="1" ht="15" customHeight="1">
      <c r="A972" s="561" t="s">
        <v>823</v>
      </c>
      <c r="B972" s="562" t="s">
        <v>7101</v>
      </c>
      <c r="C972" s="563" t="s">
        <v>188</v>
      </c>
      <c r="D972" s="738" t="s">
        <v>8478</v>
      </c>
      <c r="E972" s="561" t="s">
        <v>3801</v>
      </c>
      <c r="F972" s="561" t="s">
        <v>8123</v>
      </c>
      <c r="G972" s="561" t="s">
        <v>165</v>
      </c>
      <c r="H972" s="564" t="s">
        <v>8584</v>
      </c>
      <c r="I972" s="565" t="e">
        <f>VLOOKUP(H972,'合同高级查询数据-10月新返回合同'!A:A,1,0)</f>
        <v>#N/A</v>
      </c>
      <c r="J972" s="566" t="s">
        <v>3724</v>
      </c>
      <c r="K972" s="561" t="s">
        <v>649</v>
      </c>
      <c r="L972" s="564" t="s">
        <v>8585</v>
      </c>
      <c r="M972" s="561" t="s">
        <v>8586</v>
      </c>
      <c r="N972" s="567" t="s">
        <v>4160</v>
      </c>
      <c r="O972" s="561" t="s">
        <v>4397</v>
      </c>
      <c r="P972" s="638">
        <v>4500</v>
      </c>
      <c r="Q972" s="720">
        <v>0</v>
      </c>
      <c r="R972" s="639">
        <f t="shared" si="60"/>
        <v>0</v>
      </c>
      <c r="S972" s="570">
        <v>202310</v>
      </c>
      <c r="T972" s="744" t="s">
        <v>8587</v>
      </c>
      <c r="U972" s="571"/>
      <c r="V972" s="721">
        <v>0</v>
      </c>
      <c r="W972" s="721"/>
      <c r="X972" s="574">
        <v>45017</v>
      </c>
      <c r="Y972" s="574">
        <v>45382</v>
      </c>
      <c r="Z972" s="723"/>
      <c r="AA972" s="691">
        <v>0</v>
      </c>
      <c r="AB972" s="713">
        <v>0</v>
      </c>
      <c r="AC972" s="713">
        <f t="shared" si="59"/>
        <v>0</v>
      </c>
    </row>
    <row r="973" spans="1:29" s="577" customFormat="1" ht="15" customHeight="1">
      <c r="A973" s="561" t="s">
        <v>823</v>
      </c>
      <c r="B973" s="562" t="s">
        <v>7101</v>
      </c>
      <c r="C973" s="563" t="s">
        <v>188</v>
      </c>
      <c r="D973" s="738" t="s">
        <v>8478</v>
      </c>
      <c r="E973" s="561" t="s">
        <v>3801</v>
      </c>
      <c r="F973" s="561" t="s">
        <v>8123</v>
      </c>
      <c r="G973" s="561" t="s">
        <v>165</v>
      </c>
      <c r="H973" s="564" t="s">
        <v>8584</v>
      </c>
      <c r="I973" s="565" t="e">
        <f>VLOOKUP(H973,'合同高级查询数据-10月新返回合同'!A:A,1,0)</f>
        <v>#N/A</v>
      </c>
      <c r="J973" s="566" t="s">
        <v>3724</v>
      </c>
      <c r="K973" s="561" t="s">
        <v>649</v>
      </c>
      <c r="L973" s="564" t="s">
        <v>8588</v>
      </c>
      <c r="M973" s="561" t="s">
        <v>8586</v>
      </c>
      <c r="N973" s="567" t="s">
        <v>4160</v>
      </c>
      <c r="O973" s="561" t="s">
        <v>4397</v>
      </c>
      <c r="P973" s="638">
        <v>4500</v>
      </c>
      <c r="Q973" s="720">
        <v>0</v>
      </c>
      <c r="R973" s="639">
        <f t="shared" si="60"/>
        <v>0</v>
      </c>
      <c r="S973" s="570">
        <v>202310</v>
      </c>
      <c r="T973" s="744" t="s">
        <v>8587</v>
      </c>
      <c r="U973" s="571"/>
      <c r="V973" s="721">
        <v>0</v>
      </c>
      <c r="W973" s="721"/>
      <c r="X973" s="574">
        <v>45017</v>
      </c>
      <c r="Y973" s="574">
        <v>45382</v>
      </c>
      <c r="Z973" s="723"/>
      <c r="AA973" s="691">
        <v>0</v>
      </c>
      <c r="AB973" s="713">
        <v>0</v>
      </c>
      <c r="AC973" s="713">
        <f t="shared" si="59"/>
        <v>0</v>
      </c>
    </row>
    <row r="974" spans="1:29" s="577" customFormat="1" ht="15" customHeight="1">
      <c r="A974" s="561" t="s">
        <v>813</v>
      </c>
      <c r="B974" s="562" t="s">
        <v>7101</v>
      </c>
      <c r="C974" s="563" t="s">
        <v>887</v>
      </c>
      <c r="D974" s="738" t="s">
        <v>8478</v>
      </c>
      <c r="E974" s="561" t="s">
        <v>3801</v>
      </c>
      <c r="F974" s="561" t="s">
        <v>8123</v>
      </c>
      <c r="G974" s="561" t="s">
        <v>165</v>
      </c>
      <c r="H974" s="564" t="s">
        <v>8589</v>
      </c>
      <c r="I974" s="565" t="e">
        <f>VLOOKUP(H974,'合同高级查询数据-10月新返回合同'!A:A,1,0)</f>
        <v>#N/A</v>
      </c>
      <c r="J974" s="566" t="s">
        <v>3724</v>
      </c>
      <c r="K974" s="561" t="s">
        <v>7225</v>
      </c>
      <c r="L974" s="564" t="s">
        <v>8590</v>
      </c>
      <c r="M974" s="561" t="s">
        <v>8591</v>
      </c>
      <c r="N974" s="567" t="s">
        <v>8592</v>
      </c>
      <c r="O974" s="561" t="s">
        <v>4170</v>
      </c>
      <c r="P974" s="638">
        <v>4700</v>
      </c>
      <c r="Q974" s="720">
        <v>0</v>
      </c>
      <c r="R974" s="639">
        <f t="shared" si="60"/>
        <v>0</v>
      </c>
      <c r="S974" s="570">
        <v>202310</v>
      </c>
      <c r="T974" s="745" t="s">
        <v>8593</v>
      </c>
      <c r="U974" s="571"/>
      <c r="V974" s="721">
        <v>0</v>
      </c>
      <c r="W974" s="721"/>
      <c r="X974" s="574">
        <v>44774</v>
      </c>
      <c r="Y974" s="574">
        <v>45016</v>
      </c>
      <c r="Z974" s="723"/>
      <c r="AA974" s="691">
        <v>0</v>
      </c>
      <c r="AB974" s="713">
        <v>0</v>
      </c>
      <c r="AC974" s="713">
        <f t="shared" si="59"/>
        <v>0</v>
      </c>
    </row>
    <row r="975" spans="1:29" s="577" customFormat="1" ht="15" customHeight="1">
      <c r="A975" s="561" t="s">
        <v>823</v>
      </c>
      <c r="B975" s="562" t="s">
        <v>7101</v>
      </c>
      <c r="C975" s="563" t="s">
        <v>814</v>
      </c>
      <c r="D975" s="738" t="s">
        <v>8478</v>
      </c>
      <c r="E975" s="561" t="s">
        <v>3801</v>
      </c>
      <c r="F975" s="561" t="s">
        <v>8123</v>
      </c>
      <c r="G975" s="561" t="s">
        <v>165</v>
      </c>
      <c r="H975" s="564" t="s">
        <v>8594</v>
      </c>
      <c r="I975" s="565" t="e">
        <f>VLOOKUP(H975,'合同高级查询数据-10月新返回合同'!A:A,1,0)</f>
        <v>#N/A</v>
      </c>
      <c r="J975" s="566" t="s">
        <v>3724</v>
      </c>
      <c r="K975" s="561" t="s">
        <v>1491</v>
      </c>
      <c r="L975" s="564" t="s">
        <v>8595</v>
      </c>
      <c r="M975" s="561" t="s">
        <v>8596</v>
      </c>
      <c r="N975" s="567" t="s">
        <v>8597</v>
      </c>
      <c r="O975" s="561" t="s">
        <v>4170</v>
      </c>
      <c r="P975" s="638">
        <v>4600</v>
      </c>
      <c r="Q975" s="720">
        <v>0</v>
      </c>
      <c r="R975" s="639">
        <f t="shared" si="60"/>
        <v>0</v>
      </c>
      <c r="S975" s="570">
        <v>202310</v>
      </c>
      <c r="T975" s="745" t="s">
        <v>8598</v>
      </c>
      <c r="U975" s="571"/>
      <c r="V975" s="721">
        <v>0</v>
      </c>
      <c r="W975" s="721"/>
      <c r="X975" s="574">
        <v>44774</v>
      </c>
      <c r="Y975" s="574">
        <v>45016</v>
      </c>
      <c r="Z975" s="723"/>
      <c r="AA975" s="691">
        <v>0</v>
      </c>
      <c r="AB975" s="713">
        <v>0</v>
      </c>
      <c r="AC975" s="713">
        <f t="shared" si="59"/>
        <v>0</v>
      </c>
    </row>
    <row r="976" spans="1:29" s="577" customFormat="1" ht="15" customHeight="1">
      <c r="A976" s="561" t="s">
        <v>823</v>
      </c>
      <c r="B976" s="562" t="s">
        <v>7101</v>
      </c>
      <c r="C976" s="563" t="s">
        <v>6335</v>
      </c>
      <c r="D976" s="738" t="s">
        <v>8478</v>
      </c>
      <c r="E976" s="561" t="s">
        <v>3801</v>
      </c>
      <c r="F976" s="561" t="s">
        <v>8123</v>
      </c>
      <c r="G976" s="561" t="s">
        <v>165</v>
      </c>
      <c r="H976" s="564" t="s">
        <v>8599</v>
      </c>
      <c r="I976" s="565" t="e">
        <f>VLOOKUP(H976,'合同高级查询数据-10月新返回合同'!A:A,1,0)</f>
        <v>#N/A</v>
      </c>
      <c r="J976" s="566" t="s">
        <v>3724</v>
      </c>
      <c r="K976" s="561" t="s">
        <v>8600</v>
      </c>
      <c r="L976" s="564" t="s">
        <v>8601</v>
      </c>
      <c r="M976" s="561" t="s">
        <v>8602</v>
      </c>
      <c r="N976" s="567" t="s">
        <v>8603</v>
      </c>
      <c r="O976" s="561" t="s">
        <v>4170</v>
      </c>
      <c r="P976" s="638">
        <v>4500</v>
      </c>
      <c r="Q976" s="720">
        <v>0</v>
      </c>
      <c r="R976" s="639">
        <f t="shared" si="60"/>
        <v>0</v>
      </c>
      <c r="S976" s="570">
        <v>202310</v>
      </c>
      <c r="T976" s="745" t="s">
        <v>8604</v>
      </c>
      <c r="U976" s="571"/>
      <c r="V976" s="721">
        <v>0</v>
      </c>
      <c r="W976" s="721"/>
      <c r="X976" s="574">
        <v>44774</v>
      </c>
      <c r="Y976" s="574">
        <v>45016</v>
      </c>
      <c r="Z976" s="723"/>
      <c r="AA976" s="691">
        <v>0</v>
      </c>
      <c r="AB976" s="713">
        <v>0</v>
      </c>
      <c r="AC976" s="713">
        <f t="shared" si="59"/>
        <v>0</v>
      </c>
    </row>
    <row r="977" spans="1:29" s="577" customFormat="1" ht="15" customHeight="1">
      <c r="A977" s="561" t="s">
        <v>813</v>
      </c>
      <c r="B977" s="562" t="s">
        <v>7101</v>
      </c>
      <c r="C977" s="563" t="s">
        <v>4721</v>
      </c>
      <c r="D977" s="738" t="s">
        <v>8478</v>
      </c>
      <c r="E977" s="561" t="s">
        <v>3801</v>
      </c>
      <c r="F977" s="561" t="s">
        <v>8123</v>
      </c>
      <c r="G977" s="561" t="s">
        <v>165</v>
      </c>
      <c r="H977" s="561" t="s">
        <v>8605</v>
      </c>
      <c r="I977" s="565" t="e">
        <f>VLOOKUP(H977,'合同高级查询数据-10月新返回合同'!A:A,1,0)</f>
        <v>#N/A</v>
      </c>
      <c r="J977" s="566" t="s">
        <v>3724</v>
      </c>
      <c r="K977" s="561" t="s">
        <v>8606</v>
      </c>
      <c r="L977" s="564" t="s">
        <v>8607</v>
      </c>
      <c r="M977" s="561" t="s">
        <v>8608</v>
      </c>
      <c r="N977" s="567">
        <v>44774</v>
      </c>
      <c r="O977" s="561" t="s">
        <v>2509</v>
      </c>
      <c r="P977" s="638">
        <v>4600</v>
      </c>
      <c r="Q977" s="720">
        <v>0.7</v>
      </c>
      <c r="R977" s="639">
        <f t="shared" si="60"/>
        <v>3220</v>
      </c>
      <c r="S977" s="570">
        <v>202310</v>
      </c>
      <c r="T977" s="744" t="s">
        <v>8609</v>
      </c>
      <c r="U977" s="571"/>
      <c r="V977" s="721">
        <v>0.63121926799999994</v>
      </c>
      <c r="W977" s="721"/>
      <c r="X977" s="574">
        <v>45017</v>
      </c>
      <c r="Y977" s="574">
        <v>45382</v>
      </c>
      <c r="Z977" s="561" t="s">
        <v>8610</v>
      </c>
      <c r="AA977" s="683">
        <v>0</v>
      </c>
      <c r="AB977" s="582">
        <v>10</v>
      </c>
      <c r="AC977" s="713">
        <f t="shared" si="59"/>
        <v>0</v>
      </c>
    </row>
    <row r="978" spans="1:29" s="577" customFormat="1" ht="15" customHeight="1">
      <c r="A978" s="561" t="s">
        <v>823</v>
      </c>
      <c r="B978" s="562" t="s">
        <v>7101</v>
      </c>
      <c r="C978" s="563" t="s">
        <v>5529</v>
      </c>
      <c r="D978" s="738" t="s">
        <v>8478</v>
      </c>
      <c r="E978" s="561" t="s">
        <v>3801</v>
      </c>
      <c r="F978" s="561" t="s">
        <v>8123</v>
      </c>
      <c r="G978" s="561" t="s">
        <v>165</v>
      </c>
      <c r="H978" s="564" t="s">
        <v>8611</v>
      </c>
      <c r="I978" s="565" t="e">
        <f>VLOOKUP(H978,'合同高级查询数据-10月新返回合同'!A:A,1,0)</f>
        <v>#N/A</v>
      </c>
      <c r="J978" s="566" t="s">
        <v>3724</v>
      </c>
      <c r="K978" s="561" t="s">
        <v>5828</v>
      </c>
      <c r="L978" s="564" t="s">
        <v>8612</v>
      </c>
      <c r="M978" s="561" t="s">
        <v>8613</v>
      </c>
      <c r="N978" s="567" t="s">
        <v>8374</v>
      </c>
      <c r="O978" s="561" t="s">
        <v>4397</v>
      </c>
      <c r="P978" s="638">
        <v>4500</v>
      </c>
      <c r="Q978" s="720">
        <v>0</v>
      </c>
      <c r="R978" s="639">
        <f t="shared" si="60"/>
        <v>0</v>
      </c>
      <c r="S978" s="570">
        <v>202310</v>
      </c>
      <c r="T978" s="744" t="s">
        <v>8609</v>
      </c>
      <c r="U978" s="571"/>
      <c r="V978" s="721">
        <v>0</v>
      </c>
      <c r="W978" s="721"/>
      <c r="X978" s="574">
        <v>45017</v>
      </c>
      <c r="Y978" s="574">
        <v>45382</v>
      </c>
      <c r="Z978" s="723"/>
      <c r="AA978" s="691">
        <v>0</v>
      </c>
      <c r="AB978" s="713">
        <v>0</v>
      </c>
      <c r="AC978" s="713">
        <f t="shared" si="59"/>
        <v>0</v>
      </c>
    </row>
    <row r="979" spans="1:29" s="577" customFormat="1" ht="15" customHeight="1">
      <c r="A979" s="561" t="s">
        <v>813</v>
      </c>
      <c r="B979" s="562" t="s">
        <v>7101</v>
      </c>
      <c r="C979" s="563" t="s">
        <v>887</v>
      </c>
      <c r="D979" s="738" t="s">
        <v>8478</v>
      </c>
      <c r="E979" s="561" t="s">
        <v>3801</v>
      </c>
      <c r="F979" s="561" t="s">
        <v>8123</v>
      </c>
      <c r="G979" s="561" t="s">
        <v>165</v>
      </c>
      <c r="H979" s="564" t="s">
        <v>8614</v>
      </c>
      <c r="I979" s="565" t="e">
        <f>VLOOKUP(H979,'合同高级查询数据-10月新返回合同'!A:A,1,0)</f>
        <v>#N/A</v>
      </c>
      <c r="J979" s="566" t="s">
        <v>3724</v>
      </c>
      <c r="K979" s="561" t="s">
        <v>7225</v>
      </c>
      <c r="L979" s="564" t="s">
        <v>8615</v>
      </c>
      <c r="M979" s="561" t="s">
        <v>8616</v>
      </c>
      <c r="N979" s="567" t="s">
        <v>8617</v>
      </c>
      <c r="O979" s="561" t="s">
        <v>4170</v>
      </c>
      <c r="P979" s="638">
        <v>4700</v>
      </c>
      <c r="Q979" s="720">
        <v>0</v>
      </c>
      <c r="R979" s="639">
        <f t="shared" si="60"/>
        <v>0</v>
      </c>
      <c r="S979" s="570">
        <v>202310</v>
      </c>
      <c r="T979" s="745" t="s">
        <v>8618</v>
      </c>
      <c r="U979" s="571"/>
      <c r="V979" s="721">
        <v>0</v>
      </c>
      <c r="W979" s="721"/>
      <c r="X979" s="574">
        <v>44775</v>
      </c>
      <c r="Y979" s="574">
        <v>45016</v>
      </c>
      <c r="Z979" s="723"/>
      <c r="AA979" s="691">
        <v>0</v>
      </c>
      <c r="AB979" s="713">
        <v>0</v>
      </c>
      <c r="AC979" s="713">
        <f t="shared" si="59"/>
        <v>0</v>
      </c>
    </row>
    <row r="980" spans="1:29" s="577" customFormat="1" ht="15" customHeight="1">
      <c r="A980" s="561" t="s">
        <v>823</v>
      </c>
      <c r="B980" s="562" t="s">
        <v>7101</v>
      </c>
      <c r="C980" s="563" t="s">
        <v>188</v>
      </c>
      <c r="D980" s="738" t="s">
        <v>8478</v>
      </c>
      <c r="E980" s="561" t="s">
        <v>3801</v>
      </c>
      <c r="F980" s="561" t="s">
        <v>8123</v>
      </c>
      <c r="G980" s="561" t="s">
        <v>165</v>
      </c>
      <c r="H980" s="564" t="s">
        <v>8619</v>
      </c>
      <c r="I980" s="565" t="e">
        <f>VLOOKUP(H980,'合同高级查询数据-10月新返回合同'!A:A,1,0)</f>
        <v>#N/A</v>
      </c>
      <c r="J980" s="566" t="s">
        <v>3724</v>
      </c>
      <c r="K980" s="561" t="s">
        <v>649</v>
      </c>
      <c r="L980" s="564" t="s">
        <v>8620</v>
      </c>
      <c r="M980" s="561" t="s">
        <v>8586</v>
      </c>
      <c r="N980" s="567" t="s">
        <v>8621</v>
      </c>
      <c r="O980" s="561" t="s">
        <v>4397</v>
      </c>
      <c r="P980" s="638">
        <v>4500</v>
      </c>
      <c r="Q980" s="720">
        <v>0</v>
      </c>
      <c r="R980" s="639">
        <f t="shared" si="60"/>
        <v>0</v>
      </c>
      <c r="S980" s="570">
        <v>202310</v>
      </c>
      <c r="T980" s="744" t="s">
        <v>8622</v>
      </c>
      <c r="U980" s="571"/>
      <c r="V980" s="721">
        <v>0</v>
      </c>
      <c r="W980" s="721"/>
      <c r="X980" s="574">
        <v>45017</v>
      </c>
      <c r="Y980" s="574">
        <v>45382</v>
      </c>
      <c r="Z980" s="723"/>
      <c r="AA980" s="691">
        <v>0</v>
      </c>
      <c r="AB980" s="713">
        <v>0</v>
      </c>
      <c r="AC980" s="713">
        <f t="shared" si="59"/>
        <v>0</v>
      </c>
    </row>
    <row r="981" spans="1:29" s="577" customFormat="1" ht="15" customHeight="1">
      <c r="A981" s="561" t="s">
        <v>829</v>
      </c>
      <c r="B981" s="562" t="s">
        <v>7101</v>
      </c>
      <c r="C981" s="563" t="s">
        <v>5501</v>
      </c>
      <c r="D981" s="738" t="s">
        <v>8478</v>
      </c>
      <c r="E981" s="561" t="s">
        <v>3801</v>
      </c>
      <c r="F981" s="561" t="s">
        <v>8123</v>
      </c>
      <c r="G981" s="561" t="s">
        <v>165</v>
      </c>
      <c r="H981" s="564" t="s">
        <v>8623</v>
      </c>
      <c r="I981" s="565" t="e">
        <f>VLOOKUP(H981,'合同高级查询数据-10月新返回合同'!A:A,1,0)</f>
        <v>#N/A</v>
      </c>
      <c r="J981" s="566" t="s">
        <v>3724</v>
      </c>
      <c r="K981" s="561" t="s">
        <v>5505</v>
      </c>
      <c r="L981" s="564" t="s">
        <v>8624</v>
      </c>
      <c r="M981" s="561" t="s">
        <v>8625</v>
      </c>
      <c r="N981" s="567" t="s">
        <v>8626</v>
      </c>
      <c r="O981" s="561" t="s">
        <v>4397</v>
      </c>
      <c r="P981" s="638">
        <v>4800</v>
      </c>
      <c r="Q981" s="720">
        <v>0</v>
      </c>
      <c r="R981" s="639">
        <f t="shared" si="60"/>
        <v>0</v>
      </c>
      <c r="S981" s="570">
        <v>202310</v>
      </c>
      <c r="T981" s="744" t="s">
        <v>8627</v>
      </c>
      <c r="U981" s="571"/>
      <c r="V981" s="721">
        <v>0</v>
      </c>
      <c r="W981" s="721"/>
      <c r="X981" s="574">
        <v>45017</v>
      </c>
      <c r="Y981" s="574">
        <v>45382</v>
      </c>
      <c r="Z981" s="723"/>
      <c r="AA981" s="691">
        <v>0</v>
      </c>
      <c r="AB981" s="713">
        <v>0</v>
      </c>
      <c r="AC981" s="713">
        <f t="shared" si="59"/>
        <v>0</v>
      </c>
    </row>
    <row r="982" spans="1:29" s="577" customFormat="1" ht="15" customHeight="1">
      <c r="A982" s="561" t="s">
        <v>829</v>
      </c>
      <c r="B982" s="562" t="s">
        <v>7101</v>
      </c>
      <c r="C982" s="563" t="s">
        <v>5501</v>
      </c>
      <c r="D982" s="738" t="s">
        <v>8478</v>
      </c>
      <c r="E982" s="561" t="s">
        <v>3801</v>
      </c>
      <c r="F982" s="561" t="s">
        <v>8123</v>
      </c>
      <c r="G982" s="561" t="s">
        <v>165</v>
      </c>
      <c r="H982" s="564" t="s">
        <v>8623</v>
      </c>
      <c r="I982" s="565" t="e">
        <f>VLOOKUP(H982,'合同高级查询数据-10月新返回合同'!A:A,1,0)</f>
        <v>#N/A</v>
      </c>
      <c r="J982" s="566" t="s">
        <v>3724</v>
      </c>
      <c r="K982" s="561" t="s">
        <v>5505</v>
      </c>
      <c r="L982" s="564" t="s">
        <v>8628</v>
      </c>
      <c r="M982" s="561" t="s">
        <v>8625</v>
      </c>
      <c r="N982" s="567" t="s">
        <v>8626</v>
      </c>
      <c r="O982" s="561" t="s">
        <v>4397</v>
      </c>
      <c r="P982" s="638">
        <v>4800</v>
      </c>
      <c r="Q982" s="720">
        <v>0</v>
      </c>
      <c r="R982" s="639">
        <f t="shared" si="60"/>
        <v>0</v>
      </c>
      <c r="S982" s="570">
        <v>202310</v>
      </c>
      <c r="T982" s="744" t="s">
        <v>8627</v>
      </c>
      <c r="U982" s="571"/>
      <c r="V982" s="721">
        <v>0</v>
      </c>
      <c r="W982" s="721"/>
      <c r="X982" s="574">
        <v>45017</v>
      </c>
      <c r="Y982" s="574">
        <v>45382</v>
      </c>
      <c r="Z982" s="723"/>
      <c r="AA982" s="691">
        <v>0</v>
      </c>
      <c r="AB982" s="713">
        <v>0</v>
      </c>
      <c r="AC982" s="713">
        <f t="shared" si="59"/>
        <v>0</v>
      </c>
    </row>
    <row r="983" spans="1:29" s="577" customFormat="1" ht="15" customHeight="1">
      <c r="A983" s="561" t="s">
        <v>823</v>
      </c>
      <c r="B983" s="562" t="s">
        <v>7101</v>
      </c>
      <c r="C983" s="563" t="s">
        <v>6352</v>
      </c>
      <c r="D983" s="738" t="s">
        <v>8478</v>
      </c>
      <c r="E983" s="561" t="s">
        <v>3801</v>
      </c>
      <c r="F983" s="561" t="s">
        <v>8123</v>
      </c>
      <c r="G983" s="561" t="s">
        <v>165</v>
      </c>
      <c r="H983" s="564" t="s">
        <v>8629</v>
      </c>
      <c r="I983" s="565" t="e">
        <f>VLOOKUP(H983,'合同高级查询数据-10月新返回合同'!A:A,1,0)</f>
        <v>#N/A</v>
      </c>
      <c r="J983" s="566" t="s">
        <v>3724</v>
      </c>
      <c r="K983" s="561" t="s">
        <v>6356</v>
      </c>
      <c r="L983" s="564" t="s">
        <v>8630</v>
      </c>
      <c r="M983" s="561" t="s">
        <v>8631</v>
      </c>
      <c r="N983" s="567">
        <v>44805</v>
      </c>
      <c r="O983" s="561" t="s">
        <v>2509</v>
      </c>
      <c r="P983" s="638">
        <v>4500</v>
      </c>
      <c r="Q983" s="720">
        <v>0</v>
      </c>
      <c r="R983" s="639">
        <f t="shared" si="60"/>
        <v>0</v>
      </c>
      <c r="S983" s="570">
        <v>202310</v>
      </c>
      <c r="T983" s="744" t="s">
        <v>8632</v>
      </c>
      <c r="U983" s="571"/>
      <c r="V983" s="721">
        <v>0</v>
      </c>
      <c r="W983" s="721"/>
      <c r="X983" s="574">
        <v>45017</v>
      </c>
      <c r="Y983" s="574">
        <v>45382</v>
      </c>
      <c r="Z983" s="561" t="s">
        <v>8633</v>
      </c>
      <c r="AA983" s="683">
        <v>0</v>
      </c>
      <c r="AB983" s="582">
        <v>10</v>
      </c>
      <c r="AC983" s="713">
        <f t="shared" si="59"/>
        <v>0</v>
      </c>
    </row>
    <row r="984" spans="1:29" s="577" customFormat="1" ht="15" customHeight="1">
      <c r="A984" s="561" t="s">
        <v>823</v>
      </c>
      <c r="B984" s="562" t="s">
        <v>7101</v>
      </c>
      <c r="C984" s="563" t="s">
        <v>5529</v>
      </c>
      <c r="D984" s="738" t="s">
        <v>8478</v>
      </c>
      <c r="E984" s="561" t="s">
        <v>3801</v>
      </c>
      <c r="F984" s="561" t="s">
        <v>8123</v>
      </c>
      <c r="G984" s="561" t="s">
        <v>165</v>
      </c>
      <c r="H984" s="564" t="s">
        <v>8611</v>
      </c>
      <c r="I984" s="565" t="e">
        <f>VLOOKUP(H984,'合同高级查询数据-10月新返回合同'!A:A,1,0)</f>
        <v>#N/A</v>
      </c>
      <c r="J984" s="566" t="s">
        <v>3724</v>
      </c>
      <c r="K984" s="561" t="s">
        <v>5828</v>
      </c>
      <c r="L984" s="564" t="s">
        <v>8634</v>
      </c>
      <c r="M984" s="561" t="s">
        <v>8635</v>
      </c>
      <c r="N984" s="567" t="s">
        <v>8636</v>
      </c>
      <c r="O984" s="561" t="s">
        <v>4397</v>
      </c>
      <c r="P984" s="638">
        <v>4500</v>
      </c>
      <c r="Q984" s="720">
        <v>0</v>
      </c>
      <c r="R984" s="639">
        <f t="shared" si="60"/>
        <v>0</v>
      </c>
      <c r="S984" s="570">
        <v>202310</v>
      </c>
      <c r="T984" s="744" t="s">
        <v>8637</v>
      </c>
      <c r="U984" s="571"/>
      <c r="V984" s="721">
        <v>0</v>
      </c>
      <c r="W984" s="721"/>
      <c r="X984" s="574">
        <v>45017</v>
      </c>
      <c r="Y984" s="574">
        <v>45382</v>
      </c>
      <c r="Z984" s="723"/>
      <c r="AA984" s="691">
        <v>0</v>
      </c>
      <c r="AB984" s="713">
        <v>0</v>
      </c>
      <c r="AC984" s="713">
        <f t="shared" si="59"/>
        <v>0</v>
      </c>
    </row>
    <row r="985" spans="1:29" s="577" customFormat="1" ht="15" customHeight="1">
      <c r="A985" s="561" t="s">
        <v>823</v>
      </c>
      <c r="B985" s="562" t="s">
        <v>7101</v>
      </c>
      <c r="C985" s="563" t="s">
        <v>814</v>
      </c>
      <c r="D985" s="738" t="s">
        <v>8478</v>
      </c>
      <c r="E985" s="561" t="s">
        <v>3801</v>
      </c>
      <c r="F985" s="561" t="s">
        <v>8123</v>
      </c>
      <c r="G985" s="561" t="s">
        <v>165</v>
      </c>
      <c r="H985" s="564" t="s">
        <v>8638</v>
      </c>
      <c r="I985" s="565" t="e">
        <f>VLOOKUP(H985,'合同高级查询数据-10月新返回合同'!A:A,1,0)</f>
        <v>#N/A</v>
      </c>
      <c r="J985" s="566" t="s">
        <v>3724</v>
      </c>
      <c r="K985" s="561" t="s">
        <v>1491</v>
      </c>
      <c r="L985" s="564" t="s">
        <v>8639</v>
      </c>
      <c r="M985" s="561" t="s">
        <v>8546</v>
      </c>
      <c r="N985" s="567" t="s">
        <v>4181</v>
      </c>
      <c r="O985" s="561" t="s">
        <v>4170</v>
      </c>
      <c r="P985" s="638">
        <v>4600</v>
      </c>
      <c r="Q985" s="720">
        <v>0</v>
      </c>
      <c r="R985" s="639">
        <f t="shared" si="60"/>
        <v>0</v>
      </c>
      <c r="S985" s="570">
        <v>202310</v>
      </c>
      <c r="T985" s="571" t="s">
        <v>8640</v>
      </c>
      <c r="U985" s="571"/>
      <c r="V985" s="721">
        <v>0</v>
      </c>
      <c r="W985" s="721"/>
      <c r="X985" s="574">
        <v>44805</v>
      </c>
      <c r="Y985" s="574">
        <v>45016</v>
      </c>
      <c r="Z985" s="723"/>
      <c r="AA985" s="691">
        <v>0</v>
      </c>
      <c r="AB985" s="713">
        <v>0</v>
      </c>
      <c r="AC985" s="713">
        <f t="shared" si="59"/>
        <v>0</v>
      </c>
    </row>
    <row r="986" spans="1:29" s="577" customFormat="1" ht="15" customHeight="1">
      <c r="A986" s="561" t="s">
        <v>823</v>
      </c>
      <c r="B986" s="562" t="s">
        <v>7101</v>
      </c>
      <c r="C986" s="563" t="s">
        <v>814</v>
      </c>
      <c r="D986" s="738" t="s">
        <v>8478</v>
      </c>
      <c r="E986" s="561" t="s">
        <v>3801</v>
      </c>
      <c r="F986" s="561" t="s">
        <v>8123</v>
      </c>
      <c r="G986" s="561" t="s">
        <v>165</v>
      </c>
      <c r="H986" s="564" t="s">
        <v>8638</v>
      </c>
      <c r="I986" s="565" t="e">
        <f>VLOOKUP(H986,'合同高级查询数据-10月新返回合同'!A:A,1,0)</f>
        <v>#N/A</v>
      </c>
      <c r="J986" s="566" t="s">
        <v>3724</v>
      </c>
      <c r="K986" s="561" t="s">
        <v>1491</v>
      </c>
      <c r="L986" s="564" t="s">
        <v>8641</v>
      </c>
      <c r="M986" s="561" t="s">
        <v>8546</v>
      </c>
      <c r="N986" s="567" t="s">
        <v>8642</v>
      </c>
      <c r="O986" s="561" t="s">
        <v>4170</v>
      </c>
      <c r="P986" s="638">
        <v>4600</v>
      </c>
      <c r="Q986" s="720">
        <v>0</v>
      </c>
      <c r="R986" s="639">
        <f t="shared" si="60"/>
        <v>0</v>
      </c>
      <c r="S986" s="570">
        <v>202310</v>
      </c>
      <c r="T986" s="571" t="s">
        <v>8643</v>
      </c>
      <c r="U986" s="571"/>
      <c r="V986" s="721">
        <v>0</v>
      </c>
      <c r="W986" s="721"/>
      <c r="X986" s="574">
        <v>44805</v>
      </c>
      <c r="Y986" s="574">
        <v>45016</v>
      </c>
      <c r="Z986" s="723"/>
      <c r="AA986" s="691">
        <v>0</v>
      </c>
      <c r="AB986" s="713">
        <v>0</v>
      </c>
      <c r="AC986" s="713">
        <f t="shared" si="59"/>
        <v>0</v>
      </c>
    </row>
    <row r="987" spans="1:29" s="577" customFormat="1" ht="15" customHeight="1">
      <c r="A987" s="561" t="s">
        <v>823</v>
      </c>
      <c r="B987" s="562" t="s">
        <v>7101</v>
      </c>
      <c r="C987" s="563" t="s">
        <v>814</v>
      </c>
      <c r="D987" s="738" t="s">
        <v>8478</v>
      </c>
      <c r="E987" s="561" t="s">
        <v>3801</v>
      </c>
      <c r="F987" s="561" t="s">
        <v>8123</v>
      </c>
      <c r="G987" s="561" t="s">
        <v>165</v>
      </c>
      <c r="H987" s="564" t="s">
        <v>8638</v>
      </c>
      <c r="I987" s="565" t="e">
        <f>VLOOKUP(H987,'合同高级查询数据-10月新返回合同'!A:A,1,0)</f>
        <v>#N/A</v>
      </c>
      <c r="J987" s="566" t="s">
        <v>3724</v>
      </c>
      <c r="K987" s="561" t="s">
        <v>1491</v>
      </c>
      <c r="L987" s="564" t="s">
        <v>8644</v>
      </c>
      <c r="M987" s="561" t="s">
        <v>8546</v>
      </c>
      <c r="N987" s="567" t="s">
        <v>4181</v>
      </c>
      <c r="O987" s="561" t="s">
        <v>4170</v>
      </c>
      <c r="P987" s="638">
        <v>4600</v>
      </c>
      <c r="Q987" s="720">
        <v>0</v>
      </c>
      <c r="R987" s="639">
        <f t="shared" si="60"/>
        <v>0</v>
      </c>
      <c r="S987" s="570">
        <v>202310</v>
      </c>
      <c r="T987" s="571" t="s">
        <v>8640</v>
      </c>
      <c r="U987" s="571"/>
      <c r="V987" s="721">
        <v>0</v>
      </c>
      <c r="W987" s="721"/>
      <c r="X987" s="574">
        <v>44805</v>
      </c>
      <c r="Y987" s="574">
        <v>45016</v>
      </c>
      <c r="Z987" s="723"/>
      <c r="AA987" s="691">
        <v>0</v>
      </c>
      <c r="AB987" s="713">
        <v>0</v>
      </c>
      <c r="AC987" s="713">
        <f t="shared" si="59"/>
        <v>0</v>
      </c>
    </row>
    <row r="988" spans="1:29" s="577" customFormat="1" ht="15" customHeight="1">
      <c r="A988" s="561" t="s">
        <v>813</v>
      </c>
      <c r="B988" s="562" t="s">
        <v>7101</v>
      </c>
      <c r="C988" s="563" t="s">
        <v>887</v>
      </c>
      <c r="D988" s="738" t="s">
        <v>8478</v>
      </c>
      <c r="E988" s="561" t="s">
        <v>3801</v>
      </c>
      <c r="F988" s="561" t="s">
        <v>8123</v>
      </c>
      <c r="G988" s="561" t="s">
        <v>165</v>
      </c>
      <c r="H988" s="564" t="s">
        <v>8645</v>
      </c>
      <c r="I988" s="565" t="e">
        <f>VLOOKUP(H988,'合同高级查询数据-10月新返回合同'!A:A,1,0)</f>
        <v>#N/A</v>
      </c>
      <c r="J988" s="566" t="s">
        <v>3724</v>
      </c>
      <c r="K988" s="561" t="s">
        <v>2069</v>
      </c>
      <c r="L988" s="564" t="s">
        <v>8646</v>
      </c>
      <c r="M988" s="561" t="s">
        <v>8647</v>
      </c>
      <c r="N988" s="567" t="s">
        <v>8648</v>
      </c>
      <c r="O988" s="561" t="s">
        <v>4170</v>
      </c>
      <c r="P988" s="638">
        <v>4700</v>
      </c>
      <c r="Q988" s="720">
        <v>0</v>
      </c>
      <c r="R988" s="639">
        <f t="shared" si="60"/>
        <v>0</v>
      </c>
      <c r="S988" s="570">
        <v>202310</v>
      </c>
      <c r="T988" s="571" t="s">
        <v>8649</v>
      </c>
      <c r="U988" s="571"/>
      <c r="V988" s="721">
        <v>0</v>
      </c>
      <c r="W988" s="721"/>
      <c r="X988" s="574">
        <v>44805</v>
      </c>
      <c r="Y988" s="574">
        <v>45016</v>
      </c>
      <c r="Z988" s="723"/>
      <c r="AA988" s="691">
        <v>0</v>
      </c>
      <c r="AB988" s="713">
        <v>0</v>
      </c>
      <c r="AC988" s="713">
        <f t="shared" si="59"/>
        <v>0</v>
      </c>
    </row>
    <row r="989" spans="1:29" s="577" customFormat="1" ht="15" customHeight="1">
      <c r="A989" s="561" t="s">
        <v>813</v>
      </c>
      <c r="B989" s="562" t="s">
        <v>7101</v>
      </c>
      <c r="C989" s="563" t="s">
        <v>887</v>
      </c>
      <c r="D989" s="738" t="s">
        <v>8478</v>
      </c>
      <c r="E989" s="561" t="s">
        <v>3801</v>
      </c>
      <c r="F989" s="561" t="s">
        <v>8123</v>
      </c>
      <c r="G989" s="561" t="s">
        <v>165</v>
      </c>
      <c r="H989" s="564" t="s">
        <v>8645</v>
      </c>
      <c r="I989" s="565" t="e">
        <f>VLOOKUP(H989,'合同高级查询数据-10月新返回合同'!A:A,1,0)</f>
        <v>#N/A</v>
      </c>
      <c r="J989" s="566" t="s">
        <v>3724</v>
      </c>
      <c r="K989" s="561" t="s">
        <v>2069</v>
      </c>
      <c r="L989" s="564" t="s">
        <v>8650</v>
      </c>
      <c r="M989" s="561" t="s">
        <v>8647</v>
      </c>
      <c r="N989" s="567" t="s">
        <v>8648</v>
      </c>
      <c r="O989" s="561" t="s">
        <v>4170</v>
      </c>
      <c r="P989" s="638">
        <v>4700</v>
      </c>
      <c r="Q989" s="720">
        <v>0</v>
      </c>
      <c r="R989" s="639">
        <f t="shared" si="60"/>
        <v>0</v>
      </c>
      <c r="S989" s="570">
        <v>202310</v>
      </c>
      <c r="T989" s="571" t="s">
        <v>8649</v>
      </c>
      <c r="U989" s="571"/>
      <c r="V989" s="721">
        <v>0</v>
      </c>
      <c r="W989" s="721"/>
      <c r="X989" s="574">
        <v>44805</v>
      </c>
      <c r="Y989" s="574">
        <v>45016</v>
      </c>
      <c r="Z989" s="723"/>
      <c r="AA989" s="691">
        <v>0</v>
      </c>
      <c r="AB989" s="713">
        <v>0</v>
      </c>
      <c r="AC989" s="713">
        <f t="shared" si="59"/>
        <v>0</v>
      </c>
    </row>
    <row r="990" spans="1:29" s="577" customFormat="1" ht="15" customHeight="1">
      <c r="A990" s="561" t="s">
        <v>813</v>
      </c>
      <c r="B990" s="562" t="s">
        <v>7101</v>
      </c>
      <c r="C990" s="563" t="s">
        <v>887</v>
      </c>
      <c r="D990" s="738" t="s">
        <v>8478</v>
      </c>
      <c r="E990" s="561" t="s">
        <v>3801</v>
      </c>
      <c r="F990" s="561" t="s">
        <v>8123</v>
      </c>
      <c r="G990" s="561" t="s">
        <v>165</v>
      </c>
      <c r="H990" s="564" t="s">
        <v>8651</v>
      </c>
      <c r="I990" s="565" t="e">
        <f>VLOOKUP(H990,'合同高级查询数据-10月新返回合同'!A:A,1,0)</f>
        <v>#N/A</v>
      </c>
      <c r="J990" s="566" t="s">
        <v>3724</v>
      </c>
      <c r="K990" s="561" t="s">
        <v>2069</v>
      </c>
      <c r="L990" s="564" t="s">
        <v>8652</v>
      </c>
      <c r="M990" s="561" t="s">
        <v>8647</v>
      </c>
      <c r="N990" s="567" t="s">
        <v>8648</v>
      </c>
      <c r="O990" s="561" t="s">
        <v>4170</v>
      </c>
      <c r="P990" s="638">
        <v>4700</v>
      </c>
      <c r="Q990" s="720">
        <v>0</v>
      </c>
      <c r="R990" s="639">
        <f t="shared" si="60"/>
        <v>0</v>
      </c>
      <c r="S990" s="570">
        <v>202310</v>
      </c>
      <c r="T990" s="571" t="s">
        <v>8653</v>
      </c>
      <c r="U990" s="571"/>
      <c r="V990" s="721">
        <v>0</v>
      </c>
      <c r="W990" s="721"/>
      <c r="X990" s="574">
        <v>44835</v>
      </c>
      <c r="Y990" s="574">
        <v>45016</v>
      </c>
      <c r="Z990" s="723"/>
      <c r="AA990" s="691">
        <v>0</v>
      </c>
      <c r="AB990" s="713">
        <v>0</v>
      </c>
      <c r="AC990" s="713">
        <f t="shared" si="59"/>
        <v>0</v>
      </c>
    </row>
    <row r="991" spans="1:29" s="577" customFormat="1" ht="15" customHeight="1">
      <c r="A991" s="561" t="s">
        <v>823</v>
      </c>
      <c r="B991" s="562" t="s">
        <v>7101</v>
      </c>
      <c r="C991" s="563" t="s">
        <v>814</v>
      </c>
      <c r="D991" s="738" t="s">
        <v>8478</v>
      </c>
      <c r="E991" s="561" t="s">
        <v>3801</v>
      </c>
      <c r="F991" s="561" t="s">
        <v>8123</v>
      </c>
      <c r="G991" s="561" t="s">
        <v>165</v>
      </c>
      <c r="H991" s="564" t="s">
        <v>8654</v>
      </c>
      <c r="I991" s="565" t="e">
        <f>VLOOKUP(H991,'合同高级查询数据-10月新返回合同'!A:A,1,0)</f>
        <v>#N/A</v>
      </c>
      <c r="J991" s="566" t="s">
        <v>3724</v>
      </c>
      <c r="K991" s="561" t="s">
        <v>2875</v>
      </c>
      <c r="L991" s="564" t="s">
        <v>8655</v>
      </c>
      <c r="M991" s="561" t="s">
        <v>8656</v>
      </c>
      <c r="N991" s="567" t="s">
        <v>8531</v>
      </c>
      <c r="O991" s="561" t="s">
        <v>4170</v>
      </c>
      <c r="P991" s="638">
        <v>4600</v>
      </c>
      <c r="Q991" s="720">
        <v>0</v>
      </c>
      <c r="R991" s="639">
        <f t="shared" si="60"/>
        <v>0</v>
      </c>
      <c r="S991" s="570">
        <v>202310</v>
      </c>
      <c r="T991" s="571" t="s">
        <v>8657</v>
      </c>
      <c r="U991" s="571"/>
      <c r="V991" s="721">
        <v>0</v>
      </c>
      <c r="W991" s="721"/>
      <c r="X991" s="574">
        <v>44805</v>
      </c>
      <c r="Y991" s="574">
        <v>45016</v>
      </c>
      <c r="Z991" s="723"/>
      <c r="AA991" s="691">
        <v>0</v>
      </c>
      <c r="AB991" s="713">
        <v>0</v>
      </c>
      <c r="AC991" s="713">
        <f t="shared" si="59"/>
        <v>0</v>
      </c>
    </row>
    <row r="992" spans="1:29" s="577" customFormat="1" ht="15" customHeight="1">
      <c r="A992" s="561" t="s">
        <v>813</v>
      </c>
      <c r="B992" s="562" t="s">
        <v>7101</v>
      </c>
      <c r="C992" s="563" t="s">
        <v>4721</v>
      </c>
      <c r="D992" s="738" t="s">
        <v>8478</v>
      </c>
      <c r="E992" s="561" t="s">
        <v>3801</v>
      </c>
      <c r="F992" s="561" t="s">
        <v>8123</v>
      </c>
      <c r="G992" s="561" t="s">
        <v>165</v>
      </c>
      <c r="H992" s="564" t="s">
        <v>8658</v>
      </c>
      <c r="I992" s="565" t="e">
        <f>VLOOKUP(H992,'合同高级查询数据-10月新返回合同'!A:A,1,0)</f>
        <v>#N/A</v>
      </c>
      <c r="J992" s="566" t="s">
        <v>3724</v>
      </c>
      <c r="K992" s="561" t="s">
        <v>8606</v>
      </c>
      <c r="L992" s="564" t="s">
        <v>8659</v>
      </c>
      <c r="M992" s="561" t="s">
        <v>8660</v>
      </c>
      <c r="N992" s="567">
        <v>44805</v>
      </c>
      <c r="O992" s="561" t="s">
        <v>2509</v>
      </c>
      <c r="P992" s="638">
        <v>4600</v>
      </c>
      <c r="Q992" s="720">
        <v>0.4</v>
      </c>
      <c r="R992" s="639">
        <f t="shared" si="60"/>
        <v>1840</v>
      </c>
      <c r="S992" s="570">
        <v>202310</v>
      </c>
      <c r="T992" s="746" t="s">
        <v>8637</v>
      </c>
      <c r="U992" s="571"/>
      <c r="V992" s="721">
        <v>0.36696040600000002</v>
      </c>
      <c r="W992" s="721"/>
      <c r="X992" s="574">
        <v>45017</v>
      </c>
      <c r="Y992" s="574">
        <v>45382</v>
      </c>
      <c r="Z992" s="561" t="s">
        <v>8661</v>
      </c>
      <c r="AA992" s="683">
        <v>0</v>
      </c>
      <c r="AB992" s="582">
        <v>10</v>
      </c>
      <c r="AC992" s="713">
        <f t="shared" si="59"/>
        <v>0</v>
      </c>
    </row>
    <row r="993" spans="1:29" s="577" customFormat="1" ht="15" customHeight="1">
      <c r="A993" s="561" t="s">
        <v>829</v>
      </c>
      <c r="B993" s="562" t="s">
        <v>7101</v>
      </c>
      <c r="C993" s="563" t="s">
        <v>5501</v>
      </c>
      <c r="D993" s="738" t="s">
        <v>8478</v>
      </c>
      <c r="E993" s="561" t="s">
        <v>3801</v>
      </c>
      <c r="F993" s="561" t="s">
        <v>8123</v>
      </c>
      <c r="G993" s="561" t="s">
        <v>165</v>
      </c>
      <c r="H993" s="564" t="s">
        <v>8662</v>
      </c>
      <c r="I993" s="565" t="e">
        <f>VLOOKUP(H993,'合同高级查询数据-10月新返回合同'!A:A,1,0)</f>
        <v>#N/A</v>
      </c>
      <c r="J993" s="566" t="s">
        <v>3724</v>
      </c>
      <c r="K993" s="561" t="s">
        <v>5873</v>
      </c>
      <c r="L993" s="564" t="s">
        <v>8663</v>
      </c>
      <c r="M993" s="561" t="s">
        <v>8664</v>
      </c>
      <c r="N993" s="567" t="s">
        <v>8665</v>
      </c>
      <c r="O993" s="561" t="s">
        <v>4397</v>
      </c>
      <c r="P993" s="638">
        <v>4800</v>
      </c>
      <c r="Q993" s="720">
        <v>0</v>
      </c>
      <c r="R993" s="639">
        <f t="shared" si="60"/>
        <v>0</v>
      </c>
      <c r="S993" s="570">
        <v>202310</v>
      </c>
      <c r="T993" s="744" t="s">
        <v>8666</v>
      </c>
      <c r="U993" s="571"/>
      <c r="V993" s="721">
        <v>0</v>
      </c>
      <c r="W993" s="721"/>
      <c r="X993" s="574">
        <v>45017</v>
      </c>
      <c r="Y993" s="574">
        <v>45382</v>
      </c>
      <c r="Z993" s="723"/>
      <c r="AA993" s="691">
        <v>0</v>
      </c>
      <c r="AB993" s="713">
        <v>0</v>
      </c>
      <c r="AC993" s="713">
        <f t="shared" si="59"/>
        <v>0</v>
      </c>
    </row>
    <row r="994" spans="1:29" s="577" customFormat="1" ht="15" customHeight="1">
      <c r="A994" s="561" t="s">
        <v>823</v>
      </c>
      <c r="B994" s="562" t="s">
        <v>7101</v>
      </c>
      <c r="C994" s="563" t="s">
        <v>6335</v>
      </c>
      <c r="D994" s="738" t="s">
        <v>8478</v>
      </c>
      <c r="E994" s="561" t="s">
        <v>3801</v>
      </c>
      <c r="F994" s="561" t="s">
        <v>8123</v>
      </c>
      <c r="G994" s="561" t="s">
        <v>165</v>
      </c>
      <c r="H994" s="561" t="s">
        <v>8667</v>
      </c>
      <c r="I994" s="565" t="e">
        <f>VLOOKUP(H994,'合同高级查询数据-10月新返回合同'!A:A,1,0)</f>
        <v>#N/A</v>
      </c>
      <c r="J994" s="566" t="s">
        <v>3724</v>
      </c>
      <c r="K994" s="561" t="s">
        <v>8668</v>
      </c>
      <c r="L994" s="564" t="s">
        <v>8669</v>
      </c>
      <c r="M994" s="561" t="s">
        <v>8670</v>
      </c>
      <c r="N994" s="567" t="s">
        <v>8671</v>
      </c>
      <c r="O994" s="561" t="s">
        <v>4988</v>
      </c>
      <c r="P994" s="638">
        <v>4600</v>
      </c>
      <c r="Q994" s="720">
        <v>0</v>
      </c>
      <c r="R994" s="639">
        <f t="shared" si="60"/>
        <v>0</v>
      </c>
      <c r="S994" s="570">
        <v>202310</v>
      </c>
      <c r="T994" s="571" t="s">
        <v>8672</v>
      </c>
      <c r="U994" s="571"/>
      <c r="V994" s="721">
        <v>0</v>
      </c>
      <c r="W994" s="721"/>
      <c r="X994" s="574">
        <v>44807</v>
      </c>
      <c r="Y994" s="574">
        <v>45016</v>
      </c>
      <c r="Z994" s="723"/>
      <c r="AA994" s="691">
        <v>0</v>
      </c>
      <c r="AB994" s="713">
        <v>0</v>
      </c>
      <c r="AC994" s="713">
        <f t="shared" si="59"/>
        <v>0</v>
      </c>
    </row>
    <row r="995" spans="1:29" s="577" customFormat="1" ht="15" customHeight="1">
      <c r="A995" s="561" t="s">
        <v>829</v>
      </c>
      <c r="B995" s="562" t="s">
        <v>7101</v>
      </c>
      <c r="C995" s="563" t="s">
        <v>5501</v>
      </c>
      <c r="D995" s="738" t="s">
        <v>8478</v>
      </c>
      <c r="E995" s="561" t="s">
        <v>3801</v>
      </c>
      <c r="F995" s="561" t="s">
        <v>8123</v>
      </c>
      <c r="G995" s="561" t="s">
        <v>165</v>
      </c>
      <c r="H995" s="564" t="s">
        <v>8673</v>
      </c>
      <c r="I995" s="565" t="e">
        <f>VLOOKUP(H995,'合同高级查询数据-10月新返回合同'!A:A,1,0)</f>
        <v>#N/A</v>
      </c>
      <c r="J995" s="566" t="s">
        <v>3724</v>
      </c>
      <c r="K995" s="561" t="s">
        <v>5505</v>
      </c>
      <c r="L995" s="564" t="s">
        <v>8674</v>
      </c>
      <c r="M995" s="561" t="s">
        <v>8625</v>
      </c>
      <c r="N995" s="567">
        <v>44807</v>
      </c>
      <c r="O995" s="561" t="s">
        <v>4066</v>
      </c>
      <c r="P995" s="638">
        <v>5600</v>
      </c>
      <c r="Q995" s="720">
        <v>16.600000000000001</v>
      </c>
      <c r="R995" s="639">
        <f t="shared" si="60"/>
        <v>92960</v>
      </c>
      <c r="S995" s="570">
        <v>202310</v>
      </c>
      <c r="T995" s="744" t="s">
        <v>8675</v>
      </c>
      <c r="U995" s="571"/>
      <c r="V995" s="721">
        <v>16.540576935000001</v>
      </c>
      <c r="W995" s="721"/>
      <c r="X995" s="574">
        <v>45017</v>
      </c>
      <c r="Y995" s="574">
        <v>45382</v>
      </c>
      <c r="Z995" s="561" t="s">
        <v>8676</v>
      </c>
      <c r="AA995" s="683">
        <v>0.3</v>
      </c>
      <c r="AB995" s="582">
        <v>50</v>
      </c>
      <c r="AC995" s="713">
        <f t="shared" si="59"/>
        <v>15</v>
      </c>
    </row>
    <row r="996" spans="1:29" s="385" customFormat="1" ht="15" customHeight="1">
      <c r="A996" s="386" t="s">
        <v>813</v>
      </c>
      <c r="B996" s="387" t="s">
        <v>7101</v>
      </c>
      <c r="C996" s="388" t="s">
        <v>5574</v>
      </c>
      <c r="D996" s="552" t="s">
        <v>8478</v>
      </c>
      <c r="E996" s="386" t="s">
        <v>3801</v>
      </c>
      <c r="F996" s="386" t="s">
        <v>8123</v>
      </c>
      <c r="G996" s="386" t="s">
        <v>165</v>
      </c>
      <c r="H996" s="389" t="s">
        <v>8677</v>
      </c>
      <c r="I996" s="369" t="e">
        <f>VLOOKUP(H996,'合同高级查询数据-10月新返回合同'!A:A,1,0)</f>
        <v>#N/A</v>
      </c>
      <c r="J996" s="390" t="s">
        <v>3724</v>
      </c>
      <c r="K996" s="386" t="s">
        <v>8678</v>
      </c>
      <c r="L996" s="389" t="s">
        <v>8679</v>
      </c>
      <c r="M996" s="386" t="s">
        <v>8680</v>
      </c>
      <c r="N996" s="391" t="s">
        <v>8681</v>
      </c>
      <c r="O996" s="386" t="s">
        <v>4982</v>
      </c>
      <c r="P996" s="446">
        <v>5600</v>
      </c>
      <c r="Q996" s="540">
        <v>0</v>
      </c>
      <c r="R996" s="447">
        <f t="shared" si="60"/>
        <v>0</v>
      </c>
      <c r="S996" s="378">
        <v>202310</v>
      </c>
      <c r="T996" s="394" t="s">
        <v>8682</v>
      </c>
      <c r="U996" s="394"/>
      <c r="V996" s="541">
        <v>0</v>
      </c>
      <c r="W996" s="541"/>
      <c r="X996" s="383"/>
      <c r="Y996" s="383"/>
      <c r="Z996" s="544"/>
      <c r="AA996" s="511">
        <v>0</v>
      </c>
      <c r="AB996" s="448">
        <v>0</v>
      </c>
      <c r="AC996" s="448">
        <f t="shared" si="59"/>
        <v>0</v>
      </c>
    </row>
    <row r="997" spans="1:29" s="577" customFormat="1" ht="15" customHeight="1">
      <c r="A997" s="561" t="s">
        <v>823</v>
      </c>
      <c r="B997" s="562" t="s">
        <v>7101</v>
      </c>
      <c r="C997" s="563" t="s">
        <v>814</v>
      </c>
      <c r="D997" s="738" t="s">
        <v>8478</v>
      </c>
      <c r="E997" s="561" t="s">
        <v>3801</v>
      </c>
      <c r="F997" s="561" t="s">
        <v>8123</v>
      </c>
      <c r="G997" s="561" t="s">
        <v>165</v>
      </c>
      <c r="H997" s="564" t="s">
        <v>8549</v>
      </c>
      <c r="I997" s="565" t="e">
        <f>VLOOKUP(H997,'合同高级查询数据-10月新返回合同'!A:A,1,0)</f>
        <v>#N/A</v>
      </c>
      <c r="J997" s="566" t="s">
        <v>3724</v>
      </c>
      <c r="K997" s="561" t="s">
        <v>1491</v>
      </c>
      <c r="L997" s="564" t="s">
        <v>8683</v>
      </c>
      <c r="M997" s="561" t="s">
        <v>8546</v>
      </c>
      <c r="N997" s="567" t="s">
        <v>8684</v>
      </c>
      <c r="O997" s="561" t="s">
        <v>4170</v>
      </c>
      <c r="P997" s="638">
        <v>4400</v>
      </c>
      <c r="Q997" s="720">
        <v>0</v>
      </c>
      <c r="R997" s="639">
        <f t="shared" si="60"/>
        <v>0</v>
      </c>
      <c r="S997" s="570">
        <v>202310</v>
      </c>
      <c r="T997" s="571" t="s">
        <v>8685</v>
      </c>
      <c r="U997" s="571"/>
      <c r="V997" s="721">
        <v>0</v>
      </c>
      <c r="W997" s="721"/>
      <c r="X997" s="574">
        <v>44652</v>
      </c>
      <c r="Y997" s="574">
        <v>45016</v>
      </c>
      <c r="Z997" s="723"/>
      <c r="AA997" s="691">
        <v>0</v>
      </c>
      <c r="AB997" s="713">
        <v>0</v>
      </c>
      <c r="AC997" s="713">
        <f t="shared" si="59"/>
        <v>0</v>
      </c>
    </row>
    <row r="998" spans="1:29" s="385" customFormat="1" ht="15" customHeight="1">
      <c r="A998" s="386" t="s">
        <v>813</v>
      </c>
      <c r="B998" s="387" t="s">
        <v>7101</v>
      </c>
      <c r="C998" s="388" t="s">
        <v>887</v>
      </c>
      <c r="D998" s="552" t="s">
        <v>8478</v>
      </c>
      <c r="E998" s="386" t="s">
        <v>3801</v>
      </c>
      <c r="F998" s="386" t="s">
        <v>8123</v>
      </c>
      <c r="G998" s="386" t="s">
        <v>165</v>
      </c>
      <c r="H998" s="389" t="s">
        <v>8686</v>
      </c>
      <c r="I998" s="369" t="e">
        <f>VLOOKUP(H998,'合同高级查询数据-10月新返回合同'!A:A,1,0)</f>
        <v>#N/A</v>
      </c>
      <c r="J998" s="390" t="s">
        <v>3724</v>
      </c>
      <c r="K998" s="386" t="s">
        <v>2069</v>
      </c>
      <c r="L998" s="386" t="s">
        <v>8687</v>
      </c>
      <c r="M998" s="386" t="s">
        <v>8688</v>
      </c>
      <c r="N998" s="383" t="s">
        <v>8689</v>
      </c>
      <c r="O998" s="386" t="s">
        <v>4170</v>
      </c>
      <c r="P998" s="446">
        <v>4600</v>
      </c>
      <c r="Q998" s="540">
        <v>0</v>
      </c>
      <c r="R998" s="447">
        <f t="shared" si="60"/>
        <v>0</v>
      </c>
      <c r="S998" s="378">
        <v>202310</v>
      </c>
      <c r="T998" s="394" t="s">
        <v>8690</v>
      </c>
      <c r="U998" s="394"/>
      <c r="V998" s="541">
        <v>0</v>
      </c>
      <c r="W998" s="541"/>
      <c r="X998" s="383"/>
      <c r="Y998" s="383"/>
      <c r="Z998" s="544"/>
      <c r="AA998" s="511">
        <v>0</v>
      </c>
      <c r="AB998" s="448">
        <v>0</v>
      </c>
      <c r="AC998" s="448">
        <f t="shared" si="59"/>
        <v>0</v>
      </c>
    </row>
    <row r="999" spans="1:29" s="385" customFormat="1" ht="15" customHeight="1">
      <c r="A999" s="386" t="s">
        <v>813</v>
      </c>
      <c r="B999" s="387" t="s">
        <v>7101</v>
      </c>
      <c r="C999" s="388" t="s">
        <v>887</v>
      </c>
      <c r="D999" s="552" t="s">
        <v>8478</v>
      </c>
      <c r="E999" s="386" t="s">
        <v>3801</v>
      </c>
      <c r="F999" s="386" t="s">
        <v>8123</v>
      </c>
      <c r="G999" s="386" t="s">
        <v>165</v>
      </c>
      <c r="H999" s="389" t="s">
        <v>8686</v>
      </c>
      <c r="I999" s="369" t="e">
        <f>VLOOKUP(H999,'合同高级查询数据-10月新返回合同'!A:A,1,0)</f>
        <v>#N/A</v>
      </c>
      <c r="J999" s="390" t="s">
        <v>3724</v>
      </c>
      <c r="K999" s="386" t="s">
        <v>2069</v>
      </c>
      <c r="L999" s="386" t="s">
        <v>8691</v>
      </c>
      <c r="M999" s="386" t="s">
        <v>8688</v>
      </c>
      <c r="N999" s="383" t="s">
        <v>8689</v>
      </c>
      <c r="O999" s="386" t="s">
        <v>4170</v>
      </c>
      <c r="P999" s="446">
        <v>4600</v>
      </c>
      <c r="Q999" s="540">
        <v>0</v>
      </c>
      <c r="R999" s="447">
        <f t="shared" si="60"/>
        <v>0</v>
      </c>
      <c r="S999" s="378">
        <v>202310</v>
      </c>
      <c r="T999" s="394" t="s">
        <v>8690</v>
      </c>
      <c r="U999" s="394"/>
      <c r="V999" s="541">
        <v>0</v>
      </c>
      <c r="W999" s="541"/>
      <c r="X999" s="383"/>
      <c r="Y999" s="383"/>
      <c r="Z999" s="544"/>
      <c r="AA999" s="511">
        <v>0</v>
      </c>
      <c r="AB999" s="448">
        <v>0</v>
      </c>
      <c r="AC999" s="448">
        <f t="shared" si="59"/>
        <v>0</v>
      </c>
    </row>
    <row r="1000" spans="1:29" s="385" customFormat="1" ht="15" customHeight="1">
      <c r="A1000" s="386" t="s">
        <v>813</v>
      </c>
      <c r="B1000" s="387" t="s">
        <v>7101</v>
      </c>
      <c r="C1000" s="388" t="s">
        <v>887</v>
      </c>
      <c r="D1000" s="552" t="s">
        <v>8478</v>
      </c>
      <c r="E1000" s="386" t="s">
        <v>3801</v>
      </c>
      <c r="F1000" s="386" t="s">
        <v>8123</v>
      </c>
      <c r="G1000" s="386" t="s">
        <v>165</v>
      </c>
      <c r="H1000" s="386" t="s">
        <v>8692</v>
      </c>
      <c r="I1000" s="369" t="e">
        <f>VLOOKUP(H1000,'合同高级查询数据-10月新返回合同'!A:A,1,0)</f>
        <v>#N/A</v>
      </c>
      <c r="J1000" s="390" t="s">
        <v>3724</v>
      </c>
      <c r="K1000" s="386" t="s">
        <v>2069</v>
      </c>
      <c r="L1000" s="386" t="s">
        <v>8693</v>
      </c>
      <c r="M1000" s="386" t="s">
        <v>8688</v>
      </c>
      <c r="N1000" s="383" t="s">
        <v>8689</v>
      </c>
      <c r="O1000" s="386" t="s">
        <v>4170</v>
      </c>
      <c r="P1000" s="446">
        <v>4600</v>
      </c>
      <c r="Q1000" s="540">
        <v>0</v>
      </c>
      <c r="R1000" s="447">
        <f t="shared" si="60"/>
        <v>0</v>
      </c>
      <c r="S1000" s="378">
        <v>202310</v>
      </c>
      <c r="T1000" s="394" t="s">
        <v>8690</v>
      </c>
      <c r="U1000" s="394"/>
      <c r="V1000" s="541">
        <v>0</v>
      </c>
      <c r="W1000" s="541"/>
      <c r="X1000" s="383"/>
      <c r="Y1000" s="383"/>
      <c r="Z1000" s="544"/>
      <c r="AA1000" s="511">
        <v>0</v>
      </c>
      <c r="AB1000" s="448">
        <v>0</v>
      </c>
      <c r="AC1000" s="448">
        <f t="shared" si="59"/>
        <v>0</v>
      </c>
    </row>
    <row r="1001" spans="1:29" s="577" customFormat="1" ht="15" customHeight="1">
      <c r="A1001" s="563" t="s">
        <v>813</v>
      </c>
      <c r="B1001" s="562" t="s">
        <v>7101</v>
      </c>
      <c r="C1001" s="561" t="s">
        <v>887</v>
      </c>
      <c r="D1001" s="738" t="s">
        <v>8478</v>
      </c>
      <c r="E1001" s="561" t="s">
        <v>3801</v>
      </c>
      <c r="F1001" s="561" t="s">
        <v>8123</v>
      </c>
      <c r="G1001" s="563" t="s">
        <v>165</v>
      </c>
      <c r="H1001" s="561" t="s">
        <v>8694</v>
      </c>
      <c r="I1001" s="565" t="e">
        <f>VLOOKUP(H1001,'合同高级查询数据-10月新返回合同'!A:A,1,0)</f>
        <v>#N/A</v>
      </c>
      <c r="J1001" s="566" t="s">
        <v>3724</v>
      </c>
      <c r="K1001" s="561" t="s">
        <v>7225</v>
      </c>
      <c r="L1001" s="561" t="s">
        <v>8695</v>
      </c>
      <c r="M1001" s="561" t="s">
        <v>8616</v>
      </c>
      <c r="N1001" s="574">
        <v>45023</v>
      </c>
      <c r="O1001" s="561" t="s">
        <v>2509</v>
      </c>
      <c r="P1001" s="579">
        <v>4600</v>
      </c>
      <c r="Q1001" s="720">
        <v>0</v>
      </c>
      <c r="R1001" s="569">
        <f t="shared" si="60"/>
        <v>0</v>
      </c>
      <c r="S1001" s="570">
        <v>202310</v>
      </c>
      <c r="T1001" s="693" t="s">
        <v>8696</v>
      </c>
      <c r="U1001" s="728"/>
      <c r="V1001" s="721">
        <v>0</v>
      </c>
      <c r="W1001" s="721"/>
      <c r="X1001" s="574">
        <v>45023</v>
      </c>
      <c r="Y1001" s="574">
        <v>45382</v>
      </c>
      <c r="Z1001" s="561" t="s">
        <v>8697</v>
      </c>
      <c r="AA1001" s="683">
        <v>0</v>
      </c>
      <c r="AB1001" s="582">
        <v>10</v>
      </c>
      <c r="AC1001" s="713">
        <f t="shared" si="59"/>
        <v>0</v>
      </c>
    </row>
    <row r="1002" spans="1:29" s="577" customFormat="1" ht="15" customHeight="1">
      <c r="A1002" s="563" t="s">
        <v>813</v>
      </c>
      <c r="B1002" s="562" t="s">
        <v>7101</v>
      </c>
      <c r="C1002" s="561" t="s">
        <v>887</v>
      </c>
      <c r="D1002" s="738" t="s">
        <v>8478</v>
      </c>
      <c r="E1002" s="561" t="s">
        <v>3801</v>
      </c>
      <c r="F1002" s="561" t="s">
        <v>8123</v>
      </c>
      <c r="G1002" s="563" t="s">
        <v>165</v>
      </c>
      <c r="H1002" s="561" t="s">
        <v>8694</v>
      </c>
      <c r="I1002" s="565" t="e">
        <f>VLOOKUP(H1002,'合同高级查询数据-10月新返回合同'!A:A,1,0)</f>
        <v>#N/A</v>
      </c>
      <c r="J1002" s="566" t="s">
        <v>3724</v>
      </c>
      <c r="K1002" s="561" t="s">
        <v>7225</v>
      </c>
      <c r="L1002" s="561" t="s">
        <v>8698</v>
      </c>
      <c r="M1002" s="561" t="s">
        <v>8616</v>
      </c>
      <c r="N1002" s="574">
        <v>45023</v>
      </c>
      <c r="O1002" s="561" t="s">
        <v>2509</v>
      </c>
      <c r="P1002" s="579">
        <v>4600</v>
      </c>
      <c r="Q1002" s="720">
        <v>0.4</v>
      </c>
      <c r="R1002" s="569">
        <f t="shared" si="60"/>
        <v>1840</v>
      </c>
      <c r="S1002" s="570">
        <v>202310</v>
      </c>
      <c r="T1002" s="693" t="s">
        <v>8696</v>
      </c>
      <c r="U1002" s="728"/>
      <c r="V1002" s="721">
        <v>0.318322033</v>
      </c>
      <c r="W1002" s="721"/>
      <c r="X1002" s="574">
        <v>45023</v>
      </c>
      <c r="Y1002" s="574">
        <v>45382</v>
      </c>
      <c r="Z1002" s="561" t="s">
        <v>8699</v>
      </c>
      <c r="AA1002" s="683">
        <v>0</v>
      </c>
      <c r="AB1002" s="582">
        <v>10</v>
      </c>
      <c r="AC1002" s="713">
        <f t="shared" si="59"/>
        <v>0</v>
      </c>
    </row>
    <row r="1003" spans="1:29" s="577" customFormat="1" ht="15" customHeight="1">
      <c r="A1003" s="563" t="s">
        <v>813</v>
      </c>
      <c r="B1003" s="562" t="s">
        <v>7101</v>
      </c>
      <c r="C1003" s="561" t="s">
        <v>887</v>
      </c>
      <c r="D1003" s="738" t="s">
        <v>8478</v>
      </c>
      <c r="E1003" s="561" t="s">
        <v>3801</v>
      </c>
      <c r="F1003" s="561" t="s">
        <v>8123</v>
      </c>
      <c r="G1003" s="563" t="s">
        <v>165</v>
      </c>
      <c r="H1003" s="561" t="s">
        <v>8694</v>
      </c>
      <c r="I1003" s="565" t="e">
        <f>VLOOKUP(H1003,'合同高级查询数据-10月新返回合同'!A:A,1,0)</f>
        <v>#N/A</v>
      </c>
      <c r="J1003" s="566" t="s">
        <v>3724</v>
      </c>
      <c r="K1003" s="561" t="s">
        <v>7225</v>
      </c>
      <c r="L1003" s="561" t="s">
        <v>8700</v>
      </c>
      <c r="M1003" s="561" t="s">
        <v>8616</v>
      </c>
      <c r="N1003" s="574">
        <v>45023</v>
      </c>
      <c r="O1003" s="561" t="s">
        <v>2509</v>
      </c>
      <c r="P1003" s="579">
        <v>4600</v>
      </c>
      <c r="Q1003" s="720">
        <v>0.3</v>
      </c>
      <c r="R1003" s="569">
        <f t="shared" si="60"/>
        <v>1380</v>
      </c>
      <c r="S1003" s="570">
        <v>202310</v>
      </c>
      <c r="T1003" s="693" t="s">
        <v>8696</v>
      </c>
      <c r="U1003" s="728"/>
      <c r="V1003" s="721">
        <v>0.25004878600000002</v>
      </c>
      <c r="W1003" s="721"/>
      <c r="X1003" s="574">
        <v>45023</v>
      </c>
      <c r="Y1003" s="574">
        <v>45382</v>
      </c>
      <c r="Z1003" s="561" t="s">
        <v>8701</v>
      </c>
      <c r="AA1003" s="683">
        <v>0</v>
      </c>
      <c r="AB1003" s="582">
        <v>10</v>
      </c>
      <c r="AC1003" s="713">
        <f t="shared" si="59"/>
        <v>0</v>
      </c>
    </row>
    <row r="1004" spans="1:29" s="577" customFormat="1" ht="15" customHeight="1">
      <c r="A1004" s="736" t="s">
        <v>823</v>
      </c>
      <c r="B1004" s="562" t="s">
        <v>7101</v>
      </c>
      <c r="C1004" s="561" t="s">
        <v>7569</v>
      </c>
      <c r="D1004" s="738" t="s">
        <v>8478</v>
      </c>
      <c r="E1004" s="563" t="s">
        <v>8702</v>
      </c>
      <c r="F1004" s="563" t="s">
        <v>8703</v>
      </c>
      <c r="G1004" s="563" t="s">
        <v>165</v>
      </c>
      <c r="H1004" s="561" t="s">
        <v>8704</v>
      </c>
      <c r="I1004" s="565" t="e">
        <f>VLOOKUP(H1004,'合同高级查询数据-10月新返回合同'!A:A,1,0)</f>
        <v>#N/A</v>
      </c>
      <c r="J1004" s="674" t="s">
        <v>3724</v>
      </c>
      <c r="K1004" s="561" t="s">
        <v>6244</v>
      </c>
      <c r="L1004" s="561" t="s">
        <v>8705</v>
      </c>
      <c r="M1004" s="561" t="s">
        <v>8706</v>
      </c>
      <c r="N1004" s="574" t="s">
        <v>8707</v>
      </c>
      <c r="O1004" s="561" t="s">
        <v>5151</v>
      </c>
      <c r="P1004" s="579">
        <v>3700</v>
      </c>
      <c r="Q1004" s="720">
        <v>0</v>
      </c>
      <c r="R1004" s="569">
        <f t="shared" si="60"/>
        <v>0</v>
      </c>
      <c r="S1004" s="570">
        <v>202310</v>
      </c>
      <c r="T1004" s="693" t="s">
        <v>8708</v>
      </c>
      <c r="U1004" s="728"/>
      <c r="V1004" s="721">
        <v>0</v>
      </c>
      <c r="W1004" s="721"/>
      <c r="X1004" s="574">
        <v>44682</v>
      </c>
      <c r="Y1004" s="574">
        <v>44926</v>
      </c>
      <c r="Z1004" s="723"/>
      <c r="AA1004" s="691">
        <v>0</v>
      </c>
      <c r="AB1004" s="713">
        <v>0</v>
      </c>
      <c r="AC1004" s="713">
        <f t="shared" si="59"/>
        <v>0</v>
      </c>
    </row>
    <row r="1005" spans="1:29" s="577" customFormat="1" ht="15" customHeight="1">
      <c r="A1005" s="736" t="s">
        <v>823</v>
      </c>
      <c r="B1005" s="562" t="s">
        <v>7101</v>
      </c>
      <c r="C1005" s="561" t="s">
        <v>4881</v>
      </c>
      <c r="D1005" s="738" t="s">
        <v>8478</v>
      </c>
      <c r="E1005" s="563" t="s">
        <v>8702</v>
      </c>
      <c r="F1005" s="563" t="s">
        <v>8703</v>
      </c>
      <c r="G1005" s="563" t="s">
        <v>165</v>
      </c>
      <c r="H1005" s="561" t="s">
        <v>8704</v>
      </c>
      <c r="I1005" s="565" t="e">
        <f>VLOOKUP(H1005,'合同高级查询数据-10月新返回合同'!A:A,1,0)</f>
        <v>#N/A</v>
      </c>
      <c r="J1005" s="674" t="s">
        <v>3724</v>
      </c>
      <c r="K1005" s="561" t="s">
        <v>8069</v>
      </c>
      <c r="L1005" s="561" t="s">
        <v>8070</v>
      </c>
      <c r="M1005" s="561" t="s">
        <v>8071</v>
      </c>
      <c r="N1005" s="574" t="s">
        <v>8707</v>
      </c>
      <c r="O1005" s="561" t="s">
        <v>5228</v>
      </c>
      <c r="P1005" s="579">
        <v>5600</v>
      </c>
      <c r="Q1005" s="720">
        <v>0</v>
      </c>
      <c r="R1005" s="569">
        <f t="shared" si="60"/>
        <v>0</v>
      </c>
      <c r="S1005" s="570">
        <v>202310</v>
      </c>
      <c r="T1005" s="693" t="s">
        <v>8709</v>
      </c>
      <c r="U1005" s="728"/>
      <c r="V1005" s="721">
        <v>0</v>
      </c>
      <c r="W1005" s="721"/>
      <c r="X1005" s="574">
        <v>44682</v>
      </c>
      <c r="Y1005" s="574">
        <v>44926</v>
      </c>
      <c r="Z1005" s="723"/>
      <c r="AA1005" s="691">
        <v>0</v>
      </c>
      <c r="AB1005" s="713">
        <v>0</v>
      </c>
      <c r="AC1005" s="713">
        <f t="shared" si="59"/>
        <v>0</v>
      </c>
    </row>
    <row r="1006" spans="1:29" s="577" customFormat="1" ht="15" customHeight="1">
      <c r="A1006" s="736" t="s">
        <v>823</v>
      </c>
      <c r="B1006" s="562" t="s">
        <v>7101</v>
      </c>
      <c r="C1006" s="561" t="s">
        <v>6654</v>
      </c>
      <c r="D1006" s="738" t="s">
        <v>4593</v>
      </c>
      <c r="E1006" s="563" t="s">
        <v>8710</v>
      </c>
      <c r="F1006" s="563" t="s">
        <v>8711</v>
      </c>
      <c r="G1006" s="563" t="s">
        <v>165</v>
      </c>
      <c r="H1006" s="561" t="s">
        <v>8712</v>
      </c>
      <c r="I1006" s="565" t="e">
        <f>VLOOKUP(H1006,'合同高级查询数据-10月新返回合同'!A:A,1,0)</f>
        <v>#N/A</v>
      </c>
      <c r="J1006" s="674" t="s">
        <v>3724</v>
      </c>
      <c r="K1006" s="561" t="s">
        <v>6555</v>
      </c>
      <c r="L1006" s="561" t="s">
        <v>8713</v>
      </c>
      <c r="M1006" s="561" t="s">
        <v>8714</v>
      </c>
      <c r="N1006" s="574">
        <v>45078</v>
      </c>
      <c r="O1006" s="561" t="s">
        <v>1542</v>
      </c>
      <c r="P1006" s="579">
        <v>4300</v>
      </c>
      <c r="Q1006" s="720">
        <v>103.2</v>
      </c>
      <c r="R1006" s="569">
        <f t="shared" si="60"/>
        <v>443760</v>
      </c>
      <c r="S1006" s="570">
        <v>202310</v>
      </c>
      <c r="T1006" s="693" t="s">
        <v>8715</v>
      </c>
      <c r="U1006" s="728"/>
      <c r="V1006" s="721">
        <v>103.162239075</v>
      </c>
      <c r="W1006" s="721"/>
      <c r="X1006" s="574">
        <v>45078</v>
      </c>
      <c r="Y1006" s="574">
        <v>45443</v>
      </c>
      <c r="Z1006" s="561" t="s">
        <v>8716</v>
      </c>
      <c r="AA1006" s="683">
        <v>0.4</v>
      </c>
      <c r="AB1006" s="582">
        <v>200</v>
      </c>
      <c r="AC1006" s="743">
        <f t="shared" si="59"/>
        <v>80</v>
      </c>
    </row>
    <row r="1007" spans="1:29" s="577" customFormat="1" ht="15" customHeight="1">
      <c r="A1007" s="736" t="s">
        <v>829</v>
      </c>
      <c r="B1007" s="562" t="s">
        <v>7101</v>
      </c>
      <c r="C1007" s="561" t="s">
        <v>6280</v>
      </c>
      <c r="D1007" s="738" t="s">
        <v>7115</v>
      </c>
      <c r="E1007" s="563" t="s">
        <v>8717</v>
      </c>
      <c r="F1007" s="563" t="s">
        <v>8718</v>
      </c>
      <c r="G1007" s="563" t="s">
        <v>165</v>
      </c>
      <c r="H1007" s="561" t="s">
        <v>8719</v>
      </c>
      <c r="I1007" s="565" t="e">
        <f>VLOOKUP(H1007,'合同高级查询数据-10月新返回合同'!A:A,1,0)</f>
        <v>#N/A</v>
      </c>
      <c r="J1007" s="674" t="s">
        <v>3724</v>
      </c>
      <c r="K1007" s="561" t="s">
        <v>6303</v>
      </c>
      <c r="L1007" s="561" t="s">
        <v>8720</v>
      </c>
      <c r="M1007" s="561" t="s">
        <v>8721</v>
      </c>
      <c r="N1007" s="574">
        <v>45078</v>
      </c>
      <c r="O1007" s="561" t="s">
        <v>5263</v>
      </c>
      <c r="P1007" s="579">
        <v>4167</v>
      </c>
      <c r="Q1007" s="720">
        <v>27.5</v>
      </c>
      <c r="R1007" s="569">
        <f t="shared" si="60"/>
        <v>114592.5</v>
      </c>
      <c r="S1007" s="570">
        <v>202310</v>
      </c>
      <c r="T1007" s="693" t="s">
        <v>8722</v>
      </c>
      <c r="U1007" s="728"/>
      <c r="V1007" s="721">
        <v>27.504562377999999</v>
      </c>
      <c r="W1007" s="721"/>
      <c r="X1007" s="574">
        <v>45078</v>
      </c>
      <c r="Y1007" s="574">
        <v>45443</v>
      </c>
      <c r="Z1007" s="561" t="s">
        <v>8723</v>
      </c>
      <c r="AA1007" s="683">
        <v>0.3</v>
      </c>
      <c r="AB1007" s="582">
        <v>80</v>
      </c>
      <c r="AC1007" s="743">
        <f t="shared" si="59"/>
        <v>24</v>
      </c>
    </row>
    <row r="1008" spans="1:29" s="385" customFormat="1" ht="15" customHeight="1">
      <c r="A1008" s="548" t="s">
        <v>823</v>
      </c>
      <c r="B1008" s="387" t="s">
        <v>7101</v>
      </c>
      <c r="C1008" s="386" t="s">
        <v>814</v>
      </c>
      <c r="D1008" s="552" t="s">
        <v>4593</v>
      </c>
      <c r="E1008" s="388" t="s">
        <v>8724</v>
      </c>
      <c r="F1008" s="388" t="s">
        <v>8725</v>
      </c>
      <c r="G1008" s="388" t="s">
        <v>165</v>
      </c>
      <c r="H1008" s="386" t="s">
        <v>8726</v>
      </c>
      <c r="I1008" s="369" t="e">
        <f>VLOOKUP(H1008,'合同高级查询数据-10月新返回合同'!A:A,1,0)</f>
        <v>#N/A</v>
      </c>
      <c r="J1008" s="499" t="s">
        <v>3724</v>
      </c>
      <c r="K1008" s="386" t="s">
        <v>7953</v>
      </c>
      <c r="L1008" s="386" t="s">
        <v>8727</v>
      </c>
      <c r="M1008" s="386" t="s">
        <v>8728</v>
      </c>
      <c r="N1008" s="383">
        <v>45078</v>
      </c>
      <c r="O1008" s="386" t="s">
        <v>2187</v>
      </c>
      <c r="P1008" s="396">
        <v>4200</v>
      </c>
      <c r="Q1008" s="540">
        <v>51.9</v>
      </c>
      <c r="R1008" s="393">
        <f t="shared" si="60"/>
        <v>217980</v>
      </c>
      <c r="S1008" s="378">
        <v>202310</v>
      </c>
      <c r="T1008" s="514" t="s">
        <v>8729</v>
      </c>
      <c r="U1008" s="547"/>
      <c r="V1008" s="541">
        <v>51.812835692999997</v>
      </c>
      <c r="W1008" s="541"/>
      <c r="X1008" s="383"/>
      <c r="Y1008" s="383"/>
      <c r="Z1008" s="386" t="s">
        <v>8730</v>
      </c>
      <c r="AA1008" s="506">
        <v>0.3</v>
      </c>
      <c r="AB1008" s="410">
        <v>100</v>
      </c>
      <c r="AC1008" s="558">
        <f t="shared" si="59"/>
        <v>30</v>
      </c>
    </row>
    <row r="1009" spans="1:29" s="577" customFormat="1" ht="15" customHeight="1">
      <c r="A1009" s="736" t="s">
        <v>823</v>
      </c>
      <c r="B1009" s="562" t="s">
        <v>7101</v>
      </c>
      <c r="C1009" s="561" t="s">
        <v>838</v>
      </c>
      <c r="D1009" s="738" t="s">
        <v>4593</v>
      </c>
      <c r="E1009" s="563" t="s">
        <v>8731</v>
      </c>
      <c r="F1009" s="563" t="s">
        <v>8732</v>
      </c>
      <c r="G1009" s="563" t="s">
        <v>165</v>
      </c>
      <c r="H1009" s="561" t="s">
        <v>8733</v>
      </c>
      <c r="I1009" s="565" t="e">
        <f>VLOOKUP(H1009,'合同高级查询数据-10月新返回合同'!A:A,1,0)</f>
        <v>#N/A</v>
      </c>
      <c r="J1009" s="674" t="s">
        <v>3724</v>
      </c>
      <c r="K1009" s="561" t="s">
        <v>7359</v>
      </c>
      <c r="L1009" s="561" t="s">
        <v>8734</v>
      </c>
      <c r="M1009" s="561" t="s">
        <v>8735</v>
      </c>
      <c r="N1009" s="574" t="s">
        <v>8736</v>
      </c>
      <c r="O1009" s="561" t="s">
        <v>6675</v>
      </c>
      <c r="P1009" s="579">
        <v>4300</v>
      </c>
      <c r="Q1009" s="720">
        <v>0</v>
      </c>
      <c r="R1009" s="569">
        <f t="shared" si="60"/>
        <v>0</v>
      </c>
      <c r="S1009" s="570">
        <v>202310</v>
      </c>
      <c r="T1009" s="693" t="s">
        <v>8715</v>
      </c>
      <c r="U1009" s="728"/>
      <c r="V1009" s="721">
        <v>0</v>
      </c>
      <c r="W1009" s="721"/>
      <c r="X1009" s="574">
        <v>45078</v>
      </c>
      <c r="Y1009" s="574">
        <v>45443</v>
      </c>
      <c r="Z1009" s="561"/>
      <c r="AA1009" s="683"/>
      <c r="AB1009" s="713">
        <v>0</v>
      </c>
      <c r="AC1009" s="713">
        <v>0</v>
      </c>
    </row>
    <row r="1010" spans="1:29" s="577" customFormat="1" ht="15" customHeight="1">
      <c r="A1010" s="736" t="s">
        <v>829</v>
      </c>
      <c r="B1010" s="562" t="s">
        <v>7101</v>
      </c>
      <c r="C1010" s="561" t="s">
        <v>814</v>
      </c>
      <c r="D1010" s="738" t="s">
        <v>4593</v>
      </c>
      <c r="E1010" s="563" t="s">
        <v>8737</v>
      </c>
      <c r="F1010" s="563" t="s">
        <v>8738</v>
      </c>
      <c r="G1010" s="563" t="s">
        <v>165</v>
      </c>
      <c r="H1010" s="561" t="s">
        <v>8739</v>
      </c>
      <c r="I1010" s="565" t="e">
        <f>VLOOKUP(H1010,'合同高级查询数据-10月新返回合同'!A:A,1,0)</f>
        <v>#N/A</v>
      </c>
      <c r="J1010" s="674" t="s">
        <v>3724</v>
      </c>
      <c r="K1010" s="561" t="s">
        <v>5672</v>
      </c>
      <c r="L1010" s="561" t="s">
        <v>8740</v>
      </c>
      <c r="M1010" s="561" t="s">
        <v>8741</v>
      </c>
      <c r="N1010" s="574">
        <v>45108</v>
      </c>
      <c r="O1010" s="561" t="s">
        <v>2187</v>
      </c>
      <c r="P1010" s="579">
        <v>4600</v>
      </c>
      <c r="Q1010" s="720">
        <v>34.200000000000003</v>
      </c>
      <c r="R1010" s="569">
        <f t="shared" si="60"/>
        <v>157320</v>
      </c>
      <c r="S1010" s="570">
        <v>202310</v>
      </c>
      <c r="T1010" s="693" t="s">
        <v>8742</v>
      </c>
      <c r="U1010" s="728"/>
      <c r="V1010" s="721">
        <v>34.138496398999997</v>
      </c>
      <c r="W1010" s="721"/>
      <c r="X1010" s="574">
        <v>45108</v>
      </c>
      <c r="Y1010" s="574">
        <v>45473</v>
      </c>
      <c r="Z1010" s="561" t="s">
        <v>8743</v>
      </c>
      <c r="AA1010" s="683">
        <v>0.3</v>
      </c>
      <c r="AB1010" s="582">
        <v>100</v>
      </c>
      <c r="AC1010" s="743">
        <f>AA1010*AB1010</f>
        <v>30</v>
      </c>
    </row>
    <row r="1011" spans="1:29" s="385" customFormat="1" ht="15" customHeight="1">
      <c r="A1011" s="388" t="s">
        <v>823</v>
      </c>
      <c r="B1011" s="386" t="s">
        <v>7101</v>
      </c>
      <c r="C1011" s="386" t="s">
        <v>4937</v>
      </c>
      <c r="D1011" s="386" t="s">
        <v>7155</v>
      </c>
      <c r="E1011" s="386" t="s">
        <v>8744</v>
      </c>
      <c r="F1011" s="386" t="s">
        <v>8745</v>
      </c>
      <c r="G1011" s="388" t="s">
        <v>165</v>
      </c>
      <c r="H1011" s="499" t="s">
        <v>8746</v>
      </c>
      <c r="I1011" s="369" t="e">
        <f>VLOOKUP(H1011,'合同高级查询数据-10月新返回合同'!A:A,1,0)</f>
        <v>#N/A</v>
      </c>
      <c r="J1011" s="499" t="s">
        <v>3724</v>
      </c>
      <c r="K1011" s="388" t="s">
        <v>4967</v>
      </c>
      <c r="L1011" s="386" t="s">
        <v>8747</v>
      </c>
      <c r="M1011" s="386" t="s">
        <v>8748</v>
      </c>
      <c r="N1011" s="383" t="s">
        <v>5659</v>
      </c>
      <c r="O1011" s="410" t="s">
        <v>8749</v>
      </c>
      <c r="P1011" s="413">
        <v>4900</v>
      </c>
      <c r="Q1011" s="540">
        <v>118.2</v>
      </c>
      <c r="R1011" s="393">
        <f t="shared" si="60"/>
        <v>579180</v>
      </c>
      <c r="S1011" s="378">
        <v>202310</v>
      </c>
      <c r="T1011" s="514" t="s">
        <v>7533</v>
      </c>
      <c r="U1011" s="386"/>
      <c r="V1011" s="541">
        <v>118.12342834499999</v>
      </c>
      <c r="W1011" s="541"/>
      <c r="X1011" s="383"/>
      <c r="Y1011" s="546"/>
      <c r="Z1011" s="386" t="s">
        <v>8750</v>
      </c>
      <c r="AA1011" s="506">
        <v>0.4</v>
      </c>
      <c r="AB1011" s="410">
        <v>260</v>
      </c>
      <c r="AC1011" s="410">
        <f>AA1011*AB1011</f>
        <v>104</v>
      </c>
    </row>
    <row r="1012" spans="1:29" s="385" customFormat="1" ht="15" customHeight="1">
      <c r="A1012" s="388" t="s">
        <v>823</v>
      </c>
      <c r="B1012" s="386" t="s">
        <v>7101</v>
      </c>
      <c r="C1012" s="386" t="s">
        <v>4937</v>
      </c>
      <c r="D1012" s="386" t="s">
        <v>7155</v>
      </c>
      <c r="E1012" s="386" t="s">
        <v>8744</v>
      </c>
      <c r="F1012" s="386" t="s">
        <v>8745</v>
      </c>
      <c r="G1012" s="388" t="s">
        <v>165</v>
      </c>
      <c r="H1012" s="499" t="s">
        <v>8746</v>
      </c>
      <c r="I1012" s="369" t="e">
        <f>VLOOKUP(H1012,'合同高级查询数据-10月新返回合同'!A:A,1,0)</f>
        <v>#N/A</v>
      </c>
      <c r="J1012" s="499" t="s">
        <v>3724</v>
      </c>
      <c r="K1012" s="388" t="s">
        <v>4967</v>
      </c>
      <c r="L1012" s="386" t="s">
        <v>8751</v>
      </c>
      <c r="M1012" s="386" t="s">
        <v>8748</v>
      </c>
      <c r="N1012" s="383" t="s">
        <v>8752</v>
      </c>
      <c r="O1012" s="410" t="s">
        <v>5151</v>
      </c>
      <c r="P1012" s="413">
        <v>4900</v>
      </c>
      <c r="Q1012" s="540">
        <v>0</v>
      </c>
      <c r="R1012" s="393">
        <f t="shared" si="60"/>
        <v>0</v>
      </c>
      <c r="S1012" s="378">
        <v>202310</v>
      </c>
      <c r="T1012" s="514" t="s">
        <v>8753</v>
      </c>
      <c r="U1012" s="386"/>
      <c r="V1012" s="541">
        <v>0</v>
      </c>
      <c r="W1012" s="386"/>
      <c r="X1012" s="383"/>
      <c r="Y1012" s="546"/>
      <c r="Z1012" s="546"/>
      <c r="AA1012" s="546"/>
      <c r="AB1012" s="546"/>
      <c r="AC1012" s="546"/>
    </row>
    <row r="1013" spans="1:29" s="385" customFormat="1" ht="15" customHeight="1">
      <c r="A1013" s="388" t="s">
        <v>829</v>
      </c>
      <c r="B1013" s="386" t="s">
        <v>7101</v>
      </c>
      <c r="C1013" s="386" t="s">
        <v>6735</v>
      </c>
      <c r="D1013" s="386" t="s">
        <v>7155</v>
      </c>
      <c r="E1013" s="386" t="s">
        <v>8754</v>
      </c>
      <c r="F1013" s="386" t="s">
        <v>8755</v>
      </c>
      <c r="G1013" s="388" t="s">
        <v>165</v>
      </c>
      <c r="H1013" s="499" t="s">
        <v>8756</v>
      </c>
      <c r="I1013" s="369" t="e">
        <f>VLOOKUP(H1013,'合同高级查询数据-10月新返回合同'!A:A,1,0)</f>
        <v>#N/A</v>
      </c>
      <c r="J1013" s="499" t="s">
        <v>3724</v>
      </c>
      <c r="K1013" s="388" t="s">
        <v>6561</v>
      </c>
      <c r="L1013" s="386" t="s">
        <v>8757</v>
      </c>
      <c r="M1013" s="386" t="s">
        <v>8758</v>
      </c>
      <c r="N1013" s="383">
        <v>45170</v>
      </c>
      <c r="O1013" s="410" t="s">
        <v>3847</v>
      </c>
      <c r="P1013" s="413">
        <v>5900</v>
      </c>
      <c r="Q1013" s="540">
        <v>9</v>
      </c>
      <c r="R1013" s="393">
        <f t="shared" si="60"/>
        <v>53100</v>
      </c>
      <c r="S1013" s="378">
        <v>202310</v>
      </c>
      <c r="T1013" s="514" t="s">
        <v>8014</v>
      </c>
      <c r="U1013" s="386"/>
      <c r="V1013" s="541">
        <v>8.9359779360000005</v>
      </c>
      <c r="W1013" s="386"/>
      <c r="X1013" s="383"/>
      <c r="Y1013" s="546"/>
      <c r="Z1013" s="386" t="s">
        <v>8759</v>
      </c>
      <c r="AA1013" s="506">
        <v>0.3</v>
      </c>
      <c r="AB1013" s="410">
        <v>20</v>
      </c>
      <c r="AC1013" s="410">
        <f t="shared" ref="AC1013:AC1076" si="61">AA1013*AB1013</f>
        <v>6</v>
      </c>
    </row>
    <row r="1014" spans="1:29" s="385" customFormat="1" ht="15" customHeight="1">
      <c r="A1014" s="388" t="s">
        <v>813</v>
      </c>
      <c r="B1014" s="386" t="s">
        <v>7101</v>
      </c>
      <c r="C1014" s="386" t="s">
        <v>6735</v>
      </c>
      <c r="D1014" s="386" t="s">
        <v>7155</v>
      </c>
      <c r="E1014" s="386" t="s">
        <v>8754</v>
      </c>
      <c r="F1014" s="386" t="s">
        <v>8755</v>
      </c>
      <c r="G1014" s="388" t="s">
        <v>165</v>
      </c>
      <c r="H1014" s="499" t="s">
        <v>8756</v>
      </c>
      <c r="I1014" s="369" t="e">
        <f>VLOOKUP(H1014,'合同高级查询数据-10月新返回合同'!A:A,1,0)</f>
        <v>#N/A</v>
      </c>
      <c r="J1014" s="499" t="s">
        <v>3724</v>
      </c>
      <c r="K1014" s="388" t="s">
        <v>6561</v>
      </c>
      <c r="L1014" s="386" t="s">
        <v>8760</v>
      </c>
      <c r="M1014" s="386" t="s">
        <v>8758</v>
      </c>
      <c r="N1014" s="383">
        <v>45170</v>
      </c>
      <c r="O1014" s="410" t="s">
        <v>2509</v>
      </c>
      <c r="P1014" s="413">
        <v>5900</v>
      </c>
      <c r="Q1014" s="540">
        <v>4.7</v>
      </c>
      <c r="R1014" s="393">
        <f t="shared" si="60"/>
        <v>27730</v>
      </c>
      <c r="S1014" s="378">
        <v>202310</v>
      </c>
      <c r="T1014" s="514" t="s">
        <v>8017</v>
      </c>
      <c r="U1014" s="386"/>
      <c r="V1014" s="541">
        <v>4.6406664849999997</v>
      </c>
      <c r="W1014" s="386"/>
      <c r="X1014" s="383"/>
      <c r="Y1014" s="546"/>
      <c r="Z1014" s="386" t="s">
        <v>8761</v>
      </c>
      <c r="AA1014" s="506">
        <v>0.3</v>
      </c>
      <c r="AB1014" s="410">
        <v>10</v>
      </c>
      <c r="AC1014" s="410">
        <f t="shared" si="61"/>
        <v>3</v>
      </c>
    </row>
    <row r="1015" spans="1:29" s="385" customFormat="1" ht="15" customHeight="1">
      <c r="A1015" s="388" t="s">
        <v>813</v>
      </c>
      <c r="B1015" s="386" t="s">
        <v>7101</v>
      </c>
      <c r="C1015" s="386" t="s">
        <v>6735</v>
      </c>
      <c r="D1015" s="386" t="s">
        <v>7155</v>
      </c>
      <c r="E1015" s="386" t="s">
        <v>8754</v>
      </c>
      <c r="F1015" s="386" t="s">
        <v>8755</v>
      </c>
      <c r="G1015" s="388" t="s">
        <v>165</v>
      </c>
      <c r="H1015" s="499" t="s">
        <v>8756</v>
      </c>
      <c r="I1015" s="369" t="e">
        <f>VLOOKUP(H1015,'合同高级查询数据-10月新返回合同'!A:A,1,0)</f>
        <v>#N/A</v>
      </c>
      <c r="J1015" s="499" t="s">
        <v>3724</v>
      </c>
      <c r="K1015" s="388" t="s">
        <v>6561</v>
      </c>
      <c r="L1015" s="386" t="s">
        <v>8762</v>
      </c>
      <c r="M1015" s="386" t="s">
        <v>8758</v>
      </c>
      <c r="N1015" s="383">
        <v>45170</v>
      </c>
      <c r="O1015" s="410" t="s">
        <v>3847</v>
      </c>
      <c r="P1015" s="413">
        <v>6000</v>
      </c>
      <c r="Q1015" s="540">
        <v>8.4</v>
      </c>
      <c r="R1015" s="393">
        <f t="shared" si="60"/>
        <v>50400</v>
      </c>
      <c r="S1015" s="378">
        <v>202310</v>
      </c>
      <c r="T1015" s="514" t="s">
        <v>8112</v>
      </c>
      <c r="U1015" s="386"/>
      <c r="V1015" s="541">
        <v>8.3508663179999996</v>
      </c>
      <c r="W1015" s="386"/>
      <c r="X1015" s="383"/>
      <c r="Y1015" s="546"/>
      <c r="Z1015" s="386" t="s">
        <v>8763</v>
      </c>
      <c r="AA1015" s="506">
        <v>0.4</v>
      </c>
      <c r="AB1015" s="410">
        <v>20</v>
      </c>
      <c r="AC1015" s="410">
        <f t="shared" si="61"/>
        <v>8</v>
      </c>
    </row>
    <row r="1016" spans="1:29" s="385" customFormat="1" ht="15" customHeight="1">
      <c r="A1016" s="388" t="s">
        <v>823</v>
      </c>
      <c r="B1016" s="386" t="s">
        <v>7101</v>
      </c>
      <c r="C1016" s="386" t="s">
        <v>5177</v>
      </c>
      <c r="D1016" s="388" t="s">
        <v>7115</v>
      </c>
      <c r="E1016" s="386" t="s">
        <v>8764</v>
      </c>
      <c r="F1016" s="386" t="s">
        <v>8765</v>
      </c>
      <c r="G1016" s="388" t="s">
        <v>165</v>
      </c>
      <c r="H1016" s="499" t="s">
        <v>8766</v>
      </c>
      <c r="I1016" s="369" t="e">
        <f>VLOOKUP(H1016,'合同高级查询数据-10月新返回合同'!A:A,1,0)</f>
        <v>#N/A</v>
      </c>
      <c r="J1016" s="499" t="s">
        <v>3724</v>
      </c>
      <c r="K1016" s="388" t="s">
        <v>5181</v>
      </c>
      <c r="L1016" s="386" t="s">
        <v>8767</v>
      </c>
      <c r="M1016" s="386" t="s">
        <v>8768</v>
      </c>
      <c r="N1016" s="383">
        <v>45170</v>
      </c>
      <c r="O1016" s="410" t="s">
        <v>3847</v>
      </c>
      <c r="P1016" s="413">
        <v>5500</v>
      </c>
      <c r="Q1016" s="540">
        <v>8</v>
      </c>
      <c r="R1016" s="393">
        <f t="shared" si="60"/>
        <v>44000</v>
      </c>
      <c r="S1016" s="378">
        <v>202310</v>
      </c>
      <c r="T1016" s="514" t="s">
        <v>8020</v>
      </c>
      <c r="U1016" s="386"/>
      <c r="V1016" s="541">
        <v>6.815046787</v>
      </c>
      <c r="W1016" s="386"/>
      <c r="X1016" s="383"/>
      <c r="Y1016" s="546"/>
      <c r="Z1016" s="386" t="s">
        <v>8769</v>
      </c>
      <c r="AA1016" s="506">
        <v>0.4</v>
      </c>
      <c r="AB1016" s="410">
        <v>20</v>
      </c>
      <c r="AC1016" s="410">
        <f t="shared" si="61"/>
        <v>8</v>
      </c>
    </row>
    <row r="1017" spans="1:29" s="385" customFormat="1" ht="15" customHeight="1">
      <c r="A1017" s="388" t="s">
        <v>813</v>
      </c>
      <c r="B1017" s="386" t="s">
        <v>7101</v>
      </c>
      <c r="C1017" s="386" t="s">
        <v>5177</v>
      </c>
      <c r="D1017" s="388" t="s">
        <v>7115</v>
      </c>
      <c r="E1017" s="386" t="s">
        <v>8764</v>
      </c>
      <c r="F1017" s="386" t="s">
        <v>8765</v>
      </c>
      <c r="G1017" s="388" t="s">
        <v>165</v>
      </c>
      <c r="H1017" s="499" t="s">
        <v>8766</v>
      </c>
      <c r="I1017" s="369" t="e">
        <f>VLOOKUP(H1017,'合同高级查询数据-10月新返回合同'!A:A,1,0)</f>
        <v>#N/A</v>
      </c>
      <c r="J1017" s="499" t="s">
        <v>3724</v>
      </c>
      <c r="K1017" s="388" t="s">
        <v>5181</v>
      </c>
      <c r="L1017" s="386" t="s">
        <v>8770</v>
      </c>
      <c r="M1017" s="386" t="s">
        <v>8768</v>
      </c>
      <c r="N1017" s="383">
        <v>45170</v>
      </c>
      <c r="O1017" s="410" t="s">
        <v>2509</v>
      </c>
      <c r="P1017" s="413">
        <v>6350</v>
      </c>
      <c r="Q1017" s="540">
        <v>5.0999999999999996</v>
      </c>
      <c r="R1017" s="393">
        <f t="shared" si="60"/>
        <v>32385</v>
      </c>
      <c r="S1017" s="378">
        <v>202310</v>
      </c>
      <c r="T1017" s="514" t="s">
        <v>8017</v>
      </c>
      <c r="U1017" s="386"/>
      <c r="V1017" s="541">
        <v>5.0836806299999999</v>
      </c>
      <c r="W1017" s="386"/>
      <c r="X1017" s="383"/>
      <c r="Y1017" s="546"/>
      <c r="Z1017" s="386" t="s">
        <v>8771</v>
      </c>
      <c r="AA1017" s="506">
        <v>0.3</v>
      </c>
      <c r="AB1017" s="410">
        <v>10</v>
      </c>
      <c r="AC1017" s="410">
        <f t="shared" si="61"/>
        <v>3</v>
      </c>
    </row>
    <row r="1018" spans="1:29" s="385" customFormat="1" ht="15" customHeight="1">
      <c r="A1018" s="388" t="s">
        <v>829</v>
      </c>
      <c r="B1018" s="386" t="s">
        <v>7101</v>
      </c>
      <c r="C1018" s="386" t="s">
        <v>5177</v>
      </c>
      <c r="D1018" s="388" t="s">
        <v>7115</v>
      </c>
      <c r="E1018" s="386" t="s">
        <v>8764</v>
      </c>
      <c r="F1018" s="386" t="s">
        <v>8765</v>
      </c>
      <c r="G1018" s="388" t="s">
        <v>165</v>
      </c>
      <c r="H1018" s="499" t="s">
        <v>8766</v>
      </c>
      <c r="I1018" s="369" t="e">
        <f>VLOOKUP(H1018,'合同高级查询数据-10月新返回合同'!A:A,1,0)</f>
        <v>#N/A</v>
      </c>
      <c r="J1018" s="499" t="s">
        <v>3724</v>
      </c>
      <c r="K1018" s="388" t="s">
        <v>5181</v>
      </c>
      <c r="L1018" s="386" t="s">
        <v>8772</v>
      </c>
      <c r="M1018" s="386" t="s">
        <v>8768</v>
      </c>
      <c r="N1018" s="383">
        <v>45170</v>
      </c>
      <c r="O1018" s="410" t="s">
        <v>3847</v>
      </c>
      <c r="P1018" s="413">
        <v>6450</v>
      </c>
      <c r="Q1018" s="540">
        <v>6.9</v>
      </c>
      <c r="R1018" s="393">
        <f t="shared" si="60"/>
        <v>44505</v>
      </c>
      <c r="S1018" s="378">
        <v>202310</v>
      </c>
      <c r="T1018" s="514" t="s">
        <v>8014</v>
      </c>
      <c r="U1018" s="386"/>
      <c r="V1018" s="541">
        <v>6.8856091499999996</v>
      </c>
      <c r="W1018" s="386"/>
      <c r="X1018" s="383"/>
      <c r="Y1018" s="546"/>
      <c r="Z1018" s="386" t="s">
        <v>8773</v>
      </c>
      <c r="AA1018" s="506">
        <v>0.3</v>
      </c>
      <c r="AB1018" s="410">
        <v>20</v>
      </c>
      <c r="AC1018" s="410">
        <f t="shared" si="61"/>
        <v>6</v>
      </c>
    </row>
    <row r="1019" spans="1:29" s="385" customFormat="1" ht="15" customHeight="1">
      <c r="A1019" s="548" t="s">
        <v>823</v>
      </c>
      <c r="B1019" s="387" t="s">
        <v>7101</v>
      </c>
      <c r="C1019" s="386" t="s">
        <v>838</v>
      </c>
      <c r="D1019" s="552" t="s">
        <v>4593</v>
      </c>
      <c r="E1019" s="388" t="s">
        <v>8774</v>
      </c>
      <c r="F1019" s="388" t="s">
        <v>8775</v>
      </c>
      <c r="G1019" s="388" t="s">
        <v>165</v>
      </c>
      <c r="H1019" s="386" t="s">
        <v>8776</v>
      </c>
      <c r="I1019" s="369" t="e">
        <f>VLOOKUP(H1019,'合同高级查询数据-10月新返回合同'!A:A,1,0)</f>
        <v>#N/A</v>
      </c>
      <c r="J1019" s="499" t="s">
        <v>3724</v>
      </c>
      <c r="K1019" s="386" t="s">
        <v>7359</v>
      </c>
      <c r="L1019" s="386" t="s">
        <v>8734</v>
      </c>
      <c r="M1019" s="386" t="s">
        <v>8735</v>
      </c>
      <c r="N1019" s="383">
        <v>45170</v>
      </c>
      <c r="O1019" s="386" t="s">
        <v>1542</v>
      </c>
      <c r="P1019" s="396">
        <v>4000</v>
      </c>
      <c r="Q1019" s="540">
        <v>101</v>
      </c>
      <c r="R1019" s="393">
        <f t="shared" si="60"/>
        <v>404000</v>
      </c>
      <c r="S1019" s="378">
        <v>202310</v>
      </c>
      <c r="T1019" s="514" t="s">
        <v>7801</v>
      </c>
      <c r="U1019" s="547"/>
      <c r="V1019" s="541">
        <v>100.911842346</v>
      </c>
      <c r="W1019" s="541"/>
      <c r="X1019" s="383"/>
      <c r="Y1019" s="383"/>
      <c r="Z1019" s="386" t="s">
        <v>8777</v>
      </c>
      <c r="AA1019" s="506">
        <v>0.4</v>
      </c>
      <c r="AB1019" s="410">
        <v>200</v>
      </c>
      <c r="AC1019" s="558">
        <f t="shared" si="61"/>
        <v>80</v>
      </c>
    </row>
    <row r="1020" spans="1:29" s="577" customFormat="1" ht="15" customHeight="1">
      <c r="A1020" s="561" t="s">
        <v>57</v>
      </c>
      <c r="B1020" s="562" t="s">
        <v>7101</v>
      </c>
      <c r="C1020" s="563" t="s">
        <v>84</v>
      </c>
      <c r="D1020" s="563" t="s">
        <v>8478</v>
      </c>
      <c r="E1020" s="561" t="s">
        <v>8175</v>
      </c>
      <c r="F1020" s="561" t="s">
        <v>8778</v>
      </c>
      <c r="G1020" s="561" t="s">
        <v>165</v>
      </c>
      <c r="H1020" s="564" t="s">
        <v>8779</v>
      </c>
      <c r="I1020" s="565" t="e">
        <f>VLOOKUP(H1020,'合同高级查询数据-10月新返回合同'!A:A,1,0)</f>
        <v>#N/A</v>
      </c>
      <c r="J1020" s="566" t="s">
        <v>8780</v>
      </c>
      <c r="K1020" s="561"/>
      <c r="L1020" s="564" t="s">
        <v>8781</v>
      </c>
      <c r="M1020" s="561"/>
      <c r="N1020" s="567">
        <v>44348</v>
      </c>
      <c r="O1020" s="561"/>
      <c r="P1020" s="638">
        <v>3300</v>
      </c>
      <c r="Q1020" s="720">
        <v>0</v>
      </c>
      <c r="R1020" s="569">
        <f t="shared" si="60"/>
        <v>0</v>
      </c>
      <c r="S1020" s="570">
        <v>202310</v>
      </c>
      <c r="T1020" s="571" t="s">
        <v>8782</v>
      </c>
      <c r="U1020" s="571"/>
      <c r="V1020" s="747">
        <v>0</v>
      </c>
      <c r="W1020" s="721"/>
      <c r="X1020" s="574">
        <v>45078</v>
      </c>
      <c r="Y1020" s="574">
        <v>45443</v>
      </c>
      <c r="Z1020" s="561" t="s">
        <v>8783</v>
      </c>
      <c r="AA1020" s="683">
        <v>0</v>
      </c>
      <c r="AB1020" s="582">
        <v>0</v>
      </c>
      <c r="AC1020" s="713">
        <f t="shared" si="61"/>
        <v>0</v>
      </c>
    </row>
    <row r="1021" spans="1:29" s="577" customFormat="1" ht="15" customHeight="1">
      <c r="A1021" s="561" t="s">
        <v>57</v>
      </c>
      <c r="B1021" s="562" t="s">
        <v>7101</v>
      </c>
      <c r="C1021" s="563" t="s">
        <v>84</v>
      </c>
      <c r="D1021" s="563" t="s">
        <v>8478</v>
      </c>
      <c r="E1021" s="561" t="s">
        <v>8175</v>
      </c>
      <c r="F1021" s="561" t="s">
        <v>8778</v>
      </c>
      <c r="G1021" s="561" t="s">
        <v>165</v>
      </c>
      <c r="H1021" s="564" t="s">
        <v>8779</v>
      </c>
      <c r="I1021" s="565" t="e">
        <f>VLOOKUP(H1021,'合同高级查询数据-10月新返回合同'!A:A,1,0)</f>
        <v>#N/A</v>
      </c>
      <c r="J1021" s="566" t="s">
        <v>8780</v>
      </c>
      <c r="K1021" s="561" t="s">
        <v>8784</v>
      </c>
      <c r="L1021" s="564" t="s">
        <v>8785</v>
      </c>
      <c r="M1021" s="561"/>
      <c r="N1021" s="567">
        <v>44197</v>
      </c>
      <c r="O1021" s="561"/>
      <c r="P1021" s="638">
        <v>2200</v>
      </c>
      <c r="Q1021" s="720">
        <v>176.04400000000001</v>
      </c>
      <c r="R1021" s="569">
        <f t="shared" si="60"/>
        <v>387296.8</v>
      </c>
      <c r="S1021" s="570">
        <v>202310</v>
      </c>
      <c r="T1021" s="571" t="s">
        <v>8786</v>
      </c>
      <c r="U1021" s="571"/>
      <c r="V1021" s="747">
        <v>176.04397582999999</v>
      </c>
      <c r="W1021" s="721"/>
      <c r="X1021" s="574">
        <v>45078</v>
      </c>
      <c r="Y1021" s="574">
        <v>45443</v>
      </c>
      <c r="Z1021" s="561" t="s">
        <v>8787</v>
      </c>
      <c r="AA1021" s="683">
        <v>0</v>
      </c>
      <c r="AB1021" s="582">
        <v>0</v>
      </c>
      <c r="AC1021" s="713">
        <f t="shared" si="61"/>
        <v>0</v>
      </c>
    </row>
    <row r="1022" spans="1:29" s="577" customFormat="1" ht="15" customHeight="1">
      <c r="A1022" s="561" t="s">
        <v>57</v>
      </c>
      <c r="B1022" s="562" t="s">
        <v>7101</v>
      </c>
      <c r="C1022" s="563" t="s">
        <v>84</v>
      </c>
      <c r="D1022" s="563" t="s">
        <v>8478</v>
      </c>
      <c r="E1022" s="561" t="s">
        <v>8175</v>
      </c>
      <c r="F1022" s="561" t="s">
        <v>8778</v>
      </c>
      <c r="G1022" s="561" t="s">
        <v>165</v>
      </c>
      <c r="H1022" s="564" t="s">
        <v>8779</v>
      </c>
      <c r="I1022" s="565" t="e">
        <f>VLOOKUP(H1022,'合同高级查询数据-10月新返回合同'!A:A,1,0)</f>
        <v>#N/A</v>
      </c>
      <c r="J1022" s="566" t="s">
        <v>8780</v>
      </c>
      <c r="K1022" s="561" t="s">
        <v>8784</v>
      </c>
      <c r="L1022" s="564" t="s">
        <v>8788</v>
      </c>
      <c r="M1022" s="561"/>
      <c r="N1022" s="567">
        <v>44197</v>
      </c>
      <c r="O1022" s="561"/>
      <c r="P1022" s="638">
        <v>3150</v>
      </c>
      <c r="Q1022" s="720">
        <v>250.59299999999999</v>
      </c>
      <c r="R1022" s="569">
        <f t="shared" si="60"/>
        <v>789367.95</v>
      </c>
      <c r="S1022" s="570">
        <v>202310</v>
      </c>
      <c r="T1022" s="571" t="s">
        <v>8786</v>
      </c>
      <c r="U1022" s="571"/>
      <c r="V1022" s="747">
        <v>250.59259033199999</v>
      </c>
      <c r="W1022" s="721"/>
      <c r="X1022" s="574">
        <v>45078</v>
      </c>
      <c r="Y1022" s="574">
        <v>45443</v>
      </c>
      <c r="Z1022" s="561" t="s">
        <v>8789</v>
      </c>
      <c r="AA1022" s="683">
        <v>0</v>
      </c>
      <c r="AB1022" s="582">
        <v>0</v>
      </c>
      <c r="AC1022" s="713">
        <f t="shared" si="61"/>
        <v>0</v>
      </c>
    </row>
    <row r="1023" spans="1:29" s="577" customFormat="1" ht="15" customHeight="1">
      <c r="A1023" s="561" t="s">
        <v>57</v>
      </c>
      <c r="B1023" s="562" t="s">
        <v>7101</v>
      </c>
      <c r="C1023" s="563" t="s">
        <v>84</v>
      </c>
      <c r="D1023" s="563" t="s">
        <v>8478</v>
      </c>
      <c r="E1023" s="561" t="s">
        <v>8175</v>
      </c>
      <c r="F1023" s="561" t="s">
        <v>8778</v>
      </c>
      <c r="G1023" s="561" t="s">
        <v>165</v>
      </c>
      <c r="H1023" s="564" t="s">
        <v>8779</v>
      </c>
      <c r="I1023" s="565" t="e">
        <f>VLOOKUP(H1023,'合同高级查询数据-10月新返回合同'!A:A,1,0)</f>
        <v>#N/A</v>
      </c>
      <c r="J1023" s="566" t="s">
        <v>8780</v>
      </c>
      <c r="K1023" s="561" t="s">
        <v>8790</v>
      </c>
      <c r="L1023" s="564" t="s">
        <v>8791</v>
      </c>
      <c r="M1023" s="561"/>
      <c r="N1023" s="567">
        <v>44197</v>
      </c>
      <c r="O1023" s="561"/>
      <c r="P1023" s="638">
        <v>2200</v>
      </c>
      <c r="Q1023" s="720">
        <v>110.20099999999999</v>
      </c>
      <c r="R1023" s="569">
        <f t="shared" si="60"/>
        <v>242442.2</v>
      </c>
      <c r="S1023" s="570">
        <v>202310</v>
      </c>
      <c r="T1023" s="571" t="s">
        <v>8792</v>
      </c>
      <c r="U1023" s="571"/>
      <c r="V1023" s="747">
        <v>110.20076355499999</v>
      </c>
      <c r="W1023" s="721"/>
      <c r="X1023" s="574">
        <v>45078</v>
      </c>
      <c r="Y1023" s="574">
        <v>45443</v>
      </c>
      <c r="Z1023" s="561" t="s">
        <v>8793</v>
      </c>
      <c r="AA1023" s="683">
        <v>0</v>
      </c>
      <c r="AB1023" s="582">
        <v>0</v>
      </c>
      <c r="AC1023" s="713">
        <f t="shared" si="61"/>
        <v>0</v>
      </c>
    </row>
    <row r="1024" spans="1:29" s="577" customFormat="1" ht="15" customHeight="1">
      <c r="A1024" s="561" t="s">
        <v>57</v>
      </c>
      <c r="B1024" s="562" t="s">
        <v>7101</v>
      </c>
      <c r="C1024" s="563" t="s">
        <v>84</v>
      </c>
      <c r="D1024" s="563" t="s">
        <v>8478</v>
      </c>
      <c r="E1024" s="561" t="s">
        <v>8175</v>
      </c>
      <c r="F1024" s="561" t="s">
        <v>8778</v>
      </c>
      <c r="G1024" s="561" t="s">
        <v>165</v>
      </c>
      <c r="H1024" s="564" t="s">
        <v>8779</v>
      </c>
      <c r="I1024" s="565" t="e">
        <f>VLOOKUP(H1024,'合同高级查询数据-10月新返回合同'!A:A,1,0)</f>
        <v>#N/A</v>
      </c>
      <c r="J1024" s="566" t="s">
        <v>8780</v>
      </c>
      <c r="K1024" s="561" t="s">
        <v>8790</v>
      </c>
      <c r="L1024" s="564" t="s">
        <v>8794</v>
      </c>
      <c r="M1024" s="561"/>
      <c r="N1024" s="567">
        <v>44197</v>
      </c>
      <c r="O1024" s="561"/>
      <c r="P1024" s="638">
        <v>3150</v>
      </c>
      <c r="Q1024" s="720">
        <v>467.22699999999998</v>
      </c>
      <c r="R1024" s="569">
        <f t="shared" ref="R1024:R1026" si="62">ROUND(P1024*Q1024,2)</f>
        <v>1471765.05</v>
      </c>
      <c r="S1024" s="570">
        <v>202310</v>
      </c>
      <c r="T1024" s="571" t="s">
        <v>8792</v>
      </c>
      <c r="U1024" s="571"/>
      <c r="V1024" s="747">
        <v>467.22660127099999</v>
      </c>
      <c r="W1024" s="721"/>
      <c r="X1024" s="574">
        <v>45078</v>
      </c>
      <c r="Y1024" s="574">
        <v>45443</v>
      </c>
      <c r="Z1024" s="561" t="s">
        <v>8795</v>
      </c>
      <c r="AA1024" s="683">
        <v>0</v>
      </c>
      <c r="AB1024" s="582">
        <v>0</v>
      </c>
      <c r="AC1024" s="713">
        <f t="shared" si="61"/>
        <v>0</v>
      </c>
    </row>
    <row r="1025" spans="1:29" s="577" customFormat="1" ht="15" customHeight="1">
      <c r="A1025" s="561" t="s">
        <v>57</v>
      </c>
      <c r="B1025" s="562" t="s">
        <v>7101</v>
      </c>
      <c r="C1025" s="563" t="s">
        <v>84</v>
      </c>
      <c r="D1025" s="563" t="s">
        <v>8478</v>
      </c>
      <c r="E1025" s="561" t="s">
        <v>8175</v>
      </c>
      <c r="F1025" s="561" t="s">
        <v>8778</v>
      </c>
      <c r="G1025" s="561" t="s">
        <v>165</v>
      </c>
      <c r="H1025" s="564" t="s">
        <v>8779</v>
      </c>
      <c r="I1025" s="565" t="e">
        <f>VLOOKUP(H1025,'合同高级查询数据-10月新返回合同'!A:A,1,0)</f>
        <v>#N/A</v>
      </c>
      <c r="J1025" s="566" t="s">
        <v>8780</v>
      </c>
      <c r="K1025" s="561" t="s">
        <v>8796</v>
      </c>
      <c r="L1025" s="564" t="s">
        <v>8797</v>
      </c>
      <c r="M1025" s="561"/>
      <c r="N1025" s="567">
        <v>45078</v>
      </c>
      <c r="O1025" s="561"/>
      <c r="P1025" s="638">
        <v>3000</v>
      </c>
      <c r="Q1025" s="720">
        <v>5.181</v>
      </c>
      <c r="R1025" s="569">
        <f t="shared" si="62"/>
        <v>15543</v>
      </c>
      <c r="S1025" s="570">
        <v>202310</v>
      </c>
      <c r="T1025" s="571" t="s">
        <v>8798</v>
      </c>
      <c r="U1025" s="571"/>
      <c r="V1025" s="747">
        <v>5.1805128399999996</v>
      </c>
      <c r="W1025" s="721"/>
      <c r="X1025" s="574">
        <v>45078</v>
      </c>
      <c r="Y1025" s="574">
        <v>45443</v>
      </c>
      <c r="Z1025" s="561" t="s">
        <v>8799</v>
      </c>
      <c r="AA1025" s="683">
        <v>0</v>
      </c>
      <c r="AB1025" s="713">
        <v>0</v>
      </c>
      <c r="AC1025" s="713">
        <f t="shared" si="61"/>
        <v>0</v>
      </c>
    </row>
    <row r="1026" spans="1:29" s="577" customFormat="1" ht="15" customHeight="1">
      <c r="A1026" s="561" t="s">
        <v>57</v>
      </c>
      <c r="B1026" s="562" t="s">
        <v>7101</v>
      </c>
      <c r="C1026" s="563" t="s">
        <v>84</v>
      </c>
      <c r="D1026" s="563" t="s">
        <v>8478</v>
      </c>
      <c r="E1026" s="561" t="s">
        <v>8175</v>
      </c>
      <c r="F1026" s="561" t="s">
        <v>8778</v>
      </c>
      <c r="G1026" s="561" t="s">
        <v>165</v>
      </c>
      <c r="H1026" s="564" t="s">
        <v>8779</v>
      </c>
      <c r="I1026" s="565" t="e">
        <f>VLOOKUP(H1026,'合同高级查询数据-10月新返回合同'!A:A,1,0)</f>
        <v>#N/A</v>
      </c>
      <c r="J1026" s="566" t="s">
        <v>8780</v>
      </c>
      <c r="K1026" s="561" t="s">
        <v>8800</v>
      </c>
      <c r="L1026" s="564" t="s">
        <v>8801</v>
      </c>
      <c r="M1026" s="561"/>
      <c r="N1026" s="567">
        <v>45078</v>
      </c>
      <c r="O1026" s="561"/>
      <c r="P1026" s="638">
        <v>3900</v>
      </c>
      <c r="Q1026" s="720">
        <v>21.952999999999999</v>
      </c>
      <c r="R1026" s="569">
        <f t="shared" si="62"/>
        <v>85616.7</v>
      </c>
      <c r="S1026" s="570">
        <v>202310</v>
      </c>
      <c r="T1026" s="571" t="s">
        <v>8802</v>
      </c>
      <c r="U1026" s="571"/>
      <c r="V1026" s="747">
        <v>21.952369479000001</v>
      </c>
      <c r="W1026" s="721"/>
      <c r="X1026" s="574">
        <v>45078</v>
      </c>
      <c r="Y1026" s="574">
        <v>45443</v>
      </c>
      <c r="Z1026" s="561" t="s">
        <v>8803</v>
      </c>
      <c r="AA1026" s="683">
        <v>0</v>
      </c>
      <c r="AB1026" s="713">
        <v>0</v>
      </c>
      <c r="AC1026" s="713">
        <f t="shared" si="61"/>
        <v>0</v>
      </c>
    </row>
    <row r="1027" spans="1:29" s="385" customFormat="1" ht="15" customHeight="1">
      <c r="A1027" s="386" t="s">
        <v>57</v>
      </c>
      <c r="B1027" s="387" t="s">
        <v>7101</v>
      </c>
      <c r="C1027" s="388" t="s">
        <v>84</v>
      </c>
      <c r="D1027" s="388" t="s">
        <v>8478</v>
      </c>
      <c r="E1027" s="386" t="s">
        <v>8175</v>
      </c>
      <c r="F1027" s="386" t="s">
        <v>8176</v>
      </c>
      <c r="G1027" s="386" t="s">
        <v>165</v>
      </c>
      <c r="H1027" s="389" t="s">
        <v>8804</v>
      </c>
      <c r="I1027" s="369" t="e">
        <f>VLOOKUP(H1027,'合同高级查询数据-10月新返回合同'!A:A,1,0)</f>
        <v>#N/A</v>
      </c>
      <c r="J1027" s="390" t="s">
        <v>8805</v>
      </c>
      <c r="K1027" s="389" t="s">
        <v>8806</v>
      </c>
      <c r="L1027" s="389" t="s">
        <v>8806</v>
      </c>
      <c r="M1027" s="386"/>
      <c r="N1027" s="391">
        <v>45170</v>
      </c>
      <c r="O1027" s="386"/>
      <c r="P1027" s="446">
        <v>2450</v>
      </c>
      <c r="Q1027" s="540">
        <v>34.991999999999997</v>
      </c>
      <c r="R1027" s="447">
        <f t="shared" ref="R1027:R1034" si="63">ROUND(Q1027*P1027,2)</f>
        <v>85730.4</v>
      </c>
      <c r="S1027" s="378">
        <v>202310</v>
      </c>
      <c r="T1027" s="394" t="s">
        <v>8807</v>
      </c>
      <c r="U1027" s="394"/>
      <c r="V1027" s="559">
        <v>34.991249084000003</v>
      </c>
      <c r="W1027" s="541"/>
      <c r="X1027" s="383"/>
      <c r="Y1027" s="383"/>
      <c r="Z1027" s="386" t="s">
        <v>8808</v>
      </c>
      <c r="AA1027" s="506">
        <v>0</v>
      </c>
      <c r="AB1027" s="448">
        <v>0</v>
      </c>
      <c r="AC1027" s="448">
        <f t="shared" si="61"/>
        <v>0</v>
      </c>
    </row>
    <row r="1028" spans="1:29" s="385" customFormat="1" ht="15" customHeight="1">
      <c r="A1028" s="386" t="s">
        <v>57</v>
      </c>
      <c r="B1028" s="387" t="s">
        <v>7101</v>
      </c>
      <c r="C1028" s="388" t="s">
        <v>84</v>
      </c>
      <c r="D1028" s="388" t="s">
        <v>8478</v>
      </c>
      <c r="E1028" s="386" t="s">
        <v>8175</v>
      </c>
      <c r="F1028" s="386" t="s">
        <v>8176</v>
      </c>
      <c r="G1028" s="386" t="s">
        <v>165</v>
      </c>
      <c r="H1028" s="389" t="s">
        <v>8804</v>
      </c>
      <c r="I1028" s="369" t="e">
        <f>VLOOKUP(H1028,'合同高级查询数据-10月新返回合同'!A:A,1,0)</f>
        <v>#N/A</v>
      </c>
      <c r="J1028" s="390" t="s">
        <v>8805</v>
      </c>
      <c r="K1028" s="389" t="s">
        <v>8809</v>
      </c>
      <c r="L1028" s="389" t="s">
        <v>8809</v>
      </c>
      <c r="M1028" s="386"/>
      <c r="N1028" s="391">
        <v>45170</v>
      </c>
      <c r="O1028" s="386"/>
      <c r="P1028" s="446">
        <v>2900</v>
      </c>
      <c r="Q1028" s="540">
        <v>7.43</v>
      </c>
      <c r="R1028" s="447">
        <f t="shared" si="63"/>
        <v>21547</v>
      </c>
      <c r="S1028" s="378">
        <v>202310</v>
      </c>
      <c r="T1028" s="394" t="s">
        <v>8807</v>
      </c>
      <c r="U1028" s="394"/>
      <c r="V1028" s="559">
        <v>7.4291486740000003</v>
      </c>
      <c r="W1028" s="541"/>
      <c r="X1028" s="383"/>
      <c r="Y1028" s="383"/>
      <c r="Z1028" s="386" t="s">
        <v>8810</v>
      </c>
      <c r="AA1028" s="506">
        <v>0</v>
      </c>
      <c r="AB1028" s="448">
        <v>0</v>
      </c>
      <c r="AC1028" s="448">
        <f t="shared" si="61"/>
        <v>0</v>
      </c>
    </row>
    <row r="1029" spans="1:29" s="385" customFormat="1" ht="15" customHeight="1">
      <c r="A1029" s="386" t="s">
        <v>57</v>
      </c>
      <c r="B1029" s="387" t="s">
        <v>7101</v>
      </c>
      <c r="C1029" s="388" t="s">
        <v>84</v>
      </c>
      <c r="D1029" s="388" t="s">
        <v>8478</v>
      </c>
      <c r="E1029" s="386" t="s">
        <v>8175</v>
      </c>
      <c r="F1029" s="386" t="s">
        <v>8176</v>
      </c>
      <c r="G1029" s="386" t="s">
        <v>165</v>
      </c>
      <c r="H1029" s="389" t="s">
        <v>8811</v>
      </c>
      <c r="I1029" s="369" t="e">
        <f>VLOOKUP(H1029,'合同高级查询数据-10月新返回合同'!A:A,1,0)</f>
        <v>#N/A</v>
      </c>
      <c r="J1029" s="390" t="s">
        <v>8805</v>
      </c>
      <c r="K1029" s="389" t="s">
        <v>8812</v>
      </c>
      <c r="L1029" s="389" t="s">
        <v>8812</v>
      </c>
      <c r="M1029" s="386"/>
      <c r="N1029" s="391">
        <v>45170</v>
      </c>
      <c r="O1029" s="386"/>
      <c r="P1029" s="446">
        <v>2200</v>
      </c>
      <c r="Q1029" s="540">
        <v>2.1059999999999999</v>
      </c>
      <c r="R1029" s="447">
        <f t="shared" si="63"/>
        <v>4633.2</v>
      </c>
      <c r="S1029" s="378">
        <v>202310</v>
      </c>
      <c r="T1029" s="394" t="s">
        <v>8813</v>
      </c>
      <c r="U1029" s="394"/>
      <c r="V1029" s="559">
        <v>2.1051721570000002</v>
      </c>
      <c r="W1029" s="541"/>
      <c r="X1029" s="383"/>
      <c r="Y1029" s="383"/>
      <c r="Z1029" s="386" t="s">
        <v>8814</v>
      </c>
      <c r="AA1029" s="506">
        <v>0</v>
      </c>
      <c r="AB1029" s="448">
        <v>0</v>
      </c>
      <c r="AC1029" s="448">
        <f t="shared" si="61"/>
        <v>0</v>
      </c>
    </row>
    <row r="1030" spans="1:29" s="385" customFormat="1" ht="15" customHeight="1">
      <c r="A1030" s="386" t="s">
        <v>57</v>
      </c>
      <c r="B1030" s="387" t="s">
        <v>7101</v>
      </c>
      <c r="C1030" s="388" t="s">
        <v>84</v>
      </c>
      <c r="D1030" s="388" t="s">
        <v>8478</v>
      </c>
      <c r="E1030" s="386" t="s">
        <v>8175</v>
      </c>
      <c r="F1030" s="386" t="s">
        <v>8176</v>
      </c>
      <c r="G1030" s="386" t="s">
        <v>165</v>
      </c>
      <c r="H1030" s="389" t="s">
        <v>8811</v>
      </c>
      <c r="I1030" s="369" t="e">
        <f>VLOOKUP(H1030,'合同高级查询数据-10月新返回合同'!A:A,1,0)</f>
        <v>#N/A</v>
      </c>
      <c r="J1030" s="390" t="s">
        <v>8805</v>
      </c>
      <c r="K1030" s="389" t="s">
        <v>8815</v>
      </c>
      <c r="L1030" s="389" t="s">
        <v>8815</v>
      </c>
      <c r="M1030" s="386"/>
      <c r="N1030" s="391">
        <v>45170</v>
      </c>
      <c r="O1030" s="386"/>
      <c r="P1030" s="446">
        <v>3100</v>
      </c>
      <c r="Q1030" s="540">
        <v>2.9969999999999999</v>
      </c>
      <c r="R1030" s="447">
        <f t="shared" si="63"/>
        <v>9290.7000000000007</v>
      </c>
      <c r="S1030" s="378">
        <v>202310</v>
      </c>
      <c r="T1030" s="394" t="s">
        <v>8816</v>
      </c>
      <c r="U1030" s="394"/>
      <c r="V1030" s="559">
        <v>2.9968547820000002</v>
      </c>
      <c r="W1030" s="541"/>
      <c r="X1030" s="383"/>
      <c r="Y1030" s="383"/>
      <c r="Z1030" s="386" t="s">
        <v>8817</v>
      </c>
      <c r="AA1030" s="506">
        <v>0</v>
      </c>
      <c r="AB1030" s="448">
        <v>0</v>
      </c>
      <c r="AC1030" s="448">
        <f t="shared" si="61"/>
        <v>0</v>
      </c>
    </row>
    <row r="1031" spans="1:29" s="385" customFormat="1" ht="15" customHeight="1">
      <c r="A1031" s="386" t="s">
        <v>57</v>
      </c>
      <c r="B1031" s="387" t="s">
        <v>7101</v>
      </c>
      <c r="C1031" s="388" t="s">
        <v>84</v>
      </c>
      <c r="D1031" s="388" t="s">
        <v>8478</v>
      </c>
      <c r="E1031" s="386" t="s">
        <v>8175</v>
      </c>
      <c r="F1031" s="386" t="s">
        <v>8176</v>
      </c>
      <c r="G1031" s="386" t="s">
        <v>165</v>
      </c>
      <c r="H1031" s="389" t="s">
        <v>8818</v>
      </c>
      <c r="I1031" s="369" t="e">
        <f>VLOOKUP(H1031,'合同高级查询数据-10月新返回合同'!A:A,1,0)</f>
        <v>#N/A</v>
      </c>
      <c r="J1031" s="390" t="s">
        <v>8805</v>
      </c>
      <c r="K1031" s="389" t="s">
        <v>8819</v>
      </c>
      <c r="L1031" s="389" t="s">
        <v>8819</v>
      </c>
      <c r="M1031" s="386"/>
      <c r="N1031" s="391">
        <v>45170</v>
      </c>
      <c r="O1031" s="386"/>
      <c r="P1031" s="446">
        <v>1300</v>
      </c>
      <c r="Q1031" s="540">
        <v>0</v>
      </c>
      <c r="R1031" s="447">
        <f t="shared" si="63"/>
        <v>0</v>
      </c>
      <c r="S1031" s="378">
        <v>202310</v>
      </c>
      <c r="T1031" s="394" t="s">
        <v>8820</v>
      </c>
      <c r="U1031" s="394"/>
      <c r="V1031" s="559">
        <v>0</v>
      </c>
      <c r="W1031" s="541"/>
      <c r="X1031" s="383"/>
      <c r="Y1031" s="383"/>
      <c r="Z1031" s="386" t="s">
        <v>8821</v>
      </c>
      <c r="AA1031" s="506">
        <v>0</v>
      </c>
      <c r="AB1031" s="448">
        <v>0</v>
      </c>
      <c r="AC1031" s="448">
        <f t="shared" si="61"/>
        <v>0</v>
      </c>
    </row>
    <row r="1032" spans="1:29" s="385" customFormat="1" ht="15" customHeight="1">
      <c r="A1032" s="386" t="s">
        <v>57</v>
      </c>
      <c r="B1032" s="387" t="s">
        <v>7101</v>
      </c>
      <c r="C1032" s="388" t="s">
        <v>84</v>
      </c>
      <c r="D1032" s="388" t="s">
        <v>8478</v>
      </c>
      <c r="E1032" s="386" t="s">
        <v>8175</v>
      </c>
      <c r="F1032" s="386" t="s">
        <v>8176</v>
      </c>
      <c r="G1032" s="386" t="s">
        <v>165</v>
      </c>
      <c r="H1032" s="389" t="s">
        <v>8811</v>
      </c>
      <c r="I1032" s="369" t="e">
        <f>VLOOKUP(H1032,'合同高级查询数据-10月新返回合同'!A:A,1,0)</f>
        <v>#N/A</v>
      </c>
      <c r="J1032" s="390" t="s">
        <v>8805</v>
      </c>
      <c r="K1032" s="389" t="s">
        <v>8812</v>
      </c>
      <c r="L1032" s="389" t="s">
        <v>8812</v>
      </c>
      <c r="M1032" s="386"/>
      <c r="N1032" s="391">
        <v>45170</v>
      </c>
      <c r="O1032" s="386"/>
      <c r="P1032" s="446">
        <v>2200</v>
      </c>
      <c r="Q1032" s="540">
        <v>61.96</v>
      </c>
      <c r="R1032" s="447">
        <f t="shared" si="63"/>
        <v>136312</v>
      </c>
      <c r="S1032" s="378">
        <v>202309</v>
      </c>
      <c r="T1032" s="394" t="s">
        <v>8822</v>
      </c>
      <c r="U1032" s="394"/>
      <c r="V1032" s="560"/>
      <c r="W1032" s="541"/>
      <c r="X1032" s="383"/>
      <c r="Y1032" s="383"/>
      <c r="Z1032" s="386"/>
      <c r="AA1032" s="506"/>
      <c r="AB1032" s="448"/>
      <c r="AC1032" s="448"/>
    </row>
    <row r="1033" spans="1:29" s="385" customFormat="1" ht="15" customHeight="1">
      <c r="A1033" s="386" t="s">
        <v>57</v>
      </c>
      <c r="B1033" s="387" t="s">
        <v>7101</v>
      </c>
      <c r="C1033" s="388" t="s">
        <v>84</v>
      </c>
      <c r="D1033" s="388" t="s">
        <v>8478</v>
      </c>
      <c r="E1033" s="386" t="s">
        <v>8175</v>
      </c>
      <c r="F1033" s="386" t="s">
        <v>8176</v>
      </c>
      <c r="G1033" s="386" t="s">
        <v>165</v>
      </c>
      <c r="H1033" s="389" t="s">
        <v>8811</v>
      </c>
      <c r="I1033" s="369" t="e">
        <f>VLOOKUP(H1033,'合同高级查询数据-10月新返回合同'!A:A,1,0)</f>
        <v>#N/A</v>
      </c>
      <c r="J1033" s="390" t="s">
        <v>8805</v>
      </c>
      <c r="K1033" s="389" t="s">
        <v>8815</v>
      </c>
      <c r="L1033" s="389" t="s">
        <v>8815</v>
      </c>
      <c r="M1033" s="386"/>
      <c r="N1033" s="391">
        <v>45170</v>
      </c>
      <c r="O1033" s="386"/>
      <c r="P1033" s="446">
        <v>3100</v>
      </c>
      <c r="Q1033" s="540">
        <v>91.021000000000001</v>
      </c>
      <c r="R1033" s="447">
        <f t="shared" si="63"/>
        <v>282165.09999999998</v>
      </c>
      <c r="S1033" s="378">
        <v>202309</v>
      </c>
      <c r="T1033" s="394" t="s">
        <v>8823</v>
      </c>
      <c r="U1033" s="394"/>
      <c r="V1033" s="560"/>
      <c r="W1033" s="541"/>
      <c r="X1033" s="383"/>
      <c r="Y1033" s="383"/>
      <c r="Z1033" s="386"/>
      <c r="AA1033" s="506"/>
      <c r="AB1033" s="448"/>
      <c r="AC1033" s="448"/>
    </row>
    <row r="1034" spans="1:29" s="385" customFormat="1" ht="15" customHeight="1">
      <c r="A1034" s="386" t="s">
        <v>57</v>
      </c>
      <c r="B1034" s="387" t="s">
        <v>7101</v>
      </c>
      <c r="C1034" s="388" t="s">
        <v>84</v>
      </c>
      <c r="D1034" s="388" t="s">
        <v>8478</v>
      </c>
      <c r="E1034" s="386" t="s">
        <v>8175</v>
      </c>
      <c r="F1034" s="386" t="s">
        <v>8176</v>
      </c>
      <c r="G1034" s="386" t="s">
        <v>165</v>
      </c>
      <c r="H1034" s="389" t="s">
        <v>8818</v>
      </c>
      <c r="I1034" s="369" t="e">
        <f>VLOOKUP(H1034,'合同高级查询数据-10月新返回合同'!A:A,1,0)</f>
        <v>#N/A</v>
      </c>
      <c r="J1034" s="390" t="s">
        <v>8805</v>
      </c>
      <c r="K1034" s="389" t="s">
        <v>8819</v>
      </c>
      <c r="L1034" s="389" t="s">
        <v>8819</v>
      </c>
      <c r="M1034" s="386"/>
      <c r="N1034" s="391">
        <v>45170</v>
      </c>
      <c r="O1034" s="386"/>
      <c r="P1034" s="446">
        <v>1300</v>
      </c>
      <c r="Q1034" s="540">
        <v>28.347000000000001</v>
      </c>
      <c r="R1034" s="447">
        <f t="shared" si="63"/>
        <v>36851.1</v>
      </c>
      <c r="S1034" s="378">
        <v>202309</v>
      </c>
      <c r="T1034" s="394" t="s">
        <v>8824</v>
      </c>
      <c r="U1034" s="394"/>
      <c r="V1034" s="560"/>
      <c r="W1034" s="541"/>
      <c r="X1034" s="383"/>
      <c r="Y1034" s="383"/>
      <c r="Z1034" s="386"/>
      <c r="AA1034" s="506"/>
      <c r="AB1034" s="448"/>
      <c r="AC1034" s="448"/>
    </row>
    <row r="1035" spans="1:29" s="385" customFormat="1" ht="15" customHeight="1">
      <c r="A1035" s="386" t="s">
        <v>57</v>
      </c>
      <c r="B1035" s="387" t="s">
        <v>7101</v>
      </c>
      <c r="C1035" s="388" t="s">
        <v>84</v>
      </c>
      <c r="D1035" s="388" t="s">
        <v>8478</v>
      </c>
      <c r="E1035" s="386" t="s">
        <v>3801</v>
      </c>
      <c r="F1035" s="386" t="s">
        <v>8825</v>
      </c>
      <c r="G1035" s="386" t="s">
        <v>165</v>
      </c>
      <c r="H1035" s="389" t="s">
        <v>8826</v>
      </c>
      <c r="I1035" s="369" t="e">
        <f>VLOOKUP(H1035,'合同高级查询数据-10月新返回合同'!A:A,1,0)</f>
        <v>#N/A</v>
      </c>
      <c r="J1035" s="390" t="s">
        <v>8780</v>
      </c>
      <c r="K1035" s="386" t="s">
        <v>8827</v>
      </c>
      <c r="L1035" s="389" t="s">
        <v>8828</v>
      </c>
      <c r="M1035" s="386"/>
      <c r="N1035" s="391">
        <v>44197</v>
      </c>
      <c r="O1035" s="386"/>
      <c r="P1035" s="446">
        <v>3600</v>
      </c>
      <c r="Q1035" s="540">
        <v>0</v>
      </c>
      <c r="R1035" s="447">
        <f t="shared" ref="R1035:R1098" si="64">ROUND(P1035*Q1035,2)</f>
        <v>0</v>
      </c>
      <c r="S1035" s="378">
        <v>202310</v>
      </c>
      <c r="T1035" s="394" t="s">
        <v>8829</v>
      </c>
      <c r="U1035" s="394"/>
      <c r="V1035" s="559">
        <v>0</v>
      </c>
      <c r="W1035" s="541"/>
      <c r="X1035" s="383"/>
      <c r="Y1035" s="383"/>
      <c r="Z1035" s="544"/>
      <c r="AA1035" s="511">
        <v>0</v>
      </c>
      <c r="AB1035" s="448">
        <v>0</v>
      </c>
      <c r="AC1035" s="448">
        <f t="shared" si="61"/>
        <v>0</v>
      </c>
    </row>
    <row r="1036" spans="1:29" s="385" customFormat="1" ht="15" customHeight="1">
      <c r="A1036" s="386" t="s">
        <v>57</v>
      </c>
      <c r="B1036" s="387" t="s">
        <v>7101</v>
      </c>
      <c r="C1036" s="388" t="s">
        <v>84</v>
      </c>
      <c r="D1036" s="388" t="s">
        <v>8478</v>
      </c>
      <c r="E1036" s="386" t="s">
        <v>3801</v>
      </c>
      <c r="F1036" s="386" t="s">
        <v>8825</v>
      </c>
      <c r="G1036" s="386" t="s">
        <v>165</v>
      </c>
      <c r="H1036" s="389" t="s">
        <v>8826</v>
      </c>
      <c r="I1036" s="369" t="e">
        <f>VLOOKUP(H1036,'合同高级查询数据-10月新返回合同'!A:A,1,0)</f>
        <v>#N/A</v>
      </c>
      <c r="J1036" s="390" t="s">
        <v>8780</v>
      </c>
      <c r="K1036" s="386" t="s">
        <v>8830</v>
      </c>
      <c r="L1036" s="389" t="s">
        <v>8831</v>
      </c>
      <c r="M1036" s="386"/>
      <c r="N1036" s="391">
        <v>44197</v>
      </c>
      <c r="O1036" s="386"/>
      <c r="P1036" s="446">
        <v>2600</v>
      </c>
      <c r="Q1036" s="540">
        <v>0</v>
      </c>
      <c r="R1036" s="447">
        <f t="shared" si="64"/>
        <v>0</v>
      </c>
      <c r="S1036" s="378">
        <v>202310</v>
      </c>
      <c r="T1036" s="394" t="s">
        <v>8832</v>
      </c>
      <c r="U1036" s="394"/>
      <c r="V1036" s="559">
        <v>0</v>
      </c>
      <c r="W1036" s="541"/>
      <c r="X1036" s="383"/>
      <c r="Y1036" s="383"/>
      <c r="Z1036" s="544"/>
      <c r="AA1036" s="511">
        <v>0</v>
      </c>
      <c r="AB1036" s="448">
        <v>0</v>
      </c>
      <c r="AC1036" s="448">
        <f t="shared" si="61"/>
        <v>0</v>
      </c>
    </row>
    <row r="1037" spans="1:29" s="385" customFormat="1" ht="15" customHeight="1">
      <c r="A1037" s="386" t="s">
        <v>57</v>
      </c>
      <c r="B1037" s="387" t="s">
        <v>7101</v>
      </c>
      <c r="C1037" s="388" t="s">
        <v>84</v>
      </c>
      <c r="D1037" s="388" t="s">
        <v>8478</v>
      </c>
      <c r="E1037" s="386" t="s">
        <v>3801</v>
      </c>
      <c r="F1037" s="386" t="s">
        <v>8825</v>
      </c>
      <c r="G1037" s="386" t="s">
        <v>165</v>
      </c>
      <c r="H1037" s="389" t="s">
        <v>8826</v>
      </c>
      <c r="I1037" s="369" t="e">
        <f>VLOOKUP(H1037,'合同高级查询数据-10月新返回合同'!A:A,1,0)</f>
        <v>#N/A</v>
      </c>
      <c r="J1037" s="390" t="s">
        <v>8780</v>
      </c>
      <c r="K1037" s="386" t="s">
        <v>8830</v>
      </c>
      <c r="L1037" s="389" t="s">
        <v>8833</v>
      </c>
      <c r="M1037" s="386"/>
      <c r="N1037" s="391">
        <v>44197</v>
      </c>
      <c r="O1037" s="386"/>
      <c r="P1037" s="446">
        <v>2600</v>
      </c>
      <c r="Q1037" s="540">
        <v>0</v>
      </c>
      <c r="R1037" s="447">
        <f t="shared" si="64"/>
        <v>0</v>
      </c>
      <c r="S1037" s="378">
        <v>202310</v>
      </c>
      <c r="T1037" s="394" t="s">
        <v>8832</v>
      </c>
      <c r="U1037" s="394"/>
      <c r="V1037" s="559">
        <v>0</v>
      </c>
      <c r="W1037" s="541"/>
      <c r="X1037" s="383"/>
      <c r="Y1037" s="383"/>
      <c r="Z1037" s="544"/>
      <c r="AA1037" s="511">
        <v>0</v>
      </c>
      <c r="AB1037" s="448">
        <v>0</v>
      </c>
      <c r="AC1037" s="448">
        <f t="shared" si="61"/>
        <v>0</v>
      </c>
    </row>
    <row r="1038" spans="1:29" s="577" customFormat="1" ht="15" customHeight="1">
      <c r="A1038" s="561" t="s">
        <v>57</v>
      </c>
      <c r="B1038" s="562" t="s">
        <v>7101</v>
      </c>
      <c r="C1038" s="563" t="s">
        <v>84</v>
      </c>
      <c r="D1038" s="563" t="s">
        <v>8478</v>
      </c>
      <c r="E1038" s="561" t="s">
        <v>3801</v>
      </c>
      <c r="F1038" s="561" t="s">
        <v>8834</v>
      </c>
      <c r="G1038" s="561" t="s">
        <v>165</v>
      </c>
      <c r="H1038" s="564" t="s">
        <v>8835</v>
      </c>
      <c r="I1038" s="565" t="e">
        <f>VLOOKUP(H1038,'合同高级查询数据-10月新返回合同'!A:A,1,0)</f>
        <v>#N/A</v>
      </c>
      <c r="J1038" s="566" t="s">
        <v>8805</v>
      </c>
      <c r="K1038" s="561" t="s">
        <v>8836</v>
      </c>
      <c r="L1038" s="564" t="s">
        <v>8837</v>
      </c>
      <c r="M1038" s="561"/>
      <c r="N1038" s="567">
        <v>44378</v>
      </c>
      <c r="O1038" s="561"/>
      <c r="P1038" s="638">
        <v>2350</v>
      </c>
      <c r="Q1038" s="720">
        <v>74.433999999999997</v>
      </c>
      <c r="R1038" s="639">
        <f t="shared" si="64"/>
        <v>174919.9</v>
      </c>
      <c r="S1038" s="570">
        <v>202310</v>
      </c>
      <c r="T1038" s="571" t="s">
        <v>8838</v>
      </c>
      <c r="U1038" s="571"/>
      <c r="V1038" s="747">
        <v>74.433303832999997</v>
      </c>
      <c r="W1038" s="721"/>
      <c r="X1038" s="574">
        <v>45108</v>
      </c>
      <c r="Y1038" s="574">
        <v>45473</v>
      </c>
      <c r="Z1038" s="561" t="s">
        <v>8839</v>
      </c>
      <c r="AA1038" s="683">
        <v>0</v>
      </c>
      <c r="AB1038" s="582">
        <v>0</v>
      </c>
      <c r="AC1038" s="713">
        <f t="shared" si="61"/>
        <v>0</v>
      </c>
    </row>
    <row r="1039" spans="1:29" s="577" customFormat="1" ht="15" customHeight="1">
      <c r="A1039" s="561" t="s">
        <v>57</v>
      </c>
      <c r="B1039" s="562" t="s">
        <v>7101</v>
      </c>
      <c r="C1039" s="563" t="s">
        <v>84</v>
      </c>
      <c r="D1039" s="563" t="s">
        <v>8478</v>
      </c>
      <c r="E1039" s="561" t="s">
        <v>3801</v>
      </c>
      <c r="F1039" s="561" t="s">
        <v>8834</v>
      </c>
      <c r="G1039" s="561" t="s">
        <v>165</v>
      </c>
      <c r="H1039" s="564" t="s">
        <v>8835</v>
      </c>
      <c r="I1039" s="565" t="e">
        <f>VLOOKUP(H1039,'合同高级查询数据-10月新返回合同'!A:A,1,0)</f>
        <v>#N/A</v>
      </c>
      <c r="J1039" s="566" t="s">
        <v>8805</v>
      </c>
      <c r="K1039" s="561" t="s">
        <v>8840</v>
      </c>
      <c r="L1039" s="564" t="s">
        <v>8841</v>
      </c>
      <c r="M1039" s="561"/>
      <c r="N1039" s="567">
        <v>44378</v>
      </c>
      <c r="O1039" s="561"/>
      <c r="P1039" s="638">
        <v>3300</v>
      </c>
      <c r="Q1039" s="720">
        <v>234.34100000000001</v>
      </c>
      <c r="R1039" s="639">
        <f t="shared" si="64"/>
        <v>773325.3</v>
      </c>
      <c r="S1039" s="570">
        <v>202310</v>
      </c>
      <c r="T1039" s="571" t="s">
        <v>8838</v>
      </c>
      <c r="U1039" s="571"/>
      <c r="V1039" s="747">
        <v>234.34075927699999</v>
      </c>
      <c r="W1039" s="721"/>
      <c r="X1039" s="574">
        <v>45108</v>
      </c>
      <c r="Y1039" s="574">
        <v>45473</v>
      </c>
      <c r="Z1039" s="561" t="s">
        <v>8842</v>
      </c>
      <c r="AA1039" s="683">
        <v>0</v>
      </c>
      <c r="AB1039" s="582">
        <v>0</v>
      </c>
      <c r="AC1039" s="713">
        <f t="shared" si="61"/>
        <v>0</v>
      </c>
    </row>
    <row r="1040" spans="1:29" s="577" customFormat="1" ht="15" customHeight="1">
      <c r="A1040" s="561" t="s">
        <v>57</v>
      </c>
      <c r="B1040" s="562" t="s">
        <v>7101</v>
      </c>
      <c r="C1040" s="563" t="s">
        <v>84</v>
      </c>
      <c r="D1040" s="563" t="s">
        <v>8478</v>
      </c>
      <c r="E1040" s="561" t="s">
        <v>3801</v>
      </c>
      <c r="F1040" s="561" t="s">
        <v>8834</v>
      </c>
      <c r="G1040" s="561" t="s">
        <v>165</v>
      </c>
      <c r="H1040" s="564" t="s">
        <v>8835</v>
      </c>
      <c r="I1040" s="565" t="e">
        <f>VLOOKUP(H1040,'合同高级查询数据-10月新返回合同'!A:A,1,0)</f>
        <v>#N/A</v>
      </c>
      <c r="J1040" s="566" t="s">
        <v>8805</v>
      </c>
      <c r="K1040" s="561" t="s">
        <v>8843</v>
      </c>
      <c r="L1040" s="564" t="s">
        <v>8844</v>
      </c>
      <c r="M1040" s="561"/>
      <c r="N1040" s="567">
        <v>44378</v>
      </c>
      <c r="O1040" s="561"/>
      <c r="P1040" s="638">
        <v>3100</v>
      </c>
      <c r="Q1040" s="720">
        <v>159.82599999999999</v>
      </c>
      <c r="R1040" s="639">
        <f t="shared" si="64"/>
        <v>495460.6</v>
      </c>
      <c r="S1040" s="570">
        <v>202310</v>
      </c>
      <c r="T1040" s="571" t="s">
        <v>8838</v>
      </c>
      <c r="U1040" s="571"/>
      <c r="V1040" s="747">
        <v>159.82595825199999</v>
      </c>
      <c r="W1040" s="721"/>
      <c r="X1040" s="574">
        <v>45108</v>
      </c>
      <c r="Y1040" s="574">
        <v>45473</v>
      </c>
      <c r="Z1040" s="561" t="s">
        <v>8845</v>
      </c>
      <c r="AA1040" s="683">
        <v>0</v>
      </c>
      <c r="AB1040" s="582">
        <v>0</v>
      </c>
      <c r="AC1040" s="713">
        <f t="shared" si="61"/>
        <v>0</v>
      </c>
    </row>
    <row r="1041" spans="1:29" s="577" customFormat="1" ht="15" customHeight="1">
      <c r="A1041" s="561" t="s">
        <v>57</v>
      </c>
      <c r="B1041" s="562" t="s">
        <v>7101</v>
      </c>
      <c r="C1041" s="563" t="s">
        <v>84</v>
      </c>
      <c r="D1041" s="563" t="s">
        <v>8478</v>
      </c>
      <c r="E1041" s="561" t="s">
        <v>3801</v>
      </c>
      <c r="F1041" s="561" t="s">
        <v>8834</v>
      </c>
      <c r="G1041" s="561" t="s">
        <v>165</v>
      </c>
      <c r="H1041" s="564" t="s">
        <v>8835</v>
      </c>
      <c r="I1041" s="565" t="e">
        <f>VLOOKUP(H1041,'合同高级查询数据-10月新返回合同'!A:A,1,0)</f>
        <v>#N/A</v>
      </c>
      <c r="J1041" s="566" t="s">
        <v>8805</v>
      </c>
      <c r="K1041" s="561" t="s">
        <v>8846</v>
      </c>
      <c r="L1041" s="564" t="s">
        <v>8847</v>
      </c>
      <c r="M1041" s="561"/>
      <c r="N1041" s="567">
        <v>44378</v>
      </c>
      <c r="O1041" s="561"/>
      <c r="P1041" s="638">
        <v>3950</v>
      </c>
      <c r="Q1041" s="720">
        <v>44.558999999999997</v>
      </c>
      <c r="R1041" s="639">
        <f t="shared" si="64"/>
        <v>176008.05</v>
      </c>
      <c r="S1041" s="570">
        <v>202310</v>
      </c>
      <c r="T1041" s="571" t="s">
        <v>8838</v>
      </c>
      <c r="U1041" s="571"/>
      <c r="V1041" s="747">
        <v>44.558635711999997</v>
      </c>
      <c r="W1041" s="721"/>
      <c r="X1041" s="574">
        <v>45108</v>
      </c>
      <c r="Y1041" s="574">
        <v>45473</v>
      </c>
      <c r="Z1041" s="561" t="s">
        <v>8848</v>
      </c>
      <c r="AA1041" s="683">
        <v>0</v>
      </c>
      <c r="AB1041" s="582">
        <v>0</v>
      </c>
      <c r="AC1041" s="713">
        <f t="shared" si="61"/>
        <v>0</v>
      </c>
    </row>
    <row r="1042" spans="1:29" s="577" customFormat="1" ht="15" customHeight="1">
      <c r="A1042" s="561" t="s">
        <v>57</v>
      </c>
      <c r="B1042" s="562" t="s">
        <v>7101</v>
      </c>
      <c r="C1042" s="563" t="s">
        <v>84</v>
      </c>
      <c r="D1042" s="563" t="s">
        <v>8478</v>
      </c>
      <c r="E1042" s="561" t="s">
        <v>3801</v>
      </c>
      <c r="F1042" s="561" t="s">
        <v>8825</v>
      </c>
      <c r="G1042" s="561" t="s">
        <v>165</v>
      </c>
      <c r="H1042" s="564" t="s">
        <v>8849</v>
      </c>
      <c r="I1042" s="565" t="str">
        <f>VLOOKUP(H1042,'合同高级查询数据-10月新返回合同'!A:A,1,0)</f>
        <v>182315IDC00538</v>
      </c>
      <c r="J1042" s="566" t="s">
        <v>8780</v>
      </c>
      <c r="K1042" s="561" t="s">
        <v>8850</v>
      </c>
      <c r="L1042" s="564" t="s">
        <v>8851</v>
      </c>
      <c r="M1042" s="561"/>
      <c r="N1042" s="567">
        <v>44197</v>
      </c>
      <c r="O1042" s="561"/>
      <c r="P1042" s="638">
        <v>2300</v>
      </c>
      <c r="Q1042" s="720">
        <v>34.695999999999998</v>
      </c>
      <c r="R1042" s="639">
        <f t="shared" si="64"/>
        <v>79800.800000000003</v>
      </c>
      <c r="S1042" s="570">
        <v>202310</v>
      </c>
      <c r="T1042" s="571" t="s">
        <v>8852</v>
      </c>
      <c r="U1042" s="571"/>
      <c r="V1042" s="747">
        <v>34.695549010999997</v>
      </c>
      <c r="W1042" s="721"/>
      <c r="X1042" s="574">
        <v>45200</v>
      </c>
      <c r="Y1042" s="574">
        <v>45565</v>
      </c>
      <c r="Z1042" s="561" t="s">
        <v>8853</v>
      </c>
      <c r="AA1042" s="683">
        <v>0</v>
      </c>
      <c r="AB1042" s="582">
        <v>0</v>
      </c>
      <c r="AC1042" s="713">
        <f t="shared" si="61"/>
        <v>0</v>
      </c>
    </row>
    <row r="1043" spans="1:29" s="577" customFormat="1" ht="15" customHeight="1">
      <c r="A1043" s="561" t="s">
        <v>57</v>
      </c>
      <c r="B1043" s="562" t="s">
        <v>7101</v>
      </c>
      <c r="C1043" s="563" t="s">
        <v>84</v>
      </c>
      <c r="D1043" s="563" t="s">
        <v>8478</v>
      </c>
      <c r="E1043" s="561" t="s">
        <v>3801</v>
      </c>
      <c r="F1043" s="561" t="s">
        <v>8825</v>
      </c>
      <c r="G1043" s="561" t="s">
        <v>165</v>
      </c>
      <c r="H1043" s="564" t="s">
        <v>8849</v>
      </c>
      <c r="I1043" s="565" t="str">
        <f>VLOOKUP(H1043,'合同高级查询数据-10月新返回合同'!A:A,1,0)</f>
        <v>182315IDC00538</v>
      </c>
      <c r="J1043" s="566" t="s">
        <v>8780</v>
      </c>
      <c r="K1043" s="561" t="s">
        <v>8854</v>
      </c>
      <c r="L1043" s="564" t="s">
        <v>8855</v>
      </c>
      <c r="M1043" s="561"/>
      <c r="N1043" s="567">
        <v>44197</v>
      </c>
      <c r="O1043" s="561"/>
      <c r="P1043" s="638">
        <v>1900</v>
      </c>
      <c r="Q1043" s="720">
        <v>3.9420000000000002</v>
      </c>
      <c r="R1043" s="639">
        <f t="shared" si="64"/>
        <v>7489.8</v>
      </c>
      <c r="S1043" s="570">
        <v>202310</v>
      </c>
      <c r="T1043" s="571" t="s">
        <v>8852</v>
      </c>
      <c r="U1043" s="571"/>
      <c r="V1043" s="747">
        <v>3.94153142</v>
      </c>
      <c r="W1043" s="721"/>
      <c r="X1043" s="574">
        <v>45200</v>
      </c>
      <c r="Y1043" s="574">
        <v>45565</v>
      </c>
      <c r="Z1043" s="561" t="s">
        <v>8856</v>
      </c>
      <c r="AA1043" s="683">
        <v>0</v>
      </c>
      <c r="AB1043" s="582">
        <v>0</v>
      </c>
      <c r="AC1043" s="713">
        <f t="shared" si="61"/>
        <v>0</v>
      </c>
    </row>
    <row r="1044" spans="1:29" s="577" customFormat="1" ht="15" customHeight="1">
      <c r="A1044" s="561" t="s">
        <v>57</v>
      </c>
      <c r="B1044" s="562" t="s">
        <v>7101</v>
      </c>
      <c r="C1044" s="563" t="s">
        <v>84</v>
      </c>
      <c r="D1044" s="563" t="s">
        <v>8478</v>
      </c>
      <c r="E1044" s="561" t="s">
        <v>3801</v>
      </c>
      <c r="F1044" s="561" t="s">
        <v>8825</v>
      </c>
      <c r="G1044" s="561" t="s">
        <v>165</v>
      </c>
      <c r="H1044" s="564" t="s">
        <v>8835</v>
      </c>
      <c r="I1044" s="565" t="e">
        <f>VLOOKUP(H1044,'合同高级查询数据-10月新返回合同'!A:A,1,0)</f>
        <v>#N/A</v>
      </c>
      <c r="J1044" s="566" t="s">
        <v>8780</v>
      </c>
      <c r="K1044" s="561" t="s">
        <v>8857</v>
      </c>
      <c r="L1044" s="564" t="s">
        <v>8858</v>
      </c>
      <c r="M1044" s="561"/>
      <c r="N1044" s="567">
        <v>44197</v>
      </c>
      <c r="O1044" s="561"/>
      <c r="P1044" s="638">
        <v>3300</v>
      </c>
      <c r="Q1044" s="720">
        <v>82.384</v>
      </c>
      <c r="R1044" s="639">
        <f t="shared" si="64"/>
        <v>271867.2</v>
      </c>
      <c r="S1044" s="570">
        <v>202310</v>
      </c>
      <c r="T1044" s="571" t="s">
        <v>8859</v>
      </c>
      <c r="U1044" s="571"/>
      <c r="V1044" s="747">
        <v>82.383209229000002</v>
      </c>
      <c r="W1044" s="721"/>
      <c r="X1044" s="574">
        <v>45108</v>
      </c>
      <c r="Y1044" s="574">
        <v>45473</v>
      </c>
      <c r="Z1044" s="561" t="s">
        <v>8860</v>
      </c>
      <c r="AA1044" s="683">
        <v>0</v>
      </c>
      <c r="AB1044" s="582">
        <v>0</v>
      </c>
      <c r="AC1044" s="713">
        <f t="shared" si="61"/>
        <v>0</v>
      </c>
    </row>
    <row r="1045" spans="1:29" s="577" customFormat="1" ht="15" customHeight="1">
      <c r="A1045" s="561" t="s">
        <v>57</v>
      </c>
      <c r="B1045" s="562" t="s">
        <v>7101</v>
      </c>
      <c r="C1045" s="563" t="s">
        <v>84</v>
      </c>
      <c r="D1045" s="563" t="s">
        <v>8478</v>
      </c>
      <c r="E1045" s="561" t="s">
        <v>3801</v>
      </c>
      <c r="F1045" s="561" t="s">
        <v>8825</v>
      </c>
      <c r="G1045" s="561" t="s">
        <v>165</v>
      </c>
      <c r="H1045" s="564" t="s">
        <v>8835</v>
      </c>
      <c r="I1045" s="565" t="e">
        <f>VLOOKUP(H1045,'合同高级查询数据-10月新返回合同'!A:A,1,0)</f>
        <v>#N/A</v>
      </c>
      <c r="J1045" s="566" t="s">
        <v>8780</v>
      </c>
      <c r="K1045" s="561" t="s">
        <v>8861</v>
      </c>
      <c r="L1045" s="564" t="s">
        <v>8862</v>
      </c>
      <c r="M1045" s="561"/>
      <c r="N1045" s="567">
        <v>44197</v>
      </c>
      <c r="O1045" s="561"/>
      <c r="P1045" s="638">
        <v>2350</v>
      </c>
      <c r="Q1045" s="720">
        <v>89.623000000000005</v>
      </c>
      <c r="R1045" s="639">
        <f t="shared" si="64"/>
        <v>210614.05</v>
      </c>
      <c r="S1045" s="570">
        <v>202310</v>
      </c>
      <c r="T1045" s="571" t="s">
        <v>8859</v>
      </c>
      <c r="U1045" s="571"/>
      <c r="V1045" s="747">
        <v>89.622520446999999</v>
      </c>
      <c r="W1045" s="721"/>
      <c r="X1045" s="574">
        <v>45108</v>
      </c>
      <c r="Y1045" s="574">
        <v>45473</v>
      </c>
      <c r="Z1045" s="561" t="s">
        <v>8863</v>
      </c>
      <c r="AA1045" s="683">
        <v>0</v>
      </c>
      <c r="AB1045" s="582">
        <v>0</v>
      </c>
      <c r="AC1045" s="713">
        <f t="shared" si="61"/>
        <v>0</v>
      </c>
    </row>
    <row r="1046" spans="1:29" s="577" customFormat="1" ht="15" customHeight="1">
      <c r="A1046" s="561" t="s">
        <v>57</v>
      </c>
      <c r="B1046" s="562" t="s">
        <v>7101</v>
      </c>
      <c r="C1046" s="563" t="s">
        <v>84</v>
      </c>
      <c r="D1046" s="563" t="s">
        <v>8478</v>
      </c>
      <c r="E1046" s="561" t="s">
        <v>8864</v>
      </c>
      <c r="F1046" s="561" t="s">
        <v>8865</v>
      </c>
      <c r="G1046" s="561" t="s">
        <v>165</v>
      </c>
      <c r="H1046" s="564" t="s">
        <v>8866</v>
      </c>
      <c r="I1046" s="565" t="e">
        <f>VLOOKUP(H1046,'合同高级查询数据-10月新返回合同'!A:A,1,0)</f>
        <v>#N/A</v>
      </c>
      <c r="J1046" s="566" t="s">
        <v>8780</v>
      </c>
      <c r="K1046" s="561" t="s">
        <v>8867</v>
      </c>
      <c r="L1046" s="564" t="s">
        <v>8867</v>
      </c>
      <c r="M1046" s="561"/>
      <c r="N1046" s="567">
        <v>44774</v>
      </c>
      <c r="O1046" s="561"/>
      <c r="P1046" s="638">
        <v>2200</v>
      </c>
      <c r="Q1046" s="720">
        <v>16.016999999999999</v>
      </c>
      <c r="R1046" s="639">
        <f t="shared" si="64"/>
        <v>35237.4</v>
      </c>
      <c r="S1046" s="570">
        <v>202310</v>
      </c>
      <c r="T1046" s="571" t="s">
        <v>8868</v>
      </c>
      <c r="U1046" s="571"/>
      <c r="V1046" s="747">
        <v>16.016411373</v>
      </c>
      <c r="W1046" s="721"/>
      <c r="X1046" s="574">
        <v>45108</v>
      </c>
      <c r="Y1046" s="574">
        <v>45473</v>
      </c>
      <c r="Z1046" s="561" t="s">
        <v>8869</v>
      </c>
      <c r="AA1046" s="683">
        <v>0</v>
      </c>
      <c r="AB1046" s="582">
        <v>0</v>
      </c>
      <c r="AC1046" s="713">
        <f t="shared" si="61"/>
        <v>0</v>
      </c>
    </row>
    <row r="1047" spans="1:29" s="577" customFormat="1" ht="15" customHeight="1">
      <c r="A1047" s="561" t="s">
        <v>57</v>
      </c>
      <c r="B1047" s="562" t="s">
        <v>7101</v>
      </c>
      <c r="C1047" s="563" t="s">
        <v>84</v>
      </c>
      <c r="D1047" s="563" t="s">
        <v>8478</v>
      </c>
      <c r="E1047" s="561" t="s">
        <v>8864</v>
      </c>
      <c r="F1047" s="561" t="s">
        <v>8865</v>
      </c>
      <c r="G1047" s="561" t="s">
        <v>165</v>
      </c>
      <c r="H1047" s="564" t="s">
        <v>8866</v>
      </c>
      <c r="I1047" s="565" t="e">
        <f>VLOOKUP(H1047,'合同高级查询数据-10月新返回合同'!A:A,1,0)</f>
        <v>#N/A</v>
      </c>
      <c r="J1047" s="566" t="s">
        <v>8780</v>
      </c>
      <c r="K1047" s="561" t="s">
        <v>8870</v>
      </c>
      <c r="L1047" s="564" t="s">
        <v>8870</v>
      </c>
      <c r="M1047" s="561"/>
      <c r="N1047" s="567">
        <v>44774</v>
      </c>
      <c r="O1047" s="561"/>
      <c r="P1047" s="638">
        <v>3200</v>
      </c>
      <c r="Q1047" s="720">
        <v>139.49299999999999</v>
      </c>
      <c r="R1047" s="639">
        <f t="shared" si="64"/>
        <v>446377.6</v>
      </c>
      <c r="S1047" s="570">
        <v>202310</v>
      </c>
      <c r="T1047" s="571" t="s">
        <v>8868</v>
      </c>
      <c r="U1047" s="571"/>
      <c r="V1047" s="747">
        <v>139.49251073400001</v>
      </c>
      <c r="W1047" s="721"/>
      <c r="X1047" s="574">
        <v>45108</v>
      </c>
      <c r="Y1047" s="574">
        <v>45473</v>
      </c>
      <c r="Z1047" s="561" t="s">
        <v>8871</v>
      </c>
      <c r="AA1047" s="683">
        <v>0</v>
      </c>
      <c r="AB1047" s="582">
        <v>0</v>
      </c>
      <c r="AC1047" s="713">
        <f t="shared" si="61"/>
        <v>0</v>
      </c>
    </row>
    <row r="1048" spans="1:29" s="577" customFormat="1" ht="15" customHeight="1">
      <c r="A1048" s="561" t="s">
        <v>57</v>
      </c>
      <c r="B1048" s="562" t="s">
        <v>7101</v>
      </c>
      <c r="C1048" s="563" t="s">
        <v>84</v>
      </c>
      <c r="D1048" s="563" t="s">
        <v>8478</v>
      </c>
      <c r="E1048" s="561" t="s">
        <v>8864</v>
      </c>
      <c r="F1048" s="561" t="s">
        <v>8865</v>
      </c>
      <c r="G1048" s="561" t="s">
        <v>165</v>
      </c>
      <c r="H1048" s="564" t="s">
        <v>8872</v>
      </c>
      <c r="I1048" s="565" t="e">
        <f>VLOOKUP(H1048,'合同高级查询数据-10月新返回合同'!A:A,1,0)</f>
        <v>#N/A</v>
      </c>
      <c r="J1048" s="566" t="s">
        <v>8805</v>
      </c>
      <c r="K1048" s="561" t="s">
        <v>8873</v>
      </c>
      <c r="L1048" s="564" t="s">
        <v>8874</v>
      </c>
      <c r="M1048" s="561"/>
      <c r="N1048" s="567">
        <v>45078</v>
      </c>
      <c r="O1048" s="561"/>
      <c r="P1048" s="638">
        <v>2200</v>
      </c>
      <c r="Q1048" s="720">
        <v>12.021000000000001</v>
      </c>
      <c r="R1048" s="639">
        <f t="shared" si="64"/>
        <v>26446.2</v>
      </c>
      <c r="S1048" s="570">
        <v>202310</v>
      </c>
      <c r="T1048" s="571" t="s">
        <v>8875</v>
      </c>
      <c r="U1048" s="571"/>
      <c r="V1048" s="747">
        <v>12.020674705999999</v>
      </c>
      <c r="W1048" s="721"/>
      <c r="X1048" s="574">
        <v>45078</v>
      </c>
      <c r="Y1048" s="574">
        <v>45443</v>
      </c>
      <c r="Z1048" s="561" t="s">
        <v>8876</v>
      </c>
      <c r="AA1048" s="683">
        <v>0</v>
      </c>
      <c r="AB1048" s="713">
        <v>0</v>
      </c>
      <c r="AC1048" s="713">
        <f t="shared" si="61"/>
        <v>0</v>
      </c>
    </row>
    <row r="1049" spans="1:29" s="577" customFormat="1" ht="15" customHeight="1">
      <c r="A1049" s="561" t="s">
        <v>57</v>
      </c>
      <c r="B1049" s="562" t="s">
        <v>7101</v>
      </c>
      <c r="C1049" s="563" t="s">
        <v>84</v>
      </c>
      <c r="D1049" s="563" t="s">
        <v>8478</v>
      </c>
      <c r="E1049" s="561" t="s">
        <v>8864</v>
      </c>
      <c r="F1049" s="561" t="s">
        <v>8865</v>
      </c>
      <c r="G1049" s="561" t="s">
        <v>165</v>
      </c>
      <c r="H1049" s="564" t="s">
        <v>8872</v>
      </c>
      <c r="I1049" s="565" t="e">
        <f>VLOOKUP(H1049,'合同高级查询数据-10月新返回合同'!A:A,1,0)</f>
        <v>#N/A</v>
      </c>
      <c r="J1049" s="566" t="s">
        <v>8805</v>
      </c>
      <c r="K1049" s="561" t="s">
        <v>8877</v>
      </c>
      <c r="L1049" s="564" t="s">
        <v>8878</v>
      </c>
      <c r="M1049" s="561"/>
      <c r="N1049" s="567">
        <v>45078</v>
      </c>
      <c r="O1049" s="561"/>
      <c r="P1049" s="638">
        <v>3200</v>
      </c>
      <c r="Q1049" s="720">
        <v>32.036999999999999</v>
      </c>
      <c r="R1049" s="639">
        <f t="shared" si="64"/>
        <v>102518.39999999999</v>
      </c>
      <c r="S1049" s="570">
        <v>202310</v>
      </c>
      <c r="T1049" s="571" t="s">
        <v>8879</v>
      </c>
      <c r="U1049" s="571"/>
      <c r="V1049" s="747">
        <v>32.036556244000003</v>
      </c>
      <c r="W1049" s="721"/>
      <c r="X1049" s="574">
        <v>45078</v>
      </c>
      <c r="Y1049" s="574">
        <v>45443</v>
      </c>
      <c r="Z1049" s="561" t="s">
        <v>8880</v>
      </c>
      <c r="AA1049" s="683">
        <v>0</v>
      </c>
      <c r="AB1049" s="713">
        <v>0</v>
      </c>
      <c r="AC1049" s="713">
        <f t="shared" si="61"/>
        <v>0</v>
      </c>
    </row>
    <row r="1050" spans="1:29" s="577" customFormat="1" ht="15" customHeight="1">
      <c r="A1050" s="561" t="s">
        <v>57</v>
      </c>
      <c r="B1050" s="562" t="s">
        <v>7101</v>
      </c>
      <c r="C1050" s="563" t="s">
        <v>84</v>
      </c>
      <c r="D1050" s="563" t="s">
        <v>8478</v>
      </c>
      <c r="E1050" s="561" t="s">
        <v>8864</v>
      </c>
      <c r="F1050" s="561" t="s">
        <v>8865</v>
      </c>
      <c r="G1050" s="561" t="s">
        <v>165</v>
      </c>
      <c r="H1050" s="564" t="s">
        <v>8872</v>
      </c>
      <c r="I1050" s="565" t="e">
        <f>VLOOKUP(H1050,'合同高级查询数据-10月新返回合同'!A:A,1,0)</f>
        <v>#N/A</v>
      </c>
      <c r="J1050" s="566" t="s">
        <v>8805</v>
      </c>
      <c r="K1050" s="561" t="s">
        <v>8881</v>
      </c>
      <c r="L1050" s="564" t="s">
        <v>8882</v>
      </c>
      <c r="M1050" s="561"/>
      <c r="N1050" s="567">
        <v>45078</v>
      </c>
      <c r="O1050" s="561"/>
      <c r="P1050" s="638">
        <v>3800</v>
      </c>
      <c r="Q1050" s="720">
        <v>0.41299999999999998</v>
      </c>
      <c r="R1050" s="639">
        <f t="shared" si="64"/>
        <v>1569.4</v>
      </c>
      <c r="S1050" s="570">
        <v>202310</v>
      </c>
      <c r="T1050" s="571" t="s">
        <v>8883</v>
      </c>
      <c r="U1050" s="571"/>
      <c r="V1050" s="747">
        <v>0.412144542</v>
      </c>
      <c r="W1050" s="721"/>
      <c r="X1050" s="574">
        <v>45078</v>
      </c>
      <c r="Y1050" s="574">
        <v>45443</v>
      </c>
      <c r="Z1050" s="561" t="s">
        <v>8884</v>
      </c>
      <c r="AA1050" s="683">
        <v>0</v>
      </c>
      <c r="AB1050" s="713">
        <v>0</v>
      </c>
      <c r="AC1050" s="713">
        <f t="shared" si="61"/>
        <v>0</v>
      </c>
    </row>
    <row r="1051" spans="1:29" s="577" customFormat="1" ht="15" customHeight="1">
      <c r="A1051" s="561" t="s">
        <v>57</v>
      </c>
      <c r="B1051" s="562" t="s">
        <v>7101</v>
      </c>
      <c r="C1051" s="563" t="s">
        <v>84</v>
      </c>
      <c r="D1051" s="563" t="s">
        <v>8478</v>
      </c>
      <c r="E1051" s="561" t="s">
        <v>8864</v>
      </c>
      <c r="F1051" s="561" t="s">
        <v>8865</v>
      </c>
      <c r="G1051" s="561" t="s">
        <v>165</v>
      </c>
      <c r="H1051" s="564" t="s">
        <v>8872</v>
      </c>
      <c r="I1051" s="565" t="e">
        <f>VLOOKUP(H1051,'合同高级查询数据-10月新返回合同'!A:A,1,0)</f>
        <v>#N/A</v>
      </c>
      <c r="J1051" s="566" t="s">
        <v>8805</v>
      </c>
      <c r="K1051" s="561" t="s">
        <v>8885</v>
      </c>
      <c r="L1051" s="564" t="s">
        <v>8886</v>
      </c>
      <c r="M1051" s="561"/>
      <c r="N1051" s="567">
        <v>45078</v>
      </c>
      <c r="O1051" s="561"/>
      <c r="P1051" s="638">
        <v>3000</v>
      </c>
      <c r="Q1051" s="720">
        <v>79.322000000000003</v>
      </c>
      <c r="R1051" s="639">
        <f t="shared" si="64"/>
        <v>237966</v>
      </c>
      <c r="S1051" s="570">
        <v>202310</v>
      </c>
      <c r="T1051" s="571" t="s">
        <v>8887</v>
      </c>
      <c r="U1051" s="571"/>
      <c r="V1051" s="747">
        <v>79.321449279999996</v>
      </c>
      <c r="W1051" s="721"/>
      <c r="X1051" s="574">
        <v>45078</v>
      </c>
      <c r="Y1051" s="574">
        <v>45443</v>
      </c>
      <c r="Z1051" s="561" t="s">
        <v>8888</v>
      </c>
      <c r="AA1051" s="683">
        <v>0</v>
      </c>
      <c r="AB1051" s="713">
        <v>0</v>
      </c>
      <c r="AC1051" s="713">
        <f t="shared" si="61"/>
        <v>0</v>
      </c>
    </row>
    <row r="1052" spans="1:29" s="385" customFormat="1" ht="15" customHeight="1">
      <c r="A1052" s="386" t="s">
        <v>57</v>
      </c>
      <c r="B1052" s="387" t="s">
        <v>7101</v>
      </c>
      <c r="C1052" s="388" t="s">
        <v>84</v>
      </c>
      <c r="D1052" s="388" t="s">
        <v>8478</v>
      </c>
      <c r="E1052" s="386" t="s">
        <v>8864</v>
      </c>
      <c r="F1052" s="386" t="s">
        <v>8865</v>
      </c>
      <c r="G1052" s="386" t="s">
        <v>165</v>
      </c>
      <c r="H1052" s="389" t="s">
        <v>8889</v>
      </c>
      <c r="I1052" s="369" t="e">
        <f>VLOOKUP(H1052,'合同高级查询数据-10月新返回合同'!A:A,1,0)</f>
        <v>#N/A</v>
      </c>
      <c r="J1052" s="390" t="s">
        <v>8780</v>
      </c>
      <c r="K1052" s="386" t="s">
        <v>8890</v>
      </c>
      <c r="L1052" s="389" t="s">
        <v>8891</v>
      </c>
      <c r="M1052" s="386"/>
      <c r="N1052" s="391">
        <v>45170</v>
      </c>
      <c r="O1052" s="386"/>
      <c r="P1052" s="446">
        <v>3000</v>
      </c>
      <c r="Q1052" s="540">
        <v>0</v>
      </c>
      <c r="R1052" s="447">
        <f t="shared" si="64"/>
        <v>0</v>
      </c>
      <c r="S1052" s="378">
        <v>202310</v>
      </c>
      <c r="T1052" s="394" t="s">
        <v>8892</v>
      </c>
      <c r="U1052" s="394"/>
      <c r="V1052" s="559">
        <v>0</v>
      </c>
      <c r="W1052" s="541"/>
      <c r="X1052" s="383"/>
      <c r="Y1052" s="383"/>
      <c r="Z1052" s="386" t="s">
        <v>8893</v>
      </c>
      <c r="AA1052" s="506">
        <v>0</v>
      </c>
      <c r="AB1052" s="448">
        <v>0</v>
      </c>
      <c r="AC1052" s="410">
        <f t="shared" si="61"/>
        <v>0</v>
      </c>
    </row>
    <row r="1053" spans="1:29" s="385" customFormat="1" ht="15" customHeight="1">
      <c r="A1053" s="386" t="s">
        <v>57</v>
      </c>
      <c r="B1053" s="387" t="s">
        <v>7101</v>
      </c>
      <c r="C1053" s="388" t="s">
        <v>84</v>
      </c>
      <c r="D1053" s="388" t="s">
        <v>8478</v>
      </c>
      <c r="E1053" s="386" t="s">
        <v>8864</v>
      </c>
      <c r="F1053" s="386" t="s">
        <v>8865</v>
      </c>
      <c r="G1053" s="386" t="s">
        <v>165</v>
      </c>
      <c r="H1053" s="389" t="s">
        <v>8889</v>
      </c>
      <c r="I1053" s="369" t="e">
        <f>VLOOKUP(H1053,'合同高级查询数据-10月新返回合同'!A:A,1,0)</f>
        <v>#N/A</v>
      </c>
      <c r="J1053" s="390" t="s">
        <v>8780</v>
      </c>
      <c r="K1053" s="386" t="s">
        <v>8890</v>
      </c>
      <c r="L1053" s="389" t="s">
        <v>8894</v>
      </c>
      <c r="M1053" s="386"/>
      <c r="N1053" s="391">
        <v>45170</v>
      </c>
      <c r="O1053" s="386"/>
      <c r="P1053" s="446">
        <v>3800</v>
      </c>
      <c r="Q1053" s="540">
        <v>0</v>
      </c>
      <c r="R1053" s="447">
        <f t="shared" si="64"/>
        <v>0</v>
      </c>
      <c r="S1053" s="378">
        <v>202310</v>
      </c>
      <c r="T1053" s="394" t="s">
        <v>8895</v>
      </c>
      <c r="U1053" s="394"/>
      <c r="V1053" s="559">
        <v>0</v>
      </c>
      <c r="W1053" s="541"/>
      <c r="X1053" s="383"/>
      <c r="Y1053" s="383"/>
      <c r="Z1053" s="386" t="s">
        <v>8896</v>
      </c>
      <c r="AA1053" s="506">
        <v>0</v>
      </c>
      <c r="AB1053" s="448">
        <v>0</v>
      </c>
      <c r="AC1053" s="410">
        <f t="shared" si="61"/>
        <v>0</v>
      </c>
    </row>
    <row r="1054" spans="1:29" s="577" customFormat="1" ht="15" customHeight="1">
      <c r="A1054" s="561" t="s">
        <v>57</v>
      </c>
      <c r="B1054" s="562" t="s">
        <v>7101</v>
      </c>
      <c r="C1054" s="563" t="s">
        <v>84</v>
      </c>
      <c r="D1054" s="563" t="s">
        <v>8478</v>
      </c>
      <c r="E1054" s="561" t="s">
        <v>8864</v>
      </c>
      <c r="F1054" s="561" t="s">
        <v>8865</v>
      </c>
      <c r="G1054" s="561" t="s">
        <v>165</v>
      </c>
      <c r="H1054" s="564" t="s">
        <v>8872</v>
      </c>
      <c r="I1054" s="565" t="e">
        <f>VLOOKUP(H1054,'合同高级查询数据-10月新返回合同'!A:A,1,0)</f>
        <v>#N/A</v>
      </c>
      <c r="J1054" s="566" t="s">
        <v>8805</v>
      </c>
      <c r="K1054" s="561" t="s">
        <v>8885</v>
      </c>
      <c r="L1054" s="564" t="s">
        <v>8886</v>
      </c>
      <c r="M1054" s="561"/>
      <c r="N1054" s="567">
        <v>45078</v>
      </c>
      <c r="O1054" s="561"/>
      <c r="P1054" s="638">
        <v>3000</v>
      </c>
      <c r="Q1054" s="720">
        <v>8.8379999999999992</v>
      </c>
      <c r="R1054" s="719">
        <f t="shared" si="64"/>
        <v>26514</v>
      </c>
      <c r="S1054" s="570">
        <v>202308</v>
      </c>
      <c r="T1054" s="571" t="s">
        <v>8897</v>
      </c>
      <c r="U1054" s="571"/>
      <c r="V1054" s="748"/>
      <c r="W1054" s="721"/>
      <c r="X1054" s="574">
        <v>45078</v>
      </c>
      <c r="Y1054" s="574">
        <v>45443</v>
      </c>
      <c r="Z1054" s="561"/>
      <c r="AA1054" s="683"/>
      <c r="AB1054" s="713"/>
      <c r="AC1054" s="582"/>
    </row>
    <row r="1055" spans="1:29" s="577" customFormat="1" ht="15" customHeight="1">
      <c r="A1055" s="561" t="s">
        <v>57</v>
      </c>
      <c r="B1055" s="562" t="s">
        <v>7101</v>
      </c>
      <c r="C1055" s="563" t="s">
        <v>84</v>
      </c>
      <c r="D1055" s="563" t="s">
        <v>8478</v>
      </c>
      <c r="E1055" s="561" t="s">
        <v>4519</v>
      </c>
      <c r="F1055" s="561" t="s">
        <v>8898</v>
      </c>
      <c r="G1055" s="561" t="s">
        <v>165</v>
      </c>
      <c r="H1055" s="564" t="s">
        <v>8899</v>
      </c>
      <c r="I1055" s="565" t="e">
        <f>VLOOKUP(H1055,'合同高级查询数据-10月新返回合同'!A:A,1,0)</f>
        <v>#N/A</v>
      </c>
      <c r="J1055" s="566" t="s">
        <v>8780</v>
      </c>
      <c r="K1055" s="561" t="s">
        <v>8900</v>
      </c>
      <c r="L1055" s="564" t="s">
        <v>8900</v>
      </c>
      <c r="M1055" s="561"/>
      <c r="N1055" s="567">
        <v>44228</v>
      </c>
      <c r="O1055" s="561"/>
      <c r="P1055" s="638">
        <v>3100</v>
      </c>
      <c r="Q1055" s="720">
        <v>245.48</v>
      </c>
      <c r="R1055" s="639">
        <f t="shared" si="64"/>
        <v>760988</v>
      </c>
      <c r="S1055" s="570">
        <v>202310</v>
      </c>
      <c r="T1055" s="571" t="s">
        <v>8901</v>
      </c>
      <c r="U1055" s="571"/>
      <c r="V1055" s="747">
        <v>245.47982788100001</v>
      </c>
      <c r="W1055" s="721"/>
      <c r="X1055" s="574">
        <v>44866</v>
      </c>
      <c r="Y1055" s="574">
        <v>45230</v>
      </c>
      <c r="Z1055" s="561" t="s">
        <v>8902</v>
      </c>
      <c r="AA1055" s="683">
        <v>0</v>
      </c>
      <c r="AB1055" s="582">
        <v>0</v>
      </c>
      <c r="AC1055" s="713">
        <f t="shared" si="61"/>
        <v>0</v>
      </c>
    </row>
    <row r="1056" spans="1:29" s="385" customFormat="1" ht="15" customHeight="1">
      <c r="A1056" s="386" t="s">
        <v>57</v>
      </c>
      <c r="B1056" s="387" t="s">
        <v>7101</v>
      </c>
      <c r="C1056" s="388" t="s">
        <v>84</v>
      </c>
      <c r="D1056" s="388" t="s">
        <v>8478</v>
      </c>
      <c r="E1056" s="386" t="s">
        <v>8903</v>
      </c>
      <c r="F1056" s="386" t="s">
        <v>8904</v>
      </c>
      <c r="G1056" s="386" t="s">
        <v>165</v>
      </c>
      <c r="H1056" s="389" t="s">
        <v>8905</v>
      </c>
      <c r="I1056" s="369" t="e">
        <f>VLOOKUP(H1056,'合同高级查询数据-10月新返回合同'!A:A,1,0)</f>
        <v>#N/A</v>
      </c>
      <c r="J1056" s="390" t="s">
        <v>8780</v>
      </c>
      <c r="K1056" s="386" t="s">
        <v>8906</v>
      </c>
      <c r="L1056" s="389" t="s">
        <v>8907</v>
      </c>
      <c r="M1056" s="386"/>
      <c r="N1056" s="391">
        <v>44531</v>
      </c>
      <c r="O1056" s="386"/>
      <c r="P1056" s="446">
        <v>3200</v>
      </c>
      <c r="Q1056" s="540">
        <v>0</v>
      </c>
      <c r="R1056" s="447">
        <f t="shared" si="64"/>
        <v>0</v>
      </c>
      <c r="S1056" s="378">
        <v>202310</v>
      </c>
      <c r="T1056" s="394" t="s">
        <v>8908</v>
      </c>
      <c r="U1056" s="394"/>
      <c r="V1056" s="559">
        <v>0</v>
      </c>
      <c r="W1056" s="541"/>
      <c r="X1056" s="383"/>
      <c r="Y1056" s="383"/>
      <c r="Z1056" s="386" t="s">
        <v>8909</v>
      </c>
      <c r="AA1056" s="506">
        <v>0</v>
      </c>
      <c r="AB1056" s="410">
        <v>0</v>
      </c>
      <c r="AC1056" s="448">
        <f t="shared" si="61"/>
        <v>0</v>
      </c>
    </row>
    <row r="1057" spans="1:29" s="577" customFormat="1" ht="15" customHeight="1">
      <c r="A1057" s="561" t="s">
        <v>57</v>
      </c>
      <c r="B1057" s="562" t="s">
        <v>7101</v>
      </c>
      <c r="C1057" s="563" t="s">
        <v>84</v>
      </c>
      <c r="D1057" s="563" t="s">
        <v>8478</v>
      </c>
      <c r="E1057" s="561" t="s">
        <v>8903</v>
      </c>
      <c r="F1057" s="561" t="s">
        <v>8904</v>
      </c>
      <c r="G1057" s="561" t="s">
        <v>165</v>
      </c>
      <c r="H1057" s="564" t="s">
        <v>8910</v>
      </c>
      <c r="I1057" s="565" t="e">
        <f>VLOOKUP(H1057,'合同高级查询数据-10月新返回合同'!A:A,1,0)</f>
        <v>#N/A</v>
      </c>
      <c r="J1057" s="566" t="s">
        <v>8780</v>
      </c>
      <c r="K1057" s="561" t="s">
        <v>8911</v>
      </c>
      <c r="L1057" s="564" t="s">
        <v>8912</v>
      </c>
      <c r="M1057" s="561"/>
      <c r="N1057" s="567">
        <v>44197</v>
      </c>
      <c r="O1057" s="561"/>
      <c r="P1057" s="638">
        <v>3500</v>
      </c>
      <c r="Q1057" s="720">
        <v>0</v>
      </c>
      <c r="R1057" s="639">
        <f t="shared" si="64"/>
        <v>0</v>
      </c>
      <c r="S1057" s="570">
        <v>202310</v>
      </c>
      <c r="T1057" s="571" t="s">
        <v>8913</v>
      </c>
      <c r="U1057" s="571"/>
      <c r="V1057" s="747">
        <v>0</v>
      </c>
      <c r="W1057" s="721"/>
      <c r="X1057" s="574">
        <v>44713</v>
      </c>
      <c r="Y1057" s="574">
        <v>45077</v>
      </c>
      <c r="Z1057" s="561" t="s">
        <v>8914</v>
      </c>
      <c r="AA1057" s="683">
        <v>0</v>
      </c>
      <c r="AB1057" s="582">
        <v>0</v>
      </c>
      <c r="AC1057" s="713">
        <f t="shared" si="61"/>
        <v>0</v>
      </c>
    </row>
    <row r="1058" spans="1:29" s="577" customFormat="1" ht="15" customHeight="1">
      <c r="A1058" s="561" t="s">
        <v>57</v>
      </c>
      <c r="B1058" s="562" t="s">
        <v>7101</v>
      </c>
      <c r="C1058" s="563" t="s">
        <v>84</v>
      </c>
      <c r="D1058" s="563" t="s">
        <v>8478</v>
      </c>
      <c r="E1058" s="561" t="s">
        <v>8903</v>
      </c>
      <c r="F1058" s="561" t="s">
        <v>8904</v>
      </c>
      <c r="G1058" s="561" t="s">
        <v>165</v>
      </c>
      <c r="H1058" s="564" t="s">
        <v>8910</v>
      </c>
      <c r="I1058" s="565" t="e">
        <f>VLOOKUP(H1058,'合同高级查询数据-10月新返回合同'!A:A,1,0)</f>
        <v>#N/A</v>
      </c>
      <c r="J1058" s="566" t="s">
        <v>8780</v>
      </c>
      <c r="K1058" s="561" t="s">
        <v>8911</v>
      </c>
      <c r="L1058" s="564" t="s">
        <v>8915</v>
      </c>
      <c r="M1058" s="561"/>
      <c r="N1058" s="567">
        <v>44197</v>
      </c>
      <c r="O1058" s="561"/>
      <c r="P1058" s="638">
        <v>2500</v>
      </c>
      <c r="Q1058" s="720">
        <v>0</v>
      </c>
      <c r="R1058" s="639">
        <f t="shared" si="64"/>
        <v>0</v>
      </c>
      <c r="S1058" s="570">
        <v>202310</v>
      </c>
      <c r="T1058" s="571" t="s">
        <v>8916</v>
      </c>
      <c r="U1058" s="571"/>
      <c r="V1058" s="747">
        <v>0</v>
      </c>
      <c r="W1058" s="721"/>
      <c r="X1058" s="574">
        <v>44713</v>
      </c>
      <c r="Y1058" s="574">
        <v>45077</v>
      </c>
      <c r="Z1058" s="561" t="s">
        <v>8917</v>
      </c>
      <c r="AA1058" s="683">
        <v>0</v>
      </c>
      <c r="AB1058" s="582">
        <v>0</v>
      </c>
      <c r="AC1058" s="713">
        <f t="shared" si="61"/>
        <v>0</v>
      </c>
    </row>
    <row r="1059" spans="1:29" s="577" customFormat="1" ht="15" customHeight="1">
      <c r="A1059" s="561" t="s">
        <v>57</v>
      </c>
      <c r="B1059" s="562" t="s">
        <v>7101</v>
      </c>
      <c r="C1059" s="563" t="s">
        <v>84</v>
      </c>
      <c r="D1059" s="563" t="s">
        <v>8478</v>
      </c>
      <c r="E1059" s="561" t="s">
        <v>8903</v>
      </c>
      <c r="F1059" s="561" t="s">
        <v>8904</v>
      </c>
      <c r="G1059" s="561" t="s">
        <v>165</v>
      </c>
      <c r="H1059" s="564" t="s">
        <v>8918</v>
      </c>
      <c r="I1059" s="565" t="e">
        <f>VLOOKUP(H1059,'合同高级查询数据-10月新返回合同'!A:A,1,0)</f>
        <v>#N/A</v>
      </c>
      <c r="J1059" s="566" t="s">
        <v>8780</v>
      </c>
      <c r="K1059" s="561" t="s">
        <v>8919</v>
      </c>
      <c r="L1059" s="564" t="s">
        <v>8920</v>
      </c>
      <c r="M1059" s="561"/>
      <c r="N1059" s="567">
        <v>44428</v>
      </c>
      <c r="O1059" s="561"/>
      <c r="P1059" s="638">
        <v>2350</v>
      </c>
      <c r="Q1059" s="720">
        <v>20.742000000000001</v>
      </c>
      <c r="R1059" s="639">
        <f t="shared" si="64"/>
        <v>48743.7</v>
      </c>
      <c r="S1059" s="570">
        <v>202310</v>
      </c>
      <c r="T1059" s="571" t="s">
        <v>8913</v>
      </c>
      <c r="U1059" s="571"/>
      <c r="V1059" s="747">
        <v>20.741865421</v>
      </c>
      <c r="W1059" s="721"/>
      <c r="X1059" s="722">
        <v>45047</v>
      </c>
      <c r="Y1059" s="722">
        <v>45412</v>
      </c>
      <c r="Z1059" s="561" t="s">
        <v>8921</v>
      </c>
      <c r="AA1059" s="683">
        <v>0</v>
      </c>
      <c r="AB1059" s="582">
        <v>0</v>
      </c>
      <c r="AC1059" s="713">
        <f t="shared" si="61"/>
        <v>0</v>
      </c>
    </row>
    <row r="1060" spans="1:29" s="577" customFormat="1" ht="15" customHeight="1">
      <c r="A1060" s="561" t="s">
        <v>57</v>
      </c>
      <c r="B1060" s="562" t="s">
        <v>7101</v>
      </c>
      <c r="C1060" s="563" t="s">
        <v>84</v>
      </c>
      <c r="D1060" s="563" t="s">
        <v>8478</v>
      </c>
      <c r="E1060" s="561" t="s">
        <v>8903</v>
      </c>
      <c r="F1060" s="561" t="s">
        <v>8904</v>
      </c>
      <c r="G1060" s="561" t="s">
        <v>165</v>
      </c>
      <c r="H1060" s="564" t="s">
        <v>8918</v>
      </c>
      <c r="I1060" s="565" t="e">
        <f>VLOOKUP(H1060,'合同高级查询数据-10月新返回合同'!A:A,1,0)</f>
        <v>#N/A</v>
      </c>
      <c r="J1060" s="566" t="s">
        <v>8780</v>
      </c>
      <c r="K1060" s="561" t="s">
        <v>8919</v>
      </c>
      <c r="L1060" s="564" t="s">
        <v>8922</v>
      </c>
      <c r="M1060" s="561"/>
      <c r="N1060" s="567">
        <v>44428</v>
      </c>
      <c r="O1060" s="561"/>
      <c r="P1060" s="638">
        <v>3350</v>
      </c>
      <c r="Q1060" s="720">
        <v>97.477000000000004</v>
      </c>
      <c r="R1060" s="639">
        <f t="shared" si="64"/>
        <v>326547.95</v>
      </c>
      <c r="S1060" s="570">
        <v>202310</v>
      </c>
      <c r="T1060" s="571" t="s">
        <v>8913</v>
      </c>
      <c r="U1060" s="571"/>
      <c r="V1060" s="747">
        <v>97.476512889000006</v>
      </c>
      <c r="W1060" s="721"/>
      <c r="X1060" s="722">
        <v>45047</v>
      </c>
      <c r="Y1060" s="722">
        <v>45412</v>
      </c>
      <c r="Z1060" s="561" t="s">
        <v>8923</v>
      </c>
      <c r="AA1060" s="683">
        <v>0</v>
      </c>
      <c r="AB1060" s="582">
        <v>0</v>
      </c>
      <c r="AC1060" s="713">
        <f t="shared" si="61"/>
        <v>0</v>
      </c>
    </row>
    <row r="1061" spans="1:29" s="577" customFormat="1" ht="15" customHeight="1">
      <c r="A1061" s="561" t="s">
        <v>57</v>
      </c>
      <c r="B1061" s="562" t="s">
        <v>7101</v>
      </c>
      <c r="C1061" s="563" t="s">
        <v>84</v>
      </c>
      <c r="D1061" s="563" t="s">
        <v>8478</v>
      </c>
      <c r="E1061" s="561" t="s">
        <v>8903</v>
      </c>
      <c r="F1061" s="561" t="s">
        <v>8904</v>
      </c>
      <c r="G1061" s="561" t="s">
        <v>165</v>
      </c>
      <c r="H1061" s="564" t="s">
        <v>8910</v>
      </c>
      <c r="I1061" s="565" t="e">
        <f>VLOOKUP(H1061,'合同高级查询数据-10月新返回合同'!A:A,1,0)</f>
        <v>#N/A</v>
      </c>
      <c r="J1061" s="566" t="s">
        <v>8805</v>
      </c>
      <c r="K1061" s="561" t="s">
        <v>8924</v>
      </c>
      <c r="L1061" s="564" t="s">
        <v>8925</v>
      </c>
      <c r="M1061" s="561"/>
      <c r="N1061" s="567">
        <v>44562</v>
      </c>
      <c r="O1061" s="561"/>
      <c r="P1061" s="638">
        <v>2600</v>
      </c>
      <c r="Q1061" s="720">
        <v>0</v>
      </c>
      <c r="R1061" s="639">
        <f t="shared" si="64"/>
        <v>0</v>
      </c>
      <c r="S1061" s="570">
        <v>202310</v>
      </c>
      <c r="T1061" s="571" t="s">
        <v>8926</v>
      </c>
      <c r="U1061" s="571"/>
      <c r="V1061" s="747">
        <v>0</v>
      </c>
      <c r="W1061" s="721"/>
      <c r="X1061" s="574">
        <v>44713</v>
      </c>
      <c r="Y1061" s="574">
        <v>45077</v>
      </c>
      <c r="Z1061" s="561" t="s">
        <v>8927</v>
      </c>
      <c r="AA1061" s="683">
        <v>0</v>
      </c>
      <c r="AB1061" s="582">
        <v>0</v>
      </c>
      <c r="AC1061" s="713">
        <f t="shared" si="61"/>
        <v>0</v>
      </c>
    </row>
    <row r="1062" spans="1:29" s="577" customFormat="1" ht="15" customHeight="1">
      <c r="A1062" s="561" t="s">
        <v>57</v>
      </c>
      <c r="B1062" s="562" t="s">
        <v>7101</v>
      </c>
      <c r="C1062" s="563" t="s">
        <v>84</v>
      </c>
      <c r="D1062" s="563" t="s">
        <v>8478</v>
      </c>
      <c r="E1062" s="561" t="s">
        <v>8903</v>
      </c>
      <c r="F1062" s="561" t="s">
        <v>8904</v>
      </c>
      <c r="G1062" s="561" t="s">
        <v>165</v>
      </c>
      <c r="H1062" s="564" t="s">
        <v>8910</v>
      </c>
      <c r="I1062" s="565" t="e">
        <f>VLOOKUP(H1062,'合同高级查询数据-10月新返回合同'!A:A,1,0)</f>
        <v>#N/A</v>
      </c>
      <c r="J1062" s="566" t="s">
        <v>8805</v>
      </c>
      <c r="K1062" s="561" t="s">
        <v>8924</v>
      </c>
      <c r="L1062" s="564" t="s">
        <v>8928</v>
      </c>
      <c r="M1062" s="561"/>
      <c r="N1062" s="567">
        <v>44562</v>
      </c>
      <c r="O1062" s="561"/>
      <c r="P1062" s="638">
        <v>3600</v>
      </c>
      <c r="Q1062" s="720">
        <v>0</v>
      </c>
      <c r="R1062" s="639">
        <f t="shared" si="64"/>
        <v>0</v>
      </c>
      <c r="S1062" s="570">
        <v>202310</v>
      </c>
      <c r="T1062" s="571" t="s">
        <v>8926</v>
      </c>
      <c r="U1062" s="571"/>
      <c r="V1062" s="747">
        <v>0</v>
      </c>
      <c r="W1062" s="721"/>
      <c r="X1062" s="574">
        <v>44713</v>
      </c>
      <c r="Y1062" s="574">
        <v>45077</v>
      </c>
      <c r="Z1062" s="561" t="s">
        <v>8929</v>
      </c>
      <c r="AA1062" s="683">
        <v>0</v>
      </c>
      <c r="AB1062" s="582">
        <v>0</v>
      </c>
      <c r="AC1062" s="713">
        <f t="shared" si="61"/>
        <v>0</v>
      </c>
    </row>
    <row r="1063" spans="1:29" s="577" customFormat="1" ht="15" customHeight="1">
      <c r="A1063" s="561" t="s">
        <v>57</v>
      </c>
      <c r="B1063" s="562" t="s">
        <v>7101</v>
      </c>
      <c r="C1063" s="563" t="s">
        <v>84</v>
      </c>
      <c r="D1063" s="563" t="s">
        <v>8478</v>
      </c>
      <c r="E1063" s="561" t="s">
        <v>8903</v>
      </c>
      <c r="F1063" s="561" t="s">
        <v>8904</v>
      </c>
      <c r="G1063" s="561" t="s">
        <v>165</v>
      </c>
      <c r="H1063" s="564" t="s">
        <v>8930</v>
      </c>
      <c r="I1063" s="565" t="e">
        <f>VLOOKUP(H1063,'合同高级查询数据-10月新返回合同'!A:A,1,0)</f>
        <v>#N/A</v>
      </c>
      <c r="J1063" s="566" t="s">
        <v>8805</v>
      </c>
      <c r="K1063" s="561" t="s">
        <v>8931</v>
      </c>
      <c r="L1063" s="564" t="s">
        <v>8932</v>
      </c>
      <c r="M1063" s="561"/>
      <c r="N1063" s="567">
        <v>44562</v>
      </c>
      <c r="O1063" s="561"/>
      <c r="P1063" s="638">
        <v>2350</v>
      </c>
      <c r="Q1063" s="720">
        <v>109.529</v>
      </c>
      <c r="R1063" s="639">
        <f t="shared" si="64"/>
        <v>257393.15</v>
      </c>
      <c r="S1063" s="570">
        <v>202310</v>
      </c>
      <c r="T1063" s="571" t="s">
        <v>8933</v>
      </c>
      <c r="U1063" s="571"/>
      <c r="V1063" s="747">
        <v>109.528625488</v>
      </c>
      <c r="W1063" s="721"/>
      <c r="X1063" s="574">
        <v>44986</v>
      </c>
      <c r="Y1063" s="574">
        <v>45351</v>
      </c>
      <c r="Z1063" s="561" t="s">
        <v>8934</v>
      </c>
      <c r="AA1063" s="683">
        <v>0</v>
      </c>
      <c r="AB1063" s="582">
        <v>0</v>
      </c>
      <c r="AC1063" s="713">
        <f t="shared" si="61"/>
        <v>0</v>
      </c>
    </row>
    <row r="1064" spans="1:29" s="577" customFormat="1" ht="15" customHeight="1">
      <c r="A1064" s="561" t="s">
        <v>57</v>
      </c>
      <c r="B1064" s="562" t="s">
        <v>7101</v>
      </c>
      <c r="C1064" s="563" t="s">
        <v>84</v>
      </c>
      <c r="D1064" s="563" t="s">
        <v>8478</v>
      </c>
      <c r="E1064" s="561" t="s">
        <v>8903</v>
      </c>
      <c r="F1064" s="561" t="s">
        <v>8904</v>
      </c>
      <c r="G1064" s="561" t="s">
        <v>165</v>
      </c>
      <c r="H1064" s="564" t="s">
        <v>8930</v>
      </c>
      <c r="I1064" s="565" t="e">
        <f>VLOOKUP(H1064,'合同高级查询数据-10月新返回合同'!A:A,1,0)</f>
        <v>#N/A</v>
      </c>
      <c r="J1064" s="566" t="s">
        <v>8805</v>
      </c>
      <c r="K1064" s="561" t="s">
        <v>8935</v>
      </c>
      <c r="L1064" s="564" t="s">
        <v>8936</v>
      </c>
      <c r="M1064" s="561"/>
      <c r="N1064" s="567">
        <v>44562</v>
      </c>
      <c r="O1064" s="561"/>
      <c r="P1064" s="638">
        <v>3350</v>
      </c>
      <c r="Q1064" s="720">
        <v>60.993000000000002</v>
      </c>
      <c r="R1064" s="639">
        <f t="shared" si="64"/>
        <v>204326.55</v>
      </c>
      <c r="S1064" s="570">
        <v>202310</v>
      </c>
      <c r="T1064" s="571" t="s">
        <v>8933</v>
      </c>
      <c r="U1064" s="571"/>
      <c r="V1064" s="747">
        <v>60.992847443000002</v>
      </c>
      <c r="W1064" s="721"/>
      <c r="X1064" s="574">
        <v>44986</v>
      </c>
      <c r="Y1064" s="574">
        <v>45351</v>
      </c>
      <c r="Z1064" s="561" t="s">
        <v>8937</v>
      </c>
      <c r="AA1064" s="683">
        <v>0</v>
      </c>
      <c r="AB1064" s="582">
        <v>0</v>
      </c>
      <c r="AC1064" s="713">
        <f t="shared" si="61"/>
        <v>0</v>
      </c>
    </row>
    <row r="1065" spans="1:29" s="385" customFormat="1" ht="15" customHeight="1">
      <c r="A1065" s="386" t="s">
        <v>57</v>
      </c>
      <c r="B1065" s="387" t="s">
        <v>7101</v>
      </c>
      <c r="C1065" s="388" t="s">
        <v>84</v>
      </c>
      <c r="D1065" s="388" t="s">
        <v>8478</v>
      </c>
      <c r="E1065" s="386" t="s">
        <v>8903</v>
      </c>
      <c r="F1065" s="386" t="s">
        <v>8904</v>
      </c>
      <c r="G1065" s="386" t="s">
        <v>165</v>
      </c>
      <c r="H1065" s="389" t="s">
        <v>8938</v>
      </c>
      <c r="I1065" s="369" t="e">
        <f>VLOOKUP(H1065,'合同高级查询数据-10月新返回合同'!A:A,1,0)</f>
        <v>#N/A</v>
      </c>
      <c r="J1065" s="390" t="s">
        <v>8805</v>
      </c>
      <c r="K1065" s="386" t="s">
        <v>8939</v>
      </c>
      <c r="L1065" s="389" t="s">
        <v>8940</v>
      </c>
      <c r="M1065" s="386"/>
      <c r="N1065" s="391">
        <v>44562</v>
      </c>
      <c r="O1065" s="386"/>
      <c r="P1065" s="446">
        <v>3200</v>
      </c>
      <c r="Q1065" s="540">
        <v>0</v>
      </c>
      <c r="R1065" s="447">
        <f t="shared" si="64"/>
        <v>0</v>
      </c>
      <c r="S1065" s="378">
        <v>202310</v>
      </c>
      <c r="T1065" s="394" t="s">
        <v>8941</v>
      </c>
      <c r="U1065" s="394"/>
      <c r="V1065" s="559">
        <v>0</v>
      </c>
      <c r="W1065" s="541"/>
      <c r="X1065" s="383"/>
      <c r="Y1065" s="383"/>
      <c r="Z1065" s="386" t="s">
        <v>8942</v>
      </c>
      <c r="AA1065" s="506">
        <v>0</v>
      </c>
      <c r="AB1065" s="410">
        <v>0</v>
      </c>
      <c r="AC1065" s="448">
        <f t="shared" si="61"/>
        <v>0</v>
      </c>
    </row>
    <row r="1066" spans="1:29" s="385" customFormat="1" ht="15" customHeight="1">
      <c r="A1066" s="386" t="s">
        <v>57</v>
      </c>
      <c r="B1066" s="387" t="s">
        <v>7101</v>
      </c>
      <c r="C1066" s="388" t="s">
        <v>84</v>
      </c>
      <c r="D1066" s="388" t="s">
        <v>8478</v>
      </c>
      <c r="E1066" s="386" t="s">
        <v>8903</v>
      </c>
      <c r="F1066" s="386" t="s">
        <v>8904</v>
      </c>
      <c r="G1066" s="386" t="s">
        <v>165</v>
      </c>
      <c r="H1066" s="389" t="s">
        <v>8938</v>
      </c>
      <c r="I1066" s="369" t="e">
        <f>VLOOKUP(H1066,'合同高级查询数据-10月新返回合同'!A:A,1,0)</f>
        <v>#N/A</v>
      </c>
      <c r="J1066" s="390" t="s">
        <v>8805</v>
      </c>
      <c r="K1066" s="386" t="s">
        <v>8943</v>
      </c>
      <c r="L1066" s="389" t="s">
        <v>8944</v>
      </c>
      <c r="M1066" s="386"/>
      <c r="N1066" s="391">
        <v>44562</v>
      </c>
      <c r="O1066" s="386"/>
      <c r="P1066" s="446">
        <v>4200</v>
      </c>
      <c r="Q1066" s="540">
        <v>0</v>
      </c>
      <c r="R1066" s="447">
        <f t="shared" si="64"/>
        <v>0</v>
      </c>
      <c r="S1066" s="378">
        <v>202310</v>
      </c>
      <c r="T1066" s="394" t="s">
        <v>8941</v>
      </c>
      <c r="U1066" s="394"/>
      <c r="V1066" s="559">
        <v>0</v>
      </c>
      <c r="W1066" s="541"/>
      <c r="X1066" s="383"/>
      <c r="Y1066" s="383"/>
      <c r="Z1066" s="386" t="s">
        <v>8945</v>
      </c>
      <c r="AA1066" s="506">
        <v>0</v>
      </c>
      <c r="AB1066" s="410">
        <v>0</v>
      </c>
      <c r="AC1066" s="448">
        <f t="shared" si="61"/>
        <v>0</v>
      </c>
    </row>
    <row r="1067" spans="1:29" s="577" customFormat="1" ht="15" customHeight="1">
      <c r="A1067" s="561" t="s">
        <v>57</v>
      </c>
      <c r="B1067" s="562" t="s">
        <v>7101</v>
      </c>
      <c r="C1067" s="563" t="s">
        <v>84</v>
      </c>
      <c r="D1067" s="563" t="s">
        <v>8478</v>
      </c>
      <c r="E1067" s="561" t="s">
        <v>8903</v>
      </c>
      <c r="F1067" s="561" t="s">
        <v>8904</v>
      </c>
      <c r="G1067" s="561" t="s">
        <v>165</v>
      </c>
      <c r="H1067" s="564" t="s">
        <v>8910</v>
      </c>
      <c r="I1067" s="565" t="e">
        <f>VLOOKUP(H1067,'合同高级查询数据-10月新返回合同'!A:A,1,0)</f>
        <v>#N/A</v>
      </c>
      <c r="J1067" s="566" t="s">
        <v>8946</v>
      </c>
      <c r="K1067" s="561" t="s">
        <v>8947</v>
      </c>
      <c r="L1067" s="564"/>
      <c r="M1067" s="561"/>
      <c r="N1067" s="567">
        <v>44428</v>
      </c>
      <c r="O1067" s="561"/>
      <c r="P1067" s="638">
        <v>0.02</v>
      </c>
      <c r="Q1067" s="720">
        <v>0</v>
      </c>
      <c r="R1067" s="639">
        <f t="shared" si="64"/>
        <v>0</v>
      </c>
      <c r="S1067" s="570">
        <v>202310</v>
      </c>
      <c r="T1067" s="571" t="s">
        <v>8948</v>
      </c>
      <c r="U1067" s="571"/>
      <c r="V1067" s="747">
        <v>0</v>
      </c>
      <c r="W1067" s="721"/>
      <c r="X1067" s="574">
        <v>44713</v>
      </c>
      <c r="Y1067" s="574">
        <v>45077</v>
      </c>
      <c r="Z1067" s="723"/>
      <c r="AA1067" s="691">
        <v>0</v>
      </c>
      <c r="AB1067" s="713">
        <v>0</v>
      </c>
      <c r="AC1067" s="713">
        <f t="shared" si="61"/>
        <v>0</v>
      </c>
    </row>
    <row r="1068" spans="1:29" s="385" customFormat="1" ht="15" customHeight="1">
      <c r="A1068" s="386" t="s">
        <v>57</v>
      </c>
      <c r="B1068" s="387" t="s">
        <v>7101</v>
      </c>
      <c r="C1068" s="388" t="s">
        <v>84</v>
      </c>
      <c r="D1068" s="388" t="s">
        <v>8478</v>
      </c>
      <c r="E1068" s="386" t="s">
        <v>8903</v>
      </c>
      <c r="F1068" s="386" t="s">
        <v>8904</v>
      </c>
      <c r="G1068" s="386" t="s">
        <v>165</v>
      </c>
      <c r="H1068" s="389" t="s">
        <v>8949</v>
      </c>
      <c r="I1068" s="369" t="e">
        <f>VLOOKUP(H1068,'合同高级查询数据-10月新返回合同'!A:A,1,0)</f>
        <v>#N/A</v>
      </c>
      <c r="J1068" s="390" t="s">
        <v>8780</v>
      </c>
      <c r="K1068" s="386" t="s">
        <v>8950</v>
      </c>
      <c r="L1068" s="389" t="s">
        <v>8951</v>
      </c>
      <c r="M1068" s="386"/>
      <c r="N1068" s="391">
        <v>44197</v>
      </c>
      <c r="O1068" s="386"/>
      <c r="P1068" s="446">
        <v>3000</v>
      </c>
      <c r="Q1068" s="540">
        <v>118.893</v>
      </c>
      <c r="R1068" s="447">
        <f t="shared" si="64"/>
        <v>356679</v>
      </c>
      <c r="S1068" s="378">
        <v>202310</v>
      </c>
      <c r="T1068" s="394" t="s">
        <v>8952</v>
      </c>
      <c r="U1068" s="394"/>
      <c r="V1068" s="559">
        <v>118.892845154</v>
      </c>
      <c r="W1068" s="541"/>
      <c r="X1068" s="383"/>
      <c r="Y1068" s="383"/>
      <c r="Z1068" s="386" t="s">
        <v>8953</v>
      </c>
      <c r="AA1068" s="506">
        <v>0</v>
      </c>
      <c r="AB1068" s="410">
        <v>0</v>
      </c>
      <c r="AC1068" s="448">
        <f t="shared" si="61"/>
        <v>0</v>
      </c>
    </row>
    <row r="1069" spans="1:29" s="577" customFormat="1" ht="15" customHeight="1">
      <c r="A1069" s="561" t="s">
        <v>57</v>
      </c>
      <c r="B1069" s="562" t="s">
        <v>7101</v>
      </c>
      <c r="C1069" s="563" t="s">
        <v>84</v>
      </c>
      <c r="D1069" s="563" t="s">
        <v>8478</v>
      </c>
      <c r="E1069" s="561" t="s">
        <v>8954</v>
      </c>
      <c r="F1069" s="561" t="s">
        <v>8955</v>
      </c>
      <c r="G1069" s="561" t="s">
        <v>165</v>
      </c>
      <c r="H1069" s="564" t="s">
        <v>8956</v>
      </c>
      <c r="I1069" s="565" t="e">
        <f>VLOOKUP(H1069,'合同高级查询数据-10月新返回合同'!A:A,1,0)</f>
        <v>#N/A</v>
      </c>
      <c r="J1069" s="566" t="s">
        <v>8805</v>
      </c>
      <c r="K1069" s="561"/>
      <c r="L1069" s="564" t="s">
        <v>8957</v>
      </c>
      <c r="M1069" s="561"/>
      <c r="N1069" s="567">
        <v>44866</v>
      </c>
      <c r="O1069" s="561"/>
      <c r="P1069" s="638">
        <v>2200</v>
      </c>
      <c r="Q1069" s="720">
        <v>68.42</v>
      </c>
      <c r="R1069" s="639">
        <f t="shared" si="64"/>
        <v>150524</v>
      </c>
      <c r="S1069" s="570">
        <v>202310</v>
      </c>
      <c r="T1069" s="571" t="s">
        <v>8958</v>
      </c>
      <c r="U1069" s="571"/>
      <c r="V1069" s="747">
        <v>68.419509887999993</v>
      </c>
      <c r="W1069" s="721"/>
      <c r="X1069" s="574">
        <v>44896</v>
      </c>
      <c r="Y1069" s="574">
        <v>45260</v>
      </c>
      <c r="Z1069" s="561" t="s">
        <v>8959</v>
      </c>
      <c r="AA1069" s="683">
        <v>0</v>
      </c>
      <c r="AB1069" s="582">
        <v>0</v>
      </c>
      <c r="AC1069" s="713">
        <f t="shared" si="61"/>
        <v>0</v>
      </c>
    </row>
    <row r="1070" spans="1:29" s="577" customFormat="1" ht="15" customHeight="1">
      <c r="A1070" s="561" t="s">
        <v>57</v>
      </c>
      <c r="B1070" s="562" t="s">
        <v>7101</v>
      </c>
      <c r="C1070" s="563" t="s">
        <v>84</v>
      </c>
      <c r="D1070" s="563" t="s">
        <v>8478</v>
      </c>
      <c r="E1070" s="561" t="s">
        <v>8954</v>
      </c>
      <c r="F1070" s="561" t="s">
        <v>8955</v>
      </c>
      <c r="G1070" s="561" t="s">
        <v>165</v>
      </c>
      <c r="H1070" s="564" t="s">
        <v>8956</v>
      </c>
      <c r="I1070" s="565" t="e">
        <f>VLOOKUP(H1070,'合同高级查询数据-10月新返回合同'!A:A,1,0)</f>
        <v>#N/A</v>
      </c>
      <c r="J1070" s="566" t="s">
        <v>8805</v>
      </c>
      <c r="K1070" s="561"/>
      <c r="L1070" s="564" t="s">
        <v>8960</v>
      </c>
      <c r="M1070" s="561"/>
      <c r="N1070" s="567">
        <v>44866</v>
      </c>
      <c r="O1070" s="561"/>
      <c r="P1070" s="638">
        <v>3200</v>
      </c>
      <c r="Q1070" s="720">
        <v>135.43</v>
      </c>
      <c r="R1070" s="639">
        <f t="shared" si="64"/>
        <v>433376</v>
      </c>
      <c r="S1070" s="570">
        <v>202310</v>
      </c>
      <c r="T1070" s="571" t="s">
        <v>8958</v>
      </c>
      <c r="U1070" s="571"/>
      <c r="V1070" s="747">
        <v>135.4296875</v>
      </c>
      <c r="W1070" s="721"/>
      <c r="X1070" s="574">
        <v>44896</v>
      </c>
      <c r="Y1070" s="574">
        <v>45260</v>
      </c>
      <c r="Z1070" s="561" t="s">
        <v>8961</v>
      </c>
      <c r="AA1070" s="683">
        <v>0</v>
      </c>
      <c r="AB1070" s="582">
        <v>0</v>
      </c>
      <c r="AC1070" s="713">
        <f t="shared" si="61"/>
        <v>0</v>
      </c>
    </row>
    <row r="1071" spans="1:29" s="577" customFormat="1" ht="15" customHeight="1">
      <c r="A1071" s="561" t="s">
        <v>57</v>
      </c>
      <c r="B1071" s="562" t="s">
        <v>7101</v>
      </c>
      <c r="C1071" s="563" t="s">
        <v>84</v>
      </c>
      <c r="D1071" s="563" t="s">
        <v>8478</v>
      </c>
      <c r="E1071" s="561" t="s">
        <v>3909</v>
      </c>
      <c r="F1071" s="561" t="s">
        <v>8962</v>
      </c>
      <c r="G1071" s="561" t="s">
        <v>165</v>
      </c>
      <c r="H1071" s="564" t="s">
        <v>8963</v>
      </c>
      <c r="I1071" s="565" t="e">
        <f>VLOOKUP(H1071,'合同高级查询数据-10月新返回合同'!A:A,1,0)</f>
        <v>#N/A</v>
      </c>
      <c r="J1071" s="566" t="s">
        <v>8780</v>
      </c>
      <c r="K1071" s="561" t="s">
        <v>8830</v>
      </c>
      <c r="L1071" s="564" t="s">
        <v>8964</v>
      </c>
      <c r="M1071" s="561"/>
      <c r="N1071" s="567">
        <v>44197</v>
      </c>
      <c r="O1071" s="561"/>
      <c r="P1071" s="638">
        <v>2800</v>
      </c>
      <c r="Q1071" s="720">
        <v>0</v>
      </c>
      <c r="R1071" s="639">
        <f t="shared" si="64"/>
        <v>0</v>
      </c>
      <c r="S1071" s="570">
        <v>202310</v>
      </c>
      <c r="T1071" s="571" t="s">
        <v>8965</v>
      </c>
      <c r="U1071" s="571"/>
      <c r="V1071" s="747">
        <v>0</v>
      </c>
      <c r="W1071" s="721"/>
      <c r="X1071" s="722">
        <v>44927</v>
      </c>
      <c r="Y1071" s="722">
        <v>45291</v>
      </c>
      <c r="Z1071" s="561" t="s">
        <v>8966</v>
      </c>
      <c r="AA1071" s="683">
        <v>0</v>
      </c>
      <c r="AB1071" s="582">
        <v>0</v>
      </c>
      <c r="AC1071" s="713">
        <f t="shared" si="61"/>
        <v>0</v>
      </c>
    </row>
    <row r="1072" spans="1:29" s="577" customFormat="1" ht="15" customHeight="1">
      <c r="A1072" s="561" t="s">
        <v>57</v>
      </c>
      <c r="B1072" s="562" t="s">
        <v>7101</v>
      </c>
      <c r="C1072" s="563" t="s">
        <v>84</v>
      </c>
      <c r="D1072" s="563" t="s">
        <v>8478</v>
      </c>
      <c r="E1072" s="561" t="s">
        <v>3909</v>
      </c>
      <c r="F1072" s="561" t="s">
        <v>8962</v>
      </c>
      <c r="G1072" s="561" t="s">
        <v>165</v>
      </c>
      <c r="H1072" s="564" t="s">
        <v>8963</v>
      </c>
      <c r="I1072" s="565" t="e">
        <f>VLOOKUP(H1072,'合同高级查询数据-10月新返回合同'!A:A,1,0)</f>
        <v>#N/A</v>
      </c>
      <c r="J1072" s="566" t="s">
        <v>8780</v>
      </c>
      <c r="K1072" s="561" t="s">
        <v>8830</v>
      </c>
      <c r="L1072" s="564" t="s">
        <v>8967</v>
      </c>
      <c r="M1072" s="561"/>
      <c r="N1072" s="567">
        <v>44197</v>
      </c>
      <c r="O1072" s="561"/>
      <c r="P1072" s="638">
        <v>2800</v>
      </c>
      <c r="Q1072" s="720">
        <v>0</v>
      </c>
      <c r="R1072" s="639">
        <f t="shared" si="64"/>
        <v>0</v>
      </c>
      <c r="S1072" s="570">
        <v>202310</v>
      </c>
      <c r="T1072" s="571" t="s">
        <v>8968</v>
      </c>
      <c r="U1072" s="571"/>
      <c r="V1072" s="747">
        <v>0</v>
      </c>
      <c r="W1072" s="721"/>
      <c r="X1072" s="722">
        <v>44927</v>
      </c>
      <c r="Y1072" s="722">
        <v>45291</v>
      </c>
      <c r="Z1072" s="561" t="s">
        <v>8969</v>
      </c>
      <c r="AA1072" s="683">
        <v>0</v>
      </c>
      <c r="AB1072" s="582">
        <v>0</v>
      </c>
      <c r="AC1072" s="713">
        <f t="shared" si="61"/>
        <v>0</v>
      </c>
    </row>
    <row r="1073" spans="1:29" s="577" customFormat="1" ht="15" customHeight="1">
      <c r="A1073" s="561" t="s">
        <v>57</v>
      </c>
      <c r="B1073" s="562" t="s">
        <v>7101</v>
      </c>
      <c r="C1073" s="563" t="s">
        <v>84</v>
      </c>
      <c r="D1073" s="563" t="s">
        <v>8478</v>
      </c>
      <c r="E1073" s="561" t="s">
        <v>3909</v>
      </c>
      <c r="F1073" s="561" t="s">
        <v>8962</v>
      </c>
      <c r="G1073" s="561" t="s">
        <v>165</v>
      </c>
      <c r="H1073" s="564" t="s">
        <v>8963</v>
      </c>
      <c r="I1073" s="565" t="e">
        <f>VLOOKUP(H1073,'合同高级查询数据-10月新返回合同'!A:A,1,0)</f>
        <v>#N/A</v>
      </c>
      <c r="J1073" s="566" t="s">
        <v>8780</v>
      </c>
      <c r="K1073" s="561" t="s">
        <v>8827</v>
      </c>
      <c r="L1073" s="564" t="s">
        <v>8970</v>
      </c>
      <c r="M1073" s="561"/>
      <c r="N1073" s="567">
        <v>44197</v>
      </c>
      <c r="O1073" s="561"/>
      <c r="P1073" s="638">
        <v>3400</v>
      </c>
      <c r="Q1073" s="720">
        <v>66.213999999999999</v>
      </c>
      <c r="R1073" s="639">
        <f t="shared" si="64"/>
        <v>225127.6</v>
      </c>
      <c r="S1073" s="570">
        <v>202310</v>
      </c>
      <c r="T1073" s="571" t="s">
        <v>8971</v>
      </c>
      <c r="U1073" s="571"/>
      <c r="V1073" s="747">
        <v>66.213106881000002</v>
      </c>
      <c r="W1073" s="721"/>
      <c r="X1073" s="722">
        <v>44927</v>
      </c>
      <c r="Y1073" s="722">
        <v>45291</v>
      </c>
      <c r="Z1073" s="561" t="s">
        <v>8972</v>
      </c>
      <c r="AA1073" s="683">
        <v>0</v>
      </c>
      <c r="AB1073" s="582">
        <v>0</v>
      </c>
      <c r="AC1073" s="713">
        <f t="shared" si="61"/>
        <v>0</v>
      </c>
    </row>
    <row r="1074" spans="1:29" s="577" customFormat="1" ht="15" customHeight="1">
      <c r="A1074" s="561" t="s">
        <v>57</v>
      </c>
      <c r="B1074" s="562" t="s">
        <v>7101</v>
      </c>
      <c r="C1074" s="563" t="s">
        <v>84</v>
      </c>
      <c r="D1074" s="563" t="s">
        <v>8478</v>
      </c>
      <c r="E1074" s="561" t="s">
        <v>3909</v>
      </c>
      <c r="F1074" s="561" t="s">
        <v>8962</v>
      </c>
      <c r="G1074" s="561" t="s">
        <v>165</v>
      </c>
      <c r="H1074" s="564" t="s">
        <v>8963</v>
      </c>
      <c r="I1074" s="565" t="e">
        <f>VLOOKUP(H1074,'合同高级查询数据-10月新返回合同'!A:A,1,0)</f>
        <v>#N/A</v>
      </c>
      <c r="J1074" s="566" t="s">
        <v>8946</v>
      </c>
      <c r="K1074" s="561" t="s">
        <v>8973</v>
      </c>
      <c r="L1074" s="564"/>
      <c r="M1074" s="561"/>
      <c r="N1074" s="567">
        <v>44197</v>
      </c>
      <c r="O1074" s="561"/>
      <c r="P1074" s="638">
        <v>0.02</v>
      </c>
      <c r="Q1074" s="720">
        <v>0</v>
      </c>
      <c r="R1074" s="639">
        <f t="shared" si="64"/>
        <v>0</v>
      </c>
      <c r="S1074" s="570">
        <v>202310</v>
      </c>
      <c r="T1074" s="571" t="s">
        <v>8974</v>
      </c>
      <c r="U1074" s="571"/>
      <c r="V1074" s="747">
        <v>0</v>
      </c>
      <c r="W1074" s="721"/>
      <c r="X1074" s="722">
        <v>44927</v>
      </c>
      <c r="Y1074" s="722">
        <v>45291</v>
      </c>
      <c r="Z1074" s="723"/>
      <c r="AA1074" s="691">
        <v>0</v>
      </c>
      <c r="AB1074" s="713">
        <v>0</v>
      </c>
      <c r="AC1074" s="713">
        <f t="shared" si="61"/>
        <v>0</v>
      </c>
    </row>
    <row r="1075" spans="1:29" s="577" customFormat="1" ht="15" customHeight="1">
      <c r="A1075" s="561" t="s">
        <v>57</v>
      </c>
      <c r="B1075" s="562" t="s">
        <v>7101</v>
      </c>
      <c r="C1075" s="563" t="s">
        <v>84</v>
      </c>
      <c r="D1075" s="563" t="s">
        <v>8478</v>
      </c>
      <c r="E1075" s="561" t="s">
        <v>3909</v>
      </c>
      <c r="F1075" s="561" t="s">
        <v>8962</v>
      </c>
      <c r="G1075" s="561" t="s">
        <v>165</v>
      </c>
      <c r="H1075" s="564" t="s">
        <v>8975</v>
      </c>
      <c r="I1075" s="565" t="e">
        <f>VLOOKUP(H1075,'合同高级查询数据-10月新返回合同'!A:A,1,0)</f>
        <v>#N/A</v>
      </c>
      <c r="J1075" s="566" t="s">
        <v>8946</v>
      </c>
      <c r="K1075" s="561" t="s">
        <v>8973</v>
      </c>
      <c r="L1075" s="564"/>
      <c r="M1075" s="561"/>
      <c r="N1075" s="567">
        <v>44197</v>
      </c>
      <c r="O1075" s="561"/>
      <c r="P1075" s="638">
        <v>0.02</v>
      </c>
      <c r="Q1075" s="720">
        <v>0</v>
      </c>
      <c r="R1075" s="639">
        <f t="shared" si="64"/>
        <v>0</v>
      </c>
      <c r="S1075" s="570">
        <v>202310</v>
      </c>
      <c r="T1075" s="571" t="s">
        <v>8976</v>
      </c>
      <c r="U1075" s="571"/>
      <c r="V1075" s="747">
        <v>0</v>
      </c>
      <c r="W1075" s="721"/>
      <c r="X1075" s="574">
        <v>44562</v>
      </c>
      <c r="Y1075" s="574">
        <v>44926</v>
      </c>
      <c r="Z1075" s="723"/>
      <c r="AA1075" s="691">
        <v>0</v>
      </c>
      <c r="AB1075" s="713">
        <v>0</v>
      </c>
      <c r="AC1075" s="713">
        <f t="shared" si="61"/>
        <v>0</v>
      </c>
    </row>
    <row r="1076" spans="1:29" s="385" customFormat="1" ht="15" customHeight="1">
      <c r="A1076" s="386" t="s">
        <v>57</v>
      </c>
      <c r="B1076" s="387" t="s">
        <v>7101</v>
      </c>
      <c r="C1076" s="388" t="s">
        <v>84</v>
      </c>
      <c r="D1076" s="388" t="s">
        <v>8478</v>
      </c>
      <c r="E1076" s="386" t="s">
        <v>8977</v>
      </c>
      <c r="F1076" s="386" t="s">
        <v>8978</v>
      </c>
      <c r="G1076" s="386" t="s">
        <v>165</v>
      </c>
      <c r="H1076" s="389" t="s">
        <v>8979</v>
      </c>
      <c r="I1076" s="369" t="e">
        <f>VLOOKUP(H1076,'合同高级查询数据-10月新返回合同'!A:A,1,0)</f>
        <v>#N/A</v>
      </c>
      <c r="J1076" s="390" t="s">
        <v>8805</v>
      </c>
      <c r="K1076" s="386" t="s">
        <v>8980</v>
      </c>
      <c r="L1076" s="389" t="s">
        <v>8981</v>
      </c>
      <c r="M1076" s="386"/>
      <c r="N1076" s="391">
        <v>44706</v>
      </c>
      <c r="O1076" s="386"/>
      <c r="P1076" s="446">
        <v>2350</v>
      </c>
      <c r="Q1076" s="540">
        <v>0</v>
      </c>
      <c r="R1076" s="447">
        <f t="shared" si="64"/>
        <v>0</v>
      </c>
      <c r="S1076" s="378">
        <v>202310</v>
      </c>
      <c r="T1076" s="394" t="s">
        <v>8982</v>
      </c>
      <c r="U1076" s="394"/>
      <c r="V1076" s="559">
        <v>0</v>
      </c>
      <c r="W1076" s="541"/>
      <c r="X1076" s="383"/>
      <c r="Y1076" s="383"/>
      <c r="Z1076" s="386" t="s">
        <v>8983</v>
      </c>
      <c r="AA1076" s="506">
        <v>0</v>
      </c>
      <c r="AB1076" s="410">
        <v>0</v>
      </c>
      <c r="AC1076" s="448">
        <f t="shared" si="61"/>
        <v>0</v>
      </c>
    </row>
    <row r="1077" spans="1:29" s="385" customFormat="1" ht="15" customHeight="1">
      <c r="A1077" s="386" t="s">
        <v>57</v>
      </c>
      <c r="B1077" s="387" t="s">
        <v>7101</v>
      </c>
      <c r="C1077" s="388" t="s">
        <v>84</v>
      </c>
      <c r="D1077" s="388" t="s">
        <v>8478</v>
      </c>
      <c r="E1077" s="386" t="s">
        <v>8977</v>
      </c>
      <c r="F1077" s="386" t="s">
        <v>8978</v>
      </c>
      <c r="G1077" s="386" t="s">
        <v>165</v>
      </c>
      <c r="H1077" s="389" t="s">
        <v>8979</v>
      </c>
      <c r="I1077" s="369" t="e">
        <f>VLOOKUP(H1077,'合同高级查询数据-10月新返回合同'!A:A,1,0)</f>
        <v>#N/A</v>
      </c>
      <c r="J1077" s="390" t="s">
        <v>8805</v>
      </c>
      <c r="K1077" s="386" t="s">
        <v>8980</v>
      </c>
      <c r="L1077" s="389" t="s">
        <v>8984</v>
      </c>
      <c r="M1077" s="386"/>
      <c r="N1077" s="391">
        <v>44706</v>
      </c>
      <c r="O1077" s="386"/>
      <c r="P1077" s="446">
        <v>3050</v>
      </c>
      <c r="Q1077" s="540">
        <v>0</v>
      </c>
      <c r="R1077" s="447">
        <f t="shared" si="64"/>
        <v>0</v>
      </c>
      <c r="S1077" s="378">
        <v>202310</v>
      </c>
      <c r="T1077" s="394" t="s">
        <v>8982</v>
      </c>
      <c r="U1077" s="394"/>
      <c r="V1077" s="559">
        <v>0</v>
      </c>
      <c r="W1077" s="541"/>
      <c r="X1077" s="383"/>
      <c r="Y1077" s="383"/>
      <c r="Z1077" s="386" t="s">
        <v>8985</v>
      </c>
      <c r="AA1077" s="506">
        <v>0</v>
      </c>
      <c r="AB1077" s="410">
        <v>0</v>
      </c>
      <c r="AC1077" s="448">
        <f t="shared" ref="AC1077:AC1124" si="65">AA1077*AB1077</f>
        <v>0</v>
      </c>
    </row>
    <row r="1078" spans="1:29" s="577" customFormat="1" ht="15" customHeight="1">
      <c r="A1078" s="561" t="s">
        <v>57</v>
      </c>
      <c r="B1078" s="562" t="s">
        <v>7101</v>
      </c>
      <c r="C1078" s="563" t="s">
        <v>84</v>
      </c>
      <c r="D1078" s="563" t="s">
        <v>8478</v>
      </c>
      <c r="E1078" s="561" t="s">
        <v>8986</v>
      </c>
      <c r="F1078" s="561" t="s">
        <v>8987</v>
      </c>
      <c r="G1078" s="561" t="s">
        <v>165</v>
      </c>
      <c r="H1078" s="564" t="s">
        <v>8988</v>
      </c>
      <c r="I1078" s="565" t="e">
        <f>VLOOKUP(H1078,'合同高级查询数据-10月新返回合同'!A:A,1,0)</f>
        <v>#N/A</v>
      </c>
      <c r="J1078" s="566" t="s">
        <v>8780</v>
      </c>
      <c r="K1078" s="561" t="s">
        <v>8989</v>
      </c>
      <c r="L1078" s="564" t="s">
        <v>8989</v>
      </c>
      <c r="M1078" s="561"/>
      <c r="N1078" s="567">
        <v>44652</v>
      </c>
      <c r="O1078" s="561"/>
      <c r="P1078" s="638">
        <v>2300</v>
      </c>
      <c r="Q1078" s="720">
        <v>1.113</v>
      </c>
      <c r="R1078" s="639">
        <f t="shared" si="64"/>
        <v>2559.9</v>
      </c>
      <c r="S1078" s="570">
        <v>202310</v>
      </c>
      <c r="T1078" s="571" t="s">
        <v>8990</v>
      </c>
      <c r="U1078" s="571"/>
      <c r="V1078" s="747">
        <v>1.112974871</v>
      </c>
      <c r="W1078" s="721"/>
      <c r="X1078" s="574">
        <v>45017</v>
      </c>
      <c r="Y1078" s="574">
        <v>45382</v>
      </c>
      <c r="Z1078" s="561" t="s">
        <v>8991</v>
      </c>
      <c r="AA1078" s="683">
        <v>0</v>
      </c>
      <c r="AB1078" s="582">
        <v>0</v>
      </c>
      <c r="AC1078" s="713">
        <f t="shared" si="65"/>
        <v>0</v>
      </c>
    </row>
    <row r="1079" spans="1:29" s="577" customFormat="1" ht="15" customHeight="1">
      <c r="A1079" s="561" t="s">
        <v>57</v>
      </c>
      <c r="B1079" s="562" t="s">
        <v>7101</v>
      </c>
      <c r="C1079" s="563" t="s">
        <v>84</v>
      </c>
      <c r="D1079" s="563" t="s">
        <v>8478</v>
      </c>
      <c r="E1079" s="561" t="s">
        <v>8986</v>
      </c>
      <c r="F1079" s="561" t="s">
        <v>8987</v>
      </c>
      <c r="G1079" s="561" t="s">
        <v>165</v>
      </c>
      <c r="H1079" s="564" t="s">
        <v>8988</v>
      </c>
      <c r="I1079" s="565" t="e">
        <f>VLOOKUP(H1079,'合同高级查询数据-10月新返回合同'!A:A,1,0)</f>
        <v>#N/A</v>
      </c>
      <c r="J1079" s="566" t="s">
        <v>8780</v>
      </c>
      <c r="K1079" s="561" t="s">
        <v>8992</v>
      </c>
      <c r="L1079" s="564" t="s">
        <v>8992</v>
      </c>
      <c r="M1079" s="561"/>
      <c r="N1079" s="567">
        <v>44652</v>
      </c>
      <c r="O1079" s="561"/>
      <c r="P1079" s="638">
        <v>3300</v>
      </c>
      <c r="Q1079" s="720">
        <v>124.944</v>
      </c>
      <c r="R1079" s="639">
        <f t="shared" si="64"/>
        <v>412315.2</v>
      </c>
      <c r="S1079" s="570">
        <v>202310</v>
      </c>
      <c r="T1079" s="571" t="s">
        <v>8993</v>
      </c>
      <c r="U1079" s="571"/>
      <c r="V1079" s="747">
        <v>124.943278549</v>
      </c>
      <c r="W1079" s="721"/>
      <c r="X1079" s="574">
        <v>45017</v>
      </c>
      <c r="Y1079" s="574">
        <v>45382</v>
      </c>
      <c r="Z1079" s="561" t="s">
        <v>8994</v>
      </c>
      <c r="AA1079" s="683">
        <v>0</v>
      </c>
      <c r="AB1079" s="582">
        <v>0</v>
      </c>
      <c r="AC1079" s="713">
        <f t="shared" si="65"/>
        <v>0</v>
      </c>
    </row>
    <row r="1080" spans="1:29" s="577" customFormat="1" ht="15" customHeight="1">
      <c r="A1080" s="561" t="s">
        <v>57</v>
      </c>
      <c r="B1080" s="562" t="s">
        <v>7101</v>
      </c>
      <c r="C1080" s="563" t="s">
        <v>84</v>
      </c>
      <c r="D1080" s="563" t="s">
        <v>8478</v>
      </c>
      <c r="E1080" s="561" t="s">
        <v>8986</v>
      </c>
      <c r="F1080" s="561" t="s">
        <v>8987</v>
      </c>
      <c r="G1080" s="561" t="s">
        <v>165</v>
      </c>
      <c r="H1080" s="564" t="s">
        <v>8995</v>
      </c>
      <c r="I1080" s="565" t="e">
        <f>VLOOKUP(H1080,'合同高级查询数据-10月新返回合同'!A:A,1,0)</f>
        <v>#N/A</v>
      </c>
      <c r="J1080" s="566" t="s">
        <v>8780</v>
      </c>
      <c r="K1080" s="561" t="s">
        <v>8796</v>
      </c>
      <c r="L1080" s="564" t="s">
        <v>8996</v>
      </c>
      <c r="M1080" s="561"/>
      <c r="N1080" s="567">
        <v>45108</v>
      </c>
      <c r="O1080" s="561"/>
      <c r="P1080" s="638">
        <v>3000</v>
      </c>
      <c r="Q1080" s="720">
        <v>20.802</v>
      </c>
      <c r="R1080" s="639">
        <f t="shared" si="64"/>
        <v>62406</v>
      </c>
      <c r="S1080" s="570">
        <v>202310</v>
      </c>
      <c r="T1080" s="571" t="s">
        <v>8997</v>
      </c>
      <c r="U1080" s="571"/>
      <c r="V1080" s="747">
        <v>20.801531767</v>
      </c>
      <c r="W1080" s="721"/>
      <c r="X1080" s="574">
        <v>45108</v>
      </c>
      <c r="Y1080" s="574">
        <v>45473</v>
      </c>
      <c r="Z1080" s="561" t="s">
        <v>8998</v>
      </c>
      <c r="AA1080" s="683">
        <v>0</v>
      </c>
      <c r="AB1080" s="713">
        <v>0</v>
      </c>
      <c r="AC1080" s="713">
        <f t="shared" si="65"/>
        <v>0</v>
      </c>
    </row>
    <row r="1081" spans="1:29" s="577" customFormat="1" ht="15" customHeight="1">
      <c r="A1081" s="561" t="s">
        <v>57</v>
      </c>
      <c r="B1081" s="562" t="s">
        <v>7101</v>
      </c>
      <c r="C1081" s="563" t="s">
        <v>84</v>
      </c>
      <c r="D1081" s="563" t="s">
        <v>8478</v>
      </c>
      <c r="E1081" s="561" t="s">
        <v>8986</v>
      </c>
      <c r="F1081" s="561" t="s">
        <v>8987</v>
      </c>
      <c r="G1081" s="561" t="s">
        <v>165</v>
      </c>
      <c r="H1081" s="564" t="s">
        <v>8995</v>
      </c>
      <c r="I1081" s="565" t="e">
        <f>VLOOKUP(H1081,'合同高级查询数据-10月新返回合同'!A:A,1,0)</f>
        <v>#N/A</v>
      </c>
      <c r="J1081" s="566" t="s">
        <v>8780</v>
      </c>
      <c r="K1081" s="561" t="s">
        <v>8800</v>
      </c>
      <c r="L1081" s="564" t="s">
        <v>8999</v>
      </c>
      <c r="M1081" s="561"/>
      <c r="N1081" s="567">
        <v>45108</v>
      </c>
      <c r="O1081" s="561"/>
      <c r="P1081" s="638">
        <v>3800</v>
      </c>
      <c r="Q1081" s="720">
        <v>22.600999999999999</v>
      </c>
      <c r="R1081" s="639">
        <f t="shared" si="64"/>
        <v>85883.8</v>
      </c>
      <c r="S1081" s="570">
        <v>202310</v>
      </c>
      <c r="T1081" s="571" t="s">
        <v>9000</v>
      </c>
      <c r="U1081" s="571"/>
      <c r="V1081" s="747">
        <v>22.600974363999999</v>
      </c>
      <c r="W1081" s="721"/>
      <c r="X1081" s="574">
        <v>45108</v>
      </c>
      <c r="Y1081" s="574">
        <v>45473</v>
      </c>
      <c r="Z1081" s="561" t="s">
        <v>9001</v>
      </c>
      <c r="AA1081" s="683">
        <v>0</v>
      </c>
      <c r="AB1081" s="713">
        <v>0</v>
      </c>
      <c r="AC1081" s="713">
        <f t="shared" si="65"/>
        <v>0</v>
      </c>
    </row>
    <row r="1082" spans="1:29" s="577" customFormat="1" ht="15" customHeight="1">
      <c r="A1082" s="561" t="s">
        <v>57</v>
      </c>
      <c r="B1082" s="562" t="s">
        <v>7101</v>
      </c>
      <c r="C1082" s="563" t="s">
        <v>84</v>
      </c>
      <c r="D1082" s="563" t="s">
        <v>8478</v>
      </c>
      <c r="E1082" s="561" t="s">
        <v>9002</v>
      </c>
      <c r="F1082" s="561" t="s">
        <v>9003</v>
      </c>
      <c r="G1082" s="561" t="s">
        <v>165</v>
      </c>
      <c r="H1082" s="564" t="s">
        <v>9004</v>
      </c>
      <c r="I1082" s="565" t="e">
        <f>VLOOKUP(H1082,'合同高级查询数据-10月新返回合同'!A:A,1,0)</f>
        <v>#N/A</v>
      </c>
      <c r="J1082" s="566" t="s">
        <v>8805</v>
      </c>
      <c r="K1082" s="561"/>
      <c r="L1082" s="564" t="s">
        <v>9005</v>
      </c>
      <c r="M1082" s="561"/>
      <c r="N1082" s="567">
        <v>44866</v>
      </c>
      <c r="O1082" s="561"/>
      <c r="P1082" s="638">
        <v>2300</v>
      </c>
      <c r="Q1082" s="720">
        <v>280.92599999999999</v>
      </c>
      <c r="R1082" s="639">
        <f t="shared" si="64"/>
        <v>646129.80000000005</v>
      </c>
      <c r="S1082" s="570">
        <v>202310</v>
      </c>
      <c r="T1082" s="571" t="s">
        <v>8958</v>
      </c>
      <c r="U1082" s="571"/>
      <c r="V1082" s="747">
        <v>280.92581176800002</v>
      </c>
      <c r="W1082" s="721"/>
      <c r="X1082" s="574">
        <v>44896</v>
      </c>
      <c r="Y1082" s="574">
        <v>45260</v>
      </c>
      <c r="Z1082" s="561" t="s">
        <v>9006</v>
      </c>
      <c r="AA1082" s="683">
        <v>0</v>
      </c>
      <c r="AB1082" s="582">
        <v>0</v>
      </c>
      <c r="AC1082" s="713">
        <f t="shared" si="65"/>
        <v>0</v>
      </c>
    </row>
    <row r="1083" spans="1:29" s="385" customFormat="1" ht="15" customHeight="1">
      <c r="A1083" s="386" t="s">
        <v>57</v>
      </c>
      <c r="B1083" s="387" t="s">
        <v>7101</v>
      </c>
      <c r="C1083" s="388" t="s">
        <v>84</v>
      </c>
      <c r="D1083" s="388" t="s">
        <v>8478</v>
      </c>
      <c r="E1083" s="386" t="s">
        <v>9002</v>
      </c>
      <c r="F1083" s="386" t="s">
        <v>9003</v>
      </c>
      <c r="G1083" s="386" t="s">
        <v>165</v>
      </c>
      <c r="H1083" s="389" t="s">
        <v>9007</v>
      </c>
      <c r="I1083" s="369" t="e">
        <f>VLOOKUP(H1083,'合同高级查询数据-10月新返回合同'!A:A,1,0)</f>
        <v>#N/A</v>
      </c>
      <c r="J1083" s="390" t="s">
        <v>8805</v>
      </c>
      <c r="K1083" s="386"/>
      <c r="L1083" s="389" t="s">
        <v>9008</v>
      </c>
      <c r="M1083" s="386"/>
      <c r="N1083" s="391">
        <v>44866</v>
      </c>
      <c r="O1083" s="386"/>
      <c r="P1083" s="446">
        <v>3100</v>
      </c>
      <c r="Q1083" s="540">
        <v>233.43600000000001</v>
      </c>
      <c r="R1083" s="447">
        <f t="shared" si="64"/>
        <v>723651.6</v>
      </c>
      <c r="S1083" s="378">
        <v>202310</v>
      </c>
      <c r="T1083" s="394" t="s">
        <v>9009</v>
      </c>
      <c r="U1083" s="394"/>
      <c r="V1083" s="559">
        <v>233.435470581</v>
      </c>
      <c r="W1083" s="541"/>
      <c r="X1083" s="383"/>
      <c r="Y1083" s="383"/>
      <c r="Z1083" s="386" t="s">
        <v>9010</v>
      </c>
      <c r="AA1083" s="506">
        <v>0</v>
      </c>
      <c r="AB1083" s="410">
        <v>0</v>
      </c>
      <c r="AC1083" s="448">
        <f t="shared" si="65"/>
        <v>0</v>
      </c>
    </row>
    <row r="1084" spans="1:29" s="577" customFormat="1" ht="15" customHeight="1">
      <c r="A1084" s="561" t="s">
        <v>57</v>
      </c>
      <c r="B1084" s="562" t="s">
        <v>7101</v>
      </c>
      <c r="C1084" s="563" t="s">
        <v>84</v>
      </c>
      <c r="D1084" s="563" t="s">
        <v>8478</v>
      </c>
      <c r="E1084" s="561" t="s">
        <v>9002</v>
      </c>
      <c r="F1084" s="561" t="s">
        <v>9003</v>
      </c>
      <c r="G1084" s="561" t="s">
        <v>165</v>
      </c>
      <c r="H1084" s="564" t="s">
        <v>9011</v>
      </c>
      <c r="I1084" s="565" t="e">
        <f>VLOOKUP(H1084,'合同高级查询数据-10月新返回合同'!A:A,1,0)</f>
        <v>#N/A</v>
      </c>
      <c r="J1084" s="566" t="s">
        <v>8780</v>
      </c>
      <c r="K1084" s="561" t="s">
        <v>9012</v>
      </c>
      <c r="L1084" s="564" t="s">
        <v>9013</v>
      </c>
      <c r="M1084" s="561"/>
      <c r="N1084" s="567">
        <v>44986</v>
      </c>
      <c r="O1084" s="561"/>
      <c r="P1084" s="638">
        <v>2200</v>
      </c>
      <c r="Q1084" s="720">
        <v>5.42</v>
      </c>
      <c r="R1084" s="639">
        <f t="shared" si="64"/>
        <v>11924</v>
      </c>
      <c r="S1084" s="570">
        <v>202310</v>
      </c>
      <c r="T1084" s="571" t="s">
        <v>9014</v>
      </c>
      <c r="U1084" s="571"/>
      <c r="V1084" s="747">
        <v>5.4198069660000003</v>
      </c>
      <c r="W1084" s="721"/>
      <c r="X1084" s="574">
        <v>44986</v>
      </c>
      <c r="Y1084" s="574">
        <v>45260</v>
      </c>
      <c r="Z1084" s="561" t="s">
        <v>9015</v>
      </c>
      <c r="AA1084" s="683">
        <v>0</v>
      </c>
      <c r="AB1084" s="582">
        <v>0</v>
      </c>
      <c r="AC1084" s="713">
        <f t="shared" si="65"/>
        <v>0</v>
      </c>
    </row>
    <row r="1085" spans="1:29" s="577" customFormat="1" ht="15" customHeight="1">
      <c r="A1085" s="561" t="s">
        <v>57</v>
      </c>
      <c r="B1085" s="562" t="s">
        <v>7101</v>
      </c>
      <c r="C1085" s="563" t="s">
        <v>84</v>
      </c>
      <c r="D1085" s="563" t="s">
        <v>8478</v>
      </c>
      <c r="E1085" s="561" t="s">
        <v>9002</v>
      </c>
      <c r="F1085" s="561" t="s">
        <v>9003</v>
      </c>
      <c r="G1085" s="561" t="s">
        <v>165</v>
      </c>
      <c r="H1085" s="564" t="s">
        <v>9011</v>
      </c>
      <c r="I1085" s="565" t="e">
        <f>VLOOKUP(H1085,'合同高级查询数据-10月新返回合同'!A:A,1,0)</f>
        <v>#N/A</v>
      </c>
      <c r="J1085" s="566" t="s">
        <v>8780</v>
      </c>
      <c r="K1085" s="561" t="s">
        <v>9012</v>
      </c>
      <c r="L1085" s="564" t="s">
        <v>9016</v>
      </c>
      <c r="M1085" s="561"/>
      <c r="N1085" s="567">
        <v>44986</v>
      </c>
      <c r="O1085" s="561"/>
      <c r="P1085" s="638">
        <v>3200</v>
      </c>
      <c r="Q1085" s="720">
        <v>182.86199999999999</v>
      </c>
      <c r="R1085" s="639">
        <f t="shared" si="64"/>
        <v>585158.40000000002</v>
      </c>
      <c r="S1085" s="570">
        <v>202310</v>
      </c>
      <c r="T1085" s="571" t="s">
        <v>9014</v>
      </c>
      <c r="U1085" s="571"/>
      <c r="V1085" s="747">
        <v>182.86103881700001</v>
      </c>
      <c r="W1085" s="721"/>
      <c r="X1085" s="574">
        <v>44986</v>
      </c>
      <c r="Y1085" s="574">
        <v>45260</v>
      </c>
      <c r="Z1085" s="561" t="s">
        <v>9017</v>
      </c>
      <c r="AA1085" s="683">
        <v>0</v>
      </c>
      <c r="AB1085" s="582">
        <v>0</v>
      </c>
      <c r="AC1085" s="713">
        <f t="shared" si="65"/>
        <v>0</v>
      </c>
    </row>
    <row r="1086" spans="1:29" s="577" customFormat="1" ht="15" customHeight="1">
      <c r="A1086" s="561" t="s">
        <v>57</v>
      </c>
      <c r="B1086" s="562" t="s">
        <v>7101</v>
      </c>
      <c r="C1086" s="563" t="s">
        <v>84</v>
      </c>
      <c r="D1086" s="563" t="s">
        <v>8478</v>
      </c>
      <c r="E1086" s="561" t="s">
        <v>9002</v>
      </c>
      <c r="F1086" s="561" t="s">
        <v>9003</v>
      </c>
      <c r="G1086" s="561" t="s">
        <v>165</v>
      </c>
      <c r="H1086" s="564" t="s">
        <v>9018</v>
      </c>
      <c r="I1086" s="565" t="e">
        <f>VLOOKUP(H1086,'合同高级查询数据-10月新返回合同'!A:A,1,0)</f>
        <v>#N/A</v>
      </c>
      <c r="J1086" s="566" t="s">
        <v>8805</v>
      </c>
      <c r="K1086" s="561" t="s">
        <v>9019</v>
      </c>
      <c r="L1086" s="564" t="s">
        <v>9020</v>
      </c>
      <c r="M1086" s="561"/>
      <c r="N1086" s="567">
        <v>45078</v>
      </c>
      <c r="O1086" s="561"/>
      <c r="P1086" s="638">
        <v>3050</v>
      </c>
      <c r="Q1086" s="720">
        <v>41.563000000000002</v>
      </c>
      <c r="R1086" s="639">
        <f t="shared" si="64"/>
        <v>126767.15</v>
      </c>
      <c r="S1086" s="570">
        <v>202310</v>
      </c>
      <c r="T1086" s="571" t="s">
        <v>9021</v>
      </c>
      <c r="U1086" s="571"/>
      <c r="V1086" s="747">
        <v>41.562042236000003</v>
      </c>
      <c r="W1086" s="721"/>
      <c r="X1086" s="574">
        <v>45078</v>
      </c>
      <c r="Y1086" s="574">
        <v>45260</v>
      </c>
      <c r="Z1086" s="561" t="s">
        <v>9022</v>
      </c>
      <c r="AA1086" s="683">
        <v>0</v>
      </c>
      <c r="AB1086" s="713">
        <v>0</v>
      </c>
      <c r="AC1086" s="713">
        <f t="shared" si="65"/>
        <v>0</v>
      </c>
    </row>
    <row r="1087" spans="1:29" s="577" customFormat="1" ht="15" customHeight="1">
      <c r="A1087" s="561" t="s">
        <v>57</v>
      </c>
      <c r="B1087" s="562" t="s">
        <v>7101</v>
      </c>
      <c r="C1087" s="563" t="s">
        <v>84</v>
      </c>
      <c r="D1087" s="563" t="s">
        <v>8478</v>
      </c>
      <c r="E1087" s="561" t="s">
        <v>9002</v>
      </c>
      <c r="F1087" s="561" t="s">
        <v>9003</v>
      </c>
      <c r="G1087" s="561" t="s">
        <v>165</v>
      </c>
      <c r="H1087" s="564" t="s">
        <v>9018</v>
      </c>
      <c r="I1087" s="565" t="e">
        <f>VLOOKUP(H1087,'合同高级查询数据-10月新返回合同'!A:A,1,0)</f>
        <v>#N/A</v>
      </c>
      <c r="J1087" s="566" t="s">
        <v>8805</v>
      </c>
      <c r="K1087" s="561" t="s">
        <v>9023</v>
      </c>
      <c r="L1087" s="564" t="s">
        <v>9024</v>
      </c>
      <c r="M1087" s="561"/>
      <c r="N1087" s="567">
        <v>45078</v>
      </c>
      <c r="O1087" s="561"/>
      <c r="P1087" s="638">
        <v>4000</v>
      </c>
      <c r="Q1087" s="720">
        <v>0</v>
      </c>
      <c r="R1087" s="639">
        <f t="shared" si="64"/>
        <v>0</v>
      </c>
      <c r="S1087" s="570">
        <v>202310</v>
      </c>
      <c r="T1087" s="571" t="s">
        <v>9025</v>
      </c>
      <c r="U1087" s="571"/>
      <c r="V1087" s="747">
        <v>0</v>
      </c>
      <c r="W1087" s="721"/>
      <c r="X1087" s="574">
        <v>45078</v>
      </c>
      <c r="Y1087" s="574">
        <v>45260</v>
      </c>
      <c r="Z1087" s="561" t="s">
        <v>9026</v>
      </c>
      <c r="AA1087" s="683">
        <v>0</v>
      </c>
      <c r="AB1087" s="713">
        <v>0</v>
      </c>
      <c r="AC1087" s="713">
        <f t="shared" si="65"/>
        <v>0</v>
      </c>
    </row>
    <row r="1088" spans="1:29" s="385" customFormat="1" ht="15" customHeight="1">
      <c r="A1088" s="386" t="s">
        <v>57</v>
      </c>
      <c r="B1088" s="387" t="s">
        <v>7101</v>
      </c>
      <c r="C1088" s="388" t="s">
        <v>84</v>
      </c>
      <c r="D1088" s="388" t="s">
        <v>8478</v>
      </c>
      <c r="E1088" s="386" t="s">
        <v>9002</v>
      </c>
      <c r="F1088" s="386" t="s">
        <v>9003</v>
      </c>
      <c r="G1088" s="386" t="s">
        <v>165</v>
      </c>
      <c r="H1088" s="389" t="s">
        <v>9007</v>
      </c>
      <c r="I1088" s="369" t="e">
        <f>VLOOKUP(H1088,'合同高级查询数据-10月新返回合同'!A:A,1,0)</f>
        <v>#N/A</v>
      </c>
      <c r="J1088" s="390" t="s">
        <v>8805</v>
      </c>
      <c r="K1088" s="386"/>
      <c r="L1088" s="389" t="s">
        <v>9008</v>
      </c>
      <c r="M1088" s="386"/>
      <c r="N1088" s="391">
        <v>44866</v>
      </c>
      <c r="O1088" s="386"/>
      <c r="P1088" s="446">
        <v>3100</v>
      </c>
      <c r="Q1088" s="540">
        <v>53.884999999999998</v>
      </c>
      <c r="R1088" s="539">
        <f t="shared" si="64"/>
        <v>167043.5</v>
      </c>
      <c r="S1088" s="378">
        <v>202309</v>
      </c>
      <c r="T1088" s="394" t="s">
        <v>9027</v>
      </c>
      <c r="U1088" s="394"/>
      <c r="V1088" s="560"/>
      <c r="W1088" s="541"/>
      <c r="X1088" s="383"/>
      <c r="Y1088" s="383"/>
      <c r="Z1088" s="386"/>
      <c r="AA1088" s="506"/>
      <c r="AB1088" s="448"/>
      <c r="AC1088" s="448"/>
    </row>
    <row r="1089" spans="1:29" s="577" customFormat="1" ht="15" customHeight="1">
      <c r="A1089" s="561" t="s">
        <v>57</v>
      </c>
      <c r="B1089" s="562" t="s">
        <v>7101</v>
      </c>
      <c r="C1089" s="563" t="s">
        <v>84</v>
      </c>
      <c r="D1089" s="563" t="s">
        <v>8478</v>
      </c>
      <c r="E1089" s="561" t="s">
        <v>9028</v>
      </c>
      <c r="F1089" s="561" t="s">
        <v>9029</v>
      </c>
      <c r="G1089" s="561" t="s">
        <v>165</v>
      </c>
      <c r="H1089" s="564" t="s">
        <v>9030</v>
      </c>
      <c r="I1089" s="565" t="e">
        <f>VLOOKUP(H1089,'合同高级查询数据-10月新返回合同'!A:A,1,0)</f>
        <v>#N/A</v>
      </c>
      <c r="J1089" s="566" t="s">
        <v>8780</v>
      </c>
      <c r="K1089" s="561" t="s">
        <v>9031</v>
      </c>
      <c r="L1089" s="564" t="s">
        <v>9032</v>
      </c>
      <c r="M1089" s="561"/>
      <c r="N1089" s="567">
        <v>44531</v>
      </c>
      <c r="O1089" s="561"/>
      <c r="P1089" s="638">
        <v>3300</v>
      </c>
      <c r="Q1089" s="720">
        <v>0</v>
      </c>
      <c r="R1089" s="639">
        <f t="shared" si="64"/>
        <v>0</v>
      </c>
      <c r="S1089" s="570">
        <v>202310</v>
      </c>
      <c r="T1089" s="571" t="s">
        <v>9033</v>
      </c>
      <c r="U1089" s="571"/>
      <c r="V1089" s="747">
        <v>0</v>
      </c>
      <c r="W1089" s="721"/>
      <c r="X1089" s="722">
        <v>44896</v>
      </c>
      <c r="Y1089" s="722">
        <v>45260</v>
      </c>
      <c r="Z1089" s="561" t="s">
        <v>9034</v>
      </c>
      <c r="AA1089" s="683">
        <v>0</v>
      </c>
      <c r="AB1089" s="582">
        <v>0</v>
      </c>
      <c r="AC1089" s="713">
        <f t="shared" si="65"/>
        <v>0</v>
      </c>
    </row>
    <row r="1090" spans="1:29" s="577" customFormat="1" ht="15" customHeight="1">
      <c r="A1090" s="561" t="s">
        <v>57</v>
      </c>
      <c r="B1090" s="562" t="s">
        <v>7101</v>
      </c>
      <c r="C1090" s="563" t="s">
        <v>84</v>
      </c>
      <c r="D1090" s="563" t="s">
        <v>8478</v>
      </c>
      <c r="E1090" s="561" t="s">
        <v>9028</v>
      </c>
      <c r="F1090" s="561" t="s">
        <v>9029</v>
      </c>
      <c r="G1090" s="561" t="s">
        <v>165</v>
      </c>
      <c r="H1090" s="564" t="s">
        <v>9030</v>
      </c>
      <c r="I1090" s="565" t="e">
        <f>VLOOKUP(H1090,'合同高级查询数据-10月新返回合同'!A:A,1,0)</f>
        <v>#N/A</v>
      </c>
      <c r="J1090" s="566" t="s">
        <v>8780</v>
      </c>
      <c r="K1090" s="561" t="s">
        <v>9031</v>
      </c>
      <c r="L1090" s="564" t="s">
        <v>9035</v>
      </c>
      <c r="M1090" s="561"/>
      <c r="N1090" s="567">
        <v>44197</v>
      </c>
      <c r="O1090" s="561"/>
      <c r="P1090" s="638">
        <v>3300</v>
      </c>
      <c r="Q1090" s="720">
        <v>162.34299999999999</v>
      </c>
      <c r="R1090" s="639">
        <f t="shared" si="64"/>
        <v>535731.9</v>
      </c>
      <c r="S1090" s="570">
        <v>202310</v>
      </c>
      <c r="T1090" s="571" t="s">
        <v>9036</v>
      </c>
      <c r="U1090" s="571"/>
      <c r="V1090" s="747">
        <v>162.34274292000001</v>
      </c>
      <c r="W1090" s="721"/>
      <c r="X1090" s="722">
        <v>44896</v>
      </c>
      <c r="Y1090" s="722">
        <v>45260</v>
      </c>
      <c r="Z1090" s="561" t="s">
        <v>9037</v>
      </c>
      <c r="AA1090" s="683">
        <v>0</v>
      </c>
      <c r="AB1090" s="582">
        <v>0</v>
      </c>
      <c r="AC1090" s="713">
        <f t="shared" si="65"/>
        <v>0</v>
      </c>
    </row>
    <row r="1091" spans="1:29" s="577" customFormat="1" ht="15" customHeight="1">
      <c r="A1091" s="561" t="s">
        <v>57</v>
      </c>
      <c r="B1091" s="562" t="s">
        <v>7101</v>
      </c>
      <c r="C1091" s="563" t="s">
        <v>84</v>
      </c>
      <c r="D1091" s="563" t="s">
        <v>8478</v>
      </c>
      <c r="E1091" s="561" t="s">
        <v>9038</v>
      </c>
      <c r="F1091" s="561" t="s">
        <v>9029</v>
      </c>
      <c r="G1091" s="561" t="s">
        <v>165</v>
      </c>
      <c r="H1091" s="564" t="s">
        <v>9039</v>
      </c>
      <c r="I1091" s="565" t="e">
        <f>VLOOKUP(H1091,'合同高级查询数据-10月新返回合同'!A:A,1,0)</f>
        <v>#N/A</v>
      </c>
      <c r="J1091" s="566" t="s">
        <v>8780</v>
      </c>
      <c r="K1091" s="561" t="s">
        <v>9040</v>
      </c>
      <c r="L1091" s="564" t="s">
        <v>9041</v>
      </c>
      <c r="M1091" s="561"/>
      <c r="N1091" s="567">
        <v>44228</v>
      </c>
      <c r="O1091" s="561"/>
      <c r="P1091" s="638">
        <v>3100</v>
      </c>
      <c r="Q1091" s="720">
        <v>93.688999999999993</v>
      </c>
      <c r="R1091" s="639">
        <f t="shared" si="64"/>
        <v>290435.90000000002</v>
      </c>
      <c r="S1091" s="570">
        <v>202310</v>
      </c>
      <c r="T1091" s="571" t="s">
        <v>9042</v>
      </c>
      <c r="U1091" s="571"/>
      <c r="V1091" s="747">
        <v>93.688415527000004</v>
      </c>
      <c r="W1091" s="721"/>
      <c r="X1091" s="574">
        <v>44927</v>
      </c>
      <c r="Y1091" s="574">
        <v>45291</v>
      </c>
      <c r="Z1091" s="561" t="s">
        <v>9043</v>
      </c>
      <c r="AA1091" s="683">
        <v>0</v>
      </c>
      <c r="AB1091" s="582">
        <v>0</v>
      </c>
      <c r="AC1091" s="713">
        <f t="shared" si="65"/>
        <v>0</v>
      </c>
    </row>
    <row r="1092" spans="1:29" s="577" customFormat="1" ht="15" customHeight="1">
      <c r="A1092" s="561" t="s">
        <v>57</v>
      </c>
      <c r="B1092" s="562" t="s">
        <v>7101</v>
      </c>
      <c r="C1092" s="563" t="s">
        <v>84</v>
      </c>
      <c r="D1092" s="563" t="s">
        <v>8478</v>
      </c>
      <c r="E1092" s="561" t="s">
        <v>9038</v>
      </c>
      <c r="F1092" s="561" t="s">
        <v>9029</v>
      </c>
      <c r="G1092" s="561" t="s">
        <v>165</v>
      </c>
      <c r="H1092" s="564" t="s">
        <v>9039</v>
      </c>
      <c r="I1092" s="565" t="e">
        <f>VLOOKUP(H1092,'合同高级查询数据-10月新返回合同'!A:A,1,0)</f>
        <v>#N/A</v>
      </c>
      <c r="J1092" s="566" t="s">
        <v>8780</v>
      </c>
      <c r="K1092" s="561" t="s">
        <v>9044</v>
      </c>
      <c r="L1092" s="564" t="s">
        <v>9045</v>
      </c>
      <c r="M1092" s="561"/>
      <c r="N1092" s="567">
        <v>44228</v>
      </c>
      <c r="O1092" s="561"/>
      <c r="P1092" s="638">
        <v>2600</v>
      </c>
      <c r="Q1092" s="720">
        <v>64.707999999999998</v>
      </c>
      <c r="R1092" s="639">
        <f t="shared" si="64"/>
        <v>168240.8</v>
      </c>
      <c r="S1092" s="570">
        <v>202310</v>
      </c>
      <c r="T1092" s="571" t="s">
        <v>9042</v>
      </c>
      <c r="U1092" s="571"/>
      <c r="V1092" s="747">
        <v>64.707275390999996</v>
      </c>
      <c r="W1092" s="721"/>
      <c r="X1092" s="574">
        <v>44927</v>
      </c>
      <c r="Y1092" s="574">
        <v>45291</v>
      </c>
      <c r="Z1092" s="561" t="s">
        <v>9046</v>
      </c>
      <c r="AA1092" s="683">
        <v>0</v>
      </c>
      <c r="AB1092" s="582">
        <v>0</v>
      </c>
      <c r="AC1092" s="713">
        <f t="shared" si="65"/>
        <v>0</v>
      </c>
    </row>
    <row r="1093" spans="1:29" s="577" customFormat="1" ht="15" customHeight="1">
      <c r="A1093" s="561" t="s">
        <v>57</v>
      </c>
      <c r="B1093" s="562" t="s">
        <v>7101</v>
      </c>
      <c r="C1093" s="563" t="s">
        <v>84</v>
      </c>
      <c r="D1093" s="563" t="s">
        <v>8478</v>
      </c>
      <c r="E1093" s="561" t="s">
        <v>9038</v>
      </c>
      <c r="F1093" s="561" t="s">
        <v>9029</v>
      </c>
      <c r="G1093" s="561" t="s">
        <v>165</v>
      </c>
      <c r="H1093" s="564" t="s">
        <v>9039</v>
      </c>
      <c r="I1093" s="565" t="e">
        <f>VLOOKUP(H1093,'合同高级查询数据-10月新返回合同'!A:A,1,0)</f>
        <v>#N/A</v>
      </c>
      <c r="J1093" s="566" t="s">
        <v>8780</v>
      </c>
      <c r="K1093" s="561" t="s">
        <v>9047</v>
      </c>
      <c r="L1093" s="564" t="s">
        <v>9048</v>
      </c>
      <c r="M1093" s="561"/>
      <c r="N1093" s="567">
        <v>44197</v>
      </c>
      <c r="O1093" s="561"/>
      <c r="P1093" s="638">
        <v>2200</v>
      </c>
      <c r="Q1093" s="720">
        <v>56.597000000000001</v>
      </c>
      <c r="R1093" s="639">
        <f t="shared" si="64"/>
        <v>124513.4</v>
      </c>
      <c r="S1093" s="570">
        <v>202310</v>
      </c>
      <c r="T1093" s="571" t="s">
        <v>9049</v>
      </c>
      <c r="U1093" s="571"/>
      <c r="V1093" s="747">
        <v>56.596262461999999</v>
      </c>
      <c r="W1093" s="721"/>
      <c r="X1093" s="574">
        <v>44927</v>
      </c>
      <c r="Y1093" s="574">
        <v>45291</v>
      </c>
      <c r="Z1093" s="561" t="s">
        <v>9050</v>
      </c>
      <c r="AA1093" s="683">
        <v>0</v>
      </c>
      <c r="AB1093" s="582">
        <v>0</v>
      </c>
      <c r="AC1093" s="713">
        <f t="shared" si="65"/>
        <v>0</v>
      </c>
    </row>
    <row r="1094" spans="1:29" s="577" customFormat="1" ht="15" customHeight="1">
      <c r="A1094" s="561" t="s">
        <v>57</v>
      </c>
      <c r="B1094" s="562" t="s">
        <v>7101</v>
      </c>
      <c r="C1094" s="563" t="s">
        <v>84</v>
      </c>
      <c r="D1094" s="563" t="s">
        <v>8478</v>
      </c>
      <c r="E1094" s="561" t="s">
        <v>9038</v>
      </c>
      <c r="F1094" s="561" t="s">
        <v>9029</v>
      </c>
      <c r="G1094" s="561" t="s">
        <v>165</v>
      </c>
      <c r="H1094" s="564" t="s">
        <v>9039</v>
      </c>
      <c r="I1094" s="565" t="e">
        <f>VLOOKUP(H1094,'合同高级查询数据-10月新返回合同'!A:A,1,0)</f>
        <v>#N/A</v>
      </c>
      <c r="J1094" s="566" t="s">
        <v>8780</v>
      </c>
      <c r="K1094" s="561" t="s">
        <v>9047</v>
      </c>
      <c r="L1094" s="564" t="s">
        <v>9051</v>
      </c>
      <c r="M1094" s="561"/>
      <c r="N1094" s="567">
        <v>44197</v>
      </c>
      <c r="O1094" s="561"/>
      <c r="P1094" s="638">
        <v>2200</v>
      </c>
      <c r="Q1094" s="720">
        <v>0</v>
      </c>
      <c r="R1094" s="639">
        <f t="shared" si="64"/>
        <v>0</v>
      </c>
      <c r="S1094" s="570">
        <v>202310</v>
      </c>
      <c r="T1094" s="571" t="s">
        <v>9052</v>
      </c>
      <c r="U1094" s="571"/>
      <c r="V1094" s="747">
        <v>0</v>
      </c>
      <c r="W1094" s="721"/>
      <c r="X1094" s="574">
        <v>44927</v>
      </c>
      <c r="Y1094" s="574">
        <v>45291</v>
      </c>
      <c r="Z1094" s="561" t="s">
        <v>9053</v>
      </c>
      <c r="AA1094" s="683">
        <v>0</v>
      </c>
      <c r="AB1094" s="582">
        <v>0</v>
      </c>
      <c r="AC1094" s="713">
        <f t="shared" si="65"/>
        <v>0</v>
      </c>
    </row>
    <row r="1095" spans="1:29" s="577" customFormat="1" ht="15" customHeight="1">
      <c r="A1095" s="561" t="s">
        <v>57</v>
      </c>
      <c r="B1095" s="562" t="s">
        <v>7101</v>
      </c>
      <c r="C1095" s="563" t="s">
        <v>84</v>
      </c>
      <c r="D1095" s="563" t="s">
        <v>8478</v>
      </c>
      <c r="E1095" s="561" t="s">
        <v>9038</v>
      </c>
      <c r="F1095" s="561" t="s">
        <v>9029</v>
      </c>
      <c r="G1095" s="561" t="s">
        <v>165</v>
      </c>
      <c r="H1095" s="564" t="s">
        <v>9039</v>
      </c>
      <c r="I1095" s="565" t="e">
        <f>VLOOKUP(H1095,'合同高级查询数据-10月新返回合同'!A:A,1,0)</f>
        <v>#N/A</v>
      </c>
      <c r="J1095" s="566" t="s">
        <v>8780</v>
      </c>
      <c r="K1095" s="561" t="s">
        <v>9054</v>
      </c>
      <c r="L1095" s="564" t="s">
        <v>9055</v>
      </c>
      <c r="M1095" s="561"/>
      <c r="N1095" s="567">
        <v>44197</v>
      </c>
      <c r="O1095" s="561"/>
      <c r="P1095" s="638">
        <v>3200</v>
      </c>
      <c r="Q1095" s="720">
        <v>144.053</v>
      </c>
      <c r="R1095" s="639">
        <f t="shared" si="64"/>
        <v>460969.6</v>
      </c>
      <c r="S1095" s="570">
        <v>202310</v>
      </c>
      <c r="T1095" s="571" t="s">
        <v>9049</v>
      </c>
      <c r="U1095" s="571"/>
      <c r="V1095" s="747">
        <v>144.05204688399999</v>
      </c>
      <c r="W1095" s="721"/>
      <c r="X1095" s="574">
        <v>44927</v>
      </c>
      <c r="Y1095" s="574">
        <v>45291</v>
      </c>
      <c r="Z1095" s="561" t="s">
        <v>9056</v>
      </c>
      <c r="AA1095" s="683">
        <v>0</v>
      </c>
      <c r="AB1095" s="582">
        <v>0</v>
      </c>
      <c r="AC1095" s="713">
        <f t="shared" si="65"/>
        <v>0</v>
      </c>
    </row>
    <row r="1096" spans="1:29" s="577" customFormat="1" ht="15" customHeight="1">
      <c r="A1096" s="561" t="s">
        <v>57</v>
      </c>
      <c r="B1096" s="562" t="s">
        <v>7101</v>
      </c>
      <c r="C1096" s="563" t="s">
        <v>84</v>
      </c>
      <c r="D1096" s="563" t="s">
        <v>8478</v>
      </c>
      <c r="E1096" s="561" t="s">
        <v>9057</v>
      </c>
      <c r="F1096" s="561" t="s">
        <v>9058</v>
      </c>
      <c r="G1096" s="561" t="s">
        <v>165</v>
      </c>
      <c r="H1096" s="564" t="s">
        <v>9059</v>
      </c>
      <c r="I1096" s="565" t="e">
        <f>VLOOKUP(H1096,'合同高级查询数据-10月新返回合同'!A:A,1,0)</f>
        <v>#N/A</v>
      </c>
      <c r="J1096" s="566" t="s">
        <v>8780</v>
      </c>
      <c r="K1096" s="561" t="s">
        <v>9060</v>
      </c>
      <c r="L1096" s="564" t="s">
        <v>9061</v>
      </c>
      <c r="M1096" s="561"/>
      <c r="N1096" s="567">
        <v>44713</v>
      </c>
      <c r="O1096" s="561"/>
      <c r="P1096" s="638">
        <v>2200</v>
      </c>
      <c r="Q1096" s="720">
        <v>222.84</v>
      </c>
      <c r="R1096" s="639">
        <f t="shared" si="64"/>
        <v>490248</v>
      </c>
      <c r="S1096" s="570">
        <v>202310</v>
      </c>
      <c r="T1096" s="571" t="s">
        <v>9062</v>
      </c>
      <c r="U1096" s="571"/>
      <c r="V1096" s="721">
        <v>222.84487915</v>
      </c>
      <c r="W1096" s="721"/>
      <c r="X1096" s="574">
        <v>45078</v>
      </c>
      <c r="Y1096" s="574">
        <v>45443</v>
      </c>
      <c r="Z1096" s="561" t="s">
        <v>9063</v>
      </c>
      <c r="AA1096" s="683">
        <v>0</v>
      </c>
      <c r="AB1096" s="582">
        <v>0</v>
      </c>
      <c r="AC1096" s="713">
        <f t="shared" si="65"/>
        <v>0</v>
      </c>
    </row>
    <row r="1097" spans="1:29" s="577" customFormat="1" ht="15" customHeight="1">
      <c r="A1097" s="561" t="s">
        <v>57</v>
      </c>
      <c r="B1097" s="562" t="s">
        <v>7101</v>
      </c>
      <c r="C1097" s="563" t="s">
        <v>84</v>
      </c>
      <c r="D1097" s="563" t="s">
        <v>8478</v>
      </c>
      <c r="E1097" s="561" t="s">
        <v>9057</v>
      </c>
      <c r="F1097" s="561" t="s">
        <v>9058</v>
      </c>
      <c r="G1097" s="561" t="s">
        <v>165</v>
      </c>
      <c r="H1097" s="564" t="s">
        <v>9059</v>
      </c>
      <c r="I1097" s="565" t="e">
        <f>VLOOKUP(H1097,'合同高级查询数据-10月新返回合同'!A:A,1,0)</f>
        <v>#N/A</v>
      </c>
      <c r="J1097" s="566" t="s">
        <v>8780</v>
      </c>
      <c r="K1097" s="561" t="s">
        <v>9064</v>
      </c>
      <c r="L1097" s="564" t="s">
        <v>9065</v>
      </c>
      <c r="M1097" s="561"/>
      <c r="N1097" s="567">
        <v>44713</v>
      </c>
      <c r="O1097" s="561"/>
      <c r="P1097" s="638">
        <v>2500</v>
      </c>
      <c r="Q1097" s="720">
        <v>419.77</v>
      </c>
      <c r="R1097" s="639">
        <f t="shared" si="64"/>
        <v>1049425</v>
      </c>
      <c r="S1097" s="570">
        <v>202310</v>
      </c>
      <c r="T1097" s="571" t="s">
        <v>9062</v>
      </c>
      <c r="U1097" s="571"/>
      <c r="V1097" s="721">
        <v>419.76931762700002</v>
      </c>
      <c r="W1097" s="721"/>
      <c r="X1097" s="574">
        <v>45078</v>
      </c>
      <c r="Y1097" s="574">
        <v>45443</v>
      </c>
      <c r="Z1097" s="561" t="s">
        <v>9066</v>
      </c>
      <c r="AA1097" s="683">
        <v>0</v>
      </c>
      <c r="AB1097" s="582">
        <v>0</v>
      </c>
      <c r="AC1097" s="713">
        <f t="shared" si="65"/>
        <v>0</v>
      </c>
    </row>
    <row r="1098" spans="1:29" s="577" customFormat="1" ht="15" customHeight="1">
      <c r="A1098" s="561" t="s">
        <v>57</v>
      </c>
      <c r="B1098" s="562" t="s">
        <v>7101</v>
      </c>
      <c r="C1098" s="563" t="s">
        <v>84</v>
      </c>
      <c r="D1098" s="563" t="s">
        <v>8478</v>
      </c>
      <c r="E1098" s="561" t="s">
        <v>9057</v>
      </c>
      <c r="F1098" s="561" t="s">
        <v>9058</v>
      </c>
      <c r="G1098" s="561" t="s">
        <v>165</v>
      </c>
      <c r="H1098" s="564" t="s">
        <v>9067</v>
      </c>
      <c r="I1098" s="565" t="e">
        <f>VLOOKUP(H1098,'合同高级查询数据-10月新返回合同'!A:A,1,0)</f>
        <v>#N/A</v>
      </c>
      <c r="J1098" s="566" t="s">
        <v>8780</v>
      </c>
      <c r="K1098" s="561" t="s">
        <v>9068</v>
      </c>
      <c r="L1098" s="564" t="s">
        <v>9068</v>
      </c>
      <c r="M1098" s="561"/>
      <c r="N1098" s="567">
        <v>44743</v>
      </c>
      <c r="O1098" s="561"/>
      <c r="P1098" s="638">
        <v>0.05</v>
      </c>
      <c r="Q1098" s="720">
        <v>5109098.6148971003</v>
      </c>
      <c r="R1098" s="639">
        <f t="shared" si="64"/>
        <v>255454.93</v>
      </c>
      <c r="S1098" s="570">
        <v>202310</v>
      </c>
      <c r="T1098" s="571" t="s">
        <v>9069</v>
      </c>
      <c r="U1098" s="571"/>
      <c r="V1098" s="721">
        <v>5109098.6148971003</v>
      </c>
      <c r="W1098" s="721"/>
      <c r="X1098" s="574">
        <v>45108</v>
      </c>
      <c r="Y1098" s="574">
        <v>45473</v>
      </c>
      <c r="Z1098" s="561" t="s">
        <v>9070</v>
      </c>
      <c r="AA1098" s="683">
        <v>0</v>
      </c>
      <c r="AB1098" s="582">
        <v>0</v>
      </c>
      <c r="AC1098" s="713">
        <f t="shared" si="65"/>
        <v>0</v>
      </c>
    </row>
    <row r="1099" spans="1:29" s="577" customFormat="1" ht="15" customHeight="1">
      <c r="A1099" s="561" t="s">
        <v>57</v>
      </c>
      <c r="B1099" s="562" t="s">
        <v>7101</v>
      </c>
      <c r="C1099" s="563" t="s">
        <v>84</v>
      </c>
      <c r="D1099" s="563" t="s">
        <v>8478</v>
      </c>
      <c r="E1099" s="561" t="s">
        <v>9057</v>
      </c>
      <c r="F1099" s="561" t="s">
        <v>9058</v>
      </c>
      <c r="G1099" s="561" t="s">
        <v>165</v>
      </c>
      <c r="H1099" s="564" t="s">
        <v>9059</v>
      </c>
      <c r="I1099" s="565" t="e">
        <f>VLOOKUP(H1099,'合同高级查询数据-10月新返回合同'!A:A,1,0)</f>
        <v>#N/A</v>
      </c>
      <c r="J1099" s="566" t="s">
        <v>8780</v>
      </c>
      <c r="K1099" s="564" t="s">
        <v>9071</v>
      </c>
      <c r="L1099" s="564" t="s">
        <v>9071</v>
      </c>
      <c r="M1099" s="561"/>
      <c r="N1099" s="567">
        <v>44835</v>
      </c>
      <c r="O1099" s="561"/>
      <c r="P1099" s="638">
        <v>2500</v>
      </c>
      <c r="Q1099" s="720">
        <v>62.97</v>
      </c>
      <c r="R1099" s="639">
        <f t="shared" ref="R1099:R1105" si="66">ROUND(P1099*Q1099,2)</f>
        <v>157425</v>
      </c>
      <c r="S1099" s="570">
        <v>202310</v>
      </c>
      <c r="T1099" s="571" t="s">
        <v>9072</v>
      </c>
      <c r="U1099" s="571"/>
      <c r="V1099" s="721">
        <v>62.973934174</v>
      </c>
      <c r="W1099" s="721"/>
      <c r="X1099" s="574">
        <v>45078</v>
      </c>
      <c r="Y1099" s="574">
        <v>45443</v>
      </c>
      <c r="Z1099" s="561" t="s">
        <v>9073</v>
      </c>
      <c r="AA1099" s="683">
        <v>0</v>
      </c>
      <c r="AB1099" s="713">
        <v>0</v>
      </c>
      <c r="AC1099" s="713">
        <f t="shared" si="65"/>
        <v>0</v>
      </c>
    </row>
    <row r="1100" spans="1:29" s="577" customFormat="1" ht="15" customHeight="1">
      <c r="A1100" s="561" t="s">
        <v>57</v>
      </c>
      <c r="B1100" s="562" t="s">
        <v>7101</v>
      </c>
      <c r="C1100" s="563" t="s">
        <v>84</v>
      </c>
      <c r="D1100" s="563" t="s">
        <v>8478</v>
      </c>
      <c r="E1100" s="561" t="s">
        <v>9057</v>
      </c>
      <c r="F1100" s="561" t="s">
        <v>9058</v>
      </c>
      <c r="G1100" s="561" t="s">
        <v>165</v>
      </c>
      <c r="H1100" s="564" t="s">
        <v>9059</v>
      </c>
      <c r="I1100" s="565" t="e">
        <f>VLOOKUP(H1100,'合同高级查询数据-10月新返回合同'!A:A,1,0)</f>
        <v>#N/A</v>
      </c>
      <c r="J1100" s="566" t="s">
        <v>8780</v>
      </c>
      <c r="K1100" s="564" t="s">
        <v>9074</v>
      </c>
      <c r="L1100" s="564" t="s">
        <v>9074</v>
      </c>
      <c r="M1100" s="561"/>
      <c r="N1100" s="567">
        <v>44835</v>
      </c>
      <c r="O1100" s="561"/>
      <c r="P1100" s="638">
        <v>2200</v>
      </c>
      <c r="Q1100" s="720">
        <v>32.89</v>
      </c>
      <c r="R1100" s="639">
        <f t="shared" si="66"/>
        <v>72358</v>
      </c>
      <c r="S1100" s="570">
        <v>202310</v>
      </c>
      <c r="T1100" s="571" t="s">
        <v>9072</v>
      </c>
      <c r="U1100" s="571"/>
      <c r="V1100" s="721">
        <v>32.888145446999999</v>
      </c>
      <c r="W1100" s="721"/>
      <c r="X1100" s="574">
        <v>45078</v>
      </c>
      <c r="Y1100" s="574">
        <v>45443</v>
      </c>
      <c r="Z1100" s="561" t="s">
        <v>9075</v>
      </c>
      <c r="AA1100" s="683">
        <v>0</v>
      </c>
      <c r="AB1100" s="713">
        <v>0</v>
      </c>
      <c r="AC1100" s="713">
        <f t="shared" si="65"/>
        <v>0</v>
      </c>
    </row>
    <row r="1101" spans="1:29" s="577" customFormat="1" ht="15" customHeight="1">
      <c r="A1101" s="561" t="s">
        <v>57</v>
      </c>
      <c r="B1101" s="562" t="s">
        <v>7101</v>
      </c>
      <c r="C1101" s="563" t="s">
        <v>84</v>
      </c>
      <c r="D1101" s="563" t="s">
        <v>8478</v>
      </c>
      <c r="E1101" s="561" t="s">
        <v>9057</v>
      </c>
      <c r="F1101" s="561" t="s">
        <v>9058</v>
      </c>
      <c r="G1101" s="561" t="s">
        <v>165</v>
      </c>
      <c r="H1101" s="564" t="s">
        <v>9059</v>
      </c>
      <c r="I1101" s="565" t="e">
        <f>VLOOKUP(H1101,'合同高级查询数据-10月新返回合同'!A:A,1,0)</f>
        <v>#N/A</v>
      </c>
      <c r="J1101" s="566" t="s">
        <v>8780</v>
      </c>
      <c r="K1101" s="564" t="s">
        <v>9076</v>
      </c>
      <c r="L1101" s="564" t="s">
        <v>9076</v>
      </c>
      <c r="M1101" s="561"/>
      <c r="N1101" s="567">
        <v>44927</v>
      </c>
      <c r="O1101" s="561"/>
      <c r="P1101" s="638">
        <v>2080</v>
      </c>
      <c r="Q1101" s="720">
        <v>39.409999999999997</v>
      </c>
      <c r="R1101" s="639">
        <f t="shared" si="66"/>
        <v>81972.800000000003</v>
      </c>
      <c r="S1101" s="570">
        <v>202310</v>
      </c>
      <c r="T1101" s="571" t="s">
        <v>8968</v>
      </c>
      <c r="U1101" s="571"/>
      <c r="V1101" s="721">
        <v>39.411003708000003</v>
      </c>
      <c r="W1101" s="721"/>
      <c r="X1101" s="574">
        <v>45078</v>
      </c>
      <c r="Y1101" s="574">
        <v>45443</v>
      </c>
      <c r="Z1101" s="561" t="s">
        <v>9077</v>
      </c>
      <c r="AA1101" s="683">
        <v>0</v>
      </c>
      <c r="AB1101" s="582">
        <v>0</v>
      </c>
      <c r="AC1101" s="713">
        <f t="shared" si="65"/>
        <v>0</v>
      </c>
    </row>
    <row r="1102" spans="1:29" s="577" customFormat="1" ht="15" customHeight="1">
      <c r="A1102" s="561" t="s">
        <v>57</v>
      </c>
      <c r="B1102" s="562" t="s">
        <v>7101</v>
      </c>
      <c r="C1102" s="563" t="s">
        <v>84</v>
      </c>
      <c r="D1102" s="563" t="s">
        <v>8478</v>
      </c>
      <c r="E1102" s="561" t="s">
        <v>9057</v>
      </c>
      <c r="F1102" s="561" t="s">
        <v>9058</v>
      </c>
      <c r="G1102" s="561" t="s">
        <v>165</v>
      </c>
      <c r="H1102" s="564" t="s">
        <v>9078</v>
      </c>
      <c r="I1102" s="565" t="e">
        <f>VLOOKUP(H1102,'合同高级查询数据-10月新返回合同'!A:A,1,0)</f>
        <v>#N/A</v>
      </c>
      <c r="J1102" s="566" t="s">
        <v>8780</v>
      </c>
      <c r="K1102" s="564" t="s">
        <v>9079</v>
      </c>
      <c r="L1102" s="564" t="s">
        <v>9079</v>
      </c>
      <c r="M1102" s="561"/>
      <c r="N1102" s="567">
        <v>45078</v>
      </c>
      <c r="O1102" s="561"/>
      <c r="P1102" s="638">
        <v>2241</v>
      </c>
      <c r="Q1102" s="720">
        <v>73.099999999999994</v>
      </c>
      <c r="R1102" s="639">
        <f t="shared" si="66"/>
        <v>163817.1</v>
      </c>
      <c r="S1102" s="570">
        <v>202310</v>
      </c>
      <c r="T1102" s="571" t="s">
        <v>9080</v>
      </c>
      <c r="U1102" s="571"/>
      <c r="V1102" s="721">
        <v>73.103235463000004</v>
      </c>
      <c r="W1102" s="721"/>
      <c r="X1102" s="574">
        <v>45078</v>
      </c>
      <c r="Y1102" s="574">
        <v>45382</v>
      </c>
      <c r="Z1102" s="561" t="s">
        <v>9081</v>
      </c>
      <c r="AA1102" s="683">
        <v>0</v>
      </c>
      <c r="AB1102" s="582">
        <v>0</v>
      </c>
      <c r="AC1102" s="713">
        <f t="shared" si="65"/>
        <v>0</v>
      </c>
    </row>
    <row r="1103" spans="1:29" s="577" customFormat="1" ht="15" customHeight="1">
      <c r="A1103" s="561" t="s">
        <v>57</v>
      </c>
      <c r="B1103" s="562" t="s">
        <v>7101</v>
      </c>
      <c r="C1103" s="563" t="s">
        <v>84</v>
      </c>
      <c r="D1103" s="563" t="s">
        <v>8478</v>
      </c>
      <c r="E1103" s="561" t="s">
        <v>9057</v>
      </c>
      <c r="F1103" s="561" t="s">
        <v>9058</v>
      </c>
      <c r="G1103" s="561" t="s">
        <v>165</v>
      </c>
      <c r="H1103" s="564" t="s">
        <v>9082</v>
      </c>
      <c r="I1103" s="565" t="e">
        <f>VLOOKUP(H1103,'合同高级查询数据-10月新返回合同'!A:A,1,0)</f>
        <v>#N/A</v>
      </c>
      <c r="J1103" s="566" t="s">
        <v>8780</v>
      </c>
      <c r="K1103" s="564" t="s">
        <v>9083</v>
      </c>
      <c r="L1103" s="564" t="s">
        <v>9083</v>
      </c>
      <c r="M1103" s="561"/>
      <c r="N1103" s="567">
        <v>45078</v>
      </c>
      <c r="O1103" s="561" t="s">
        <v>9084</v>
      </c>
      <c r="P1103" s="638">
        <v>2520</v>
      </c>
      <c r="Q1103" s="720">
        <v>12.26</v>
      </c>
      <c r="R1103" s="639">
        <f t="shared" si="66"/>
        <v>30895.200000000001</v>
      </c>
      <c r="S1103" s="570">
        <v>202310</v>
      </c>
      <c r="T1103" s="571" t="s">
        <v>9085</v>
      </c>
      <c r="U1103" s="571"/>
      <c r="V1103" s="721">
        <v>12.264217716999999</v>
      </c>
      <c r="W1103" s="721"/>
      <c r="X1103" s="574">
        <v>45078</v>
      </c>
      <c r="Y1103" s="574">
        <v>45443</v>
      </c>
      <c r="Z1103" s="561" t="s">
        <v>9086</v>
      </c>
      <c r="AA1103" s="683">
        <v>0</v>
      </c>
      <c r="AB1103" s="713">
        <v>0</v>
      </c>
      <c r="AC1103" s="713">
        <f t="shared" si="65"/>
        <v>0</v>
      </c>
    </row>
    <row r="1104" spans="1:29" s="577" customFormat="1" ht="15" customHeight="1">
      <c r="A1104" s="561" t="s">
        <v>57</v>
      </c>
      <c r="B1104" s="562" t="s">
        <v>7101</v>
      </c>
      <c r="C1104" s="563" t="s">
        <v>84</v>
      </c>
      <c r="D1104" s="563" t="s">
        <v>8478</v>
      </c>
      <c r="E1104" s="561" t="s">
        <v>9057</v>
      </c>
      <c r="F1104" s="561" t="s">
        <v>9058</v>
      </c>
      <c r="G1104" s="561" t="s">
        <v>165</v>
      </c>
      <c r="H1104" s="564" t="s">
        <v>9082</v>
      </c>
      <c r="I1104" s="565" t="e">
        <f>VLOOKUP(H1104,'合同高级查询数据-10月新返回合同'!A:A,1,0)</f>
        <v>#N/A</v>
      </c>
      <c r="J1104" s="566" t="s">
        <v>8780</v>
      </c>
      <c r="K1104" s="564" t="s">
        <v>9083</v>
      </c>
      <c r="L1104" s="564" t="s">
        <v>9083</v>
      </c>
      <c r="M1104" s="561"/>
      <c r="N1104" s="567">
        <v>45078</v>
      </c>
      <c r="O1104" s="561" t="s">
        <v>9087</v>
      </c>
      <c r="P1104" s="638">
        <v>2340</v>
      </c>
      <c r="Q1104" s="720">
        <v>0</v>
      </c>
      <c r="R1104" s="639">
        <f t="shared" si="66"/>
        <v>0</v>
      </c>
      <c r="S1104" s="570">
        <v>202310</v>
      </c>
      <c r="T1104" s="571" t="s">
        <v>9085</v>
      </c>
      <c r="U1104" s="571"/>
      <c r="V1104" s="721">
        <v>0</v>
      </c>
      <c r="W1104" s="721"/>
      <c r="X1104" s="574">
        <v>45078</v>
      </c>
      <c r="Y1104" s="574">
        <v>45443</v>
      </c>
      <c r="Z1104" s="561" t="s">
        <v>9086</v>
      </c>
      <c r="AA1104" s="683">
        <v>0</v>
      </c>
      <c r="AB1104" s="713">
        <v>0</v>
      </c>
      <c r="AC1104" s="713">
        <f t="shared" si="65"/>
        <v>0</v>
      </c>
    </row>
    <row r="1105" spans="1:29" s="385" customFormat="1" ht="15" customHeight="1">
      <c r="A1105" s="386" t="s">
        <v>57</v>
      </c>
      <c r="B1105" s="387" t="s">
        <v>7101</v>
      </c>
      <c r="C1105" s="388" t="s">
        <v>84</v>
      </c>
      <c r="D1105" s="388" t="s">
        <v>8478</v>
      </c>
      <c r="E1105" s="386" t="s">
        <v>9057</v>
      </c>
      <c r="F1105" s="386" t="s">
        <v>9058</v>
      </c>
      <c r="G1105" s="386" t="s">
        <v>165</v>
      </c>
      <c r="H1105" s="389" t="s">
        <v>9088</v>
      </c>
      <c r="I1105" s="369" t="e">
        <f>VLOOKUP(H1105,'合同高级查询数据-10月新返回合同'!A:A,1,0)</f>
        <v>#N/A</v>
      </c>
      <c r="J1105" s="390" t="s">
        <v>8780</v>
      </c>
      <c r="K1105" s="389" t="s">
        <v>9089</v>
      </c>
      <c r="L1105" s="389" t="s">
        <v>9090</v>
      </c>
      <c r="M1105" s="386"/>
      <c r="N1105" s="391">
        <v>45170</v>
      </c>
      <c r="O1105" s="386"/>
      <c r="P1105" s="446">
        <v>1800</v>
      </c>
      <c r="Q1105" s="540">
        <v>77.59</v>
      </c>
      <c r="R1105" s="447">
        <f t="shared" si="66"/>
        <v>139662</v>
      </c>
      <c r="S1105" s="378">
        <v>202310</v>
      </c>
      <c r="T1105" s="394" t="s">
        <v>9091</v>
      </c>
      <c r="U1105" s="394"/>
      <c r="V1105" s="541">
        <v>77.594845938000006</v>
      </c>
      <c r="W1105" s="541"/>
      <c r="X1105" s="383"/>
      <c r="Y1105" s="383"/>
      <c r="Z1105" s="386" t="s">
        <v>9092</v>
      </c>
      <c r="AA1105" s="506"/>
      <c r="AB1105" s="448"/>
      <c r="AC1105" s="448"/>
    </row>
    <row r="1106" spans="1:29" s="385" customFormat="1" ht="15" customHeight="1">
      <c r="A1106" s="386" t="s">
        <v>57</v>
      </c>
      <c r="B1106" s="387" t="s">
        <v>7101</v>
      </c>
      <c r="C1106" s="388" t="s">
        <v>84</v>
      </c>
      <c r="D1106" s="388" t="s">
        <v>8478</v>
      </c>
      <c r="E1106" s="386" t="s">
        <v>9093</v>
      </c>
      <c r="F1106" s="386" t="s">
        <v>9094</v>
      </c>
      <c r="G1106" s="386" t="s">
        <v>165</v>
      </c>
      <c r="H1106" s="389" t="s">
        <v>9095</v>
      </c>
      <c r="I1106" s="369" t="e">
        <f>VLOOKUP(H1106,'合同高级查询数据-10月新返回合同'!A:A,1,0)</f>
        <v>#N/A</v>
      </c>
      <c r="J1106" s="390" t="s">
        <v>8780</v>
      </c>
      <c r="K1106" s="386" t="s">
        <v>9096</v>
      </c>
      <c r="L1106" s="389" t="s">
        <v>9097</v>
      </c>
      <c r="M1106" s="386"/>
      <c r="N1106" s="391">
        <v>44621</v>
      </c>
      <c r="O1106" s="386"/>
      <c r="P1106" s="446" t="s">
        <v>9098</v>
      </c>
      <c r="Q1106" s="540">
        <v>0</v>
      </c>
      <c r="R1106" s="447">
        <f>ROUND(Q1106*3000,2)</f>
        <v>0</v>
      </c>
      <c r="S1106" s="378">
        <v>202310</v>
      </c>
      <c r="T1106" s="394" t="s">
        <v>9099</v>
      </c>
      <c r="U1106" s="394"/>
      <c r="V1106" s="559">
        <v>0</v>
      </c>
      <c r="W1106" s="541"/>
      <c r="X1106" s="383"/>
      <c r="Y1106" s="383"/>
      <c r="Z1106" s="386" t="s">
        <v>9100</v>
      </c>
      <c r="AA1106" s="506">
        <v>0</v>
      </c>
      <c r="AB1106" s="410">
        <v>0</v>
      </c>
      <c r="AC1106" s="448">
        <f t="shared" si="65"/>
        <v>0</v>
      </c>
    </row>
    <row r="1107" spans="1:29" s="577" customFormat="1" ht="15" customHeight="1">
      <c r="A1107" s="561" t="s">
        <v>57</v>
      </c>
      <c r="B1107" s="562" t="s">
        <v>7101</v>
      </c>
      <c r="C1107" s="563" t="s">
        <v>84</v>
      </c>
      <c r="D1107" s="563" t="s">
        <v>8478</v>
      </c>
      <c r="E1107" s="561" t="s">
        <v>9101</v>
      </c>
      <c r="F1107" s="561" t="s">
        <v>9102</v>
      </c>
      <c r="G1107" s="561" t="s">
        <v>165</v>
      </c>
      <c r="H1107" s="564" t="s">
        <v>9103</v>
      </c>
      <c r="I1107" s="565" t="e">
        <f>VLOOKUP(H1107,'合同高级查询数据-10月新返回合同'!A:A,1,0)</f>
        <v>#N/A</v>
      </c>
      <c r="J1107" s="566" t="s">
        <v>8805</v>
      </c>
      <c r="K1107" s="561" t="s">
        <v>9104</v>
      </c>
      <c r="L1107" s="564" t="s">
        <v>9104</v>
      </c>
      <c r="M1107" s="561"/>
      <c r="N1107" s="567">
        <v>44774</v>
      </c>
      <c r="O1107" s="561"/>
      <c r="P1107" s="638">
        <v>2150</v>
      </c>
      <c r="Q1107" s="720">
        <v>94.4</v>
      </c>
      <c r="R1107" s="639">
        <f t="shared" ref="R1107:R1124" si="67">ROUND(P1107*Q1107,2)</f>
        <v>202960</v>
      </c>
      <c r="S1107" s="570">
        <v>202310</v>
      </c>
      <c r="T1107" s="571" t="s">
        <v>9105</v>
      </c>
      <c r="U1107" s="571"/>
      <c r="V1107" s="747">
        <v>94.399711608999993</v>
      </c>
      <c r="W1107" s="721"/>
      <c r="X1107" s="574">
        <v>45139</v>
      </c>
      <c r="Y1107" s="574">
        <v>45504</v>
      </c>
      <c r="Z1107" s="561" t="s">
        <v>9106</v>
      </c>
      <c r="AA1107" s="683">
        <v>0</v>
      </c>
      <c r="AB1107" s="582">
        <v>0</v>
      </c>
      <c r="AC1107" s="713">
        <f t="shared" si="65"/>
        <v>0</v>
      </c>
    </row>
    <row r="1108" spans="1:29" s="577" customFormat="1" ht="15" customHeight="1">
      <c r="A1108" s="561" t="s">
        <v>57</v>
      </c>
      <c r="B1108" s="562" t="s">
        <v>7101</v>
      </c>
      <c r="C1108" s="563" t="s">
        <v>84</v>
      </c>
      <c r="D1108" s="563" t="s">
        <v>8478</v>
      </c>
      <c r="E1108" s="561" t="s">
        <v>9101</v>
      </c>
      <c r="F1108" s="561" t="s">
        <v>9102</v>
      </c>
      <c r="G1108" s="561" t="s">
        <v>165</v>
      </c>
      <c r="H1108" s="564" t="s">
        <v>9103</v>
      </c>
      <c r="I1108" s="565" t="e">
        <f>VLOOKUP(H1108,'合同高级查询数据-10月新返回合同'!A:A,1,0)</f>
        <v>#N/A</v>
      </c>
      <c r="J1108" s="566" t="s">
        <v>8805</v>
      </c>
      <c r="K1108" s="561" t="s">
        <v>9107</v>
      </c>
      <c r="L1108" s="564" t="s">
        <v>9107</v>
      </c>
      <c r="M1108" s="561"/>
      <c r="N1108" s="567">
        <v>44774</v>
      </c>
      <c r="O1108" s="561"/>
      <c r="P1108" s="638">
        <v>3100</v>
      </c>
      <c r="Q1108" s="720">
        <v>244.732</v>
      </c>
      <c r="R1108" s="639">
        <f t="shared" si="67"/>
        <v>758669.2</v>
      </c>
      <c r="S1108" s="570">
        <v>202310</v>
      </c>
      <c r="T1108" s="571" t="s">
        <v>9108</v>
      </c>
      <c r="U1108" s="571"/>
      <c r="V1108" s="747">
        <v>244.731369019</v>
      </c>
      <c r="W1108" s="721"/>
      <c r="X1108" s="574">
        <v>45139</v>
      </c>
      <c r="Y1108" s="574">
        <v>45504</v>
      </c>
      <c r="Z1108" s="561" t="s">
        <v>9109</v>
      </c>
      <c r="AA1108" s="683">
        <v>0</v>
      </c>
      <c r="AB1108" s="582">
        <v>0</v>
      </c>
      <c r="AC1108" s="713">
        <f t="shared" si="65"/>
        <v>0</v>
      </c>
    </row>
    <row r="1109" spans="1:29" s="385" customFormat="1" ht="15" customHeight="1">
      <c r="A1109" s="386" t="s">
        <v>57</v>
      </c>
      <c r="B1109" s="387" t="s">
        <v>7101</v>
      </c>
      <c r="C1109" s="388" t="s">
        <v>84</v>
      </c>
      <c r="D1109" s="388" t="s">
        <v>8478</v>
      </c>
      <c r="E1109" s="386" t="s">
        <v>9101</v>
      </c>
      <c r="F1109" s="386" t="s">
        <v>9102</v>
      </c>
      <c r="G1109" s="386" t="s">
        <v>165</v>
      </c>
      <c r="H1109" s="389" t="s">
        <v>9110</v>
      </c>
      <c r="I1109" s="369" t="e">
        <f>VLOOKUP(H1109,'合同高级查询数据-10月新返回合同'!A:A,1,0)</f>
        <v>#N/A</v>
      </c>
      <c r="J1109" s="390" t="s">
        <v>8805</v>
      </c>
      <c r="K1109" s="386"/>
      <c r="L1109" s="389" t="s">
        <v>9111</v>
      </c>
      <c r="M1109" s="386"/>
      <c r="N1109" s="391">
        <v>44866</v>
      </c>
      <c r="O1109" s="386"/>
      <c r="P1109" s="446">
        <v>2850</v>
      </c>
      <c r="Q1109" s="540">
        <v>0</v>
      </c>
      <c r="R1109" s="447">
        <f t="shared" si="67"/>
        <v>0</v>
      </c>
      <c r="S1109" s="378">
        <v>202310</v>
      </c>
      <c r="T1109" s="394" t="s">
        <v>9112</v>
      </c>
      <c r="U1109" s="394"/>
      <c r="V1109" s="559">
        <v>0</v>
      </c>
      <c r="W1109" s="541"/>
      <c r="X1109" s="383"/>
      <c r="Y1109" s="383"/>
      <c r="Z1109" s="386" t="s">
        <v>9113</v>
      </c>
      <c r="AA1109" s="506">
        <v>0</v>
      </c>
      <c r="AB1109" s="410">
        <v>0</v>
      </c>
      <c r="AC1109" s="448">
        <f t="shared" si="65"/>
        <v>0</v>
      </c>
    </row>
    <row r="1110" spans="1:29" s="577" customFormat="1" ht="15" customHeight="1">
      <c r="A1110" s="561" t="s">
        <v>57</v>
      </c>
      <c r="B1110" s="562" t="s">
        <v>7101</v>
      </c>
      <c r="C1110" s="563" t="s">
        <v>84</v>
      </c>
      <c r="D1110" s="563" t="s">
        <v>8478</v>
      </c>
      <c r="E1110" s="561" t="s">
        <v>9101</v>
      </c>
      <c r="F1110" s="561" t="s">
        <v>9102</v>
      </c>
      <c r="G1110" s="561" t="s">
        <v>165</v>
      </c>
      <c r="H1110" s="564" t="s">
        <v>9114</v>
      </c>
      <c r="I1110" s="565" t="e">
        <f>VLOOKUP(H1110,'合同高级查询数据-10月新返回合同'!A:A,1,0)</f>
        <v>#N/A</v>
      </c>
      <c r="J1110" s="566" t="s">
        <v>8780</v>
      </c>
      <c r="K1110" s="561" t="s">
        <v>9115</v>
      </c>
      <c r="L1110" s="564" t="s">
        <v>9116</v>
      </c>
      <c r="M1110" s="561"/>
      <c r="N1110" s="567">
        <v>44958</v>
      </c>
      <c r="O1110" s="561"/>
      <c r="P1110" s="638">
        <v>3100</v>
      </c>
      <c r="Q1110" s="720">
        <v>277.53800000000001</v>
      </c>
      <c r="R1110" s="639">
        <f t="shared" si="67"/>
        <v>860367.8</v>
      </c>
      <c r="S1110" s="570">
        <v>202310</v>
      </c>
      <c r="T1110" s="571" t="s">
        <v>9117</v>
      </c>
      <c r="U1110" s="571"/>
      <c r="V1110" s="747">
        <v>277.53792273200003</v>
      </c>
      <c r="W1110" s="721"/>
      <c r="X1110" s="574">
        <v>44958</v>
      </c>
      <c r="Y1110" s="574">
        <v>45322</v>
      </c>
      <c r="Z1110" s="561" t="s">
        <v>9118</v>
      </c>
      <c r="AA1110" s="683">
        <v>0</v>
      </c>
      <c r="AB1110" s="582">
        <v>0</v>
      </c>
      <c r="AC1110" s="713">
        <f t="shared" si="65"/>
        <v>0</v>
      </c>
    </row>
    <row r="1111" spans="1:29" s="577" customFormat="1" ht="15" customHeight="1">
      <c r="A1111" s="561" t="s">
        <v>57</v>
      </c>
      <c r="B1111" s="562" t="s">
        <v>7101</v>
      </c>
      <c r="C1111" s="563" t="s">
        <v>84</v>
      </c>
      <c r="D1111" s="563" t="s">
        <v>8478</v>
      </c>
      <c r="E1111" s="561" t="s">
        <v>9101</v>
      </c>
      <c r="F1111" s="561" t="s">
        <v>9102</v>
      </c>
      <c r="G1111" s="561" t="s">
        <v>165</v>
      </c>
      <c r="H1111" s="564" t="s">
        <v>9114</v>
      </c>
      <c r="I1111" s="565" t="e">
        <f>VLOOKUP(H1111,'合同高级查询数据-10月新返回合同'!A:A,1,0)</f>
        <v>#N/A</v>
      </c>
      <c r="J1111" s="566" t="s">
        <v>8780</v>
      </c>
      <c r="K1111" s="561" t="s">
        <v>9119</v>
      </c>
      <c r="L1111" s="564" t="s">
        <v>9120</v>
      </c>
      <c r="M1111" s="561"/>
      <c r="N1111" s="567">
        <v>44958</v>
      </c>
      <c r="O1111" s="561"/>
      <c r="P1111" s="638">
        <v>2100</v>
      </c>
      <c r="Q1111" s="720">
        <v>6.8949999999999996</v>
      </c>
      <c r="R1111" s="639">
        <f t="shared" si="67"/>
        <v>14479.5</v>
      </c>
      <c r="S1111" s="570">
        <v>202310</v>
      </c>
      <c r="T1111" s="571" t="s">
        <v>9121</v>
      </c>
      <c r="U1111" s="571"/>
      <c r="V1111" s="747">
        <v>6.8947570110000003</v>
      </c>
      <c r="W1111" s="721"/>
      <c r="X1111" s="574">
        <v>44958</v>
      </c>
      <c r="Y1111" s="574">
        <v>45322</v>
      </c>
      <c r="Z1111" s="561" t="s">
        <v>9122</v>
      </c>
      <c r="AA1111" s="683">
        <v>0</v>
      </c>
      <c r="AB1111" s="582">
        <v>0</v>
      </c>
      <c r="AC1111" s="713">
        <f t="shared" si="65"/>
        <v>0</v>
      </c>
    </row>
    <row r="1112" spans="1:29" s="577" customFormat="1" ht="15" customHeight="1">
      <c r="A1112" s="561" t="s">
        <v>57</v>
      </c>
      <c r="B1112" s="562" t="s">
        <v>7101</v>
      </c>
      <c r="C1112" s="563" t="s">
        <v>84</v>
      </c>
      <c r="D1112" s="563" t="s">
        <v>8478</v>
      </c>
      <c r="E1112" s="561" t="s">
        <v>9101</v>
      </c>
      <c r="F1112" s="561" t="s">
        <v>9102</v>
      </c>
      <c r="G1112" s="561" t="s">
        <v>165</v>
      </c>
      <c r="H1112" s="564" t="s">
        <v>9103</v>
      </c>
      <c r="I1112" s="565" t="e">
        <f>VLOOKUP(H1112,'合同高级查询数据-10月新返回合同'!A:A,1,0)</f>
        <v>#N/A</v>
      </c>
      <c r="J1112" s="566" t="s">
        <v>8805</v>
      </c>
      <c r="K1112" s="561" t="s">
        <v>9107</v>
      </c>
      <c r="L1112" s="564" t="s">
        <v>9107</v>
      </c>
      <c r="M1112" s="561"/>
      <c r="N1112" s="567">
        <v>44774</v>
      </c>
      <c r="O1112" s="561"/>
      <c r="P1112" s="638">
        <v>3100</v>
      </c>
      <c r="Q1112" s="720">
        <v>12.031000000000001</v>
      </c>
      <c r="R1112" s="719">
        <f t="shared" si="67"/>
        <v>37296.1</v>
      </c>
      <c r="S1112" s="570">
        <v>202309</v>
      </c>
      <c r="T1112" s="571" t="s">
        <v>9123</v>
      </c>
      <c r="U1112" s="571"/>
      <c r="V1112" s="748"/>
      <c r="W1112" s="721"/>
      <c r="X1112" s="574">
        <v>45139</v>
      </c>
      <c r="Y1112" s="574">
        <v>45504</v>
      </c>
      <c r="Z1112" s="561"/>
      <c r="AA1112" s="683"/>
      <c r="AB1112" s="582"/>
      <c r="AC1112" s="713"/>
    </row>
    <row r="1113" spans="1:29" s="577" customFormat="1" ht="15" customHeight="1">
      <c r="A1113" s="561" t="s">
        <v>57</v>
      </c>
      <c r="B1113" s="562" t="s">
        <v>7101</v>
      </c>
      <c r="C1113" s="563" t="s">
        <v>84</v>
      </c>
      <c r="D1113" s="563" t="s">
        <v>8478</v>
      </c>
      <c r="E1113" s="561" t="s">
        <v>8414</v>
      </c>
      <c r="F1113" s="561" t="s">
        <v>9124</v>
      </c>
      <c r="G1113" s="561" t="s">
        <v>165</v>
      </c>
      <c r="H1113" s="564" t="s">
        <v>9125</v>
      </c>
      <c r="I1113" s="565" t="e">
        <f>VLOOKUP(H1113,'合同高级查询数据-10月新返回合同'!A:A,1,0)</f>
        <v>#N/A</v>
      </c>
      <c r="J1113" s="566" t="s">
        <v>8780</v>
      </c>
      <c r="K1113" s="561" t="s">
        <v>9126</v>
      </c>
      <c r="L1113" s="564" t="s">
        <v>9127</v>
      </c>
      <c r="M1113" s="561"/>
      <c r="N1113" s="567">
        <v>44593</v>
      </c>
      <c r="O1113" s="561"/>
      <c r="P1113" s="638">
        <v>2100</v>
      </c>
      <c r="Q1113" s="720">
        <v>393.24200000000002</v>
      </c>
      <c r="R1113" s="639">
        <f t="shared" si="67"/>
        <v>825808.2</v>
      </c>
      <c r="S1113" s="570">
        <v>202310</v>
      </c>
      <c r="T1113" s="571" t="s">
        <v>9128</v>
      </c>
      <c r="U1113" s="571"/>
      <c r="V1113" s="747">
        <v>393.24199903300001</v>
      </c>
      <c r="W1113" s="721"/>
      <c r="X1113" s="574">
        <v>44958</v>
      </c>
      <c r="Y1113" s="574">
        <v>45322</v>
      </c>
      <c r="Z1113" s="561" t="s">
        <v>9129</v>
      </c>
      <c r="AA1113" s="683">
        <v>0</v>
      </c>
      <c r="AB1113" s="582">
        <v>0</v>
      </c>
      <c r="AC1113" s="713">
        <f t="shared" si="65"/>
        <v>0</v>
      </c>
    </row>
    <row r="1114" spans="1:29" s="577" customFormat="1" ht="15" customHeight="1">
      <c r="A1114" s="561" t="s">
        <v>57</v>
      </c>
      <c r="B1114" s="562" t="s">
        <v>7101</v>
      </c>
      <c r="C1114" s="563" t="s">
        <v>84</v>
      </c>
      <c r="D1114" s="563" t="s">
        <v>8478</v>
      </c>
      <c r="E1114" s="561" t="s">
        <v>8414</v>
      </c>
      <c r="F1114" s="561" t="s">
        <v>9124</v>
      </c>
      <c r="G1114" s="561" t="s">
        <v>165</v>
      </c>
      <c r="H1114" s="564" t="s">
        <v>9125</v>
      </c>
      <c r="I1114" s="565" t="e">
        <f>VLOOKUP(H1114,'合同高级查询数据-10月新返回合同'!A:A,1,0)</f>
        <v>#N/A</v>
      </c>
      <c r="J1114" s="566" t="s">
        <v>8780</v>
      </c>
      <c r="K1114" s="561" t="s">
        <v>9126</v>
      </c>
      <c r="L1114" s="564" t="s">
        <v>9130</v>
      </c>
      <c r="M1114" s="561"/>
      <c r="N1114" s="567">
        <v>44593</v>
      </c>
      <c r="O1114" s="561"/>
      <c r="P1114" s="638">
        <v>2100</v>
      </c>
      <c r="Q1114" s="720">
        <v>0</v>
      </c>
      <c r="R1114" s="639">
        <f t="shared" si="67"/>
        <v>0</v>
      </c>
      <c r="S1114" s="570">
        <v>202310</v>
      </c>
      <c r="T1114" s="571" t="s">
        <v>9131</v>
      </c>
      <c r="U1114" s="571"/>
      <c r="V1114" s="747">
        <v>0</v>
      </c>
      <c r="W1114" s="721"/>
      <c r="X1114" s="574">
        <v>44958</v>
      </c>
      <c r="Y1114" s="574">
        <v>45322</v>
      </c>
      <c r="Z1114" s="561" t="s">
        <v>9132</v>
      </c>
      <c r="AA1114" s="683">
        <v>0</v>
      </c>
      <c r="AB1114" s="582">
        <v>0</v>
      </c>
      <c r="AC1114" s="713">
        <f t="shared" si="65"/>
        <v>0</v>
      </c>
    </row>
    <row r="1115" spans="1:29" s="577" customFormat="1" ht="15" customHeight="1">
      <c r="A1115" s="561" t="s">
        <v>57</v>
      </c>
      <c r="B1115" s="562" t="s">
        <v>7101</v>
      </c>
      <c r="C1115" s="563" t="s">
        <v>84</v>
      </c>
      <c r="D1115" s="563" t="s">
        <v>8478</v>
      </c>
      <c r="E1115" s="561" t="s">
        <v>8414</v>
      </c>
      <c r="F1115" s="561" t="s">
        <v>9124</v>
      </c>
      <c r="G1115" s="561" t="s">
        <v>165</v>
      </c>
      <c r="H1115" s="564" t="s">
        <v>9125</v>
      </c>
      <c r="I1115" s="565" t="e">
        <f>VLOOKUP(H1115,'合同高级查询数据-10月新返回合同'!A:A,1,0)</f>
        <v>#N/A</v>
      </c>
      <c r="J1115" s="566" t="s">
        <v>8780</v>
      </c>
      <c r="K1115" s="561" t="s">
        <v>9133</v>
      </c>
      <c r="L1115" s="564" t="s">
        <v>9134</v>
      </c>
      <c r="M1115" s="561"/>
      <c r="N1115" s="567">
        <v>44593</v>
      </c>
      <c r="O1115" s="561"/>
      <c r="P1115" s="638">
        <v>3100</v>
      </c>
      <c r="Q1115" s="720">
        <v>563.45500000000004</v>
      </c>
      <c r="R1115" s="639">
        <f t="shared" si="67"/>
        <v>1746710.5</v>
      </c>
      <c r="S1115" s="570">
        <v>202310</v>
      </c>
      <c r="T1115" s="571" t="s">
        <v>9135</v>
      </c>
      <c r="U1115" s="571"/>
      <c r="V1115" s="747">
        <v>563.45411384399995</v>
      </c>
      <c r="W1115" s="721"/>
      <c r="X1115" s="574">
        <v>44958</v>
      </c>
      <c r="Y1115" s="574">
        <v>45322</v>
      </c>
      <c r="Z1115" s="561" t="s">
        <v>9136</v>
      </c>
      <c r="AA1115" s="683">
        <v>0</v>
      </c>
      <c r="AB1115" s="582">
        <v>0</v>
      </c>
      <c r="AC1115" s="713">
        <f t="shared" si="65"/>
        <v>0</v>
      </c>
    </row>
    <row r="1116" spans="1:29" s="385" customFormat="1" ht="15" customHeight="1">
      <c r="A1116" s="386" t="s">
        <v>57</v>
      </c>
      <c r="B1116" s="387" t="s">
        <v>7101</v>
      </c>
      <c r="C1116" s="388" t="s">
        <v>84</v>
      </c>
      <c r="D1116" s="388" t="s">
        <v>8478</v>
      </c>
      <c r="E1116" s="386" t="s">
        <v>8414</v>
      </c>
      <c r="F1116" s="386" t="s">
        <v>8415</v>
      </c>
      <c r="G1116" s="386" t="s">
        <v>165</v>
      </c>
      <c r="H1116" s="389" t="s">
        <v>9137</v>
      </c>
      <c r="I1116" s="369" t="e">
        <f>VLOOKUP(H1116,'合同高级查询数据-10月新返回合同'!A:A,1,0)</f>
        <v>#N/A</v>
      </c>
      <c r="J1116" s="390" t="s">
        <v>8805</v>
      </c>
      <c r="K1116" s="386" t="s">
        <v>9138</v>
      </c>
      <c r="L1116" s="389" t="s">
        <v>9139</v>
      </c>
      <c r="M1116" s="386"/>
      <c r="N1116" s="391">
        <v>44774</v>
      </c>
      <c r="O1116" s="386"/>
      <c r="P1116" s="446">
        <v>2400</v>
      </c>
      <c r="Q1116" s="540">
        <v>0</v>
      </c>
      <c r="R1116" s="447">
        <f t="shared" si="67"/>
        <v>0</v>
      </c>
      <c r="S1116" s="378">
        <v>202310</v>
      </c>
      <c r="T1116" s="394" t="s">
        <v>9140</v>
      </c>
      <c r="U1116" s="394"/>
      <c r="V1116" s="559">
        <v>0</v>
      </c>
      <c r="W1116" s="541"/>
      <c r="X1116" s="383"/>
      <c r="Y1116" s="383"/>
      <c r="Z1116" s="386" t="s">
        <v>9141</v>
      </c>
      <c r="AA1116" s="506">
        <v>0</v>
      </c>
      <c r="AB1116" s="410">
        <v>0</v>
      </c>
      <c r="AC1116" s="448">
        <f t="shared" si="65"/>
        <v>0</v>
      </c>
    </row>
    <row r="1117" spans="1:29" s="385" customFormat="1" ht="15" customHeight="1">
      <c r="A1117" s="386" t="s">
        <v>57</v>
      </c>
      <c r="B1117" s="387" t="s">
        <v>7101</v>
      </c>
      <c r="C1117" s="388" t="s">
        <v>84</v>
      </c>
      <c r="D1117" s="388" t="s">
        <v>8478</v>
      </c>
      <c r="E1117" s="386" t="s">
        <v>8414</v>
      </c>
      <c r="F1117" s="386" t="s">
        <v>8415</v>
      </c>
      <c r="G1117" s="386" t="s">
        <v>165</v>
      </c>
      <c r="H1117" s="389" t="s">
        <v>9137</v>
      </c>
      <c r="I1117" s="369" t="e">
        <f>VLOOKUP(H1117,'合同高级查询数据-10月新返回合同'!A:A,1,0)</f>
        <v>#N/A</v>
      </c>
      <c r="J1117" s="390" t="s">
        <v>8805</v>
      </c>
      <c r="K1117" s="386" t="s">
        <v>9142</v>
      </c>
      <c r="L1117" s="389" t="s">
        <v>9143</v>
      </c>
      <c r="M1117" s="386"/>
      <c r="N1117" s="391">
        <v>44774</v>
      </c>
      <c r="O1117" s="386"/>
      <c r="P1117" s="446">
        <v>3100</v>
      </c>
      <c r="Q1117" s="540">
        <v>0</v>
      </c>
      <c r="R1117" s="447">
        <f t="shared" si="67"/>
        <v>0</v>
      </c>
      <c r="S1117" s="378">
        <v>202310</v>
      </c>
      <c r="T1117" s="394" t="s">
        <v>9140</v>
      </c>
      <c r="U1117" s="394"/>
      <c r="V1117" s="559">
        <v>0</v>
      </c>
      <c r="W1117" s="541"/>
      <c r="X1117" s="383"/>
      <c r="Y1117" s="383"/>
      <c r="Z1117" s="386" t="s">
        <v>9144</v>
      </c>
      <c r="AA1117" s="506">
        <v>0</v>
      </c>
      <c r="AB1117" s="410">
        <v>0</v>
      </c>
      <c r="AC1117" s="448">
        <f t="shared" si="65"/>
        <v>0</v>
      </c>
    </row>
    <row r="1118" spans="1:29" s="577" customFormat="1" ht="15" customHeight="1">
      <c r="A1118" s="561" t="s">
        <v>57</v>
      </c>
      <c r="B1118" s="562" t="s">
        <v>7101</v>
      </c>
      <c r="C1118" s="563" t="s">
        <v>84</v>
      </c>
      <c r="D1118" s="563" t="s">
        <v>8478</v>
      </c>
      <c r="E1118" s="561" t="s">
        <v>8414</v>
      </c>
      <c r="F1118" s="561" t="s">
        <v>8415</v>
      </c>
      <c r="G1118" s="561" t="s">
        <v>165</v>
      </c>
      <c r="H1118" s="564" t="s">
        <v>9145</v>
      </c>
      <c r="I1118" s="565" t="e">
        <f>VLOOKUP(H1118,'合同高级查询数据-10月新返回合同'!A:A,1,0)</f>
        <v>#N/A</v>
      </c>
      <c r="J1118" s="566" t="s">
        <v>8780</v>
      </c>
      <c r="K1118" s="561" t="s">
        <v>9146</v>
      </c>
      <c r="L1118" s="564" t="s">
        <v>9147</v>
      </c>
      <c r="M1118" s="561"/>
      <c r="N1118" s="567">
        <v>45139</v>
      </c>
      <c r="O1118" s="561"/>
      <c r="P1118" s="638">
        <v>3000</v>
      </c>
      <c r="Q1118" s="720">
        <v>11.396000000000001</v>
      </c>
      <c r="R1118" s="639">
        <f t="shared" si="67"/>
        <v>34188</v>
      </c>
      <c r="S1118" s="570">
        <v>202310</v>
      </c>
      <c r="T1118" s="571" t="s">
        <v>9148</v>
      </c>
      <c r="U1118" s="571"/>
      <c r="V1118" s="747">
        <v>11.395486051000001</v>
      </c>
      <c r="W1118" s="721"/>
      <c r="X1118" s="574">
        <v>45139</v>
      </c>
      <c r="Y1118" s="574">
        <v>45504</v>
      </c>
      <c r="Z1118" s="561" t="s">
        <v>9149</v>
      </c>
      <c r="AA1118" s="683">
        <v>0</v>
      </c>
      <c r="AB1118" s="582">
        <v>0</v>
      </c>
      <c r="AC1118" s="713">
        <f t="shared" si="65"/>
        <v>0</v>
      </c>
    </row>
    <row r="1119" spans="1:29" s="577" customFormat="1" ht="15" customHeight="1">
      <c r="A1119" s="561" t="s">
        <v>57</v>
      </c>
      <c r="B1119" s="562" t="s">
        <v>7101</v>
      </c>
      <c r="C1119" s="563" t="s">
        <v>84</v>
      </c>
      <c r="D1119" s="563" t="s">
        <v>8478</v>
      </c>
      <c r="E1119" s="561" t="s">
        <v>8414</v>
      </c>
      <c r="F1119" s="561" t="s">
        <v>8415</v>
      </c>
      <c r="G1119" s="561" t="s">
        <v>165</v>
      </c>
      <c r="H1119" s="564" t="s">
        <v>9145</v>
      </c>
      <c r="I1119" s="565" t="e">
        <f>VLOOKUP(H1119,'合同高级查询数据-10月新返回合同'!A:A,1,0)</f>
        <v>#N/A</v>
      </c>
      <c r="J1119" s="566" t="s">
        <v>8780</v>
      </c>
      <c r="K1119" s="561" t="s">
        <v>9150</v>
      </c>
      <c r="L1119" s="564" t="s">
        <v>9151</v>
      </c>
      <c r="M1119" s="561"/>
      <c r="N1119" s="567">
        <v>45139</v>
      </c>
      <c r="O1119" s="561"/>
      <c r="P1119" s="638">
        <v>3700</v>
      </c>
      <c r="Q1119" s="720">
        <v>28.495000000000001</v>
      </c>
      <c r="R1119" s="639">
        <f t="shared" si="67"/>
        <v>105431.5</v>
      </c>
      <c r="S1119" s="570">
        <v>202310</v>
      </c>
      <c r="T1119" s="571" t="s">
        <v>9148</v>
      </c>
      <c r="U1119" s="571"/>
      <c r="V1119" s="747">
        <v>28.494657009000001</v>
      </c>
      <c r="W1119" s="721"/>
      <c r="X1119" s="574">
        <v>45139</v>
      </c>
      <c r="Y1119" s="574">
        <v>45504</v>
      </c>
      <c r="Z1119" s="561" t="s">
        <v>9152</v>
      </c>
      <c r="AA1119" s="683">
        <v>0</v>
      </c>
      <c r="AB1119" s="582">
        <v>0</v>
      </c>
      <c r="AC1119" s="713">
        <f t="shared" si="65"/>
        <v>0</v>
      </c>
    </row>
    <row r="1120" spans="1:29" s="577" customFormat="1" ht="15" customHeight="1">
      <c r="A1120" s="561" t="s">
        <v>57</v>
      </c>
      <c r="B1120" s="562" t="s">
        <v>7101</v>
      </c>
      <c r="C1120" s="563" t="s">
        <v>84</v>
      </c>
      <c r="D1120" s="563" t="s">
        <v>8478</v>
      </c>
      <c r="E1120" s="561" t="s">
        <v>9153</v>
      </c>
      <c r="F1120" s="561" t="s">
        <v>9154</v>
      </c>
      <c r="G1120" s="561" t="s">
        <v>165</v>
      </c>
      <c r="H1120" s="564" t="s">
        <v>9155</v>
      </c>
      <c r="I1120" s="565" t="e">
        <f>VLOOKUP(H1120,'合同高级查询数据-10月新返回合同'!A:A,1,0)</f>
        <v>#N/A</v>
      </c>
      <c r="J1120" s="566" t="s">
        <v>8780</v>
      </c>
      <c r="K1120" s="561" t="s">
        <v>9156</v>
      </c>
      <c r="L1120" s="564" t="s">
        <v>9157</v>
      </c>
      <c r="M1120" s="561"/>
      <c r="N1120" s="567">
        <v>44593</v>
      </c>
      <c r="O1120" s="561"/>
      <c r="P1120" s="638">
        <v>2300</v>
      </c>
      <c r="Q1120" s="720">
        <v>29.539000000000001</v>
      </c>
      <c r="R1120" s="639">
        <f t="shared" si="67"/>
        <v>67939.7</v>
      </c>
      <c r="S1120" s="570">
        <v>202310</v>
      </c>
      <c r="T1120" s="571" t="s">
        <v>9158</v>
      </c>
      <c r="U1120" s="571"/>
      <c r="V1120" s="747">
        <v>29.5385952</v>
      </c>
      <c r="W1120" s="721"/>
      <c r="X1120" s="574">
        <v>44958</v>
      </c>
      <c r="Y1120" s="574">
        <v>45322</v>
      </c>
      <c r="Z1120" s="561" t="s">
        <v>9159</v>
      </c>
      <c r="AA1120" s="683">
        <v>0</v>
      </c>
      <c r="AB1120" s="582">
        <v>0</v>
      </c>
      <c r="AC1120" s="713">
        <f t="shared" si="65"/>
        <v>0</v>
      </c>
    </row>
    <row r="1121" spans="1:29" s="577" customFormat="1" ht="15" customHeight="1">
      <c r="A1121" s="561" t="s">
        <v>57</v>
      </c>
      <c r="B1121" s="562" t="s">
        <v>7101</v>
      </c>
      <c r="C1121" s="563" t="s">
        <v>84</v>
      </c>
      <c r="D1121" s="563" t="s">
        <v>8478</v>
      </c>
      <c r="E1121" s="561" t="s">
        <v>9153</v>
      </c>
      <c r="F1121" s="561" t="s">
        <v>9154</v>
      </c>
      <c r="G1121" s="561" t="s">
        <v>165</v>
      </c>
      <c r="H1121" s="564" t="s">
        <v>9155</v>
      </c>
      <c r="I1121" s="565" t="e">
        <f>VLOOKUP(H1121,'合同高级查询数据-10月新返回合同'!A:A,1,0)</f>
        <v>#N/A</v>
      </c>
      <c r="J1121" s="566" t="s">
        <v>8780</v>
      </c>
      <c r="K1121" s="561" t="s">
        <v>9160</v>
      </c>
      <c r="L1121" s="564" t="s">
        <v>9161</v>
      </c>
      <c r="M1121" s="561"/>
      <c r="N1121" s="567">
        <v>44593</v>
      </c>
      <c r="O1121" s="561"/>
      <c r="P1121" s="638">
        <v>3300</v>
      </c>
      <c r="Q1121" s="720">
        <v>12.121</v>
      </c>
      <c r="R1121" s="639">
        <f t="shared" si="67"/>
        <v>39999.300000000003</v>
      </c>
      <c r="S1121" s="570">
        <v>202310</v>
      </c>
      <c r="T1121" s="571" t="s">
        <v>9158</v>
      </c>
      <c r="U1121" s="571"/>
      <c r="V1121" s="747">
        <v>12.120650291</v>
      </c>
      <c r="W1121" s="721"/>
      <c r="X1121" s="574">
        <v>44958</v>
      </c>
      <c r="Y1121" s="574">
        <v>45322</v>
      </c>
      <c r="Z1121" s="561" t="s">
        <v>9162</v>
      </c>
      <c r="AA1121" s="683">
        <v>0</v>
      </c>
      <c r="AB1121" s="582">
        <v>0</v>
      </c>
      <c r="AC1121" s="713">
        <f t="shared" si="65"/>
        <v>0</v>
      </c>
    </row>
    <row r="1122" spans="1:29" s="385" customFormat="1" ht="15" customHeight="1">
      <c r="A1122" s="386" t="s">
        <v>57</v>
      </c>
      <c r="B1122" s="387" t="s">
        <v>7101</v>
      </c>
      <c r="C1122" s="388" t="s">
        <v>84</v>
      </c>
      <c r="D1122" s="388" t="s">
        <v>8478</v>
      </c>
      <c r="E1122" s="386" t="s">
        <v>4486</v>
      </c>
      <c r="F1122" s="386" t="s">
        <v>4487</v>
      </c>
      <c r="G1122" s="386" t="s">
        <v>165</v>
      </c>
      <c r="H1122" s="386" t="s">
        <v>9163</v>
      </c>
      <c r="I1122" s="369" t="e">
        <f>VLOOKUP(H1122,'合同高级查询数据-10月新返回合同'!A:A,1,0)</f>
        <v>#N/A</v>
      </c>
      <c r="J1122" s="390" t="s">
        <v>8805</v>
      </c>
      <c r="K1122" s="386" t="s">
        <v>9164</v>
      </c>
      <c r="L1122" s="386" t="s">
        <v>9165</v>
      </c>
      <c r="M1122" s="386"/>
      <c r="N1122" s="383">
        <v>45139</v>
      </c>
      <c r="O1122" s="386"/>
      <c r="P1122" s="396">
        <v>3300</v>
      </c>
      <c r="Q1122" s="540">
        <v>9.3650000000000002</v>
      </c>
      <c r="R1122" s="447">
        <f t="shared" si="67"/>
        <v>30904.5</v>
      </c>
      <c r="S1122" s="378">
        <v>202310</v>
      </c>
      <c r="T1122" s="514" t="s">
        <v>9166</v>
      </c>
      <c r="U1122" s="547"/>
      <c r="V1122" s="559">
        <v>9.3646030430000007</v>
      </c>
      <c r="W1122" s="541"/>
      <c r="X1122" s="386"/>
      <c r="Y1122" s="386"/>
      <c r="Z1122" s="386" t="s">
        <v>9167</v>
      </c>
      <c r="AA1122" s="506">
        <v>0</v>
      </c>
      <c r="AB1122" s="410">
        <v>0</v>
      </c>
      <c r="AC1122" s="448">
        <f t="shared" si="65"/>
        <v>0</v>
      </c>
    </row>
    <row r="1123" spans="1:29" s="385" customFormat="1" ht="15" customHeight="1">
      <c r="A1123" s="386" t="s">
        <v>57</v>
      </c>
      <c r="B1123" s="387" t="s">
        <v>7101</v>
      </c>
      <c r="C1123" s="388" t="s">
        <v>84</v>
      </c>
      <c r="D1123" s="388" t="s">
        <v>8478</v>
      </c>
      <c r="E1123" s="386" t="s">
        <v>4486</v>
      </c>
      <c r="F1123" s="386" t="s">
        <v>4487</v>
      </c>
      <c r="G1123" s="386" t="s">
        <v>165</v>
      </c>
      <c r="H1123" s="386" t="s">
        <v>9163</v>
      </c>
      <c r="I1123" s="369" t="e">
        <f>VLOOKUP(H1123,'合同高级查询数据-10月新返回合同'!A:A,1,0)</f>
        <v>#N/A</v>
      </c>
      <c r="J1123" s="390" t="s">
        <v>8805</v>
      </c>
      <c r="K1123" s="386" t="s">
        <v>9164</v>
      </c>
      <c r="L1123" s="386" t="s">
        <v>9168</v>
      </c>
      <c r="M1123" s="386"/>
      <c r="N1123" s="383">
        <v>45139</v>
      </c>
      <c r="O1123" s="386"/>
      <c r="P1123" s="396">
        <v>2400</v>
      </c>
      <c r="Q1123" s="540">
        <v>157.678</v>
      </c>
      <c r="R1123" s="447">
        <f t="shared" si="67"/>
        <v>378427.2</v>
      </c>
      <c r="S1123" s="378">
        <v>202310</v>
      </c>
      <c r="T1123" s="514" t="s">
        <v>9166</v>
      </c>
      <c r="U1123" s="547"/>
      <c r="V1123" s="559">
        <v>157.677246094</v>
      </c>
      <c r="W1123" s="541"/>
      <c r="X1123" s="386"/>
      <c r="Y1123" s="386"/>
      <c r="Z1123" s="386" t="s">
        <v>9169</v>
      </c>
      <c r="AA1123" s="506">
        <v>0</v>
      </c>
      <c r="AB1123" s="410">
        <v>0</v>
      </c>
      <c r="AC1123" s="448">
        <f t="shared" si="65"/>
        <v>0</v>
      </c>
    </row>
    <row r="1124" spans="1:29" s="385" customFormat="1" ht="15" customHeight="1">
      <c r="A1124" s="386" t="s">
        <v>57</v>
      </c>
      <c r="B1124" s="387" t="s">
        <v>7101</v>
      </c>
      <c r="C1124" s="388" t="s">
        <v>84</v>
      </c>
      <c r="D1124" s="386" t="s">
        <v>7155</v>
      </c>
      <c r="E1124" s="386" t="s">
        <v>8466</v>
      </c>
      <c r="F1124" s="388" t="s">
        <v>8467</v>
      </c>
      <c r="G1124" s="388" t="s">
        <v>165</v>
      </c>
      <c r="H1124" s="386" t="s">
        <v>9170</v>
      </c>
      <c r="I1124" s="369" t="e">
        <f>VLOOKUP(H1124,'合同高级查询数据-10月新返回合同'!A:A,1,0)</f>
        <v>#N/A</v>
      </c>
      <c r="J1124" s="386" t="s">
        <v>3724</v>
      </c>
      <c r="K1124" s="386" t="s">
        <v>9171</v>
      </c>
      <c r="L1124" s="386" t="s">
        <v>9171</v>
      </c>
      <c r="M1124" s="386"/>
      <c r="N1124" s="383">
        <v>45139</v>
      </c>
      <c r="O1124" s="386"/>
      <c r="P1124" s="413">
        <v>4800</v>
      </c>
      <c r="Q1124" s="540">
        <v>16.937000000000001</v>
      </c>
      <c r="R1124" s="539">
        <f t="shared" si="67"/>
        <v>81297.600000000006</v>
      </c>
      <c r="S1124" s="378">
        <v>202310</v>
      </c>
      <c r="T1124" s="514"/>
      <c r="U1124" s="386"/>
      <c r="V1124" s="559">
        <v>16.936517715000001</v>
      </c>
      <c r="W1124" s="541"/>
      <c r="X1124" s="386"/>
      <c r="Y1124" s="386"/>
      <c r="Z1124" s="386" t="s">
        <v>9172</v>
      </c>
      <c r="AA1124" s="506">
        <v>0</v>
      </c>
      <c r="AB1124" s="410">
        <v>0</v>
      </c>
      <c r="AC1124" s="448">
        <f t="shared" si="65"/>
        <v>0</v>
      </c>
    </row>
    <row r="1027253" spans="1:29" s="294" customFormat="1" ht="15" customHeight="1">
      <c r="A1027253" s="285"/>
      <c r="B1027253" s="285"/>
      <c r="C1027253" s="285"/>
      <c r="D1027253" s="285"/>
      <c r="E1027253" s="285"/>
      <c r="F1027253" s="285"/>
      <c r="G1027253" s="285"/>
      <c r="H1027253" s="352"/>
      <c r="I1027253" s="352"/>
      <c r="J1027253" s="285"/>
      <c r="K1027253" s="285"/>
      <c r="L1027253" s="285"/>
      <c r="M1027253" s="285"/>
      <c r="N1027253" s="285"/>
      <c r="O1027253" s="285"/>
      <c r="P1027253" s="349"/>
      <c r="Q1027253" s="349"/>
      <c r="R1027253" s="349"/>
      <c r="S1027253" s="44"/>
      <c r="T1027253" s="298"/>
      <c r="U1027253" s="44"/>
      <c r="V1027253" s="357"/>
      <c r="W1027253" s="285"/>
      <c r="X1027253" s="358"/>
      <c r="Y1027253" s="358"/>
      <c r="Z1027253" s="359"/>
      <c r="AA1027253" s="350"/>
      <c r="AB1027253" s="350"/>
      <c r="AC1027253" s="350"/>
    </row>
    <row r="1027254" spans="1:29" s="294" customFormat="1" ht="15" customHeight="1">
      <c r="A1027254" s="285"/>
      <c r="B1027254" s="285"/>
      <c r="C1027254" s="285"/>
      <c r="D1027254" s="285"/>
      <c r="E1027254" s="285"/>
      <c r="F1027254" s="285"/>
      <c r="G1027254" s="285"/>
      <c r="H1027254" s="352"/>
      <c r="I1027254" s="352"/>
      <c r="J1027254" s="285"/>
      <c r="K1027254" s="285"/>
      <c r="L1027254" s="285"/>
      <c r="M1027254" s="285"/>
      <c r="N1027254" s="285"/>
      <c r="O1027254" s="285"/>
      <c r="P1027254" s="349"/>
      <c r="Q1027254" s="349"/>
      <c r="R1027254" s="349"/>
      <c r="S1027254" s="44"/>
      <c r="T1027254" s="298"/>
      <c r="U1027254" s="44"/>
      <c r="V1027254" s="357"/>
      <c r="W1027254" s="285"/>
      <c r="X1027254" s="358"/>
      <c r="Y1027254" s="358"/>
      <c r="Z1027254" s="360"/>
      <c r="AA1027254" s="350"/>
      <c r="AB1027254" s="350"/>
      <c r="AC1027254" s="350"/>
    </row>
    <row r="1027255" spans="1:29" s="294" customFormat="1" ht="15" customHeight="1">
      <c r="A1027255" s="285"/>
      <c r="B1027255" s="285"/>
      <c r="C1027255" s="285"/>
      <c r="D1027255" s="285"/>
      <c r="E1027255" s="285"/>
      <c r="F1027255" s="285"/>
      <c r="G1027255" s="285"/>
      <c r="H1027255" s="352"/>
      <c r="I1027255" s="352"/>
      <c r="J1027255" s="285"/>
      <c r="K1027255" s="285"/>
      <c r="L1027255" s="285"/>
      <c r="M1027255" s="285"/>
      <c r="N1027255" s="285"/>
      <c r="O1027255" s="285"/>
      <c r="P1027255" s="349"/>
      <c r="Q1027255" s="349"/>
      <c r="R1027255" s="349"/>
      <c r="S1027255" s="44"/>
      <c r="T1027255" s="298"/>
      <c r="U1027255" s="44"/>
      <c r="V1027255" s="357"/>
      <c r="W1027255" s="285"/>
      <c r="X1027255" s="358"/>
      <c r="Y1027255" s="358"/>
      <c r="Z1027255" s="360"/>
      <c r="AA1027255" s="350"/>
      <c r="AB1027255" s="350"/>
      <c r="AC1027255" s="350"/>
    </row>
    <row r="1027256" spans="1:29" s="294" customFormat="1" ht="15" customHeight="1">
      <c r="A1027256" s="285"/>
      <c r="B1027256" s="285"/>
      <c r="C1027256" s="285"/>
      <c r="D1027256" s="285"/>
      <c r="E1027256" s="285"/>
      <c r="F1027256" s="285"/>
      <c r="G1027256" s="285"/>
      <c r="H1027256" s="352"/>
      <c r="I1027256" s="352"/>
      <c r="J1027256" s="285"/>
      <c r="K1027256" s="285"/>
      <c r="L1027256" s="285"/>
      <c r="M1027256" s="285"/>
      <c r="N1027256" s="285"/>
      <c r="O1027256" s="285"/>
      <c r="P1027256" s="349"/>
      <c r="Q1027256" s="349"/>
      <c r="R1027256" s="349"/>
      <c r="S1027256" s="44"/>
      <c r="T1027256" s="298"/>
      <c r="U1027256" s="44"/>
      <c r="V1027256" s="357"/>
      <c r="W1027256" s="285"/>
      <c r="X1027256" s="358"/>
      <c r="Y1027256" s="358"/>
      <c r="Z1027256" s="360"/>
      <c r="AA1027256" s="350"/>
      <c r="AB1027256" s="350"/>
      <c r="AC1027256" s="350"/>
    </row>
    <row r="1027257" spans="1:29" s="294" customFormat="1" ht="15" customHeight="1">
      <c r="A1027257" s="285"/>
      <c r="B1027257" s="285"/>
      <c r="C1027257" s="285"/>
      <c r="D1027257" s="285"/>
      <c r="E1027257" s="285"/>
      <c r="F1027257" s="285"/>
      <c r="G1027257" s="285"/>
      <c r="H1027257" s="352"/>
      <c r="I1027257" s="352"/>
      <c r="J1027257" s="285"/>
      <c r="K1027257" s="285"/>
      <c r="L1027257" s="285"/>
      <c r="M1027257" s="285"/>
      <c r="N1027257" s="285"/>
      <c r="O1027257" s="285"/>
      <c r="P1027257" s="349"/>
      <c r="Q1027257" s="349"/>
      <c r="R1027257" s="349"/>
      <c r="S1027257" s="44"/>
      <c r="T1027257" s="298"/>
      <c r="U1027257" s="44"/>
      <c r="V1027257" s="357"/>
      <c r="W1027257" s="285"/>
      <c r="X1027257" s="358"/>
      <c r="Y1027257" s="358"/>
      <c r="Z1027257" s="360"/>
      <c r="AA1027257" s="350"/>
      <c r="AB1027257" s="350"/>
      <c r="AC1027257" s="350"/>
    </row>
    <row r="1027258" spans="1:29" s="294" customFormat="1" ht="15" customHeight="1">
      <c r="A1027258" s="285"/>
      <c r="B1027258" s="285"/>
      <c r="C1027258" s="285"/>
      <c r="D1027258" s="285"/>
      <c r="E1027258" s="285"/>
      <c r="F1027258" s="285"/>
      <c r="G1027258" s="285"/>
      <c r="H1027258" s="352"/>
      <c r="I1027258" s="352"/>
      <c r="J1027258" s="285"/>
      <c r="K1027258" s="285"/>
      <c r="L1027258" s="285"/>
      <c r="M1027258" s="285"/>
      <c r="N1027258" s="285"/>
      <c r="O1027258" s="285"/>
      <c r="P1027258" s="349"/>
      <c r="Q1027258" s="349"/>
      <c r="R1027258" s="349"/>
      <c r="S1027258" s="44"/>
      <c r="T1027258" s="298"/>
      <c r="U1027258" s="44"/>
      <c r="V1027258" s="357"/>
      <c r="W1027258" s="285"/>
      <c r="X1027258" s="358"/>
      <c r="Y1027258" s="358"/>
      <c r="Z1027258" s="360"/>
      <c r="AA1027258" s="350"/>
      <c r="AB1027258" s="350"/>
      <c r="AC1027258" s="350"/>
    </row>
    <row r="1027259" spans="1:29" s="294" customFormat="1" ht="15" customHeight="1">
      <c r="A1027259" s="285"/>
      <c r="B1027259" s="285"/>
      <c r="C1027259" s="285"/>
      <c r="D1027259" s="285"/>
      <c r="E1027259" s="285"/>
      <c r="F1027259" s="285"/>
      <c r="G1027259" s="285"/>
      <c r="H1027259" s="352"/>
      <c r="I1027259" s="352"/>
      <c r="J1027259" s="285"/>
      <c r="K1027259" s="285"/>
      <c r="L1027259" s="285"/>
      <c r="M1027259" s="285"/>
      <c r="N1027259" s="285"/>
      <c r="O1027259" s="285"/>
      <c r="P1027259" s="349"/>
      <c r="Q1027259" s="349"/>
      <c r="R1027259" s="349"/>
      <c r="S1027259" s="44"/>
      <c r="T1027259" s="298"/>
      <c r="U1027259" s="44"/>
      <c r="V1027259" s="357"/>
      <c r="W1027259" s="285"/>
      <c r="X1027259" s="358"/>
      <c r="Y1027259" s="358"/>
      <c r="Z1027259" s="360"/>
      <c r="AA1027259" s="350"/>
      <c r="AB1027259" s="350"/>
      <c r="AC1027259" s="350"/>
    </row>
    <row r="1027260" spans="1:29" s="294" customFormat="1" ht="15" customHeight="1">
      <c r="A1027260" s="285"/>
      <c r="B1027260" s="285"/>
      <c r="C1027260" s="285"/>
      <c r="D1027260" s="285"/>
      <c r="E1027260" s="285"/>
      <c r="F1027260" s="285"/>
      <c r="G1027260" s="285"/>
      <c r="H1027260" s="352"/>
      <c r="I1027260" s="352"/>
      <c r="J1027260" s="285"/>
      <c r="K1027260" s="285"/>
      <c r="L1027260" s="285"/>
      <c r="M1027260" s="285"/>
      <c r="N1027260" s="285"/>
      <c r="O1027260" s="285"/>
      <c r="P1027260" s="349"/>
      <c r="Q1027260" s="349"/>
      <c r="R1027260" s="349"/>
      <c r="S1027260" s="44"/>
      <c r="T1027260" s="298"/>
      <c r="U1027260" s="44"/>
      <c r="V1027260" s="357"/>
      <c r="W1027260" s="285"/>
      <c r="X1027260" s="358"/>
      <c r="Y1027260" s="358"/>
      <c r="Z1027260" s="360"/>
      <c r="AA1027260" s="350"/>
      <c r="AB1027260" s="350"/>
      <c r="AC1027260" s="350"/>
    </row>
    <row r="1027261" spans="1:29" s="294" customFormat="1" ht="15" customHeight="1">
      <c r="A1027261" s="285"/>
      <c r="B1027261" s="285"/>
      <c r="C1027261" s="285"/>
      <c r="D1027261" s="285"/>
      <c r="E1027261" s="285"/>
      <c r="F1027261" s="285"/>
      <c r="G1027261" s="285"/>
      <c r="H1027261" s="352"/>
      <c r="I1027261" s="352"/>
      <c r="J1027261" s="285"/>
      <c r="K1027261" s="285"/>
      <c r="L1027261" s="285"/>
      <c r="M1027261" s="285"/>
      <c r="N1027261" s="285"/>
      <c r="O1027261" s="285"/>
      <c r="P1027261" s="349"/>
      <c r="Q1027261" s="349"/>
      <c r="R1027261" s="349"/>
      <c r="S1027261" s="44"/>
      <c r="T1027261" s="298"/>
      <c r="U1027261" s="44"/>
      <c r="V1027261" s="357"/>
      <c r="W1027261" s="285"/>
      <c r="X1027261" s="358"/>
      <c r="Y1027261" s="358"/>
      <c r="Z1027261" s="360"/>
      <c r="AA1027261" s="350"/>
      <c r="AB1027261" s="350"/>
      <c r="AC1027261" s="350"/>
    </row>
    <row r="1027262" spans="1:29" s="294" customFormat="1" ht="15" customHeight="1">
      <c r="A1027262" s="285"/>
      <c r="B1027262" s="285"/>
      <c r="C1027262" s="285"/>
      <c r="D1027262" s="285"/>
      <c r="E1027262" s="285"/>
      <c r="F1027262" s="285"/>
      <c r="G1027262" s="285"/>
      <c r="H1027262" s="352"/>
      <c r="I1027262" s="352"/>
      <c r="J1027262" s="285"/>
      <c r="K1027262" s="285"/>
      <c r="L1027262" s="285"/>
      <c r="M1027262" s="285"/>
      <c r="N1027262" s="285"/>
      <c r="O1027262" s="285"/>
      <c r="P1027262" s="349"/>
      <c r="Q1027262" s="349"/>
      <c r="R1027262" s="349"/>
      <c r="S1027262" s="44"/>
      <c r="T1027262" s="298"/>
      <c r="U1027262" s="44"/>
      <c r="V1027262" s="357"/>
      <c r="W1027262" s="285"/>
      <c r="X1027262" s="358"/>
      <c r="Y1027262" s="358"/>
      <c r="Z1027262" s="360"/>
      <c r="AA1027262" s="350"/>
      <c r="AB1027262" s="350"/>
      <c r="AC1027262" s="350"/>
    </row>
    <row r="1027263" spans="1:29" s="294" customFormat="1" ht="15" customHeight="1">
      <c r="A1027263" s="285"/>
      <c r="B1027263" s="285"/>
      <c r="C1027263" s="285"/>
      <c r="D1027263" s="285"/>
      <c r="E1027263" s="285"/>
      <c r="F1027263" s="285"/>
      <c r="G1027263" s="285"/>
      <c r="H1027263" s="352"/>
      <c r="I1027263" s="352"/>
      <c r="J1027263" s="285"/>
      <c r="K1027263" s="285"/>
      <c r="L1027263" s="285"/>
      <c r="M1027263" s="285"/>
      <c r="N1027263" s="285"/>
      <c r="O1027263" s="285"/>
      <c r="P1027263" s="349"/>
      <c r="Q1027263" s="349"/>
      <c r="R1027263" s="349"/>
      <c r="S1027263" s="44"/>
      <c r="T1027263" s="298"/>
      <c r="U1027263" s="44"/>
      <c r="V1027263" s="357"/>
      <c r="W1027263" s="285"/>
      <c r="X1027263" s="358"/>
      <c r="Y1027263" s="358"/>
      <c r="Z1027263" s="360"/>
      <c r="AA1027263" s="350"/>
      <c r="AB1027263" s="350"/>
      <c r="AC1027263" s="350"/>
    </row>
    <row r="1027264" spans="1:29" s="294" customFormat="1" ht="15" customHeight="1">
      <c r="A1027264" s="285"/>
      <c r="B1027264" s="285"/>
      <c r="C1027264" s="285"/>
      <c r="D1027264" s="285"/>
      <c r="E1027264" s="285"/>
      <c r="F1027264" s="285"/>
      <c r="G1027264" s="285"/>
      <c r="H1027264" s="352"/>
      <c r="I1027264" s="352"/>
      <c r="J1027264" s="285"/>
      <c r="K1027264" s="285"/>
      <c r="L1027264" s="285"/>
      <c r="M1027264" s="285"/>
      <c r="N1027264" s="285"/>
      <c r="O1027264" s="285"/>
      <c r="P1027264" s="349"/>
      <c r="Q1027264" s="349"/>
      <c r="R1027264" s="349"/>
      <c r="S1027264" s="44"/>
      <c r="T1027264" s="298"/>
      <c r="U1027264" s="44"/>
      <c r="V1027264" s="357"/>
      <c r="W1027264" s="285"/>
      <c r="X1027264" s="358"/>
      <c r="Y1027264" s="358"/>
      <c r="Z1027264" s="360"/>
      <c r="AA1027264" s="350"/>
      <c r="AB1027264" s="350"/>
      <c r="AC1027264" s="350"/>
    </row>
    <row r="1027265" spans="1:29" s="294" customFormat="1" ht="15" customHeight="1">
      <c r="A1027265" s="285"/>
      <c r="B1027265" s="285"/>
      <c r="C1027265" s="285"/>
      <c r="D1027265" s="285"/>
      <c r="E1027265" s="285"/>
      <c r="F1027265" s="285"/>
      <c r="G1027265" s="285"/>
      <c r="H1027265" s="352"/>
      <c r="I1027265" s="352"/>
      <c r="J1027265" s="285"/>
      <c r="K1027265" s="285"/>
      <c r="L1027265" s="285"/>
      <c r="M1027265" s="285"/>
      <c r="N1027265" s="285"/>
      <c r="O1027265" s="285"/>
      <c r="P1027265" s="349"/>
      <c r="Q1027265" s="349"/>
      <c r="R1027265" s="349"/>
      <c r="S1027265" s="44"/>
      <c r="T1027265" s="298"/>
      <c r="U1027265" s="44"/>
      <c r="V1027265" s="357"/>
      <c r="W1027265" s="285"/>
      <c r="X1027265" s="358"/>
      <c r="Y1027265" s="358"/>
      <c r="Z1027265" s="360"/>
      <c r="AA1027265" s="350"/>
      <c r="AB1027265" s="350"/>
      <c r="AC1027265" s="350"/>
    </row>
    <row r="1027266" spans="1:29" s="294" customFormat="1" ht="15" customHeight="1">
      <c r="A1027266" s="285"/>
      <c r="B1027266" s="285"/>
      <c r="C1027266" s="285"/>
      <c r="D1027266" s="285"/>
      <c r="E1027266" s="285"/>
      <c r="F1027266" s="285"/>
      <c r="G1027266" s="285"/>
      <c r="H1027266" s="352"/>
      <c r="I1027266" s="352"/>
      <c r="J1027266" s="285"/>
      <c r="K1027266" s="285"/>
      <c r="L1027266" s="285"/>
      <c r="M1027266" s="285"/>
      <c r="N1027266" s="285"/>
      <c r="O1027266" s="285"/>
      <c r="P1027266" s="349"/>
      <c r="Q1027266" s="349"/>
      <c r="R1027266" s="349"/>
      <c r="S1027266" s="44"/>
      <c r="T1027266" s="298"/>
      <c r="U1027266" s="44"/>
      <c r="V1027266" s="357"/>
      <c r="W1027266" s="285"/>
      <c r="X1027266" s="358"/>
      <c r="Y1027266" s="358"/>
      <c r="Z1027266" s="360"/>
      <c r="AA1027266" s="350"/>
      <c r="AB1027266" s="350"/>
      <c r="AC1027266" s="350"/>
    </row>
    <row r="1027267" spans="1:29" s="294" customFormat="1" ht="15" customHeight="1">
      <c r="A1027267" s="285"/>
      <c r="B1027267" s="285"/>
      <c r="C1027267" s="285"/>
      <c r="D1027267" s="285"/>
      <c r="E1027267" s="285"/>
      <c r="F1027267" s="285"/>
      <c r="G1027267" s="285"/>
      <c r="H1027267" s="352"/>
      <c r="I1027267" s="352"/>
      <c r="J1027267" s="285"/>
      <c r="K1027267" s="285"/>
      <c r="L1027267" s="285"/>
      <c r="M1027267" s="285"/>
      <c r="N1027267" s="285"/>
      <c r="O1027267" s="285"/>
      <c r="P1027267" s="349"/>
      <c r="Q1027267" s="349"/>
      <c r="R1027267" s="349"/>
      <c r="S1027267" s="44"/>
      <c r="T1027267" s="298"/>
      <c r="U1027267" s="44"/>
      <c r="V1027267" s="357"/>
      <c r="W1027267" s="285"/>
      <c r="X1027267" s="358"/>
      <c r="Y1027267" s="358"/>
      <c r="Z1027267" s="361"/>
      <c r="AA1027267" s="350"/>
      <c r="AB1027267" s="350"/>
      <c r="AC1027267" s="350"/>
    </row>
    <row r="1027268" spans="1:29" s="294" customFormat="1" ht="15" customHeight="1">
      <c r="A1027268" s="285"/>
      <c r="B1027268" s="285"/>
      <c r="C1027268" s="285"/>
      <c r="D1027268" s="285"/>
      <c r="E1027268" s="285"/>
      <c r="F1027268" s="285"/>
      <c r="G1027268" s="285"/>
      <c r="H1027268" s="352"/>
      <c r="I1027268" s="352"/>
      <c r="J1027268" s="285"/>
      <c r="K1027268" s="285"/>
      <c r="L1027268" s="285"/>
      <c r="M1027268" s="285"/>
      <c r="N1027268" s="285"/>
      <c r="O1027268" s="285"/>
      <c r="P1027268" s="349"/>
      <c r="Q1027268" s="349"/>
      <c r="R1027268" s="349"/>
      <c r="S1027268" s="44"/>
      <c r="T1027268" s="298"/>
      <c r="U1027268" s="44"/>
      <c r="V1027268" s="357"/>
      <c r="W1027268" s="285"/>
      <c r="X1027268" s="358"/>
      <c r="Y1027268" s="358"/>
      <c r="Z1027268" s="360"/>
      <c r="AA1027268" s="350"/>
      <c r="AB1027268" s="350"/>
      <c r="AC1027268" s="350"/>
    </row>
    <row r="1027269" spans="1:29" s="294" customFormat="1" ht="15" customHeight="1">
      <c r="A1027269" s="285"/>
      <c r="B1027269" s="285"/>
      <c r="C1027269" s="285"/>
      <c r="D1027269" s="285"/>
      <c r="E1027269" s="285"/>
      <c r="F1027269" s="285"/>
      <c r="G1027269" s="285"/>
      <c r="H1027269" s="352"/>
      <c r="I1027269" s="352"/>
      <c r="J1027269" s="285"/>
      <c r="K1027269" s="285"/>
      <c r="L1027269" s="285"/>
      <c r="M1027269" s="285"/>
      <c r="N1027269" s="285"/>
      <c r="O1027269" s="285"/>
      <c r="P1027269" s="349"/>
      <c r="Q1027269" s="349"/>
      <c r="R1027269" s="349"/>
      <c r="S1027269" s="44"/>
      <c r="T1027269" s="298"/>
      <c r="U1027269" s="44"/>
      <c r="V1027269" s="357"/>
      <c r="W1027269" s="285"/>
      <c r="X1027269" s="358"/>
      <c r="Y1027269" s="358"/>
      <c r="Z1027269" s="360"/>
      <c r="AA1027269" s="350"/>
      <c r="AB1027269" s="350"/>
      <c r="AC1027269" s="350"/>
    </row>
    <row r="1027270" spans="1:29" s="294" customFormat="1" ht="15" customHeight="1">
      <c r="A1027270" s="285"/>
      <c r="B1027270" s="285"/>
      <c r="C1027270" s="285"/>
      <c r="D1027270" s="285"/>
      <c r="E1027270" s="285"/>
      <c r="F1027270" s="285"/>
      <c r="G1027270" s="285"/>
      <c r="H1027270" s="352"/>
      <c r="I1027270" s="352"/>
      <c r="J1027270" s="285"/>
      <c r="K1027270" s="285"/>
      <c r="L1027270" s="285"/>
      <c r="M1027270" s="285"/>
      <c r="N1027270" s="285"/>
      <c r="O1027270" s="285"/>
      <c r="P1027270" s="349"/>
      <c r="Q1027270" s="349"/>
      <c r="R1027270" s="349"/>
      <c r="S1027270" s="44"/>
      <c r="T1027270" s="298"/>
      <c r="U1027270" s="44"/>
      <c r="V1027270" s="357"/>
      <c r="W1027270" s="285"/>
      <c r="X1027270" s="358"/>
      <c r="Y1027270" s="358"/>
      <c r="Z1027270" s="360"/>
      <c r="AA1027270" s="350"/>
      <c r="AB1027270" s="350"/>
      <c r="AC1027270" s="350"/>
    </row>
    <row r="1027271" spans="1:29" s="294" customFormat="1" ht="15" customHeight="1">
      <c r="A1027271" s="285"/>
      <c r="B1027271" s="285"/>
      <c r="C1027271" s="285"/>
      <c r="D1027271" s="285"/>
      <c r="E1027271" s="285"/>
      <c r="F1027271" s="285"/>
      <c r="G1027271" s="285"/>
      <c r="H1027271" s="352"/>
      <c r="I1027271" s="352"/>
      <c r="J1027271" s="285"/>
      <c r="K1027271" s="285"/>
      <c r="L1027271" s="285"/>
      <c r="M1027271" s="285"/>
      <c r="N1027271" s="285"/>
      <c r="O1027271" s="285"/>
      <c r="P1027271" s="349"/>
      <c r="Q1027271" s="349"/>
      <c r="R1027271" s="349"/>
      <c r="S1027271" s="44"/>
      <c r="T1027271" s="298"/>
      <c r="U1027271" s="44"/>
      <c r="V1027271" s="357"/>
      <c r="W1027271" s="285"/>
      <c r="X1027271" s="358"/>
      <c r="Y1027271" s="358"/>
      <c r="Z1027271" s="360"/>
      <c r="AA1027271" s="350"/>
      <c r="AB1027271" s="350"/>
      <c r="AC1027271" s="350"/>
    </row>
    <row r="1027272" spans="1:29" s="294" customFormat="1" ht="15" customHeight="1">
      <c r="A1027272" s="285"/>
      <c r="B1027272" s="285"/>
      <c r="C1027272" s="285"/>
      <c r="D1027272" s="285"/>
      <c r="E1027272" s="285"/>
      <c r="F1027272" s="285"/>
      <c r="G1027272" s="285"/>
      <c r="H1027272" s="352"/>
      <c r="I1027272" s="352"/>
      <c r="J1027272" s="285"/>
      <c r="K1027272" s="285"/>
      <c r="L1027272" s="285"/>
      <c r="M1027272" s="285"/>
      <c r="N1027272" s="285"/>
      <c r="O1027272" s="285"/>
      <c r="P1027272" s="349"/>
      <c r="Q1027272" s="349"/>
      <c r="R1027272" s="349"/>
      <c r="S1027272" s="44"/>
      <c r="T1027272" s="298"/>
      <c r="U1027272" s="44"/>
      <c r="V1027272" s="357"/>
      <c r="W1027272" s="285"/>
      <c r="X1027272" s="358"/>
      <c r="Y1027272" s="358"/>
      <c r="Z1027272" s="360"/>
      <c r="AA1027272" s="350"/>
      <c r="AB1027272" s="350"/>
      <c r="AC1027272" s="350"/>
    </row>
    <row r="1027273" spans="1:29" s="294" customFormat="1" ht="15" customHeight="1">
      <c r="A1027273" s="285"/>
      <c r="B1027273" s="285"/>
      <c r="C1027273" s="285"/>
      <c r="D1027273" s="285"/>
      <c r="E1027273" s="285"/>
      <c r="F1027273" s="285"/>
      <c r="G1027273" s="285"/>
      <c r="H1027273" s="352"/>
      <c r="I1027273" s="352"/>
      <c r="J1027273" s="285"/>
      <c r="K1027273" s="285"/>
      <c r="L1027273" s="285"/>
      <c r="M1027273" s="285"/>
      <c r="N1027273" s="285"/>
      <c r="O1027273" s="285"/>
      <c r="P1027273" s="349"/>
      <c r="Q1027273" s="349"/>
      <c r="R1027273" s="349"/>
      <c r="S1027273" s="44"/>
      <c r="T1027273" s="298"/>
      <c r="U1027273" s="44"/>
      <c r="V1027273" s="357"/>
      <c r="W1027273" s="285"/>
      <c r="X1027273" s="358"/>
      <c r="Y1027273" s="358"/>
      <c r="Z1027273" s="360"/>
      <c r="AA1027273" s="350"/>
      <c r="AB1027273" s="350"/>
      <c r="AC1027273" s="350"/>
    </row>
    <row r="1027274" spans="1:29" s="294" customFormat="1" ht="15" customHeight="1">
      <c r="A1027274" s="285"/>
      <c r="B1027274" s="285"/>
      <c r="C1027274" s="285"/>
      <c r="D1027274" s="285"/>
      <c r="E1027274" s="285"/>
      <c r="F1027274" s="285"/>
      <c r="G1027274" s="285"/>
      <c r="H1027274" s="352"/>
      <c r="I1027274" s="352"/>
      <c r="J1027274" s="285"/>
      <c r="K1027274" s="285"/>
      <c r="L1027274" s="285"/>
      <c r="M1027274" s="285"/>
      <c r="N1027274" s="285"/>
      <c r="O1027274" s="285"/>
      <c r="P1027274" s="349"/>
      <c r="Q1027274" s="349"/>
      <c r="R1027274" s="349"/>
      <c r="S1027274" s="44"/>
      <c r="T1027274" s="298"/>
      <c r="U1027274" s="44"/>
      <c r="V1027274" s="357"/>
      <c r="W1027274" s="285"/>
      <c r="X1027274" s="358"/>
      <c r="Y1027274" s="358"/>
      <c r="Z1027274" s="360"/>
      <c r="AA1027274" s="350"/>
      <c r="AB1027274" s="350"/>
      <c r="AC1027274" s="350"/>
    </row>
    <row r="1027275" spans="1:29" s="294" customFormat="1" ht="15" customHeight="1">
      <c r="A1027275" s="285"/>
      <c r="B1027275" s="285"/>
      <c r="C1027275" s="285"/>
      <c r="D1027275" s="285"/>
      <c r="E1027275" s="285"/>
      <c r="F1027275" s="285"/>
      <c r="G1027275" s="285"/>
      <c r="H1027275" s="352"/>
      <c r="I1027275" s="352"/>
      <c r="J1027275" s="285"/>
      <c r="K1027275" s="285"/>
      <c r="L1027275" s="285"/>
      <c r="M1027275" s="285"/>
      <c r="N1027275" s="285"/>
      <c r="O1027275" s="285"/>
      <c r="P1027275" s="349"/>
      <c r="Q1027275" s="349"/>
      <c r="R1027275" s="349"/>
      <c r="S1027275" s="44"/>
      <c r="T1027275" s="298"/>
      <c r="U1027275" s="44"/>
      <c r="V1027275" s="357"/>
      <c r="W1027275" s="285"/>
      <c r="X1027275" s="358"/>
      <c r="Y1027275" s="358"/>
      <c r="Z1027275" s="360"/>
      <c r="AA1027275" s="350"/>
      <c r="AB1027275" s="350"/>
      <c r="AC1027275" s="350"/>
    </row>
    <row r="1027276" spans="1:29" s="294" customFormat="1" ht="15" customHeight="1">
      <c r="A1027276" s="285"/>
      <c r="B1027276" s="285"/>
      <c r="C1027276" s="285"/>
      <c r="D1027276" s="285"/>
      <c r="E1027276" s="285"/>
      <c r="F1027276" s="285"/>
      <c r="G1027276" s="285"/>
      <c r="H1027276" s="352"/>
      <c r="I1027276" s="352"/>
      <c r="J1027276" s="285"/>
      <c r="K1027276" s="285"/>
      <c r="L1027276" s="285"/>
      <c r="M1027276" s="285"/>
      <c r="N1027276" s="285"/>
      <c r="O1027276" s="285"/>
      <c r="P1027276" s="349"/>
      <c r="Q1027276" s="349"/>
      <c r="R1027276" s="349"/>
      <c r="S1027276" s="44"/>
      <c r="T1027276" s="298"/>
      <c r="U1027276" s="44"/>
      <c r="V1027276" s="357"/>
      <c r="W1027276" s="285"/>
      <c r="X1027276" s="358"/>
      <c r="Y1027276" s="358"/>
      <c r="Z1027276" s="360"/>
      <c r="AA1027276" s="350"/>
      <c r="AB1027276" s="350"/>
      <c r="AC1027276" s="350"/>
    </row>
    <row r="1027277" spans="1:29" s="294" customFormat="1" ht="15" customHeight="1">
      <c r="A1027277" s="285"/>
      <c r="B1027277" s="285"/>
      <c r="C1027277" s="285"/>
      <c r="D1027277" s="285"/>
      <c r="E1027277" s="285"/>
      <c r="F1027277" s="285"/>
      <c r="G1027277" s="285"/>
      <c r="H1027277" s="352"/>
      <c r="I1027277" s="352"/>
      <c r="J1027277" s="285"/>
      <c r="K1027277" s="285"/>
      <c r="L1027277" s="285"/>
      <c r="M1027277" s="285"/>
      <c r="N1027277" s="285"/>
      <c r="O1027277" s="285"/>
      <c r="P1027277" s="349"/>
      <c r="Q1027277" s="349"/>
      <c r="R1027277" s="349"/>
      <c r="S1027277" s="44"/>
      <c r="T1027277" s="298"/>
      <c r="U1027277" s="44"/>
      <c r="V1027277" s="357"/>
      <c r="W1027277" s="285"/>
      <c r="X1027277" s="358"/>
      <c r="Y1027277" s="358"/>
      <c r="Z1027277" s="360"/>
      <c r="AA1027277" s="350"/>
      <c r="AB1027277" s="350"/>
      <c r="AC1027277" s="350"/>
    </row>
    <row r="1027278" spans="1:29" s="294" customFormat="1" ht="15" customHeight="1">
      <c r="A1027278" s="285"/>
      <c r="B1027278" s="285"/>
      <c r="C1027278" s="285"/>
      <c r="D1027278" s="285"/>
      <c r="E1027278" s="285"/>
      <c r="F1027278" s="285"/>
      <c r="G1027278" s="285"/>
      <c r="H1027278" s="352"/>
      <c r="I1027278" s="352"/>
      <c r="J1027278" s="285"/>
      <c r="K1027278" s="285"/>
      <c r="L1027278" s="285"/>
      <c r="M1027278" s="285"/>
      <c r="N1027278" s="285"/>
      <c r="O1027278" s="285"/>
      <c r="P1027278" s="349"/>
      <c r="Q1027278" s="349"/>
      <c r="R1027278" s="349"/>
      <c r="S1027278" s="44"/>
      <c r="T1027278" s="298"/>
      <c r="U1027278" s="44"/>
      <c r="V1027278" s="357"/>
      <c r="W1027278" s="285"/>
      <c r="X1027278" s="358"/>
      <c r="Y1027278" s="358"/>
      <c r="Z1027278" s="360"/>
      <c r="AA1027278" s="350"/>
      <c r="AB1027278" s="350"/>
      <c r="AC1027278" s="350"/>
    </row>
    <row r="1027279" spans="1:29" s="294" customFormat="1" ht="15" customHeight="1">
      <c r="A1027279" s="285"/>
      <c r="B1027279" s="285"/>
      <c r="C1027279" s="285"/>
      <c r="D1027279" s="285"/>
      <c r="E1027279" s="285"/>
      <c r="F1027279" s="285"/>
      <c r="G1027279" s="285"/>
      <c r="H1027279" s="352"/>
      <c r="I1027279" s="352"/>
      <c r="J1027279" s="285"/>
      <c r="K1027279" s="285"/>
      <c r="L1027279" s="285"/>
      <c r="M1027279" s="285"/>
      <c r="N1027279" s="285"/>
      <c r="O1027279" s="285"/>
      <c r="P1027279" s="349"/>
      <c r="Q1027279" s="349"/>
      <c r="R1027279" s="349"/>
      <c r="S1027279" s="44"/>
      <c r="T1027279" s="298"/>
      <c r="U1027279" s="44"/>
      <c r="V1027279" s="357"/>
      <c r="W1027279" s="285"/>
      <c r="X1027279" s="358"/>
      <c r="Y1027279" s="358"/>
      <c r="Z1027279" s="360"/>
      <c r="AA1027279" s="350"/>
      <c r="AB1027279" s="350"/>
      <c r="AC1027279" s="350"/>
    </row>
    <row r="1027280" spans="1:29" s="294" customFormat="1" ht="15" customHeight="1">
      <c r="A1027280" s="285"/>
      <c r="B1027280" s="285"/>
      <c r="C1027280" s="285"/>
      <c r="D1027280" s="285"/>
      <c r="E1027280" s="285"/>
      <c r="F1027280" s="285"/>
      <c r="G1027280" s="285"/>
      <c r="H1027280" s="352"/>
      <c r="I1027280" s="352"/>
      <c r="J1027280" s="285"/>
      <c r="K1027280" s="285"/>
      <c r="L1027280" s="285"/>
      <c r="M1027280" s="285"/>
      <c r="N1027280" s="285"/>
      <c r="O1027280" s="285"/>
      <c r="P1027280" s="349"/>
      <c r="Q1027280" s="349"/>
      <c r="R1027280" s="349"/>
      <c r="S1027280" s="44"/>
      <c r="T1027280" s="298"/>
      <c r="U1027280" s="44"/>
      <c r="V1027280" s="357"/>
      <c r="W1027280" s="285"/>
      <c r="X1027280" s="358"/>
      <c r="Y1027280" s="358"/>
      <c r="Z1027280" s="360"/>
      <c r="AA1027280" s="350"/>
      <c r="AB1027280" s="350"/>
      <c r="AC1027280" s="350"/>
    </row>
    <row r="1027281" spans="1:29" s="294" customFormat="1" ht="15" customHeight="1">
      <c r="A1027281" s="285"/>
      <c r="B1027281" s="285"/>
      <c r="C1027281" s="285"/>
      <c r="D1027281" s="285"/>
      <c r="E1027281" s="285"/>
      <c r="F1027281" s="285"/>
      <c r="G1027281" s="285"/>
      <c r="H1027281" s="352"/>
      <c r="I1027281" s="352"/>
      <c r="J1027281" s="285"/>
      <c r="K1027281" s="285"/>
      <c r="L1027281" s="285"/>
      <c r="M1027281" s="285"/>
      <c r="N1027281" s="285"/>
      <c r="O1027281" s="285"/>
      <c r="P1027281" s="349"/>
      <c r="Q1027281" s="349"/>
      <c r="R1027281" s="349"/>
      <c r="S1027281" s="44"/>
      <c r="T1027281" s="298"/>
      <c r="U1027281" s="44"/>
      <c r="V1027281" s="357"/>
      <c r="W1027281" s="285"/>
      <c r="X1027281" s="358"/>
      <c r="Y1027281" s="358"/>
      <c r="Z1027281" s="360"/>
      <c r="AA1027281" s="350"/>
      <c r="AB1027281" s="350"/>
      <c r="AC1027281" s="350"/>
    </row>
    <row r="1027282" spans="1:29" s="294" customFormat="1" ht="15" customHeight="1">
      <c r="A1027282" s="285"/>
      <c r="B1027282" s="285"/>
      <c r="C1027282" s="285"/>
      <c r="D1027282" s="285"/>
      <c r="E1027282" s="285"/>
      <c r="F1027282" s="285"/>
      <c r="G1027282" s="285"/>
      <c r="H1027282" s="352"/>
      <c r="I1027282" s="352"/>
      <c r="J1027282" s="285"/>
      <c r="K1027282" s="285"/>
      <c r="L1027282" s="285"/>
      <c r="M1027282" s="285"/>
      <c r="N1027282" s="285"/>
      <c r="O1027282" s="285"/>
      <c r="P1027282" s="349"/>
      <c r="Q1027282" s="349"/>
      <c r="R1027282" s="349"/>
      <c r="S1027282" s="44"/>
      <c r="T1027282" s="298"/>
      <c r="U1027282" s="44"/>
      <c r="V1027282" s="357"/>
      <c r="W1027282" s="285"/>
      <c r="X1027282" s="358"/>
      <c r="Y1027282" s="358"/>
      <c r="Z1027282" s="360"/>
      <c r="AA1027282" s="350"/>
      <c r="AB1027282" s="350"/>
      <c r="AC1027282" s="350"/>
    </row>
    <row r="1027283" spans="1:29" s="294" customFormat="1" ht="15" customHeight="1">
      <c r="A1027283" s="285"/>
      <c r="B1027283" s="285"/>
      <c r="C1027283" s="285"/>
      <c r="D1027283" s="285"/>
      <c r="E1027283" s="285"/>
      <c r="F1027283" s="285"/>
      <c r="G1027283" s="285"/>
      <c r="H1027283" s="352"/>
      <c r="I1027283" s="352"/>
      <c r="J1027283" s="285"/>
      <c r="K1027283" s="285"/>
      <c r="L1027283" s="285"/>
      <c r="M1027283" s="285"/>
      <c r="N1027283" s="285"/>
      <c r="O1027283" s="285"/>
      <c r="P1027283" s="349"/>
      <c r="Q1027283" s="349"/>
      <c r="R1027283" s="349"/>
      <c r="S1027283" s="44"/>
      <c r="T1027283" s="298"/>
      <c r="U1027283" s="44"/>
      <c r="V1027283" s="357"/>
      <c r="W1027283" s="285"/>
      <c r="X1027283" s="358"/>
      <c r="Y1027283" s="358"/>
      <c r="Z1027283" s="360"/>
      <c r="AA1027283" s="350"/>
      <c r="AB1027283" s="350"/>
      <c r="AC1027283" s="350"/>
    </row>
    <row r="1027284" spans="1:29" s="294" customFormat="1" ht="15" customHeight="1">
      <c r="A1027284" s="285"/>
      <c r="B1027284" s="285"/>
      <c r="C1027284" s="285"/>
      <c r="D1027284" s="285"/>
      <c r="E1027284" s="285"/>
      <c r="F1027284" s="285"/>
      <c r="G1027284" s="285"/>
      <c r="H1027284" s="352"/>
      <c r="I1027284" s="352"/>
      <c r="J1027284" s="285"/>
      <c r="K1027284" s="285"/>
      <c r="L1027284" s="285"/>
      <c r="M1027284" s="285"/>
      <c r="N1027284" s="285"/>
      <c r="O1027284" s="285"/>
      <c r="P1027284" s="349"/>
      <c r="Q1027284" s="349"/>
      <c r="R1027284" s="349"/>
      <c r="S1027284" s="44"/>
      <c r="T1027284" s="298"/>
      <c r="U1027284" s="44"/>
      <c r="V1027284" s="357"/>
      <c r="W1027284" s="285"/>
      <c r="X1027284" s="358"/>
      <c r="Y1027284" s="358"/>
      <c r="Z1027284" s="360"/>
      <c r="AA1027284" s="350"/>
      <c r="AB1027284" s="350"/>
      <c r="AC1027284" s="350"/>
    </row>
    <row r="1027285" spans="1:29" s="294" customFormat="1" ht="15" customHeight="1">
      <c r="A1027285" s="285"/>
      <c r="B1027285" s="285"/>
      <c r="C1027285" s="285"/>
      <c r="D1027285" s="285"/>
      <c r="E1027285" s="285"/>
      <c r="F1027285" s="285"/>
      <c r="G1027285" s="285"/>
      <c r="H1027285" s="352"/>
      <c r="I1027285" s="352"/>
      <c r="J1027285" s="285"/>
      <c r="K1027285" s="285"/>
      <c r="L1027285" s="285"/>
      <c r="M1027285" s="285"/>
      <c r="N1027285" s="285"/>
      <c r="O1027285" s="285"/>
      <c r="P1027285" s="349"/>
      <c r="Q1027285" s="349"/>
      <c r="R1027285" s="349"/>
      <c r="S1027285" s="44"/>
      <c r="T1027285" s="298"/>
      <c r="U1027285" s="44"/>
      <c r="V1027285" s="357"/>
      <c r="W1027285" s="285"/>
      <c r="X1027285" s="358"/>
      <c r="Y1027285" s="358"/>
      <c r="Z1027285" s="360"/>
      <c r="AA1027285" s="350"/>
      <c r="AB1027285" s="350"/>
      <c r="AC1027285" s="350"/>
    </row>
    <row r="1027286" spans="1:29" s="294" customFormat="1" ht="15" customHeight="1">
      <c r="A1027286" s="285"/>
      <c r="B1027286" s="285"/>
      <c r="C1027286" s="285"/>
      <c r="D1027286" s="285"/>
      <c r="E1027286" s="285"/>
      <c r="F1027286" s="285"/>
      <c r="G1027286" s="285"/>
      <c r="H1027286" s="352"/>
      <c r="I1027286" s="352"/>
      <c r="J1027286" s="285"/>
      <c r="K1027286" s="285"/>
      <c r="L1027286" s="285"/>
      <c r="M1027286" s="285"/>
      <c r="N1027286" s="285"/>
      <c r="O1027286" s="285"/>
      <c r="P1027286" s="349"/>
      <c r="Q1027286" s="349"/>
      <c r="R1027286" s="349"/>
      <c r="S1027286" s="44"/>
      <c r="T1027286" s="298"/>
      <c r="U1027286" s="44"/>
      <c r="V1027286" s="357"/>
      <c r="W1027286" s="285"/>
      <c r="X1027286" s="358"/>
      <c r="Y1027286" s="358"/>
      <c r="Z1027286" s="360"/>
      <c r="AA1027286" s="350"/>
      <c r="AB1027286" s="350"/>
      <c r="AC1027286" s="350"/>
    </row>
    <row r="1027287" spans="1:29" s="294" customFormat="1" ht="15" customHeight="1">
      <c r="A1027287" s="285"/>
      <c r="B1027287" s="285"/>
      <c r="C1027287" s="285"/>
      <c r="D1027287" s="285"/>
      <c r="E1027287" s="285"/>
      <c r="F1027287" s="285"/>
      <c r="G1027287" s="285"/>
      <c r="H1027287" s="352"/>
      <c r="I1027287" s="352"/>
      <c r="J1027287" s="285"/>
      <c r="K1027287" s="285"/>
      <c r="L1027287" s="285"/>
      <c r="M1027287" s="285"/>
      <c r="N1027287" s="285"/>
      <c r="O1027287" s="285"/>
      <c r="P1027287" s="349"/>
      <c r="Q1027287" s="349"/>
      <c r="R1027287" s="349"/>
      <c r="S1027287" s="44"/>
      <c r="T1027287" s="298"/>
      <c r="U1027287" s="44"/>
      <c r="V1027287" s="357"/>
      <c r="W1027287" s="285"/>
      <c r="X1027287" s="358"/>
      <c r="Y1027287" s="358"/>
      <c r="Z1027287" s="360"/>
      <c r="AA1027287" s="350"/>
      <c r="AB1027287" s="350"/>
      <c r="AC1027287" s="350"/>
    </row>
    <row r="1027288" spans="1:29" s="294" customFormat="1" ht="15" customHeight="1">
      <c r="A1027288" s="285"/>
      <c r="B1027288" s="285"/>
      <c r="C1027288" s="285"/>
      <c r="D1027288" s="285"/>
      <c r="E1027288" s="285"/>
      <c r="F1027288" s="285"/>
      <c r="G1027288" s="285"/>
      <c r="H1027288" s="352"/>
      <c r="I1027288" s="352"/>
      <c r="J1027288" s="285"/>
      <c r="K1027288" s="285"/>
      <c r="L1027288" s="285"/>
      <c r="M1027288" s="285"/>
      <c r="N1027288" s="285"/>
      <c r="O1027288" s="285"/>
      <c r="P1027288" s="349"/>
      <c r="Q1027288" s="349"/>
      <c r="R1027288" s="349"/>
      <c r="S1027288" s="44"/>
      <c r="T1027288" s="298"/>
      <c r="U1027288" s="44"/>
      <c r="V1027288" s="357"/>
      <c r="W1027288" s="285"/>
      <c r="X1027288" s="358"/>
      <c r="Y1027288" s="358"/>
      <c r="Z1027288" s="360"/>
      <c r="AA1027288" s="350"/>
      <c r="AB1027288" s="350"/>
      <c r="AC1027288" s="350"/>
    </row>
    <row r="1027289" spans="1:29" s="294" customFormat="1" ht="15" customHeight="1">
      <c r="A1027289" s="285"/>
      <c r="B1027289" s="285"/>
      <c r="C1027289" s="285"/>
      <c r="D1027289" s="285"/>
      <c r="E1027289" s="285"/>
      <c r="F1027289" s="285"/>
      <c r="G1027289" s="285"/>
      <c r="H1027289" s="352"/>
      <c r="I1027289" s="352"/>
      <c r="J1027289" s="285"/>
      <c r="K1027289" s="285"/>
      <c r="L1027289" s="285"/>
      <c r="M1027289" s="285"/>
      <c r="N1027289" s="285"/>
      <c r="O1027289" s="285"/>
      <c r="P1027289" s="349"/>
      <c r="Q1027289" s="349"/>
      <c r="R1027289" s="349"/>
      <c r="S1027289" s="44"/>
      <c r="T1027289" s="298"/>
      <c r="U1027289" s="44"/>
      <c r="V1027289" s="357"/>
      <c r="W1027289" s="285"/>
      <c r="X1027289" s="358"/>
      <c r="Y1027289" s="358"/>
      <c r="Z1027289" s="360"/>
      <c r="AA1027289" s="350"/>
      <c r="AB1027289" s="350"/>
      <c r="AC1027289" s="350"/>
    </row>
    <row r="1027290" spans="1:29" s="294" customFormat="1" ht="15" customHeight="1">
      <c r="A1027290" s="285"/>
      <c r="B1027290" s="285"/>
      <c r="C1027290" s="285"/>
      <c r="D1027290" s="285"/>
      <c r="E1027290" s="285"/>
      <c r="F1027290" s="285"/>
      <c r="G1027290" s="285"/>
      <c r="H1027290" s="352"/>
      <c r="I1027290" s="352"/>
      <c r="J1027290" s="285"/>
      <c r="K1027290" s="285"/>
      <c r="L1027290" s="285"/>
      <c r="M1027290" s="285"/>
      <c r="N1027290" s="285"/>
      <c r="O1027290" s="285"/>
      <c r="P1027290" s="349"/>
      <c r="Q1027290" s="349"/>
      <c r="R1027290" s="349"/>
      <c r="S1027290" s="44"/>
      <c r="T1027290" s="298"/>
      <c r="U1027290" s="44"/>
      <c r="V1027290" s="357"/>
      <c r="W1027290" s="285"/>
      <c r="X1027290" s="358"/>
      <c r="Y1027290" s="358"/>
      <c r="Z1027290" s="360"/>
      <c r="AA1027290" s="350"/>
      <c r="AB1027290" s="350"/>
      <c r="AC1027290" s="350"/>
    </row>
    <row r="1027291" spans="1:29" s="294" customFormat="1" ht="15" customHeight="1">
      <c r="A1027291" s="285"/>
      <c r="B1027291" s="285"/>
      <c r="C1027291" s="285"/>
      <c r="D1027291" s="285"/>
      <c r="E1027291" s="285"/>
      <c r="F1027291" s="285"/>
      <c r="G1027291" s="285"/>
      <c r="H1027291" s="352"/>
      <c r="I1027291" s="352"/>
      <c r="J1027291" s="285"/>
      <c r="K1027291" s="285"/>
      <c r="L1027291" s="285"/>
      <c r="M1027291" s="285"/>
      <c r="N1027291" s="285"/>
      <c r="O1027291" s="285"/>
      <c r="P1027291" s="349"/>
      <c r="Q1027291" s="349"/>
      <c r="R1027291" s="349"/>
      <c r="S1027291" s="44"/>
      <c r="T1027291" s="298"/>
      <c r="U1027291" s="44"/>
      <c r="V1027291" s="357"/>
      <c r="W1027291" s="285"/>
      <c r="X1027291" s="358"/>
      <c r="Y1027291" s="358"/>
      <c r="Z1027291" s="360"/>
      <c r="AA1027291" s="350"/>
      <c r="AB1027291" s="350"/>
      <c r="AC1027291" s="350"/>
    </row>
    <row r="1027292" spans="1:29" s="294" customFormat="1" ht="15" customHeight="1">
      <c r="A1027292" s="285"/>
      <c r="B1027292" s="285"/>
      <c r="C1027292" s="285"/>
      <c r="D1027292" s="285"/>
      <c r="E1027292" s="285"/>
      <c r="F1027292" s="285"/>
      <c r="G1027292" s="285"/>
      <c r="H1027292" s="352"/>
      <c r="I1027292" s="352"/>
      <c r="J1027292" s="285"/>
      <c r="K1027292" s="285"/>
      <c r="L1027292" s="285"/>
      <c r="M1027292" s="285"/>
      <c r="N1027292" s="285"/>
      <c r="O1027292" s="285"/>
      <c r="P1027292" s="349"/>
      <c r="Q1027292" s="349"/>
      <c r="R1027292" s="349"/>
      <c r="S1027292" s="44"/>
      <c r="T1027292" s="298"/>
      <c r="U1027292" s="44"/>
      <c r="V1027292" s="357"/>
      <c r="W1027292" s="285"/>
      <c r="X1027292" s="358"/>
      <c r="Y1027292" s="358"/>
      <c r="Z1027292" s="360"/>
      <c r="AA1027292" s="350"/>
      <c r="AB1027292" s="350"/>
      <c r="AC1027292" s="350"/>
    </row>
    <row r="1027293" spans="1:29" s="294" customFormat="1" ht="15" customHeight="1">
      <c r="A1027293" s="285"/>
      <c r="B1027293" s="285"/>
      <c r="C1027293" s="285"/>
      <c r="D1027293" s="285"/>
      <c r="E1027293" s="285"/>
      <c r="F1027293" s="285"/>
      <c r="G1027293" s="285"/>
      <c r="H1027293" s="352"/>
      <c r="I1027293" s="352"/>
      <c r="J1027293" s="285"/>
      <c r="K1027293" s="285"/>
      <c r="L1027293" s="285"/>
      <c r="M1027293" s="285"/>
      <c r="N1027293" s="285"/>
      <c r="O1027293" s="285"/>
      <c r="P1027293" s="349"/>
      <c r="Q1027293" s="349"/>
      <c r="R1027293" s="349"/>
      <c r="S1027293" s="44"/>
      <c r="T1027293" s="298"/>
      <c r="U1027293" s="44"/>
      <c r="V1027293" s="357"/>
      <c r="W1027293" s="285"/>
      <c r="X1027293" s="358"/>
      <c r="Y1027293" s="358"/>
      <c r="Z1027293" s="360"/>
      <c r="AA1027293" s="350"/>
      <c r="AB1027293" s="350"/>
      <c r="AC1027293" s="350"/>
    </row>
    <row r="1027294" spans="1:29" s="294" customFormat="1" ht="15" customHeight="1">
      <c r="A1027294" s="285"/>
      <c r="B1027294" s="285"/>
      <c r="C1027294" s="285"/>
      <c r="D1027294" s="285"/>
      <c r="E1027294" s="285"/>
      <c r="F1027294" s="285"/>
      <c r="G1027294" s="285"/>
      <c r="H1027294" s="352"/>
      <c r="I1027294" s="352"/>
      <c r="J1027294" s="285"/>
      <c r="K1027294" s="285"/>
      <c r="L1027294" s="285"/>
      <c r="M1027294" s="285"/>
      <c r="N1027294" s="285"/>
      <c r="O1027294" s="285"/>
      <c r="P1027294" s="349"/>
      <c r="Q1027294" s="349"/>
      <c r="R1027294" s="349"/>
      <c r="S1027294" s="44"/>
      <c r="T1027294" s="298"/>
      <c r="U1027294" s="44"/>
      <c r="V1027294" s="357"/>
      <c r="W1027294" s="285"/>
      <c r="X1027294" s="358"/>
      <c r="Y1027294" s="358"/>
      <c r="Z1027294" s="360"/>
      <c r="AA1027294" s="350"/>
      <c r="AB1027294" s="350"/>
      <c r="AC1027294" s="350"/>
    </row>
    <row r="1027295" spans="1:29" s="294" customFormat="1" ht="15" customHeight="1">
      <c r="A1027295" s="285"/>
      <c r="B1027295" s="285"/>
      <c r="C1027295" s="285"/>
      <c r="D1027295" s="285"/>
      <c r="E1027295" s="285"/>
      <c r="F1027295" s="285"/>
      <c r="G1027295" s="285"/>
      <c r="H1027295" s="352"/>
      <c r="I1027295" s="352"/>
      <c r="J1027295" s="285"/>
      <c r="K1027295" s="285"/>
      <c r="L1027295" s="285"/>
      <c r="M1027295" s="285"/>
      <c r="N1027295" s="285"/>
      <c r="O1027295" s="285"/>
      <c r="P1027295" s="349"/>
      <c r="Q1027295" s="349"/>
      <c r="R1027295" s="349"/>
      <c r="S1027295" s="44"/>
      <c r="T1027295" s="298"/>
      <c r="U1027295" s="44"/>
      <c r="V1027295" s="357"/>
      <c r="W1027295" s="285"/>
      <c r="X1027295" s="358"/>
      <c r="Y1027295" s="358"/>
      <c r="Z1027295" s="360"/>
      <c r="AA1027295" s="350"/>
      <c r="AB1027295" s="350"/>
      <c r="AC1027295" s="350"/>
    </row>
    <row r="1027296" spans="1:29" s="294" customFormat="1" ht="15" customHeight="1">
      <c r="A1027296" s="285"/>
      <c r="B1027296" s="285"/>
      <c r="C1027296" s="285"/>
      <c r="D1027296" s="285"/>
      <c r="E1027296" s="285"/>
      <c r="F1027296" s="285"/>
      <c r="G1027296" s="285"/>
      <c r="H1027296" s="352"/>
      <c r="I1027296" s="352"/>
      <c r="J1027296" s="285"/>
      <c r="K1027296" s="285"/>
      <c r="L1027296" s="285"/>
      <c r="M1027296" s="285"/>
      <c r="N1027296" s="285"/>
      <c r="O1027296" s="285"/>
      <c r="P1027296" s="349"/>
      <c r="Q1027296" s="349"/>
      <c r="R1027296" s="349"/>
      <c r="S1027296" s="44"/>
      <c r="T1027296" s="298"/>
      <c r="U1027296" s="44"/>
      <c r="V1027296" s="357"/>
      <c r="W1027296" s="285"/>
      <c r="X1027296" s="358"/>
      <c r="Y1027296" s="358"/>
      <c r="Z1027296" s="360"/>
      <c r="AA1027296" s="350"/>
      <c r="AB1027296" s="350"/>
      <c r="AC1027296" s="350"/>
    </row>
    <row r="1027297" spans="1:29" s="294" customFormat="1" ht="15" customHeight="1">
      <c r="A1027297" s="285"/>
      <c r="B1027297" s="285"/>
      <c r="C1027297" s="285"/>
      <c r="D1027297" s="285"/>
      <c r="E1027297" s="285"/>
      <c r="F1027297" s="285"/>
      <c r="G1027297" s="285"/>
      <c r="H1027297" s="352"/>
      <c r="I1027297" s="352"/>
      <c r="J1027297" s="285"/>
      <c r="K1027297" s="285"/>
      <c r="L1027297" s="285"/>
      <c r="M1027297" s="285"/>
      <c r="N1027297" s="285"/>
      <c r="O1027297" s="285"/>
      <c r="P1027297" s="349"/>
      <c r="Q1027297" s="349"/>
      <c r="R1027297" s="349"/>
      <c r="S1027297" s="44"/>
      <c r="T1027297" s="298"/>
      <c r="U1027297" s="44"/>
      <c r="V1027297" s="357"/>
      <c r="W1027297" s="285"/>
      <c r="X1027297" s="358"/>
      <c r="Y1027297" s="358"/>
      <c r="Z1027297" s="360"/>
      <c r="AA1027297" s="350"/>
      <c r="AB1027297" s="350"/>
      <c r="AC1027297" s="350"/>
    </row>
    <row r="1027298" spans="1:29" s="294" customFormat="1" ht="15" customHeight="1">
      <c r="A1027298" s="285"/>
      <c r="B1027298" s="285"/>
      <c r="C1027298" s="285"/>
      <c r="D1027298" s="285"/>
      <c r="E1027298" s="285"/>
      <c r="F1027298" s="285"/>
      <c r="G1027298" s="285"/>
      <c r="H1027298" s="352"/>
      <c r="I1027298" s="352"/>
      <c r="J1027298" s="285"/>
      <c r="K1027298" s="285"/>
      <c r="L1027298" s="285"/>
      <c r="M1027298" s="285"/>
      <c r="N1027298" s="285"/>
      <c r="O1027298" s="285"/>
      <c r="P1027298" s="349"/>
      <c r="Q1027298" s="349"/>
      <c r="R1027298" s="349"/>
      <c r="S1027298" s="44"/>
      <c r="T1027298" s="298"/>
      <c r="U1027298" s="44"/>
      <c r="V1027298" s="357"/>
      <c r="W1027298" s="285"/>
      <c r="X1027298" s="358"/>
      <c r="Y1027298" s="358"/>
      <c r="Z1027298" s="360"/>
      <c r="AA1027298" s="350"/>
      <c r="AB1027298" s="350"/>
      <c r="AC1027298" s="350"/>
    </row>
    <row r="1027299" spans="1:29" s="294" customFormat="1" ht="15" customHeight="1">
      <c r="A1027299" s="285"/>
      <c r="B1027299" s="285"/>
      <c r="C1027299" s="285"/>
      <c r="D1027299" s="285"/>
      <c r="E1027299" s="285"/>
      <c r="F1027299" s="285"/>
      <c r="G1027299" s="285"/>
      <c r="H1027299" s="352"/>
      <c r="I1027299" s="352"/>
      <c r="J1027299" s="285"/>
      <c r="K1027299" s="285"/>
      <c r="L1027299" s="285"/>
      <c r="M1027299" s="285"/>
      <c r="N1027299" s="285"/>
      <c r="O1027299" s="285"/>
      <c r="P1027299" s="349"/>
      <c r="Q1027299" s="349"/>
      <c r="R1027299" s="349"/>
      <c r="S1027299" s="44"/>
      <c r="T1027299" s="298"/>
      <c r="U1027299" s="44"/>
      <c r="V1027299" s="357"/>
      <c r="W1027299" s="285"/>
      <c r="X1027299" s="358"/>
      <c r="Y1027299" s="358"/>
      <c r="Z1027299" s="360"/>
      <c r="AA1027299" s="350"/>
      <c r="AB1027299" s="350"/>
      <c r="AC1027299" s="350"/>
    </row>
    <row r="1027300" spans="1:29" s="294" customFormat="1" ht="15" customHeight="1">
      <c r="A1027300" s="285"/>
      <c r="B1027300" s="285"/>
      <c r="C1027300" s="285"/>
      <c r="D1027300" s="285"/>
      <c r="E1027300" s="285"/>
      <c r="F1027300" s="285"/>
      <c r="G1027300" s="285"/>
      <c r="H1027300" s="352"/>
      <c r="I1027300" s="352"/>
      <c r="J1027300" s="285"/>
      <c r="K1027300" s="285"/>
      <c r="L1027300" s="285"/>
      <c r="M1027300" s="285"/>
      <c r="N1027300" s="285"/>
      <c r="O1027300" s="285"/>
      <c r="P1027300" s="349"/>
      <c r="Q1027300" s="349"/>
      <c r="R1027300" s="349"/>
      <c r="S1027300" s="44"/>
      <c r="T1027300" s="298"/>
      <c r="U1027300" s="44"/>
      <c r="V1027300" s="357"/>
      <c r="W1027300" s="285"/>
      <c r="X1027300" s="358"/>
      <c r="Y1027300" s="358"/>
      <c r="Z1027300" s="360"/>
      <c r="AA1027300" s="350"/>
      <c r="AB1027300" s="350"/>
      <c r="AC1027300" s="350"/>
    </row>
    <row r="1027301" spans="1:29" s="294" customFormat="1" ht="15" customHeight="1">
      <c r="A1027301" s="285"/>
      <c r="B1027301" s="285"/>
      <c r="C1027301" s="285"/>
      <c r="D1027301" s="285"/>
      <c r="E1027301" s="285"/>
      <c r="F1027301" s="285"/>
      <c r="G1027301" s="285"/>
      <c r="H1027301" s="352"/>
      <c r="I1027301" s="352"/>
      <c r="J1027301" s="285"/>
      <c r="K1027301" s="285"/>
      <c r="L1027301" s="285"/>
      <c r="M1027301" s="285"/>
      <c r="N1027301" s="285"/>
      <c r="O1027301" s="285"/>
      <c r="P1027301" s="349"/>
      <c r="Q1027301" s="349"/>
      <c r="R1027301" s="349"/>
      <c r="S1027301" s="44"/>
      <c r="T1027301" s="298"/>
      <c r="U1027301" s="44"/>
      <c r="V1027301" s="357"/>
      <c r="W1027301" s="285"/>
      <c r="X1027301" s="358"/>
      <c r="Y1027301" s="358"/>
      <c r="Z1027301" s="360"/>
      <c r="AA1027301" s="350"/>
      <c r="AB1027301" s="350"/>
      <c r="AC1027301" s="350"/>
    </row>
    <row r="1027302" spans="1:29" s="294" customFormat="1" ht="15" customHeight="1">
      <c r="A1027302" s="285"/>
      <c r="B1027302" s="285"/>
      <c r="C1027302" s="285"/>
      <c r="D1027302" s="285"/>
      <c r="E1027302" s="285"/>
      <c r="F1027302" s="285"/>
      <c r="G1027302" s="285"/>
      <c r="H1027302" s="352"/>
      <c r="I1027302" s="352"/>
      <c r="J1027302" s="285"/>
      <c r="K1027302" s="285"/>
      <c r="L1027302" s="285"/>
      <c r="M1027302" s="285"/>
      <c r="N1027302" s="285"/>
      <c r="O1027302" s="285"/>
      <c r="P1027302" s="349"/>
      <c r="Q1027302" s="349"/>
      <c r="R1027302" s="349"/>
      <c r="S1027302" s="44"/>
      <c r="T1027302" s="298"/>
      <c r="U1027302" s="44"/>
      <c r="V1027302" s="357"/>
      <c r="W1027302" s="285"/>
      <c r="X1027302" s="358"/>
      <c r="Y1027302" s="358"/>
      <c r="Z1027302" s="360"/>
      <c r="AA1027302" s="350"/>
      <c r="AB1027302" s="350"/>
      <c r="AC1027302" s="350"/>
    </row>
    <row r="1027303" spans="1:29" s="294" customFormat="1" ht="15" customHeight="1">
      <c r="A1027303" s="285"/>
      <c r="B1027303" s="285"/>
      <c r="C1027303" s="285"/>
      <c r="D1027303" s="285"/>
      <c r="E1027303" s="285"/>
      <c r="F1027303" s="285"/>
      <c r="G1027303" s="285"/>
      <c r="H1027303" s="352"/>
      <c r="I1027303" s="352"/>
      <c r="J1027303" s="285"/>
      <c r="K1027303" s="285"/>
      <c r="L1027303" s="285"/>
      <c r="M1027303" s="285"/>
      <c r="N1027303" s="285"/>
      <c r="O1027303" s="285"/>
      <c r="P1027303" s="349"/>
      <c r="Q1027303" s="349"/>
      <c r="R1027303" s="349"/>
      <c r="S1027303" s="44"/>
      <c r="T1027303" s="298"/>
      <c r="U1027303" s="44"/>
      <c r="V1027303" s="357"/>
      <c r="W1027303" s="285"/>
      <c r="X1027303" s="358"/>
      <c r="Y1027303" s="358"/>
      <c r="Z1027303" s="360"/>
      <c r="AA1027303" s="350"/>
      <c r="AB1027303" s="350"/>
      <c r="AC1027303" s="350"/>
    </row>
    <row r="1027304" spans="1:29" s="294" customFormat="1" ht="15" customHeight="1">
      <c r="A1027304" s="285"/>
      <c r="B1027304" s="285"/>
      <c r="C1027304" s="285"/>
      <c r="D1027304" s="285"/>
      <c r="E1027304" s="285"/>
      <c r="F1027304" s="285"/>
      <c r="G1027304" s="285"/>
      <c r="H1027304" s="352"/>
      <c r="I1027304" s="352"/>
      <c r="J1027304" s="285"/>
      <c r="K1027304" s="285"/>
      <c r="L1027304" s="285"/>
      <c r="M1027304" s="285"/>
      <c r="N1027304" s="285"/>
      <c r="O1027304" s="285"/>
      <c r="P1027304" s="349"/>
      <c r="Q1027304" s="349"/>
      <c r="R1027304" s="349"/>
      <c r="S1027304" s="44"/>
      <c r="T1027304" s="298"/>
      <c r="U1027304" s="44"/>
      <c r="V1027304" s="357"/>
      <c r="W1027304" s="285"/>
      <c r="X1027304" s="358"/>
      <c r="Y1027304" s="358"/>
      <c r="Z1027304" s="360"/>
      <c r="AA1027304" s="350"/>
      <c r="AB1027304" s="350"/>
      <c r="AC1027304" s="350"/>
    </row>
    <row r="1027305" spans="1:29" s="294" customFormat="1" ht="15" customHeight="1">
      <c r="A1027305" s="285"/>
      <c r="B1027305" s="285"/>
      <c r="C1027305" s="285"/>
      <c r="D1027305" s="285"/>
      <c r="E1027305" s="285"/>
      <c r="F1027305" s="285"/>
      <c r="G1027305" s="285"/>
      <c r="H1027305" s="352"/>
      <c r="I1027305" s="352"/>
      <c r="J1027305" s="285"/>
      <c r="K1027305" s="285"/>
      <c r="L1027305" s="285"/>
      <c r="M1027305" s="285"/>
      <c r="N1027305" s="285"/>
      <c r="O1027305" s="285"/>
      <c r="P1027305" s="349"/>
      <c r="Q1027305" s="349"/>
      <c r="R1027305" s="349"/>
      <c r="S1027305" s="44"/>
      <c r="T1027305" s="298"/>
      <c r="U1027305" s="44"/>
      <c r="V1027305" s="357"/>
      <c r="W1027305" s="285"/>
      <c r="X1027305" s="358"/>
      <c r="Y1027305" s="358"/>
      <c r="Z1027305" s="360"/>
      <c r="AA1027305" s="350"/>
      <c r="AB1027305" s="350"/>
      <c r="AC1027305" s="350"/>
    </row>
    <row r="1027306" spans="1:29" s="294" customFormat="1" ht="15" customHeight="1">
      <c r="A1027306" s="285"/>
      <c r="B1027306" s="285"/>
      <c r="C1027306" s="285"/>
      <c r="D1027306" s="285"/>
      <c r="E1027306" s="285"/>
      <c r="F1027306" s="285"/>
      <c r="G1027306" s="285"/>
      <c r="H1027306" s="352"/>
      <c r="I1027306" s="352"/>
      <c r="J1027306" s="285"/>
      <c r="K1027306" s="285"/>
      <c r="L1027306" s="285"/>
      <c r="M1027306" s="285"/>
      <c r="N1027306" s="285"/>
      <c r="O1027306" s="285"/>
      <c r="P1027306" s="349"/>
      <c r="Q1027306" s="349"/>
      <c r="R1027306" s="349"/>
      <c r="S1027306" s="44"/>
      <c r="T1027306" s="298"/>
      <c r="U1027306" s="44"/>
      <c r="V1027306" s="357"/>
      <c r="W1027306" s="285"/>
      <c r="X1027306" s="358"/>
      <c r="Y1027306" s="358"/>
      <c r="Z1027306" s="360"/>
      <c r="AA1027306" s="350"/>
      <c r="AB1027306" s="350"/>
      <c r="AC1027306" s="350"/>
    </row>
    <row r="1027307" spans="1:29" s="294" customFormat="1" ht="15" customHeight="1">
      <c r="A1027307" s="285"/>
      <c r="B1027307" s="285"/>
      <c r="C1027307" s="285"/>
      <c r="D1027307" s="285"/>
      <c r="E1027307" s="285"/>
      <c r="F1027307" s="285"/>
      <c r="G1027307" s="285"/>
      <c r="H1027307" s="352"/>
      <c r="I1027307" s="352"/>
      <c r="J1027307" s="285"/>
      <c r="K1027307" s="285"/>
      <c r="L1027307" s="285"/>
      <c r="M1027307" s="285"/>
      <c r="N1027307" s="285"/>
      <c r="O1027307" s="285"/>
      <c r="P1027307" s="349"/>
      <c r="Q1027307" s="349"/>
      <c r="R1027307" s="349"/>
      <c r="S1027307" s="44"/>
      <c r="T1027307" s="298"/>
      <c r="U1027307" s="44"/>
      <c r="V1027307" s="357"/>
      <c r="W1027307" s="285"/>
      <c r="X1027307" s="358"/>
      <c r="Y1027307" s="358"/>
      <c r="Z1027307" s="360"/>
      <c r="AA1027307" s="350"/>
      <c r="AB1027307" s="350"/>
      <c r="AC1027307" s="350"/>
    </row>
    <row r="1027308" spans="1:29" s="294" customFormat="1" ht="15" customHeight="1">
      <c r="A1027308" s="285"/>
      <c r="B1027308" s="285"/>
      <c r="C1027308" s="285"/>
      <c r="D1027308" s="285"/>
      <c r="E1027308" s="285"/>
      <c r="F1027308" s="285"/>
      <c r="G1027308" s="285"/>
      <c r="H1027308" s="352"/>
      <c r="I1027308" s="352"/>
      <c r="J1027308" s="285"/>
      <c r="K1027308" s="285"/>
      <c r="L1027308" s="285"/>
      <c r="M1027308" s="285"/>
      <c r="N1027308" s="285"/>
      <c r="O1027308" s="285"/>
      <c r="P1027308" s="349"/>
      <c r="Q1027308" s="349"/>
      <c r="R1027308" s="349"/>
      <c r="S1027308" s="44"/>
      <c r="T1027308" s="298"/>
      <c r="U1027308" s="44"/>
      <c r="V1027308" s="357"/>
      <c r="W1027308" s="285"/>
      <c r="X1027308" s="358"/>
      <c r="Y1027308" s="358"/>
      <c r="Z1027308" s="360"/>
      <c r="AA1027308" s="350"/>
      <c r="AB1027308" s="350"/>
      <c r="AC1027308" s="350"/>
    </row>
    <row r="1027309" spans="1:29" s="294" customFormat="1" ht="15" customHeight="1">
      <c r="A1027309" s="285"/>
      <c r="B1027309" s="285"/>
      <c r="C1027309" s="285"/>
      <c r="D1027309" s="285"/>
      <c r="E1027309" s="285"/>
      <c r="F1027309" s="285"/>
      <c r="G1027309" s="285"/>
      <c r="H1027309" s="352"/>
      <c r="I1027309" s="352"/>
      <c r="J1027309" s="285"/>
      <c r="K1027309" s="285"/>
      <c r="L1027309" s="285"/>
      <c r="M1027309" s="285"/>
      <c r="N1027309" s="285"/>
      <c r="O1027309" s="285"/>
      <c r="P1027309" s="349"/>
      <c r="Q1027309" s="349"/>
      <c r="R1027309" s="349"/>
      <c r="S1027309" s="44"/>
      <c r="T1027309" s="298"/>
      <c r="U1027309" s="44"/>
      <c r="V1027309" s="357"/>
      <c r="W1027309" s="285"/>
      <c r="X1027309" s="358"/>
      <c r="Y1027309" s="358"/>
      <c r="Z1027309" s="360"/>
      <c r="AA1027309" s="350"/>
      <c r="AB1027309" s="350"/>
      <c r="AC1027309" s="350"/>
    </row>
    <row r="1027310" spans="1:29" s="294" customFormat="1" ht="15" customHeight="1">
      <c r="A1027310" s="285"/>
      <c r="B1027310" s="285"/>
      <c r="C1027310" s="285"/>
      <c r="D1027310" s="285"/>
      <c r="E1027310" s="285"/>
      <c r="F1027310" s="285"/>
      <c r="G1027310" s="285"/>
      <c r="H1027310" s="352"/>
      <c r="I1027310" s="352"/>
      <c r="J1027310" s="285"/>
      <c r="K1027310" s="285"/>
      <c r="L1027310" s="285"/>
      <c r="M1027310" s="285"/>
      <c r="N1027310" s="285"/>
      <c r="O1027310" s="285"/>
      <c r="P1027310" s="349"/>
      <c r="Q1027310" s="349"/>
      <c r="R1027310" s="349"/>
      <c r="S1027310" s="44"/>
      <c r="T1027310" s="298"/>
      <c r="U1027310" s="44"/>
      <c r="V1027310" s="357"/>
      <c r="W1027310" s="285"/>
      <c r="X1027310" s="358"/>
      <c r="Y1027310" s="358"/>
      <c r="Z1027310" s="360"/>
      <c r="AA1027310" s="350"/>
      <c r="AB1027310" s="350"/>
      <c r="AC1027310" s="350"/>
    </row>
    <row r="1027311" spans="1:29" s="294" customFormat="1" ht="15" customHeight="1">
      <c r="A1027311" s="285"/>
      <c r="B1027311" s="285"/>
      <c r="C1027311" s="285"/>
      <c r="D1027311" s="285"/>
      <c r="E1027311" s="285"/>
      <c r="F1027311" s="285"/>
      <c r="G1027311" s="285"/>
      <c r="H1027311" s="352"/>
      <c r="I1027311" s="352"/>
      <c r="J1027311" s="285"/>
      <c r="K1027311" s="285"/>
      <c r="L1027311" s="285"/>
      <c r="M1027311" s="285"/>
      <c r="N1027311" s="285"/>
      <c r="O1027311" s="285"/>
      <c r="P1027311" s="349"/>
      <c r="Q1027311" s="349"/>
      <c r="R1027311" s="349"/>
      <c r="S1027311" s="44"/>
      <c r="T1027311" s="298"/>
      <c r="U1027311" s="44"/>
      <c r="V1027311" s="357"/>
      <c r="W1027311" s="285"/>
      <c r="X1027311" s="358"/>
      <c r="Y1027311" s="358"/>
      <c r="Z1027311" s="360"/>
      <c r="AA1027311" s="350"/>
      <c r="AB1027311" s="350"/>
      <c r="AC1027311" s="350"/>
    </row>
    <row r="1027312" spans="1:29" s="294" customFormat="1" ht="15" customHeight="1">
      <c r="A1027312" s="285"/>
      <c r="B1027312" s="285"/>
      <c r="C1027312" s="285"/>
      <c r="D1027312" s="285"/>
      <c r="E1027312" s="285"/>
      <c r="F1027312" s="285"/>
      <c r="G1027312" s="285"/>
      <c r="H1027312" s="352"/>
      <c r="I1027312" s="352"/>
      <c r="J1027312" s="285"/>
      <c r="K1027312" s="285"/>
      <c r="L1027312" s="285"/>
      <c r="M1027312" s="285"/>
      <c r="N1027312" s="285"/>
      <c r="O1027312" s="285"/>
      <c r="P1027312" s="349"/>
      <c r="Q1027312" s="349"/>
      <c r="R1027312" s="349"/>
      <c r="S1027312" s="44"/>
      <c r="T1027312" s="298"/>
      <c r="U1027312" s="44"/>
      <c r="V1027312" s="357"/>
      <c r="W1027312" s="285"/>
      <c r="X1027312" s="358"/>
      <c r="Y1027312" s="358"/>
      <c r="Z1027312" s="360"/>
      <c r="AA1027312" s="350"/>
      <c r="AB1027312" s="350"/>
      <c r="AC1027312" s="350"/>
    </row>
    <row r="1027313" spans="1:29" s="294" customFormat="1" ht="15" customHeight="1">
      <c r="A1027313" s="285"/>
      <c r="B1027313" s="285"/>
      <c r="C1027313" s="285"/>
      <c r="D1027313" s="285"/>
      <c r="E1027313" s="285"/>
      <c r="F1027313" s="285"/>
      <c r="G1027313" s="285"/>
      <c r="H1027313" s="352"/>
      <c r="I1027313" s="352"/>
      <c r="J1027313" s="285"/>
      <c r="K1027313" s="285"/>
      <c r="L1027313" s="285"/>
      <c r="M1027313" s="285"/>
      <c r="N1027313" s="285"/>
      <c r="O1027313" s="285"/>
      <c r="P1027313" s="349"/>
      <c r="Q1027313" s="349"/>
      <c r="R1027313" s="349"/>
      <c r="S1027313" s="44"/>
      <c r="T1027313" s="298"/>
      <c r="U1027313" s="44"/>
      <c r="V1027313" s="357"/>
      <c r="W1027313" s="285"/>
      <c r="X1027313" s="358"/>
      <c r="Y1027313" s="358"/>
      <c r="Z1027313" s="360"/>
      <c r="AA1027313" s="350"/>
      <c r="AB1027313" s="350"/>
      <c r="AC1027313" s="350"/>
    </row>
    <row r="1027314" spans="1:29" s="294" customFormat="1" ht="15" customHeight="1">
      <c r="A1027314" s="285"/>
      <c r="B1027314" s="285"/>
      <c r="C1027314" s="285"/>
      <c r="D1027314" s="285"/>
      <c r="E1027314" s="285"/>
      <c r="F1027314" s="285"/>
      <c r="G1027314" s="285"/>
      <c r="H1027314" s="352"/>
      <c r="I1027314" s="352"/>
      <c r="J1027314" s="285"/>
      <c r="K1027314" s="285"/>
      <c r="L1027314" s="285"/>
      <c r="M1027314" s="285"/>
      <c r="N1027314" s="285"/>
      <c r="O1027314" s="285"/>
      <c r="P1027314" s="349"/>
      <c r="Q1027314" s="349"/>
      <c r="R1027314" s="349"/>
      <c r="S1027314" s="44"/>
      <c r="T1027314" s="298"/>
      <c r="U1027314" s="44"/>
      <c r="V1027314" s="357"/>
      <c r="W1027314" s="285"/>
      <c r="X1027314" s="358"/>
      <c r="Y1027314" s="358"/>
      <c r="Z1027314" s="360"/>
      <c r="AA1027314" s="350"/>
      <c r="AB1027314" s="350"/>
      <c r="AC1027314" s="350"/>
    </row>
    <row r="1027315" spans="1:29" s="294" customFormat="1" ht="15" customHeight="1">
      <c r="A1027315" s="285"/>
      <c r="B1027315" s="285"/>
      <c r="C1027315" s="285"/>
      <c r="D1027315" s="285"/>
      <c r="E1027315" s="285"/>
      <c r="F1027315" s="285"/>
      <c r="G1027315" s="285"/>
      <c r="H1027315" s="352"/>
      <c r="I1027315" s="352"/>
      <c r="J1027315" s="285"/>
      <c r="K1027315" s="285"/>
      <c r="L1027315" s="285"/>
      <c r="M1027315" s="285"/>
      <c r="N1027315" s="285"/>
      <c r="O1027315" s="285"/>
      <c r="P1027315" s="349"/>
      <c r="Q1027315" s="349"/>
      <c r="R1027315" s="349"/>
      <c r="S1027315" s="44"/>
      <c r="T1027315" s="298"/>
      <c r="U1027315" s="44"/>
      <c r="V1027315" s="357"/>
      <c r="W1027315" s="285"/>
      <c r="X1027315" s="358"/>
      <c r="Y1027315" s="358"/>
      <c r="Z1027315" s="360"/>
      <c r="AA1027315" s="350"/>
      <c r="AB1027315" s="350"/>
      <c r="AC1027315" s="350"/>
    </row>
    <row r="1027316" spans="1:29" s="294" customFormat="1" ht="15" customHeight="1">
      <c r="A1027316" s="285"/>
      <c r="B1027316" s="285"/>
      <c r="C1027316" s="285"/>
      <c r="D1027316" s="285"/>
      <c r="E1027316" s="285"/>
      <c r="F1027316" s="285"/>
      <c r="G1027316" s="285"/>
      <c r="H1027316" s="352"/>
      <c r="I1027316" s="352"/>
      <c r="J1027316" s="285"/>
      <c r="K1027316" s="285"/>
      <c r="L1027316" s="285"/>
      <c r="M1027316" s="285"/>
      <c r="N1027316" s="285"/>
      <c r="O1027316" s="285"/>
      <c r="P1027316" s="349"/>
      <c r="Q1027316" s="349"/>
      <c r="R1027316" s="349"/>
      <c r="S1027316" s="44"/>
      <c r="T1027316" s="298"/>
      <c r="U1027316" s="44"/>
      <c r="V1027316" s="357"/>
      <c r="W1027316" s="285"/>
      <c r="X1027316" s="358"/>
      <c r="Y1027316" s="358"/>
      <c r="Z1027316" s="360"/>
      <c r="AA1027316" s="350"/>
      <c r="AB1027316" s="350"/>
      <c r="AC1027316" s="350"/>
    </row>
    <row r="1027317" spans="1:29" s="294" customFormat="1" ht="15" customHeight="1">
      <c r="A1027317" s="285"/>
      <c r="B1027317" s="285"/>
      <c r="C1027317" s="285"/>
      <c r="D1027317" s="285"/>
      <c r="E1027317" s="285"/>
      <c r="F1027317" s="285"/>
      <c r="G1027317" s="285"/>
      <c r="H1027317" s="352"/>
      <c r="I1027317" s="352"/>
      <c r="J1027317" s="285"/>
      <c r="K1027317" s="285"/>
      <c r="L1027317" s="285"/>
      <c r="M1027317" s="285"/>
      <c r="N1027317" s="285"/>
      <c r="O1027317" s="285"/>
      <c r="P1027317" s="349"/>
      <c r="Q1027317" s="349"/>
      <c r="R1027317" s="349"/>
      <c r="S1027317" s="44"/>
      <c r="T1027317" s="298"/>
      <c r="U1027317" s="44"/>
      <c r="V1027317" s="357"/>
      <c r="W1027317" s="285"/>
      <c r="X1027317" s="358"/>
      <c r="Y1027317" s="358"/>
      <c r="Z1027317" s="360"/>
      <c r="AA1027317" s="350"/>
      <c r="AB1027317" s="350"/>
      <c r="AC1027317" s="350"/>
    </row>
    <row r="1027318" spans="1:29" s="294" customFormat="1" ht="15" customHeight="1">
      <c r="A1027318" s="285"/>
      <c r="B1027318" s="285"/>
      <c r="C1027318" s="285"/>
      <c r="D1027318" s="285"/>
      <c r="E1027318" s="285"/>
      <c r="F1027318" s="285"/>
      <c r="G1027318" s="285"/>
      <c r="H1027318" s="352"/>
      <c r="I1027318" s="352"/>
      <c r="J1027318" s="285"/>
      <c r="K1027318" s="285"/>
      <c r="L1027318" s="285"/>
      <c r="M1027318" s="285"/>
      <c r="N1027318" s="285"/>
      <c r="O1027318" s="285"/>
      <c r="P1027318" s="349"/>
      <c r="Q1027318" s="349"/>
      <c r="R1027318" s="349"/>
      <c r="S1027318" s="44"/>
      <c r="T1027318" s="298"/>
      <c r="U1027318" s="44"/>
      <c r="V1027318" s="357"/>
      <c r="W1027318" s="285"/>
      <c r="X1027318" s="358"/>
      <c r="Y1027318" s="358"/>
      <c r="Z1027318" s="360"/>
      <c r="AA1027318" s="350"/>
      <c r="AB1027318" s="350"/>
      <c r="AC1027318" s="350"/>
    </row>
    <row r="1027319" spans="1:29" s="294" customFormat="1" ht="15" customHeight="1">
      <c r="A1027319" s="285"/>
      <c r="B1027319" s="285"/>
      <c r="C1027319" s="285"/>
      <c r="D1027319" s="285"/>
      <c r="E1027319" s="285"/>
      <c r="F1027319" s="285"/>
      <c r="G1027319" s="285"/>
      <c r="H1027319" s="352"/>
      <c r="I1027319" s="352"/>
      <c r="J1027319" s="285"/>
      <c r="K1027319" s="285"/>
      <c r="L1027319" s="285"/>
      <c r="M1027319" s="285"/>
      <c r="N1027319" s="285"/>
      <c r="O1027319" s="285"/>
      <c r="P1027319" s="349"/>
      <c r="Q1027319" s="349"/>
      <c r="R1027319" s="349"/>
      <c r="S1027319" s="44"/>
      <c r="T1027319" s="298"/>
      <c r="U1027319" s="44"/>
      <c r="V1027319" s="357"/>
      <c r="W1027319" s="285"/>
      <c r="X1027319" s="358"/>
      <c r="Y1027319" s="358"/>
      <c r="Z1027319" s="360"/>
      <c r="AA1027319" s="350"/>
      <c r="AB1027319" s="350"/>
      <c r="AC1027319" s="350"/>
    </row>
    <row r="1027320" spans="1:29" s="294" customFormat="1" ht="15" customHeight="1">
      <c r="A1027320" s="285"/>
      <c r="B1027320" s="285"/>
      <c r="C1027320" s="285"/>
      <c r="D1027320" s="285"/>
      <c r="E1027320" s="285"/>
      <c r="F1027320" s="285"/>
      <c r="G1027320" s="285"/>
      <c r="H1027320" s="352"/>
      <c r="I1027320" s="352"/>
      <c r="J1027320" s="285"/>
      <c r="K1027320" s="285"/>
      <c r="L1027320" s="285"/>
      <c r="M1027320" s="285"/>
      <c r="N1027320" s="285"/>
      <c r="O1027320" s="285"/>
      <c r="P1027320" s="349"/>
      <c r="Q1027320" s="349"/>
      <c r="R1027320" s="349"/>
      <c r="S1027320" s="44"/>
      <c r="T1027320" s="298"/>
      <c r="U1027320" s="44"/>
      <c r="V1027320" s="357"/>
      <c r="W1027320" s="285"/>
      <c r="X1027320" s="358"/>
      <c r="Y1027320" s="358"/>
      <c r="Z1027320" s="360"/>
      <c r="AA1027320" s="350"/>
      <c r="AB1027320" s="350"/>
      <c r="AC1027320" s="350"/>
    </row>
    <row r="1027321" spans="1:29" s="294" customFormat="1" ht="15" customHeight="1">
      <c r="A1027321" s="285"/>
      <c r="B1027321" s="285"/>
      <c r="C1027321" s="285"/>
      <c r="D1027321" s="285"/>
      <c r="E1027321" s="285"/>
      <c r="F1027321" s="285"/>
      <c r="G1027321" s="285"/>
      <c r="H1027321" s="352"/>
      <c r="I1027321" s="352"/>
      <c r="J1027321" s="285"/>
      <c r="K1027321" s="285"/>
      <c r="L1027321" s="285"/>
      <c r="M1027321" s="285"/>
      <c r="N1027321" s="285"/>
      <c r="O1027321" s="285"/>
      <c r="P1027321" s="349"/>
      <c r="Q1027321" s="349"/>
      <c r="R1027321" s="349"/>
      <c r="S1027321" s="44"/>
      <c r="T1027321" s="298"/>
      <c r="U1027321" s="44"/>
      <c r="V1027321" s="357"/>
      <c r="W1027321" s="285"/>
      <c r="X1027321" s="358"/>
      <c r="Y1027321" s="358"/>
      <c r="Z1027321" s="360"/>
      <c r="AA1027321" s="350"/>
      <c r="AB1027321" s="350"/>
      <c r="AC1027321" s="350"/>
    </row>
    <row r="1027322" spans="1:29" s="294" customFormat="1" ht="15" customHeight="1">
      <c r="A1027322" s="285"/>
      <c r="B1027322" s="285"/>
      <c r="C1027322" s="285"/>
      <c r="D1027322" s="285"/>
      <c r="E1027322" s="285"/>
      <c r="F1027322" s="285"/>
      <c r="G1027322" s="285"/>
      <c r="H1027322" s="352"/>
      <c r="I1027322" s="352"/>
      <c r="J1027322" s="285"/>
      <c r="K1027322" s="285"/>
      <c r="L1027322" s="285"/>
      <c r="M1027322" s="285"/>
      <c r="N1027322" s="285"/>
      <c r="O1027322" s="285"/>
      <c r="P1027322" s="349"/>
      <c r="Q1027322" s="349"/>
      <c r="R1027322" s="349"/>
      <c r="S1027322" s="44"/>
      <c r="T1027322" s="298"/>
      <c r="U1027322" s="44"/>
      <c r="V1027322" s="357"/>
      <c r="W1027322" s="285"/>
      <c r="X1027322" s="358"/>
      <c r="Y1027322" s="358"/>
      <c r="Z1027322" s="360"/>
      <c r="AA1027322" s="350"/>
      <c r="AB1027322" s="350"/>
      <c r="AC1027322" s="350"/>
    </row>
    <row r="1027323" spans="1:29" s="294" customFormat="1" ht="15" customHeight="1">
      <c r="A1027323" s="285"/>
      <c r="B1027323" s="285"/>
      <c r="C1027323" s="285"/>
      <c r="D1027323" s="285"/>
      <c r="E1027323" s="285"/>
      <c r="F1027323" s="285"/>
      <c r="G1027323" s="285"/>
      <c r="H1027323" s="352"/>
      <c r="I1027323" s="352"/>
      <c r="J1027323" s="285"/>
      <c r="K1027323" s="285"/>
      <c r="L1027323" s="285"/>
      <c r="M1027323" s="285"/>
      <c r="N1027323" s="285"/>
      <c r="O1027323" s="285"/>
      <c r="P1027323" s="349"/>
      <c r="Q1027323" s="349"/>
      <c r="R1027323" s="349"/>
      <c r="S1027323" s="44"/>
      <c r="T1027323" s="298"/>
      <c r="U1027323" s="44"/>
      <c r="V1027323" s="357"/>
      <c r="W1027323" s="285"/>
      <c r="X1027323" s="358"/>
      <c r="Y1027323" s="358"/>
      <c r="Z1027323" s="360"/>
      <c r="AA1027323" s="350"/>
      <c r="AB1027323" s="350"/>
      <c r="AC1027323" s="350"/>
    </row>
    <row r="1027324" spans="1:29" s="294" customFormat="1" ht="15" customHeight="1">
      <c r="A1027324" s="285"/>
      <c r="B1027324" s="285"/>
      <c r="C1027324" s="285"/>
      <c r="D1027324" s="285"/>
      <c r="E1027324" s="285"/>
      <c r="F1027324" s="285"/>
      <c r="G1027324" s="285"/>
      <c r="H1027324" s="352"/>
      <c r="I1027324" s="352"/>
      <c r="J1027324" s="285"/>
      <c r="K1027324" s="285"/>
      <c r="L1027324" s="285"/>
      <c r="M1027324" s="285"/>
      <c r="N1027324" s="285"/>
      <c r="O1027324" s="285"/>
      <c r="P1027324" s="349"/>
      <c r="Q1027324" s="349"/>
      <c r="R1027324" s="349"/>
      <c r="S1027324" s="44"/>
      <c r="T1027324" s="298"/>
      <c r="U1027324" s="44"/>
      <c r="V1027324" s="357"/>
      <c r="W1027324" s="285"/>
      <c r="X1027324" s="358"/>
      <c r="Y1027324" s="358"/>
      <c r="Z1027324" s="360"/>
      <c r="AA1027324" s="350"/>
      <c r="AB1027324" s="350"/>
      <c r="AC1027324" s="350"/>
    </row>
    <row r="1027325" spans="1:29" s="294" customFormat="1" ht="15" customHeight="1">
      <c r="A1027325" s="285"/>
      <c r="B1027325" s="285"/>
      <c r="C1027325" s="285"/>
      <c r="D1027325" s="285"/>
      <c r="E1027325" s="285"/>
      <c r="F1027325" s="285"/>
      <c r="G1027325" s="285"/>
      <c r="H1027325" s="352"/>
      <c r="I1027325" s="352"/>
      <c r="J1027325" s="285"/>
      <c r="K1027325" s="285"/>
      <c r="L1027325" s="285"/>
      <c r="M1027325" s="285"/>
      <c r="N1027325" s="285"/>
      <c r="O1027325" s="285"/>
      <c r="P1027325" s="349"/>
      <c r="Q1027325" s="349"/>
      <c r="R1027325" s="349"/>
      <c r="S1027325" s="44"/>
      <c r="T1027325" s="298"/>
      <c r="U1027325" s="44"/>
      <c r="V1027325" s="357"/>
      <c r="W1027325" s="285"/>
      <c r="X1027325" s="358"/>
      <c r="Y1027325" s="358"/>
      <c r="Z1027325" s="360"/>
      <c r="AA1027325" s="350"/>
      <c r="AB1027325" s="350"/>
      <c r="AC1027325" s="350"/>
    </row>
    <row r="1027326" spans="1:29" s="294" customFormat="1" ht="15" customHeight="1">
      <c r="A1027326" s="285"/>
      <c r="B1027326" s="285"/>
      <c r="C1027326" s="285"/>
      <c r="D1027326" s="285"/>
      <c r="E1027326" s="285"/>
      <c r="F1027326" s="285"/>
      <c r="G1027326" s="285"/>
      <c r="H1027326" s="352"/>
      <c r="I1027326" s="352"/>
      <c r="J1027326" s="285"/>
      <c r="K1027326" s="285"/>
      <c r="L1027326" s="285"/>
      <c r="M1027326" s="285"/>
      <c r="N1027326" s="285"/>
      <c r="O1027326" s="285"/>
      <c r="P1027326" s="349"/>
      <c r="Q1027326" s="349"/>
      <c r="R1027326" s="349"/>
      <c r="S1027326" s="44"/>
      <c r="T1027326" s="298"/>
      <c r="U1027326" s="44"/>
      <c r="V1027326" s="357"/>
      <c r="W1027326" s="285"/>
      <c r="X1027326" s="358"/>
      <c r="Y1027326" s="358"/>
      <c r="Z1027326" s="360"/>
      <c r="AA1027326" s="350"/>
      <c r="AB1027326" s="350"/>
      <c r="AC1027326" s="350"/>
    </row>
    <row r="1027327" spans="1:29" s="294" customFormat="1" ht="15" customHeight="1">
      <c r="A1027327" s="285"/>
      <c r="B1027327" s="285"/>
      <c r="C1027327" s="285"/>
      <c r="D1027327" s="285"/>
      <c r="E1027327" s="285"/>
      <c r="F1027327" s="285"/>
      <c r="G1027327" s="285"/>
      <c r="H1027327" s="352"/>
      <c r="I1027327" s="352"/>
      <c r="J1027327" s="285"/>
      <c r="K1027327" s="285"/>
      <c r="L1027327" s="285"/>
      <c r="M1027327" s="285"/>
      <c r="N1027327" s="285"/>
      <c r="O1027327" s="285"/>
      <c r="P1027327" s="349"/>
      <c r="Q1027327" s="349"/>
      <c r="R1027327" s="349"/>
      <c r="S1027327" s="44"/>
      <c r="T1027327" s="298"/>
      <c r="U1027327" s="44"/>
      <c r="V1027327" s="357"/>
      <c r="W1027327" s="285"/>
      <c r="X1027327" s="358"/>
      <c r="Y1027327" s="358"/>
      <c r="Z1027327" s="360"/>
      <c r="AA1027327" s="350"/>
      <c r="AB1027327" s="350"/>
      <c r="AC1027327" s="350"/>
    </row>
    <row r="1027328" spans="1:29" s="294" customFormat="1" ht="15" customHeight="1">
      <c r="A1027328" s="285"/>
      <c r="B1027328" s="285"/>
      <c r="C1027328" s="285"/>
      <c r="D1027328" s="285"/>
      <c r="E1027328" s="285"/>
      <c r="F1027328" s="285"/>
      <c r="G1027328" s="285"/>
      <c r="H1027328" s="352"/>
      <c r="I1027328" s="352"/>
      <c r="J1027328" s="285"/>
      <c r="K1027328" s="285"/>
      <c r="L1027328" s="285"/>
      <c r="M1027328" s="285"/>
      <c r="N1027328" s="285"/>
      <c r="O1027328" s="285"/>
      <c r="P1027328" s="349"/>
      <c r="Q1027328" s="349"/>
      <c r="R1027328" s="349"/>
      <c r="S1027328" s="44"/>
      <c r="T1027328" s="298"/>
      <c r="U1027328" s="44"/>
      <c r="V1027328" s="357"/>
      <c r="W1027328" s="285"/>
      <c r="X1027328" s="358"/>
      <c r="Y1027328" s="358"/>
      <c r="Z1027328" s="360"/>
      <c r="AA1027328" s="350"/>
      <c r="AB1027328" s="350"/>
      <c r="AC1027328" s="350"/>
    </row>
    <row r="1027329" spans="1:29" s="294" customFormat="1" ht="15" customHeight="1">
      <c r="A1027329" s="285"/>
      <c r="B1027329" s="285"/>
      <c r="C1027329" s="285"/>
      <c r="D1027329" s="285"/>
      <c r="E1027329" s="285"/>
      <c r="F1027329" s="285"/>
      <c r="G1027329" s="285"/>
      <c r="H1027329" s="352"/>
      <c r="I1027329" s="352"/>
      <c r="J1027329" s="285"/>
      <c r="K1027329" s="285"/>
      <c r="L1027329" s="285"/>
      <c r="M1027329" s="285"/>
      <c r="N1027329" s="285"/>
      <c r="O1027329" s="285"/>
      <c r="P1027329" s="349"/>
      <c r="Q1027329" s="349"/>
      <c r="R1027329" s="349"/>
      <c r="S1027329" s="44"/>
      <c r="T1027329" s="298"/>
      <c r="U1027329" s="44"/>
      <c r="V1027329" s="357"/>
      <c r="W1027329" s="285"/>
      <c r="X1027329" s="358"/>
      <c r="Y1027329" s="358"/>
      <c r="Z1027329" s="360"/>
      <c r="AA1027329" s="350"/>
      <c r="AB1027329" s="350"/>
      <c r="AC1027329" s="350"/>
    </row>
    <row r="1027330" spans="1:29" s="294" customFormat="1" ht="15" customHeight="1">
      <c r="A1027330" s="285"/>
      <c r="B1027330" s="285"/>
      <c r="C1027330" s="285"/>
      <c r="D1027330" s="285"/>
      <c r="E1027330" s="285"/>
      <c r="F1027330" s="285"/>
      <c r="G1027330" s="285"/>
      <c r="H1027330" s="352"/>
      <c r="I1027330" s="352"/>
      <c r="J1027330" s="285"/>
      <c r="K1027330" s="285"/>
      <c r="L1027330" s="285"/>
      <c r="M1027330" s="285"/>
      <c r="N1027330" s="285"/>
      <c r="O1027330" s="285"/>
      <c r="P1027330" s="349"/>
      <c r="Q1027330" s="349"/>
      <c r="R1027330" s="349"/>
      <c r="S1027330" s="44"/>
      <c r="T1027330" s="298"/>
      <c r="U1027330" s="44"/>
      <c r="V1027330" s="357"/>
      <c r="W1027330" s="285"/>
      <c r="X1027330" s="358"/>
      <c r="Y1027330" s="358"/>
      <c r="Z1027330" s="360"/>
      <c r="AA1027330" s="350"/>
      <c r="AB1027330" s="350"/>
      <c r="AC1027330" s="350"/>
    </row>
    <row r="1027331" spans="1:29" s="294" customFormat="1" ht="15" customHeight="1">
      <c r="A1027331" s="285"/>
      <c r="B1027331" s="285"/>
      <c r="C1027331" s="285"/>
      <c r="D1027331" s="285"/>
      <c r="E1027331" s="285"/>
      <c r="F1027331" s="285"/>
      <c r="G1027331" s="285"/>
      <c r="H1027331" s="352"/>
      <c r="I1027331" s="352"/>
      <c r="J1027331" s="285"/>
      <c r="K1027331" s="285"/>
      <c r="L1027331" s="285"/>
      <c r="M1027331" s="285"/>
      <c r="N1027331" s="285"/>
      <c r="O1027331" s="285"/>
      <c r="P1027331" s="349"/>
      <c r="Q1027331" s="349"/>
      <c r="R1027331" s="349"/>
      <c r="S1027331" s="44"/>
      <c r="T1027331" s="298"/>
      <c r="U1027331" s="44"/>
      <c r="V1027331" s="357"/>
      <c r="W1027331" s="285"/>
      <c r="X1027331" s="358"/>
      <c r="Y1027331" s="358"/>
      <c r="Z1027331" s="360"/>
      <c r="AA1027331" s="350"/>
      <c r="AB1027331" s="350"/>
      <c r="AC1027331" s="350"/>
    </row>
    <row r="1027332" spans="1:29" s="294" customFormat="1" ht="15" customHeight="1">
      <c r="A1027332" s="285"/>
      <c r="B1027332" s="285"/>
      <c r="C1027332" s="285"/>
      <c r="D1027332" s="285"/>
      <c r="E1027332" s="285"/>
      <c r="F1027332" s="285"/>
      <c r="G1027332" s="285"/>
      <c r="H1027332" s="352"/>
      <c r="I1027332" s="352"/>
      <c r="J1027332" s="285"/>
      <c r="K1027332" s="285"/>
      <c r="L1027332" s="285"/>
      <c r="M1027332" s="285"/>
      <c r="N1027332" s="285"/>
      <c r="O1027332" s="285"/>
      <c r="P1027332" s="349"/>
      <c r="Q1027332" s="349"/>
      <c r="R1027332" s="349"/>
      <c r="S1027332" s="44"/>
      <c r="T1027332" s="298"/>
      <c r="U1027332" s="44"/>
      <c r="V1027332" s="357"/>
      <c r="W1027332" s="285"/>
      <c r="X1027332" s="358"/>
      <c r="Y1027332" s="358"/>
      <c r="Z1027332" s="360"/>
      <c r="AA1027332" s="350"/>
      <c r="AB1027332" s="350"/>
      <c r="AC1027332" s="350"/>
    </row>
    <row r="1027333" spans="1:29" s="294" customFormat="1" ht="15" customHeight="1">
      <c r="A1027333" s="285"/>
      <c r="B1027333" s="285"/>
      <c r="C1027333" s="285"/>
      <c r="D1027333" s="285"/>
      <c r="E1027333" s="285"/>
      <c r="F1027333" s="285"/>
      <c r="G1027333" s="285"/>
      <c r="H1027333" s="352"/>
      <c r="I1027333" s="352"/>
      <c r="J1027333" s="285"/>
      <c r="K1027333" s="285"/>
      <c r="L1027333" s="285"/>
      <c r="M1027333" s="285"/>
      <c r="N1027333" s="285"/>
      <c r="O1027333" s="285"/>
      <c r="P1027333" s="349"/>
      <c r="Q1027333" s="349"/>
      <c r="R1027333" s="349"/>
      <c r="S1027333" s="44"/>
      <c r="T1027333" s="298"/>
      <c r="U1027333" s="44"/>
      <c r="V1027333" s="357"/>
      <c r="W1027333" s="285"/>
      <c r="X1027333" s="358"/>
      <c r="Y1027333" s="358"/>
      <c r="Z1027333" s="360"/>
      <c r="AA1027333" s="350"/>
      <c r="AB1027333" s="350"/>
      <c r="AC1027333" s="350"/>
    </row>
    <row r="1027334" spans="1:29" s="294" customFormat="1" ht="15" customHeight="1">
      <c r="A1027334" s="285"/>
      <c r="B1027334" s="285"/>
      <c r="C1027334" s="285"/>
      <c r="D1027334" s="285"/>
      <c r="E1027334" s="285"/>
      <c r="F1027334" s="285"/>
      <c r="G1027334" s="285"/>
      <c r="H1027334" s="352"/>
      <c r="I1027334" s="352"/>
      <c r="J1027334" s="285"/>
      <c r="K1027334" s="285"/>
      <c r="L1027334" s="285"/>
      <c r="M1027334" s="285"/>
      <c r="N1027334" s="285"/>
      <c r="O1027334" s="285"/>
      <c r="P1027334" s="349"/>
      <c r="Q1027334" s="349"/>
      <c r="R1027334" s="349"/>
      <c r="S1027334" s="44"/>
      <c r="T1027334" s="298"/>
      <c r="U1027334" s="44"/>
      <c r="V1027334" s="357"/>
      <c r="W1027334" s="285"/>
      <c r="X1027334" s="358"/>
      <c r="Y1027334" s="358"/>
      <c r="Z1027334" s="360"/>
      <c r="AA1027334" s="350"/>
      <c r="AB1027334" s="350"/>
      <c r="AC1027334" s="350"/>
    </row>
    <row r="1027335" spans="1:29" s="294" customFormat="1" ht="15" customHeight="1">
      <c r="A1027335" s="285"/>
      <c r="B1027335" s="285"/>
      <c r="C1027335" s="285"/>
      <c r="D1027335" s="285"/>
      <c r="E1027335" s="285"/>
      <c r="F1027335" s="285"/>
      <c r="G1027335" s="285"/>
      <c r="H1027335" s="352"/>
      <c r="I1027335" s="352"/>
      <c r="J1027335" s="285"/>
      <c r="K1027335" s="285"/>
      <c r="L1027335" s="285"/>
      <c r="M1027335" s="285"/>
      <c r="N1027335" s="285"/>
      <c r="O1027335" s="285"/>
      <c r="P1027335" s="349"/>
      <c r="Q1027335" s="349"/>
      <c r="R1027335" s="349"/>
      <c r="S1027335" s="44"/>
      <c r="T1027335" s="298"/>
      <c r="U1027335" s="44"/>
      <c r="V1027335" s="357"/>
      <c r="W1027335" s="285"/>
      <c r="X1027335" s="358"/>
      <c r="Y1027335" s="358"/>
      <c r="Z1027335" s="360"/>
      <c r="AA1027335" s="350"/>
      <c r="AB1027335" s="350"/>
      <c r="AC1027335" s="350"/>
    </row>
    <row r="1027336" spans="1:29" s="294" customFormat="1" ht="15" customHeight="1">
      <c r="A1027336" s="285"/>
      <c r="B1027336" s="285"/>
      <c r="C1027336" s="285"/>
      <c r="D1027336" s="285"/>
      <c r="E1027336" s="285"/>
      <c r="F1027336" s="285"/>
      <c r="G1027336" s="285"/>
      <c r="H1027336" s="352"/>
      <c r="I1027336" s="352"/>
      <c r="J1027336" s="285"/>
      <c r="K1027336" s="285"/>
      <c r="L1027336" s="285"/>
      <c r="M1027336" s="285"/>
      <c r="N1027336" s="285"/>
      <c r="O1027336" s="285"/>
      <c r="P1027336" s="349"/>
      <c r="Q1027336" s="349"/>
      <c r="R1027336" s="349"/>
      <c r="S1027336" s="44"/>
      <c r="T1027336" s="298"/>
      <c r="U1027336" s="44"/>
      <c r="V1027336" s="357"/>
      <c r="W1027336" s="285"/>
      <c r="X1027336" s="358"/>
      <c r="Y1027336" s="358"/>
      <c r="Z1027336" s="360"/>
      <c r="AA1027336" s="350"/>
      <c r="AB1027336" s="350"/>
      <c r="AC1027336" s="350"/>
    </row>
    <row r="1027337" spans="1:29" s="294" customFormat="1" ht="15" customHeight="1">
      <c r="A1027337" s="285"/>
      <c r="B1027337" s="285"/>
      <c r="C1027337" s="285"/>
      <c r="D1027337" s="285"/>
      <c r="E1027337" s="285"/>
      <c r="F1027337" s="285"/>
      <c r="G1027337" s="285"/>
      <c r="H1027337" s="352"/>
      <c r="I1027337" s="352"/>
      <c r="J1027337" s="285"/>
      <c r="K1027337" s="285"/>
      <c r="L1027337" s="285"/>
      <c r="M1027337" s="285"/>
      <c r="N1027337" s="285"/>
      <c r="O1027337" s="285"/>
      <c r="P1027337" s="349"/>
      <c r="Q1027337" s="349"/>
      <c r="R1027337" s="349"/>
      <c r="S1027337" s="44"/>
      <c r="T1027337" s="298"/>
      <c r="U1027337" s="44"/>
      <c r="V1027337" s="357"/>
      <c r="W1027337" s="285"/>
      <c r="X1027337" s="358"/>
      <c r="Y1027337" s="358"/>
      <c r="Z1027337" s="360"/>
      <c r="AA1027337" s="350"/>
      <c r="AB1027337" s="350"/>
      <c r="AC1027337" s="350"/>
    </row>
    <row r="1027338" spans="1:29" s="294" customFormat="1" ht="15" customHeight="1">
      <c r="A1027338" s="285"/>
      <c r="B1027338" s="285"/>
      <c r="C1027338" s="285"/>
      <c r="D1027338" s="285"/>
      <c r="E1027338" s="285"/>
      <c r="F1027338" s="285"/>
      <c r="G1027338" s="285"/>
      <c r="H1027338" s="352"/>
      <c r="I1027338" s="352"/>
      <c r="J1027338" s="285"/>
      <c r="K1027338" s="285"/>
      <c r="L1027338" s="285"/>
      <c r="M1027338" s="285"/>
      <c r="N1027338" s="285"/>
      <c r="O1027338" s="285"/>
      <c r="P1027338" s="349"/>
      <c r="Q1027338" s="349"/>
      <c r="R1027338" s="349"/>
      <c r="S1027338" s="44"/>
      <c r="T1027338" s="298"/>
      <c r="U1027338" s="44"/>
      <c r="V1027338" s="357"/>
      <c r="W1027338" s="285"/>
      <c r="X1027338" s="358"/>
      <c r="Y1027338" s="358"/>
      <c r="Z1027338" s="360"/>
      <c r="AA1027338" s="350"/>
      <c r="AB1027338" s="350"/>
      <c r="AC1027338" s="350"/>
    </row>
    <row r="1027339" spans="1:29" s="294" customFormat="1" ht="15" customHeight="1">
      <c r="A1027339" s="285"/>
      <c r="B1027339" s="285"/>
      <c r="C1027339" s="285"/>
      <c r="D1027339" s="285"/>
      <c r="E1027339" s="285"/>
      <c r="F1027339" s="285"/>
      <c r="G1027339" s="285"/>
      <c r="H1027339" s="352"/>
      <c r="I1027339" s="352"/>
      <c r="J1027339" s="285"/>
      <c r="K1027339" s="285"/>
      <c r="L1027339" s="285"/>
      <c r="M1027339" s="285"/>
      <c r="N1027339" s="285"/>
      <c r="O1027339" s="285"/>
      <c r="P1027339" s="349"/>
      <c r="Q1027339" s="349"/>
      <c r="R1027339" s="349"/>
      <c r="S1027339" s="44"/>
      <c r="T1027339" s="298"/>
      <c r="U1027339" s="44"/>
      <c r="V1027339" s="357"/>
      <c r="W1027339" s="285"/>
      <c r="X1027339" s="358"/>
      <c r="Y1027339" s="358"/>
      <c r="Z1027339" s="360"/>
      <c r="AA1027339" s="350"/>
      <c r="AB1027339" s="350"/>
      <c r="AC1027339" s="350"/>
    </row>
    <row r="1027340" spans="1:29" s="294" customFormat="1" ht="15" customHeight="1">
      <c r="A1027340" s="285"/>
      <c r="B1027340" s="285"/>
      <c r="C1027340" s="285"/>
      <c r="D1027340" s="285"/>
      <c r="E1027340" s="285"/>
      <c r="F1027340" s="285"/>
      <c r="G1027340" s="285"/>
      <c r="H1027340" s="352"/>
      <c r="I1027340" s="352"/>
      <c r="J1027340" s="285"/>
      <c r="K1027340" s="285"/>
      <c r="L1027340" s="285"/>
      <c r="M1027340" s="285"/>
      <c r="N1027340" s="285"/>
      <c r="O1027340" s="285"/>
      <c r="P1027340" s="349"/>
      <c r="Q1027340" s="349"/>
      <c r="R1027340" s="349"/>
      <c r="S1027340" s="44"/>
      <c r="T1027340" s="298"/>
      <c r="U1027340" s="44"/>
      <c r="V1027340" s="357"/>
      <c r="W1027340" s="285"/>
      <c r="X1027340" s="358"/>
      <c r="Y1027340" s="358"/>
      <c r="Z1027340" s="360"/>
      <c r="AA1027340" s="350"/>
      <c r="AB1027340" s="350"/>
      <c r="AC1027340" s="350"/>
    </row>
    <row r="1027341" spans="1:29" s="294" customFormat="1" ht="15" customHeight="1">
      <c r="A1027341" s="285"/>
      <c r="B1027341" s="285"/>
      <c r="C1027341" s="285"/>
      <c r="D1027341" s="285"/>
      <c r="E1027341" s="285"/>
      <c r="F1027341" s="285"/>
      <c r="G1027341" s="285"/>
      <c r="H1027341" s="352"/>
      <c r="I1027341" s="352"/>
      <c r="J1027341" s="285"/>
      <c r="K1027341" s="285"/>
      <c r="L1027341" s="285"/>
      <c r="M1027341" s="285"/>
      <c r="N1027341" s="285"/>
      <c r="O1027341" s="285"/>
      <c r="P1027341" s="349"/>
      <c r="Q1027341" s="349"/>
      <c r="R1027341" s="349"/>
      <c r="S1027341" s="44"/>
      <c r="T1027341" s="298"/>
      <c r="U1027341" s="44"/>
      <c r="V1027341" s="357"/>
      <c r="W1027341" s="285"/>
      <c r="X1027341" s="358"/>
      <c r="Y1027341" s="358"/>
      <c r="Z1027341" s="360"/>
      <c r="AA1027341" s="350"/>
      <c r="AB1027341" s="350"/>
      <c r="AC1027341" s="350"/>
    </row>
    <row r="1027342" spans="1:29" s="294" customFormat="1" ht="15" customHeight="1">
      <c r="A1027342" s="285"/>
      <c r="B1027342" s="285"/>
      <c r="C1027342" s="285"/>
      <c r="D1027342" s="285"/>
      <c r="E1027342" s="285"/>
      <c r="F1027342" s="285"/>
      <c r="G1027342" s="285"/>
      <c r="H1027342" s="352"/>
      <c r="I1027342" s="352"/>
      <c r="J1027342" s="285"/>
      <c r="K1027342" s="285"/>
      <c r="L1027342" s="285"/>
      <c r="M1027342" s="285"/>
      <c r="N1027342" s="285"/>
      <c r="O1027342" s="285"/>
      <c r="P1027342" s="349"/>
      <c r="Q1027342" s="349"/>
      <c r="R1027342" s="349"/>
      <c r="S1027342" s="44"/>
      <c r="T1027342" s="298"/>
      <c r="U1027342" s="44"/>
      <c r="V1027342" s="357"/>
      <c r="W1027342" s="285"/>
      <c r="X1027342" s="358"/>
      <c r="Y1027342" s="358"/>
      <c r="Z1027342" s="360"/>
      <c r="AA1027342" s="350"/>
      <c r="AB1027342" s="350"/>
      <c r="AC1027342" s="350"/>
    </row>
    <row r="1027343" spans="1:29" s="294" customFormat="1" ht="15" customHeight="1">
      <c r="A1027343" s="285"/>
      <c r="B1027343" s="285"/>
      <c r="C1027343" s="285"/>
      <c r="D1027343" s="285"/>
      <c r="E1027343" s="285"/>
      <c r="F1027343" s="285"/>
      <c r="G1027343" s="285"/>
      <c r="H1027343" s="352"/>
      <c r="I1027343" s="352"/>
      <c r="J1027343" s="285"/>
      <c r="K1027343" s="285"/>
      <c r="L1027343" s="285"/>
      <c r="M1027343" s="285"/>
      <c r="N1027343" s="285"/>
      <c r="O1027343" s="285"/>
      <c r="P1027343" s="349"/>
      <c r="Q1027343" s="349"/>
      <c r="R1027343" s="349"/>
      <c r="S1027343" s="44"/>
      <c r="T1027343" s="298"/>
      <c r="U1027343" s="44"/>
      <c r="V1027343" s="357"/>
      <c r="W1027343" s="285"/>
      <c r="X1027343" s="358"/>
      <c r="Y1027343" s="358"/>
      <c r="Z1027343" s="360"/>
      <c r="AA1027343" s="350"/>
      <c r="AB1027343" s="350"/>
      <c r="AC1027343" s="350"/>
    </row>
    <row r="1027344" spans="1:29" s="294" customFormat="1" ht="15" customHeight="1">
      <c r="A1027344" s="285"/>
      <c r="B1027344" s="285"/>
      <c r="C1027344" s="285"/>
      <c r="D1027344" s="285"/>
      <c r="E1027344" s="285"/>
      <c r="F1027344" s="285"/>
      <c r="G1027344" s="285"/>
      <c r="H1027344" s="352"/>
      <c r="I1027344" s="352"/>
      <c r="J1027344" s="285"/>
      <c r="K1027344" s="285"/>
      <c r="L1027344" s="285"/>
      <c r="M1027344" s="285"/>
      <c r="N1027344" s="285"/>
      <c r="O1027344" s="285"/>
      <c r="P1027344" s="349"/>
      <c r="Q1027344" s="349"/>
      <c r="R1027344" s="349"/>
      <c r="S1027344" s="44"/>
      <c r="T1027344" s="298"/>
      <c r="U1027344" s="44"/>
      <c r="V1027344" s="357"/>
      <c r="W1027344" s="285"/>
      <c r="X1027344" s="358"/>
      <c r="Y1027344" s="358"/>
      <c r="Z1027344" s="360"/>
      <c r="AA1027344" s="350"/>
      <c r="AB1027344" s="350"/>
      <c r="AC1027344" s="350"/>
    </row>
    <row r="1027345" spans="1:29" s="294" customFormat="1" ht="15" customHeight="1">
      <c r="A1027345" s="285"/>
      <c r="B1027345" s="285"/>
      <c r="C1027345" s="285"/>
      <c r="D1027345" s="285"/>
      <c r="E1027345" s="285"/>
      <c r="F1027345" s="285"/>
      <c r="G1027345" s="285"/>
      <c r="H1027345" s="352"/>
      <c r="I1027345" s="352"/>
      <c r="J1027345" s="285"/>
      <c r="K1027345" s="285"/>
      <c r="L1027345" s="285"/>
      <c r="M1027345" s="285"/>
      <c r="N1027345" s="285"/>
      <c r="O1027345" s="285"/>
      <c r="P1027345" s="349"/>
      <c r="Q1027345" s="349"/>
      <c r="R1027345" s="349"/>
      <c r="S1027345" s="44"/>
      <c r="T1027345" s="298"/>
      <c r="U1027345" s="44"/>
      <c r="V1027345" s="357"/>
      <c r="W1027345" s="285"/>
      <c r="X1027345" s="358"/>
      <c r="Y1027345" s="358"/>
      <c r="Z1027345" s="360"/>
      <c r="AA1027345" s="350"/>
      <c r="AB1027345" s="350"/>
      <c r="AC1027345" s="350"/>
    </row>
    <row r="1027346" spans="1:29" s="294" customFormat="1" ht="15" customHeight="1">
      <c r="A1027346" s="285"/>
      <c r="B1027346" s="285"/>
      <c r="C1027346" s="285"/>
      <c r="D1027346" s="285"/>
      <c r="E1027346" s="285"/>
      <c r="F1027346" s="285"/>
      <c r="G1027346" s="285"/>
      <c r="H1027346" s="352"/>
      <c r="I1027346" s="352"/>
      <c r="J1027346" s="285"/>
      <c r="K1027346" s="285"/>
      <c r="L1027346" s="285"/>
      <c r="M1027346" s="285"/>
      <c r="N1027346" s="285"/>
      <c r="O1027346" s="285"/>
      <c r="P1027346" s="349"/>
      <c r="Q1027346" s="349"/>
      <c r="R1027346" s="349"/>
      <c r="S1027346" s="44"/>
      <c r="T1027346" s="298"/>
      <c r="U1027346" s="44"/>
      <c r="V1027346" s="357"/>
      <c r="W1027346" s="285"/>
      <c r="X1027346" s="358"/>
      <c r="Y1027346" s="358"/>
      <c r="Z1027346" s="360"/>
      <c r="AA1027346" s="350"/>
      <c r="AB1027346" s="350"/>
      <c r="AC1027346" s="350"/>
    </row>
    <row r="1027347" spans="1:29" s="294" customFormat="1" ht="15" customHeight="1">
      <c r="A1027347" s="285"/>
      <c r="B1027347" s="285"/>
      <c r="C1027347" s="285"/>
      <c r="D1027347" s="285"/>
      <c r="E1027347" s="285"/>
      <c r="F1027347" s="285"/>
      <c r="G1027347" s="285"/>
      <c r="H1027347" s="352"/>
      <c r="I1027347" s="352"/>
      <c r="J1027347" s="285"/>
      <c r="K1027347" s="285"/>
      <c r="L1027347" s="285"/>
      <c r="M1027347" s="285"/>
      <c r="N1027347" s="285"/>
      <c r="O1027347" s="285"/>
      <c r="P1027347" s="349"/>
      <c r="Q1027347" s="349"/>
      <c r="R1027347" s="349"/>
      <c r="S1027347" s="44"/>
      <c r="T1027347" s="298"/>
      <c r="U1027347" s="44"/>
      <c r="V1027347" s="357"/>
      <c r="W1027347" s="285"/>
      <c r="X1027347" s="358"/>
      <c r="Y1027347" s="358"/>
      <c r="Z1027347" s="360"/>
      <c r="AA1027347" s="350"/>
      <c r="AB1027347" s="350"/>
      <c r="AC1027347" s="350"/>
    </row>
    <row r="1027348" spans="1:29" s="294" customFormat="1" ht="15" customHeight="1">
      <c r="A1027348" s="285"/>
      <c r="B1027348" s="285"/>
      <c r="C1027348" s="285"/>
      <c r="D1027348" s="285"/>
      <c r="E1027348" s="285"/>
      <c r="F1027348" s="285"/>
      <c r="G1027348" s="285"/>
      <c r="H1027348" s="352"/>
      <c r="I1027348" s="352"/>
      <c r="J1027348" s="285"/>
      <c r="K1027348" s="285"/>
      <c r="L1027348" s="285"/>
      <c r="M1027348" s="285"/>
      <c r="N1027348" s="285"/>
      <c r="O1027348" s="285"/>
      <c r="P1027348" s="349"/>
      <c r="Q1027348" s="349"/>
      <c r="R1027348" s="349"/>
      <c r="S1027348" s="44"/>
      <c r="T1027348" s="298"/>
      <c r="U1027348" s="44"/>
      <c r="V1027348" s="357"/>
      <c r="W1027348" s="285"/>
      <c r="X1027348" s="358"/>
      <c r="Y1027348" s="358"/>
      <c r="Z1027348" s="360"/>
      <c r="AA1027348" s="350"/>
      <c r="AB1027348" s="350"/>
      <c r="AC1027348" s="350"/>
    </row>
    <row r="1027349" spans="1:29" s="294" customFormat="1" ht="15" customHeight="1">
      <c r="A1027349" s="285"/>
      <c r="B1027349" s="285"/>
      <c r="C1027349" s="285"/>
      <c r="D1027349" s="285"/>
      <c r="E1027349" s="285"/>
      <c r="F1027349" s="285"/>
      <c r="G1027349" s="285"/>
      <c r="H1027349" s="352"/>
      <c r="I1027349" s="352"/>
      <c r="J1027349" s="285"/>
      <c r="K1027349" s="285"/>
      <c r="L1027349" s="285"/>
      <c r="M1027349" s="285"/>
      <c r="N1027349" s="285"/>
      <c r="O1027349" s="285"/>
      <c r="P1027349" s="349"/>
      <c r="Q1027349" s="349"/>
      <c r="R1027349" s="349"/>
      <c r="S1027349" s="44"/>
      <c r="T1027349" s="298"/>
      <c r="U1027349" s="44"/>
      <c r="V1027349" s="357"/>
      <c r="W1027349" s="285"/>
      <c r="X1027349" s="358"/>
      <c r="Y1027349" s="358"/>
      <c r="Z1027349" s="360"/>
      <c r="AA1027349" s="350"/>
      <c r="AB1027349" s="350"/>
      <c r="AC1027349" s="350"/>
    </row>
    <row r="1027350" spans="1:29" s="294" customFormat="1" ht="15" customHeight="1">
      <c r="A1027350" s="285"/>
      <c r="B1027350" s="285"/>
      <c r="C1027350" s="285"/>
      <c r="D1027350" s="285"/>
      <c r="E1027350" s="285"/>
      <c r="F1027350" s="285"/>
      <c r="G1027350" s="285"/>
      <c r="H1027350" s="352"/>
      <c r="I1027350" s="352"/>
      <c r="J1027350" s="285"/>
      <c r="K1027350" s="285"/>
      <c r="L1027350" s="285"/>
      <c r="M1027350" s="285"/>
      <c r="N1027350" s="285"/>
      <c r="O1027350" s="285"/>
      <c r="P1027350" s="349"/>
      <c r="Q1027350" s="349"/>
      <c r="R1027350" s="349"/>
      <c r="S1027350" s="44"/>
      <c r="T1027350" s="298"/>
      <c r="U1027350" s="44"/>
      <c r="V1027350" s="357"/>
      <c r="W1027350" s="285"/>
      <c r="X1027350" s="358"/>
      <c r="Y1027350" s="358"/>
      <c r="Z1027350" s="360"/>
      <c r="AA1027350" s="350"/>
      <c r="AB1027350" s="350"/>
      <c r="AC1027350" s="350"/>
    </row>
    <row r="1027351" spans="1:29" s="294" customFormat="1" ht="15" customHeight="1">
      <c r="A1027351" s="285"/>
      <c r="B1027351" s="285"/>
      <c r="C1027351" s="285"/>
      <c r="D1027351" s="285"/>
      <c r="E1027351" s="285"/>
      <c r="F1027351" s="285"/>
      <c r="G1027351" s="285"/>
      <c r="H1027351" s="352"/>
      <c r="I1027351" s="352"/>
      <c r="J1027351" s="285"/>
      <c r="K1027351" s="285"/>
      <c r="L1027351" s="285"/>
      <c r="M1027351" s="285"/>
      <c r="N1027351" s="285"/>
      <c r="O1027351" s="285"/>
      <c r="P1027351" s="349"/>
      <c r="Q1027351" s="349"/>
      <c r="R1027351" s="349"/>
      <c r="S1027351" s="44"/>
      <c r="T1027351" s="298"/>
      <c r="U1027351" s="44"/>
      <c r="V1027351" s="357"/>
      <c r="W1027351" s="285"/>
      <c r="X1027351" s="358"/>
      <c r="Y1027351" s="358"/>
      <c r="Z1027351" s="360"/>
      <c r="AA1027351" s="350"/>
      <c r="AB1027351" s="350"/>
      <c r="AC1027351" s="350"/>
    </row>
    <row r="1027352" spans="1:29" s="294" customFormat="1" ht="15" customHeight="1">
      <c r="A1027352" s="285"/>
      <c r="B1027352" s="285"/>
      <c r="C1027352" s="285"/>
      <c r="D1027352" s="285"/>
      <c r="E1027352" s="285"/>
      <c r="F1027352" s="285"/>
      <c r="G1027352" s="285"/>
      <c r="H1027352" s="352"/>
      <c r="I1027352" s="352"/>
      <c r="J1027352" s="285"/>
      <c r="K1027352" s="285"/>
      <c r="L1027352" s="285"/>
      <c r="M1027352" s="285"/>
      <c r="N1027352" s="285"/>
      <c r="O1027352" s="285"/>
      <c r="P1027352" s="349"/>
      <c r="Q1027352" s="349"/>
      <c r="R1027352" s="349"/>
      <c r="S1027352" s="44"/>
      <c r="T1027352" s="298"/>
      <c r="U1027352" s="44"/>
      <c r="V1027352" s="357"/>
      <c r="W1027352" s="285"/>
      <c r="X1027352" s="358"/>
      <c r="Y1027352" s="358"/>
      <c r="Z1027352" s="360"/>
      <c r="AA1027352" s="350"/>
      <c r="AB1027352" s="350"/>
      <c r="AC1027352" s="350"/>
    </row>
    <row r="1027353" spans="1:29" s="294" customFormat="1" ht="15" customHeight="1">
      <c r="A1027353" s="285"/>
      <c r="B1027353" s="285"/>
      <c r="C1027353" s="285"/>
      <c r="D1027353" s="285"/>
      <c r="E1027353" s="285"/>
      <c r="F1027353" s="285"/>
      <c r="G1027353" s="285"/>
      <c r="H1027353" s="352"/>
      <c r="I1027353" s="352"/>
      <c r="J1027353" s="285"/>
      <c r="K1027353" s="285"/>
      <c r="L1027353" s="285"/>
      <c r="M1027353" s="285"/>
      <c r="N1027353" s="285"/>
      <c r="O1027353" s="285"/>
      <c r="P1027353" s="349"/>
      <c r="Q1027353" s="349"/>
      <c r="R1027353" s="349"/>
      <c r="S1027353" s="44"/>
      <c r="T1027353" s="298"/>
      <c r="U1027353" s="44"/>
      <c r="V1027353" s="357"/>
      <c r="W1027353" s="285"/>
      <c r="X1027353" s="358"/>
      <c r="Y1027353" s="358"/>
      <c r="Z1027353" s="360"/>
      <c r="AA1027353" s="350"/>
      <c r="AB1027353" s="350"/>
      <c r="AC1027353" s="350"/>
    </row>
    <row r="1027354" spans="1:29" s="294" customFormat="1" ht="15" customHeight="1">
      <c r="A1027354" s="285"/>
      <c r="B1027354" s="285"/>
      <c r="C1027354" s="285"/>
      <c r="D1027354" s="285"/>
      <c r="E1027354" s="285"/>
      <c r="F1027354" s="285"/>
      <c r="G1027354" s="285"/>
      <c r="H1027354" s="352"/>
      <c r="I1027354" s="352"/>
      <c r="J1027354" s="285"/>
      <c r="K1027354" s="285"/>
      <c r="L1027354" s="285"/>
      <c r="M1027354" s="285"/>
      <c r="N1027354" s="285"/>
      <c r="O1027354" s="285"/>
      <c r="P1027354" s="349"/>
      <c r="Q1027354" s="349"/>
      <c r="R1027354" s="349"/>
      <c r="S1027354" s="44"/>
      <c r="T1027354" s="298"/>
      <c r="U1027354" s="44"/>
      <c r="V1027354" s="357"/>
      <c r="W1027354" s="285"/>
      <c r="X1027354" s="358"/>
      <c r="Y1027354" s="358"/>
      <c r="Z1027354" s="360"/>
      <c r="AA1027354" s="350"/>
      <c r="AB1027354" s="350"/>
      <c r="AC1027354" s="350"/>
    </row>
    <row r="1027355" spans="1:29" s="294" customFormat="1" ht="15" customHeight="1">
      <c r="A1027355" s="285"/>
      <c r="B1027355" s="285"/>
      <c r="C1027355" s="285"/>
      <c r="D1027355" s="285"/>
      <c r="E1027355" s="285"/>
      <c r="F1027355" s="285"/>
      <c r="G1027355" s="285"/>
      <c r="H1027355" s="352"/>
      <c r="I1027355" s="352"/>
      <c r="J1027355" s="285"/>
      <c r="K1027355" s="285"/>
      <c r="L1027355" s="285"/>
      <c r="M1027355" s="285"/>
      <c r="N1027355" s="285"/>
      <c r="O1027355" s="285"/>
      <c r="P1027355" s="349"/>
      <c r="Q1027355" s="349"/>
      <c r="R1027355" s="349"/>
      <c r="S1027355" s="44"/>
      <c r="T1027355" s="298"/>
      <c r="U1027355" s="44"/>
      <c r="V1027355" s="357"/>
      <c r="W1027355" s="285"/>
      <c r="X1027355" s="358"/>
      <c r="Y1027355" s="358"/>
      <c r="Z1027355" s="360"/>
      <c r="AA1027355" s="350"/>
      <c r="AB1027355" s="350"/>
      <c r="AC1027355" s="350"/>
    </row>
    <row r="1027356" spans="1:29" s="294" customFormat="1" ht="15" customHeight="1">
      <c r="A1027356" s="285"/>
      <c r="B1027356" s="285"/>
      <c r="C1027356" s="285"/>
      <c r="D1027356" s="285"/>
      <c r="E1027356" s="285"/>
      <c r="F1027356" s="285"/>
      <c r="G1027356" s="285"/>
      <c r="H1027356" s="352"/>
      <c r="I1027356" s="352"/>
      <c r="J1027356" s="285"/>
      <c r="K1027356" s="285"/>
      <c r="L1027356" s="285"/>
      <c r="M1027356" s="285"/>
      <c r="N1027356" s="285"/>
      <c r="O1027356" s="285"/>
      <c r="P1027356" s="349"/>
      <c r="Q1027356" s="349"/>
      <c r="R1027356" s="349"/>
      <c r="S1027356" s="44"/>
      <c r="T1027356" s="298"/>
      <c r="U1027356" s="44"/>
      <c r="V1027356" s="357"/>
      <c r="W1027356" s="285"/>
      <c r="X1027356" s="358"/>
      <c r="Y1027356" s="358"/>
      <c r="Z1027356" s="361"/>
      <c r="AA1027356" s="350"/>
      <c r="AB1027356" s="350"/>
      <c r="AC1027356" s="350"/>
    </row>
    <row r="1027357" spans="1:29" s="294" customFormat="1" ht="15" customHeight="1">
      <c r="A1027357" s="285"/>
      <c r="B1027357" s="285"/>
      <c r="C1027357" s="285"/>
      <c r="D1027357" s="285"/>
      <c r="E1027357" s="285"/>
      <c r="F1027357" s="285"/>
      <c r="G1027357" s="285"/>
      <c r="H1027357" s="352"/>
      <c r="I1027357" s="352"/>
      <c r="J1027357" s="285"/>
      <c r="K1027357" s="285"/>
      <c r="L1027357" s="285"/>
      <c r="M1027357" s="285"/>
      <c r="N1027357" s="285"/>
      <c r="O1027357" s="285"/>
      <c r="P1027357" s="349"/>
      <c r="Q1027357" s="349"/>
      <c r="R1027357" s="349"/>
      <c r="S1027357" s="44"/>
      <c r="T1027357" s="298"/>
      <c r="U1027357" s="44"/>
      <c r="V1027357" s="357"/>
      <c r="W1027357" s="285"/>
      <c r="X1027357" s="358"/>
      <c r="Y1027357" s="358"/>
      <c r="Z1027357" s="361"/>
      <c r="AA1027357" s="350"/>
      <c r="AB1027357" s="350"/>
      <c r="AC1027357" s="350"/>
    </row>
    <row r="1027358" spans="1:29" s="294" customFormat="1" ht="15" customHeight="1">
      <c r="A1027358" s="285"/>
      <c r="B1027358" s="285"/>
      <c r="C1027358" s="285"/>
      <c r="D1027358" s="285"/>
      <c r="E1027358" s="285"/>
      <c r="F1027358" s="285"/>
      <c r="G1027358" s="285"/>
      <c r="H1027358" s="352"/>
      <c r="I1027358" s="352"/>
      <c r="J1027358" s="285"/>
      <c r="K1027358" s="285"/>
      <c r="L1027358" s="285"/>
      <c r="M1027358" s="285"/>
      <c r="N1027358" s="285"/>
      <c r="O1027358" s="285"/>
      <c r="P1027358" s="349"/>
      <c r="Q1027358" s="349"/>
      <c r="R1027358" s="349"/>
      <c r="S1027358" s="44"/>
      <c r="T1027358" s="298"/>
      <c r="U1027358" s="44"/>
      <c r="V1027358" s="357"/>
      <c r="W1027358" s="285"/>
      <c r="X1027358" s="358"/>
      <c r="Y1027358" s="358"/>
      <c r="Z1027358" s="361"/>
      <c r="AA1027358" s="350"/>
      <c r="AB1027358" s="350"/>
      <c r="AC1027358" s="350"/>
    </row>
    <row r="1027359" spans="1:29" s="294" customFormat="1" ht="15" customHeight="1">
      <c r="A1027359" s="285"/>
      <c r="B1027359" s="285"/>
      <c r="C1027359" s="285"/>
      <c r="D1027359" s="285"/>
      <c r="E1027359" s="285"/>
      <c r="F1027359" s="285"/>
      <c r="G1027359" s="285"/>
      <c r="H1027359" s="352"/>
      <c r="I1027359" s="352"/>
      <c r="J1027359" s="285"/>
      <c r="K1027359" s="285"/>
      <c r="L1027359" s="285"/>
      <c r="M1027359" s="285"/>
      <c r="N1027359" s="285"/>
      <c r="O1027359" s="285"/>
      <c r="P1027359" s="349"/>
      <c r="Q1027359" s="349"/>
      <c r="R1027359" s="349"/>
      <c r="S1027359" s="44"/>
      <c r="T1027359" s="298"/>
      <c r="U1027359" s="44"/>
      <c r="V1027359" s="357"/>
      <c r="W1027359" s="285"/>
      <c r="X1027359" s="358"/>
      <c r="Y1027359" s="358"/>
      <c r="Z1027359" s="360"/>
      <c r="AA1027359" s="350"/>
      <c r="AB1027359" s="350"/>
      <c r="AC1027359" s="350"/>
    </row>
    <row r="1027360" spans="1:29" s="294" customFormat="1" ht="15" customHeight="1">
      <c r="A1027360" s="285"/>
      <c r="B1027360" s="285"/>
      <c r="C1027360" s="285"/>
      <c r="D1027360" s="285"/>
      <c r="E1027360" s="285"/>
      <c r="F1027360" s="285"/>
      <c r="G1027360" s="285"/>
      <c r="H1027360" s="352"/>
      <c r="I1027360" s="352"/>
      <c r="J1027360" s="285"/>
      <c r="K1027360" s="285"/>
      <c r="L1027360" s="285"/>
      <c r="M1027360" s="285"/>
      <c r="N1027360" s="285"/>
      <c r="O1027360" s="285"/>
      <c r="P1027360" s="349"/>
      <c r="Q1027360" s="349"/>
      <c r="R1027360" s="349"/>
      <c r="S1027360" s="44"/>
      <c r="T1027360" s="298"/>
      <c r="U1027360" s="44"/>
      <c r="V1027360" s="357"/>
      <c r="W1027360" s="285"/>
      <c r="X1027360" s="358"/>
      <c r="Y1027360" s="358"/>
      <c r="Z1027360" s="361"/>
      <c r="AA1027360" s="350"/>
      <c r="AB1027360" s="350"/>
      <c r="AC1027360" s="350"/>
    </row>
    <row r="1027361" spans="1:29" s="294" customFormat="1" ht="15" customHeight="1">
      <c r="A1027361" s="285"/>
      <c r="B1027361" s="285"/>
      <c r="C1027361" s="285"/>
      <c r="D1027361" s="285"/>
      <c r="E1027361" s="285"/>
      <c r="F1027361" s="285"/>
      <c r="G1027361" s="285"/>
      <c r="H1027361" s="352"/>
      <c r="I1027361" s="352"/>
      <c r="J1027361" s="285"/>
      <c r="K1027361" s="285"/>
      <c r="L1027361" s="285"/>
      <c r="M1027361" s="285"/>
      <c r="N1027361" s="285"/>
      <c r="O1027361" s="285"/>
      <c r="P1027361" s="349"/>
      <c r="Q1027361" s="349"/>
      <c r="R1027361" s="349"/>
      <c r="S1027361" s="44"/>
      <c r="T1027361" s="298"/>
      <c r="U1027361" s="44"/>
      <c r="V1027361" s="357"/>
      <c r="W1027361" s="285"/>
      <c r="X1027361" s="358"/>
      <c r="Y1027361" s="358"/>
      <c r="Z1027361" s="361"/>
      <c r="AA1027361" s="350"/>
      <c r="AB1027361" s="350"/>
      <c r="AC1027361" s="350"/>
    </row>
    <row r="1027362" spans="1:29" s="294" customFormat="1" ht="15" customHeight="1">
      <c r="A1027362" s="285"/>
      <c r="B1027362" s="285"/>
      <c r="C1027362" s="285"/>
      <c r="D1027362" s="285"/>
      <c r="E1027362" s="285"/>
      <c r="F1027362" s="285"/>
      <c r="G1027362" s="285"/>
      <c r="H1027362" s="352"/>
      <c r="I1027362" s="352"/>
      <c r="J1027362" s="285"/>
      <c r="K1027362" s="285"/>
      <c r="L1027362" s="285"/>
      <c r="M1027362" s="285"/>
      <c r="N1027362" s="285"/>
      <c r="O1027362" s="285"/>
      <c r="P1027362" s="349"/>
      <c r="Q1027362" s="349"/>
      <c r="R1027362" s="349"/>
      <c r="S1027362" s="44"/>
      <c r="T1027362" s="298"/>
      <c r="U1027362" s="44"/>
      <c r="V1027362" s="357"/>
      <c r="W1027362" s="285"/>
      <c r="X1027362" s="358"/>
      <c r="Y1027362" s="358"/>
      <c r="Z1027362" s="361"/>
      <c r="AA1027362" s="350"/>
      <c r="AB1027362" s="350"/>
      <c r="AC1027362" s="350"/>
    </row>
    <row r="1027363" spans="1:29" s="294" customFormat="1" ht="15" customHeight="1">
      <c r="A1027363" s="285"/>
      <c r="B1027363" s="285"/>
      <c r="C1027363" s="285"/>
      <c r="D1027363" s="285"/>
      <c r="E1027363" s="285"/>
      <c r="F1027363" s="285"/>
      <c r="G1027363" s="285"/>
      <c r="H1027363" s="352"/>
      <c r="I1027363" s="352"/>
      <c r="J1027363" s="285"/>
      <c r="K1027363" s="285"/>
      <c r="L1027363" s="285"/>
      <c r="M1027363" s="285"/>
      <c r="N1027363" s="285"/>
      <c r="O1027363" s="285"/>
      <c r="P1027363" s="349"/>
      <c r="Q1027363" s="349"/>
      <c r="R1027363" s="349"/>
      <c r="S1027363" s="44"/>
      <c r="T1027363" s="298"/>
      <c r="U1027363" s="44"/>
      <c r="V1027363" s="357"/>
      <c r="W1027363" s="285"/>
      <c r="X1027363" s="358"/>
      <c r="Y1027363" s="358"/>
      <c r="Z1027363" s="360"/>
      <c r="AA1027363" s="350"/>
      <c r="AB1027363" s="350"/>
      <c r="AC1027363" s="350"/>
    </row>
    <row r="1027364" spans="1:29" s="294" customFormat="1" ht="15" customHeight="1">
      <c r="A1027364" s="285"/>
      <c r="B1027364" s="285"/>
      <c r="C1027364" s="285"/>
      <c r="D1027364" s="285"/>
      <c r="E1027364" s="285"/>
      <c r="F1027364" s="285"/>
      <c r="G1027364" s="285"/>
      <c r="H1027364" s="352"/>
      <c r="I1027364" s="352"/>
      <c r="J1027364" s="285"/>
      <c r="K1027364" s="285"/>
      <c r="L1027364" s="285"/>
      <c r="M1027364" s="285"/>
      <c r="N1027364" s="285"/>
      <c r="O1027364" s="285"/>
      <c r="P1027364" s="349"/>
      <c r="Q1027364" s="349"/>
      <c r="R1027364" s="349"/>
      <c r="S1027364" s="44"/>
      <c r="T1027364" s="298"/>
      <c r="U1027364" s="44"/>
      <c r="V1027364" s="357"/>
      <c r="W1027364" s="285"/>
      <c r="X1027364" s="358"/>
      <c r="Y1027364" s="358"/>
      <c r="Z1027364" s="360"/>
      <c r="AA1027364" s="350"/>
      <c r="AB1027364" s="350"/>
      <c r="AC1027364" s="350"/>
    </row>
    <row r="1027365" spans="1:29" s="294" customFormat="1" ht="15" customHeight="1">
      <c r="A1027365" s="285"/>
      <c r="B1027365" s="285"/>
      <c r="C1027365" s="285"/>
      <c r="D1027365" s="285"/>
      <c r="E1027365" s="285"/>
      <c r="F1027365" s="285"/>
      <c r="G1027365" s="285"/>
      <c r="H1027365" s="352"/>
      <c r="I1027365" s="352"/>
      <c r="J1027365" s="285"/>
      <c r="K1027365" s="285"/>
      <c r="L1027365" s="285"/>
      <c r="M1027365" s="285"/>
      <c r="N1027365" s="285"/>
      <c r="O1027365" s="285"/>
      <c r="P1027365" s="349"/>
      <c r="Q1027365" s="349"/>
      <c r="R1027365" s="349"/>
      <c r="S1027365" s="44"/>
      <c r="T1027365" s="298"/>
      <c r="U1027365" s="44"/>
      <c r="V1027365" s="357"/>
      <c r="W1027365" s="285"/>
      <c r="X1027365" s="358"/>
      <c r="Y1027365" s="358"/>
      <c r="Z1027365" s="360"/>
      <c r="AA1027365" s="350"/>
      <c r="AB1027365" s="350"/>
      <c r="AC1027365" s="350"/>
    </row>
    <row r="1027366" spans="1:29" s="294" customFormat="1" ht="15" customHeight="1">
      <c r="A1027366" s="285"/>
      <c r="B1027366" s="285"/>
      <c r="C1027366" s="285"/>
      <c r="D1027366" s="285"/>
      <c r="E1027366" s="285"/>
      <c r="F1027366" s="285"/>
      <c r="G1027366" s="285"/>
      <c r="H1027366" s="352"/>
      <c r="I1027366" s="352"/>
      <c r="J1027366" s="285"/>
      <c r="K1027366" s="285"/>
      <c r="L1027366" s="285"/>
      <c r="M1027366" s="285"/>
      <c r="N1027366" s="285"/>
      <c r="O1027366" s="285"/>
      <c r="P1027366" s="349"/>
      <c r="Q1027366" s="349"/>
      <c r="R1027366" s="349"/>
      <c r="S1027366" s="44"/>
      <c r="T1027366" s="298"/>
      <c r="U1027366" s="44"/>
      <c r="V1027366" s="357"/>
      <c r="W1027366" s="285"/>
      <c r="X1027366" s="358"/>
      <c r="Y1027366" s="358"/>
      <c r="Z1027366" s="360"/>
      <c r="AA1027366" s="350"/>
      <c r="AB1027366" s="350"/>
      <c r="AC1027366" s="350"/>
    </row>
    <row r="1027367" spans="1:29" s="294" customFormat="1" ht="15" customHeight="1">
      <c r="A1027367" s="285"/>
      <c r="B1027367" s="285"/>
      <c r="C1027367" s="285"/>
      <c r="D1027367" s="285"/>
      <c r="E1027367" s="285"/>
      <c r="F1027367" s="285"/>
      <c r="G1027367" s="285"/>
      <c r="H1027367" s="352"/>
      <c r="I1027367" s="352"/>
      <c r="J1027367" s="285"/>
      <c r="K1027367" s="285"/>
      <c r="L1027367" s="285"/>
      <c r="M1027367" s="285"/>
      <c r="N1027367" s="285"/>
      <c r="O1027367" s="285"/>
      <c r="P1027367" s="349"/>
      <c r="Q1027367" s="349"/>
      <c r="R1027367" s="349"/>
      <c r="S1027367" s="44"/>
      <c r="T1027367" s="298"/>
      <c r="U1027367" s="44"/>
      <c r="V1027367" s="357"/>
      <c r="W1027367" s="285"/>
      <c r="X1027367" s="358"/>
      <c r="Y1027367" s="358"/>
      <c r="Z1027367" s="361"/>
      <c r="AA1027367" s="350"/>
      <c r="AB1027367" s="350"/>
      <c r="AC1027367" s="350"/>
    </row>
    <row r="1027368" spans="1:29" s="294" customFormat="1" ht="15" customHeight="1">
      <c r="A1027368" s="285"/>
      <c r="B1027368" s="285"/>
      <c r="C1027368" s="285"/>
      <c r="D1027368" s="285"/>
      <c r="E1027368" s="285"/>
      <c r="F1027368" s="285"/>
      <c r="G1027368" s="285"/>
      <c r="H1027368" s="352"/>
      <c r="I1027368" s="352"/>
      <c r="J1027368" s="285"/>
      <c r="K1027368" s="285"/>
      <c r="L1027368" s="285"/>
      <c r="M1027368" s="285"/>
      <c r="N1027368" s="285"/>
      <c r="O1027368" s="285"/>
      <c r="P1027368" s="349"/>
      <c r="Q1027368" s="349"/>
      <c r="R1027368" s="349"/>
      <c r="S1027368" s="44"/>
      <c r="T1027368" s="298"/>
      <c r="U1027368" s="44"/>
      <c r="V1027368" s="357"/>
      <c r="W1027368" s="285"/>
      <c r="X1027368" s="358"/>
      <c r="Y1027368" s="358"/>
      <c r="Z1027368" s="361"/>
      <c r="AA1027368" s="350"/>
      <c r="AB1027368" s="350"/>
      <c r="AC1027368" s="350"/>
    </row>
    <row r="1027369" spans="1:29" s="294" customFormat="1" ht="15" customHeight="1">
      <c r="A1027369" s="285"/>
      <c r="B1027369" s="285"/>
      <c r="C1027369" s="285"/>
      <c r="D1027369" s="285"/>
      <c r="E1027369" s="285"/>
      <c r="F1027369" s="285"/>
      <c r="G1027369" s="285"/>
      <c r="H1027369" s="352"/>
      <c r="I1027369" s="352"/>
      <c r="J1027369" s="285"/>
      <c r="K1027369" s="285"/>
      <c r="L1027369" s="285"/>
      <c r="M1027369" s="285"/>
      <c r="N1027369" s="285"/>
      <c r="O1027369" s="285"/>
      <c r="P1027369" s="349"/>
      <c r="Q1027369" s="349"/>
      <c r="R1027369" s="349"/>
      <c r="S1027369" s="44"/>
      <c r="T1027369" s="298"/>
      <c r="U1027369" s="44"/>
      <c r="V1027369" s="357"/>
      <c r="W1027369" s="285"/>
      <c r="X1027369" s="358"/>
      <c r="Y1027369" s="358"/>
      <c r="Z1027369" s="361"/>
      <c r="AA1027369" s="350"/>
      <c r="AB1027369" s="350"/>
      <c r="AC1027369" s="350"/>
    </row>
    <row r="1027370" spans="1:29" s="294" customFormat="1" ht="15" customHeight="1">
      <c r="A1027370" s="285"/>
      <c r="B1027370" s="285"/>
      <c r="C1027370" s="285"/>
      <c r="D1027370" s="285"/>
      <c r="E1027370" s="285"/>
      <c r="F1027370" s="285"/>
      <c r="G1027370" s="285"/>
      <c r="H1027370" s="352"/>
      <c r="I1027370" s="352"/>
      <c r="J1027370" s="285"/>
      <c r="K1027370" s="285"/>
      <c r="L1027370" s="285"/>
      <c r="M1027370" s="285"/>
      <c r="N1027370" s="285"/>
      <c r="O1027370" s="285"/>
      <c r="P1027370" s="349"/>
      <c r="Q1027370" s="349"/>
      <c r="R1027370" s="349"/>
      <c r="S1027370" s="44"/>
      <c r="T1027370" s="298"/>
      <c r="U1027370" s="44"/>
      <c r="V1027370" s="357"/>
      <c r="W1027370" s="285"/>
      <c r="X1027370" s="358"/>
      <c r="Y1027370" s="358"/>
      <c r="Z1027370" s="360"/>
      <c r="AA1027370" s="350"/>
      <c r="AB1027370" s="350"/>
      <c r="AC1027370" s="350"/>
    </row>
    <row r="1027371" spans="1:29" s="294" customFormat="1" ht="15" customHeight="1">
      <c r="A1027371" s="285"/>
      <c r="B1027371" s="285"/>
      <c r="C1027371" s="285"/>
      <c r="D1027371" s="285"/>
      <c r="E1027371" s="285"/>
      <c r="F1027371" s="285"/>
      <c r="G1027371" s="285"/>
      <c r="H1027371" s="352"/>
      <c r="I1027371" s="352"/>
      <c r="J1027371" s="285"/>
      <c r="K1027371" s="285"/>
      <c r="L1027371" s="285"/>
      <c r="M1027371" s="285"/>
      <c r="N1027371" s="285"/>
      <c r="O1027371" s="285"/>
      <c r="P1027371" s="349"/>
      <c r="Q1027371" s="349"/>
      <c r="R1027371" s="349"/>
      <c r="S1027371" s="44"/>
      <c r="T1027371" s="298"/>
      <c r="U1027371" s="44"/>
      <c r="V1027371" s="357"/>
      <c r="W1027371" s="285"/>
      <c r="X1027371" s="358"/>
      <c r="Y1027371" s="358"/>
      <c r="Z1027371" s="361"/>
      <c r="AA1027371" s="350"/>
      <c r="AB1027371" s="350"/>
      <c r="AC1027371" s="350"/>
    </row>
    <row r="1027372" spans="1:29" s="294" customFormat="1" ht="15" customHeight="1">
      <c r="A1027372" s="285"/>
      <c r="B1027372" s="285"/>
      <c r="C1027372" s="285"/>
      <c r="D1027372" s="285"/>
      <c r="E1027372" s="285"/>
      <c r="F1027372" s="285"/>
      <c r="G1027372" s="285"/>
      <c r="H1027372" s="352"/>
      <c r="I1027372" s="352"/>
      <c r="J1027372" s="285"/>
      <c r="K1027372" s="285"/>
      <c r="L1027372" s="285"/>
      <c r="M1027372" s="285"/>
      <c r="N1027372" s="285"/>
      <c r="O1027372" s="285"/>
      <c r="P1027372" s="349"/>
      <c r="Q1027372" s="349"/>
      <c r="R1027372" s="349"/>
      <c r="S1027372" s="44"/>
      <c r="T1027372" s="298"/>
      <c r="U1027372" s="44"/>
      <c r="V1027372" s="357"/>
      <c r="W1027372" s="285"/>
      <c r="X1027372" s="358"/>
      <c r="Y1027372" s="358"/>
      <c r="Z1027372" s="361"/>
      <c r="AA1027372" s="350"/>
      <c r="AB1027372" s="350"/>
      <c r="AC1027372" s="350"/>
    </row>
    <row r="1027373" spans="1:29" s="294" customFormat="1" ht="15" customHeight="1">
      <c r="A1027373" s="285"/>
      <c r="B1027373" s="285"/>
      <c r="C1027373" s="285"/>
      <c r="D1027373" s="285"/>
      <c r="E1027373" s="285"/>
      <c r="F1027373" s="285"/>
      <c r="G1027373" s="285"/>
      <c r="H1027373" s="352"/>
      <c r="I1027373" s="352"/>
      <c r="J1027373" s="285"/>
      <c r="K1027373" s="285"/>
      <c r="L1027373" s="285"/>
      <c r="M1027373" s="285"/>
      <c r="N1027373" s="285"/>
      <c r="O1027373" s="285"/>
      <c r="P1027373" s="349"/>
      <c r="Q1027373" s="349"/>
      <c r="R1027373" s="349"/>
      <c r="S1027373" s="44"/>
      <c r="T1027373" s="298"/>
      <c r="U1027373" s="44"/>
      <c r="V1027373" s="357"/>
      <c r="W1027373" s="285"/>
      <c r="X1027373" s="358"/>
      <c r="Y1027373" s="358"/>
      <c r="Z1027373" s="361"/>
      <c r="AA1027373" s="350"/>
      <c r="AB1027373" s="350"/>
      <c r="AC1027373" s="350"/>
    </row>
    <row r="1027374" spans="1:29" s="294" customFormat="1" ht="15" customHeight="1">
      <c r="A1027374" s="285"/>
      <c r="B1027374" s="285"/>
      <c r="C1027374" s="285"/>
      <c r="D1027374" s="285"/>
      <c r="E1027374" s="285"/>
      <c r="F1027374" s="285"/>
      <c r="G1027374" s="285"/>
      <c r="H1027374" s="352"/>
      <c r="I1027374" s="352"/>
      <c r="J1027374" s="285"/>
      <c r="K1027374" s="285"/>
      <c r="L1027374" s="285"/>
      <c r="M1027374" s="285"/>
      <c r="N1027374" s="285"/>
      <c r="O1027374" s="285"/>
      <c r="P1027374" s="349"/>
      <c r="Q1027374" s="349"/>
      <c r="R1027374" s="349"/>
      <c r="S1027374" s="44"/>
      <c r="T1027374" s="298"/>
      <c r="U1027374" s="44"/>
      <c r="V1027374" s="357"/>
      <c r="W1027374" s="285"/>
      <c r="X1027374" s="358"/>
      <c r="Y1027374" s="358"/>
      <c r="Z1027374" s="360"/>
      <c r="AA1027374" s="350"/>
      <c r="AB1027374" s="350"/>
      <c r="AC1027374" s="350"/>
    </row>
    <row r="1027375" spans="1:29" s="294" customFormat="1" ht="15" customHeight="1">
      <c r="A1027375" s="285"/>
      <c r="B1027375" s="285"/>
      <c r="C1027375" s="285"/>
      <c r="D1027375" s="285"/>
      <c r="E1027375" s="285"/>
      <c r="F1027375" s="285"/>
      <c r="G1027375" s="285"/>
      <c r="H1027375" s="352"/>
      <c r="I1027375" s="352"/>
      <c r="J1027375" s="285"/>
      <c r="K1027375" s="285"/>
      <c r="L1027375" s="285"/>
      <c r="M1027375" s="285"/>
      <c r="N1027375" s="285"/>
      <c r="O1027375" s="285"/>
      <c r="P1027375" s="349"/>
      <c r="Q1027375" s="349"/>
      <c r="R1027375" s="349"/>
      <c r="S1027375" s="44"/>
      <c r="T1027375" s="298"/>
      <c r="U1027375" s="44"/>
      <c r="V1027375" s="357"/>
      <c r="W1027375" s="285"/>
      <c r="X1027375" s="358"/>
      <c r="Y1027375" s="358"/>
      <c r="Z1027375" s="361"/>
      <c r="AA1027375" s="350"/>
      <c r="AB1027375" s="350"/>
      <c r="AC1027375" s="350"/>
    </row>
    <row r="1027376" spans="1:29" s="294" customFormat="1" ht="15" customHeight="1">
      <c r="A1027376" s="285"/>
      <c r="B1027376" s="285"/>
      <c r="C1027376" s="285"/>
      <c r="D1027376" s="285"/>
      <c r="E1027376" s="285"/>
      <c r="F1027376" s="285"/>
      <c r="G1027376" s="285"/>
      <c r="H1027376" s="352"/>
      <c r="I1027376" s="352"/>
      <c r="J1027376" s="285"/>
      <c r="K1027376" s="285"/>
      <c r="L1027376" s="285"/>
      <c r="M1027376" s="285"/>
      <c r="N1027376" s="285"/>
      <c r="O1027376" s="285"/>
      <c r="P1027376" s="349"/>
      <c r="Q1027376" s="349"/>
      <c r="R1027376" s="349"/>
      <c r="S1027376" s="44"/>
      <c r="T1027376" s="298"/>
      <c r="U1027376" s="44"/>
      <c r="V1027376" s="357"/>
      <c r="W1027376" s="285"/>
      <c r="X1027376" s="358"/>
      <c r="Y1027376" s="358"/>
      <c r="Z1027376" s="360"/>
      <c r="AA1027376" s="350"/>
      <c r="AB1027376" s="350"/>
      <c r="AC1027376" s="350"/>
    </row>
    <row r="1027377" spans="1:29" s="294" customFormat="1" ht="15" customHeight="1">
      <c r="A1027377" s="285"/>
      <c r="B1027377" s="285"/>
      <c r="C1027377" s="285"/>
      <c r="D1027377" s="285"/>
      <c r="E1027377" s="285"/>
      <c r="F1027377" s="285"/>
      <c r="G1027377" s="285"/>
      <c r="H1027377" s="352"/>
      <c r="I1027377" s="352"/>
      <c r="J1027377" s="285"/>
      <c r="K1027377" s="285"/>
      <c r="L1027377" s="285"/>
      <c r="M1027377" s="285"/>
      <c r="N1027377" s="285"/>
      <c r="O1027377" s="285"/>
      <c r="P1027377" s="349"/>
      <c r="Q1027377" s="349"/>
      <c r="R1027377" s="349"/>
      <c r="S1027377" s="44"/>
      <c r="T1027377" s="298"/>
      <c r="U1027377" s="44"/>
      <c r="V1027377" s="357"/>
      <c r="W1027377" s="285"/>
      <c r="X1027377" s="358"/>
      <c r="Y1027377" s="358"/>
      <c r="Z1027377" s="360"/>
      <c r="AA1027377" s="350"/>
      <c r="AB1027377" s="350"/>
      <c r="AC1027377" s="350"/>
    </row>
    <row r="1027378" spans="1:29" s="294" customFormat="1" ht="15" customHeight="1">
      <c r="A1027378" s="285"/>
      <c r="B1027378" s="285"/>
      <c r="C1027378" s="285"/>
      <c r="D1027378" s="285"/>
      <c r="E1027378" s="285"/>
      <c r="F1027378" s="285"/>
      <c r="G1027378" s="285"/>
      <c r="H1027378" s="352"/>
      <c r="I1027378" s="352"/>
      <c r="J1027378" s="285"/>
      <c r="K1027378" s="285"/>
      <c r="L1027378" s="285"/>
      <c r="M1027378" s="285"/>
      <c r="N1027378" s="285"/>
      <c r="O1027378" s="285"/>
      <c r="P1027378" s="349"/>
      <c r="Q1027378" s="349"/>
      <c r="R1027378" s="349"/>
      <c r="S1027378" s="44"/>
      <c r="T1027378" s="298"/>
      <c r="U1027378" s="44"/>
      <c r="V1027378" s="357"/>
      <c r="W1027378" s="285"/>
      <c r="X1027378" s="358"/>
      <c r="Y1027378" s="358"/>
      <c r="Z1027378" s="360"/>
      <c r="AA1027378" s="350"/>
      <c r="AB1027378" s="350"/>
      <c r="AC1027378" s="350"/>
    </row>
    <row r="1027379" spans="1:29" s="294" customFormat="1" ht="15" customHeight="1">
      <c r="A1027379" s="285"/>
      <c r="B1027379" s="285"/>
      <c r="C1027379" s="285"/>
      <c r="D1027379" s="285"/>
      <c r="E1027379" s="285"/>
      <c r="F1027379" s="285"/>
      <c r="G1027379" s="285"/>
      <c r="H1027379" s="352"/>
      <c r="I1027379" s="352"/>
      <c r="J1027379" s="285"/>
      <c r="K1027379" s="285"/>
      <c r="L1027379" s="285"/>
      <c r="M1027379" s="285"/>
      <c r="N1027379" s="285"/>
      <c r="O1027379" s="285"/>
      <c r="P1027379" s="349"/>
      <c r="Q1027379" s="349"/>
      <c r="R1027379" s="349"/>
      <c r="S1027379" s="44"/>
      <c r="T1027379" s="298"/>
      <c r="U1027379" s="44"/>
      <c r="V1027379" s="357"/>
      <c r="W1027379" s="285"/>
      <c r="X1027379" s="358"/>
      <c r="Y1027379" s="358"/>
      <c r="Z1027379" s="360"/>
      <c r="AA1027379" s="350"/>
      <c r="AB1027379" s="350"/>
      <c r="AC1027379" s="350"/>
    </row>
    <row r="1027380" spans="1:29" s="294" customFormat="1" ht="15" customHeight="1">
      <c r="A1027380" s="285"/>
      <c r="B1027380" s="285"/>
      <c r="C1027380" s="285"/>
      <c r="D1027380" s="285"/>
      <c r="E1027380" s="285"/>
      <c r="F1027380" s="285"/>
      <c r="G1027380" s="285"/>
      <c r="H1027380" s="352"/>
      <c r="I1027380" s="352"/>
      <c r="J1027380" s="285"/>
      <c r="K1027380" s="285"/>
      <c r="L1027380" s="285"/>
      <c r="M1027380" s="285"/>
      <c r="N1027380" s="285"/>
      <c r="O1027380" s="285"/>
      <c r="P1027380" s="349"/>
      <c r="Q1027380" s="349"/>
      <c r="R1027380" s="349"/>
      <c r="S1027380" s="44"/>
      <c r="T1027380" s="298"/>
      <c r="U1027380" s="44"/>
      <c r="V1027380" s="357"/>
      <c r="W1027380" s="285"/>
      <c r="X1027380" s="358"/>
      <c r="Y1027380" s="358"/>
      <c r="Z1027380" s="360"/>
      <c r="AA1027380" s="350"/>
      <c r="AB1027380" s="350"/>
      <c r="AC1027380" s="350"/>
    </row>
    <row r="1027381" spans="1:29" s="294" customFormat="1" ht="15" customHeight="1">
      <c r="A1027381" s="285"/>
      <c r="B1027381" s="285"/>
      <c r="C1027381" s="285"/>
      <c r="D1027381" s="285"/>
      <c r="E1027381" s="285"/>
      <c r="F1027381" s="285"/>
      <c r="G1027381" s="285"/>
      <c r="H1027381" s="352"/>
      <c r="I1027381" s="352"/>
      <c r="J1027381" s="285"/>
      <c r="K1027381" s="285"/>
      <c r="L1027381" s="285"/>
      <c r="M1027381" s="285"/>
      <c r="N1027381" s="285"/>
      <c r="O1027381" s="285"/>
      <c r="P1027381" s="349"/>
      <c r="Q1027381" s="349"/>
      <c r="R1027381" s="349"/>
      <c r="S1027381" s="44"/>
      <c r="T1027381" s="298"/>
      <c r="U1027381" s="44"/>
      <c r="V1027381" s="357"/>
      <c r="W1027381" s="285"/>
      <c r="X1027381" s="358"/>
      <c r="Y1027381" s="358"/>
      <c r="Z1027381" s="360"/>
      <c r="AA1027381" s="350"/>
      <c r="AB1027381" s="350"/>
      <c r="AC1027381" s="350"/>
    </row>
    <row r="1027382" spans="1:29" s="294" customFormat="1" ht="15" customHeight="1">
      <c r="A1027382" s="285"/>
      <c r="B1027382" s="285"/>
      <c r="C1027382" s="285"/>
      <c r="D1027382" s="285"/>
      <c r="E1027382" s="285"/>
      <c r="F1027382" s="285"/>
      <c r="G1027382" s="285"/>
      <c r="H1027382" s="352"/>
      <c r="I1027382" s="352"/>
      <c r="J1027382" s="285"/>
      <c r="K1027382" s="285"/>
      <c r="L1027382" s="285"/>
      <c r="M1027382" s="285"/>
      <c r="N1027382" s="285"/>
      <c r="O1027382" s="285"/>
      <c r="P1027382" s="349"/>
      <c r="Q1027382" s="349"/>
      <c r="R1027382" s="349"/>
      <c r="S1027382" s="44"/>
      <c r="T1027382" s="298"/>
      <c r="U1027382" s="44"/>
      <c r="V1027382" s="357"/>
      <c r="W1027382" s="285"/>
      <c r="X1027382" s="358"/>
      <c r="Y1027382" s="358"/>
      <c r="Z1027382" s="360"/>
      <c r="AA1027382" s="350"/>
      <c r="AB1027382" s="350"/>
      <c r="AC1027382" s="350"/>
    </row>
    <row r="1027383" spans="1:29" s="294" customFormat="1" ht="15" customHeight="1">
      <c r="A1027383" s="285"/>
      <c r="B1027383" s="285"/>
      <c r="C1027383" s="285"/>
      <c r="D1027383" s="285"/>
      <c r="E1027383" s="285"/>
      <c r="F1027383" s="285"/>
      <c r="G1027383" s="285"/>
      <c r="H1027383" s="352"/>
      <c r="I1027383" s="352"/>
      <c r="J1027383" s="285"/>
      <c r="K1027383" s="285"/>
      <c r="L1027383" s="285"/>
      <c r="M1027383" s="285"/>
      <c r="N1027383" s="285"/>
      <c r="O1027383" s="285"/>
      <c r="P1027383" s="349"/>
      <c r="Q1027383" s="349"/>
      <c r="R1027383" s="349"/>
      <c r="S1027383" s="44"/>
      <c r="T1027383" s="298"/>
      <c r="U1027383" s="44"/>
      <c r="V1027383" s="357"/>
      <c r="W1027383" s="285"/>
      <c r="X1027383" s="358"/>
      <c r="Y1027383" s="358"/>
      <c r="Z1027383" s="360"/>
      <c r="AA1027383" s="350"/>
      <c r="AB1027383" s="350"/>
      <c r="AC1027383" s="350"/>
    </row>
    <row r="1027384" spans="1:29" s="294" customFormat="1" ht="15" customHeight="1">
      <c r="A1027384" s="285"/>
      <c r="B1027384" s="285"/>
      <c r="C1027384" s="285"/>
      <c r="D1027384" s="285"/>
      <c r="E1027384" s="285"/>
      <c r="F1027384" s="285"/>
      <c r="G1027384" s="285"/>
      <c r="H1027384" s="352"/>
      <c r="I1027384" s="352"/>
      <c r="J1027384" s="285"/>
      <c r="K1027384" s="285"/>
      <c r="L1027384" s="285"/>
      <c r="M1027384" s="285"/>
      <c r="N1027384" s="285"/>
      <c r="O1027384" s="285"/>
      <c r="P1027384" s="349"/>
      <c r="Q1027384" s="349"/>
      <c r="R1027384" s="349"/>
      <c r="S1027384" s="44"/>
      <c r="T1027384" s="298"/>
      <c r="U1027384" s="44"/>
      <c r="V1027384" s="357"/>
      <c r="W1027384" s="285"/>
      <c r="X1027384" s="358"/>
      <c r="Y1027384" s="358"/>
      <c r="Z1027384" s="360"/>
      <c r="AA1027384" s="350"/>
      <c r="AB1027384" s="350"/>
      <c r="AC1027384" s="350"/>
    </row>
    <row r="1027385" spans="1:29" s="294" customFormat="1" ht="15" customHeight="1">
      <c r="A1027385" s="285"/>
      <c r="B1027385" s="285"/>
      <c r="C1027385" s="285"/>
      <c r="D1027385" s="285"/>
      <c r="E1027385" s="285"/>
      <c r="F1027385" s="285"/>
      <c r="G1027385" s="285"/>
      <c r="H1027385" s="352"/>
      <c r="I1027385" s="352"/>
      <c r="J1027385" s="285"/>
      <c r="K1027385" s="285"/>
      <c r="L1027385" s="285"/>
      <c r="M1027385" s="285"/>
      <c r="N1027385" s="285"/>
      <c r="O1027385" s="285"/>
      <c r="P1027385" s="349"/>
      <c r="Q1027385" s="349"/>
      <c r="R1027385" s="349"/>
      <c r="S1027385" s="44"/>
      <c r="T1027385" s="298"/>
      <c r="U1027385" s="44"/>
      <c r="V1027385" s="357"/>
      <c r="W1027385" s="285"/>
      <c r="X1027385" s="358"/>
      <c r="Y1027385" s="358"/>
      <c r="Z1027385" s="360"/>
      <c r="AA1027385" s="350"/>
      <c r="AB1027385" s="350"/>
      <c r="AC1027385" s="350"/>
    </row>
    <row r="1027386" spans="1:29" s="294" customFormat="1" ht="15" customHeight="1">
      <c r="A1027386" s="285"/>
      <c r="B1027386" s="285"/>
      <c r="C1027386" s="285"/>
      <c r="D1027386" s="285"/>
      <c r="E1027386" s="285"/>
      <c r="F1027386" s="285"/>
      <c r="G1027386" s="285"/>
      <c r="H1027386" s="352"/>
      <c r="I1027386" s="352"/>
      <c r="J1027386" s="285"/>
      <c r="K1027386" s="285"/>
      <c r="L1027386" s="285"/>
      <c r="M1027386" s="285"/>
      <c r="N1027386" s="285"/>
      <c r="O1027386" s="285"/>
      <c r="P1027386" s="349"/>
      <c r="Q1027386" s="349"/>
      <c r="R1027386" s="349"/>
      <c r="S1027386" s="44"/>
      <c r="T1027386" s="298"/>
      <c r="U1027386" s="44"/>
      <c r="V1027386" s="357"/>
      <c r="W1027386" s="285"/>
      <c r="X1027386" s="358"/>
      <c r="Y1027386" s="358"/>
      <c r="Z1027386" s="360"/>
      <c r="AA1027386" s="350"/>
      <c r="AB1027386" s="350"/>
      <c r="AC1027386" s="350"/>
    </row>
    <row r="1027387" spans="1:29" s="294" customFormat="1" ht="15" customHeight="1">
      <c r="A1027387" s="285"/>
      <c r="B1027387" s="285"/>
      <c r="C1027387" s="285"/>
      <c r="D1027387" s="285"/>
      <c r="E1027387" s="285"/>
      <c r="F1027387" s="285"/>
      <c r="G1027387" s="285"/>
      <c r="H1027387" s="352"/>
      <c r="I1027387" s="352"/>
      <c r="J1027387" s="285"/>
      <c r="K1027387" s="285"/>
      <c r="L1027387" s="285"/>
      <c r="M1027387" s="285"/>
      <c r="N1027387" s="285"/>
      <c r="O1027387" s="285"/>
      <c r="P1027387" s="349"/>
      <c r="Q1027387" s="349"/>
      <c r="R1027387" s="349"/>
      <c r="S1027387" s="44"/>
      <c r="T1027387" s="298"/>
      <c r="U1027387" s="44"/>
      <c r="V1027387" s="357"/>
      <c r="W1027387" s="285"/>
      <c r="X1027387" s="358"/>
      <c r="Y1027387" s="358"/>
      <c r="Z1027387" s="360"/>
      <c r="AA1027387" s="350"/>
      <c r="AB1027387" s="350"/>
      <c r="AC1027387" s="350"/>
    </row>
    <row r="1027388" spans="1:29" s="294" customFormat="1" ht="15" customHeight="1">
      <c r="A1027388" s="285"/>
      <c r="B1027388" s="285"/>
      <c r="C1027388" s="285"/>
      <c r="D1027388" s="285"/>
      <c r="E1027388" s="285"/>
      <c r="F1027388" s="285"/>
      <c r="G1027388" s="285"/>
      <c r="H1027388" s="352"/>
      <c r="I1027388" s="352"/>
      <c r="J1027388" s="285"/>
      <c r="K1027388" s="285"/>
      <c r="L1027388" s="285"/>
      <c r="M1027388" s="285"/>
      <c r="N1027388" s="285"/>
      <c r="O1027388" s="285"/>
      <c r="P1027388" s="349"/>
      <c r="Q1027388" s="349"/>
      <c r="R1027388" s="349"/>
      <c r="S1027388" s="44"/>
      <c r="T1027388" s="298"/>
      <c r="U1027388" s="44"/>
      <c r="V1027388" s="357"/>
      <c r="W1027388" s="285"/>
      <c r="X1027388" s="358"/>
      <c r="Y1027388" s="358"/>
      <c r="Z1027388" s="360"/>
      <c r="AA1027388" s="350"/>
      <c r="AB1027388" s="350"/>
      <c r="AC1027388" s="350"/>
    </row>
    <row r="1027389" spans="1:29" s="294" customFormat="1" ht="15" customHeight="1">
      <c r="A1027389" s="285"/>
      <c r="B1027389" s="285"/>
      <c r="C1027389" s="285"/>
      <c r="D1027389" s="285"/>
      <c r="E1027389" s="285"/>
      <c r="F1027389" s="285"/>
      <c r="G1027389" s="285"/>
      <c r="H1027389" s="352"/>
      <c r="I1027389" s="352"/>
      <c r="J1027389" s="285"/>
      <c r="K1027389" s="285"/>
      <c r="L1027389" s="285"/>
      <c r="M1027389" s="285"/>
      <c r="N1027389" s="285"/>
      <c r="O1027389" s="285"/>
      <c r="P1027389" s="349"/>
      <c r="Q1027389" s="349"/>
      <c r="R1027389" s="349"/>
      <c r="S1027389" s="44"/>
      <c r="T1027389" s="298"/>
      <c r="U1027389" s="44"/>
      <c r="V1027389" s="357"/>
      <c r="W1027389" s="285"/>
      <c r="X1027389" s="358"/>
      <c r="Y1027389" s="358"/>
      <c r="Z1027389" s="361"/>
      <c r="AA1027389" s="350"/>
      <c r="AB1027389" s="350"/>
      <c r="AC1027389" s="350"/>
    </row>
    <row r="1027390" spans="1:29" s="294" customFormat="1" ht="15" customHeight="1">
      <c r="A1027390" s="285"/>
      <c r="B1027390" s="285"/>
      <c r="C1027390" s="285"/>
      <c r="D1027390" s="285"/>
      <c r="E1027390" s="285"/>
      <c r="F1027390" s="285"/>
      <c r="G1027390" s="285"/>
      <c r="H1027390" s="352"/>
      <c r="I1027390" s="352"/>
      <c r="J1027390" s="285"/>
      <c r="K1027390" s="285"/>
      <c r="L1027390" s="285"/>
      <c r="M1027390" s="285"/>
      <c r="N1027390" s="285"/>
      <c r="O1027390" s="285"/>
      <c r="P1027390" s="349"/>
      <c r="Q1027390" s="349"/>
      <c r="R1027390" s="349"/>
      <c r="S1027390" s="44"/>
      <c r="T1027390" s="298"/>
      <c r="U1027390" s="44"/>
      <c r="V1027390" s="357"/>
      <c r="W1027390" s="285"/>
      <c r="X1027390" s="358"/>
      <c r="Y1027390" s="358"/>
      <c r="Z1027390" s="361"/>
      <c r="AA1027390" s="350"/>
      <c r="AB1027390" s="350"/>
      <c r="AC1027390" s="350"/>
    </row>
    <row r="1027391" spans="1:29" s="294" customFormat="1" ht="15" customHeight="1">
      <c r="A1027391" s="285"/>
      <c r="B1027391" s="285"/>
      <c r="C1027391" s="285"/>
      <c r="D1027391" s="285"/>
      <c r="E1027391" s="285"/>
      <c r="F1027391" s="285"/>
      <c r="G1027391" s="285"/>
      <c r="H1027391" s="352"/>
      <c r="I1027391" s="352"/>
      <c r="J1027391" s="285"/>
      <c r="K1027391" s="285"/>
      <c r="L1027391" s="285"/>
      <c r="M1027391" s="285"/>
      <c r="N1027391" s="285"/>
      <c r="O1027391" s="285"/>
      <c r="P1027391" s="349"/>
      <c r="Q1027391" s="349"/>
      <c r="R1027391" s="349"/>
      <c r="S1027391" s="44"/>
      <c r="T1027391" s="298"/>
      <c r="U1027391" s="44"/>
      <c r="V1027391" s="357"/>
      <c r="W1027391" s="285"/>
      <c r="X1027391" s="358"/>
      <c r="Y1027391" s="358"/>
      <c r="Z1027391" s="360"/>
      <c r="AA1027391" s="350"/>
      <c r="AB1027391" s="350"/>
      <c r="AC1027391" s="350"/>
    </row>
    <row r="1027392" spans="1:29" s="294" customFormat="1" ht="15" customHeight="1">
      <c r="A1027392" s="285"/>
      <c r="B1027392" s="285"/>
      <c r="C1027392" s="285"/>
      <c r="D1027392" s="285"/>
      <c r="E1027392" s="285"/>
      <c r="F1027392" s="285"/>
      <c r="G1027392" s="285"/>
      <c r="H1027392" s="352"/>
      <c r="I1027392" s="352"/>
      <c r="J1027392" s="285"/>
      <c r="K1027392" s="285"/>
      <c r="L1027392" s="285"/>
      <c r="M1027392" s="285"/>
      <c r="N1027392" s="285"/>
      <c r="O1027392" s="285"/>
      <c r="P1027392" s="349"/>
      <c r="Q1027392" s="349"/>
      <c r="R1027392" s="349"/>
      <c r="S1027392" s="44"/>
      <c r="T1027392" s="298"/>
      <c r="U1027392" s="44"/>
      <c r="V1027392" s="357"/>
      <c r="W1027392" s="285"/>
      <c r="X1027392" s="358"/>
      <c r="Y1027392" s="358"/>
      <c r="Z1027392" s="360"/>
      <c r="AA1027392" s="350"/>
      <c r="AB1027392" s="350"/>
      <c r="AC1027392" s="350"/>
    </row>
    <row r="1027393" spans="1:29" s="294" customFormat="1" ht="15" customHeight="1">
      <c r="A1027393" s="285"/>
      <c r="B1027393" s="285"/>
      <c r="C1027393" s="285"/>
      <c r="D1027393" s="285"/>
      <c r="E1027393" s="285"/>
      <c r="F1027393" s="285"/>
      <c r="G1027393" s="285"/>
      <c r="H1027393" s="352"/>
      <c r="I1027393" s="352"/>
      <c r="J1027393" s="285"/>
      <c r="K1027393" s="285"/>
      <c r="L1027393" s="285"/>
      <c r="M1027393" s="285"/>
      <c r="N1027393" s="285"/>
      <c r="O1027393" s="285"/>
      <c r="P1027393" s="349"/>
      <c r="Q1027393" s="349"/>
      <c r="R1027393" s="349"/>
      <c r="S1027393" s="44"/>
      <c r="T1027393" s="298"/>
      <c r="U1027393" s="44"/>
      <c r="V1027393" s="357"/>
      <c r="W1027393" s="285"/>
      <c r="X1027393" s="358"/>
      <c r="Y1027393" s="358"/>
      <c r="Z1027393" s="360"/>
      <c r="AA1027393" s="350"/>
      <c r="AB1027393" s="350"/>
      <c r="AC1027393" s="350"/>
    </row>
    <row r="1027394" spans="1:29" s="294" customFormat="1" ht="15" customHeight="1">
      <c r="A1027394" s="285"/>
      <c r="B1027394" s="285"/>
      <c r="C1027394" s="285"/>
      <c r="D1027394" s="285"/>
      <c r="E1027394" s="285"/>
      <c r="F1027394" s="285"/>
      <c r="G1027394" s="285"/>
      <c r="H1027394" s="352"/>
      <c r="I1027394" s="352"/>
      <c r="J1027394" s="285"/>
      <c r="K1027394" s="285"/>
      <c r="L1027394" s="285"/>
      <c r="M1027394" s="285"/>
      <c r="N1027394" s="285"/>
      <c r="O1027394" s="285"/>
      <c r="P1027394" s="349"/>
      <c r="Q1027394" s="349"/>
      <c r="R1027394" s="349"/>
      <c r="S1027394" s="44"/>
      <c r="T1027394" s="298"/>
      <c r="U1027394" s="44"/>
      <c r="V1027394" s="357"/>
      <c r="W1027394" s="285"/>
      <c r="X1027394" s="358"/>
      <c r="Y1027394" s="358"/>
      <c r="Z1027394" s="361"/>
      <c r="AA1027394" s="350"/>
      <c r="AB1027394" s="350"/>
      <c r="AC1027394" s="350"/>
    </row>
    <row r="1027395" spans="1:29" s="294" customFormat="1" ht="15" customHeight="1">
      <c r="A1027395" s="285"/>
      <c r="B1027395" s="285"/>
      <c r="C1027395" s="285"/>
      <c r="D1027395" s="285"/>
      <c r="E1027395" s="285"/>
      <c r="F1027395" s="285"/>
      <c r="G1027395" s="285"/>
      <c r="H1027395" s="352"/>
      <c r="I1027395" s="352"/>
      <c r="J1027395" s="285"/>
      <c r="K1027395" s="285"/>
      <c r="L1027395" s="285"/>
      <c r="M1027395" s="285"/>
      <c r="N1027395" s="285"/>
      <c r="O1027395" s="285"/>
      <c r="P1027395" s="349"/>
      <c r="Q1027395" s="349"/>
      <c r="R1027395" s="349"/>
      <c r="S1027395" s="44"/>
      <c r="T1027395" s="298"/>
      <c r="U1027395" s="44"/>
      <c r="V1027395" s="357"/>
      <c r="W1027395" s="285"/>
      <c r="X1027395" s="358"/>
      <c r="Y1027395" s="358"/>
      <c r="Z1027395" s="361"/>
      <c r="AA1027395" s="350"/>
      <c r="AB1027395" s="350"/>
      <c r="AC1027395" s="350"/>
    </row>
    <row r="1027396" spans="1:29" s="294" customFormat="1" ht="15" customHeight="1">
      <c r="A1027396" s="285"/>
      <c r="B1027396" s="285"/>
      <c r="C1027396" s="285"/>
      <c r="D1027396" s="285"/>
      <c r="E1027396" s="285"/>
      <c r="F1027396" s="285"/>
      <c r="G1027396" s="285"/>
      <c r="H1027396" s="352"/>
      <c r="I1027396" s="352"/>
      <c r="J1027396" s="285"/>
      <c r="K1027396" s="285"/>
      <c r="L1027396" s="285"/>
      <c r="M1027396" s="285"/>
      <c r="N1027396" s="285"/>
      <c r="O1027396" s="285"/>
      <c r="P1027396" s="349"/>
      <c r="Q1027396" s="349"/>
      <c r="R1027396" s="349"/>
      <c r="S1027396" s="44"/>
      <c r="T1027396" s="298"/>
      <c r="U1027396" s="44"/>
      <c r="V1027396" s="357"/>
      <c r="W1027396" s="285"/>
      <c r="X1027396" s="358"/>
      <c r="Y1027396" s="358"/>
      <c r="Z1027396" s="361"/>
      <c r="AA1027396" s="350"/>
      <c r="AB1027396" s="350"/>
      <c r="AC1027396" s="350"/>
    </row>
    <row r="1027397" spans="1:29" s="294" customFormat="1" ht="15" customHeight="1">
      <c r="A1027397" s="285"/>
      <c r="B1027397" s="285"/>
      <c r="C1027397" s="285"/>
      <c r="D1027397" s="285"/>
      <c r="E1027397" s="285"/>
      <c r="F1027397" s="285"/>
      <c r="G1027397" s="285"/>
      <c r="H1027397" s="352"/>
      <c r="I1027397" s="352"/>
      <c r="J1027397" s="285"/>
      <c r="K1027397" s="285"/>
      <c r="L1027397" s="285"/>
      <c r="M1027397" s="285"/>
      <c r="N1027397" s="285"/>
      <c r="O1027397" s="285"/>
      <c r="P1027397" s="349"/>
      <c r="Q1027397" s="349"/>
      <c r="R1027397" s="349"/>
      <c r="S1027397" s="44"/>
      <c r="T1027397" s="298"/>
      <c r="U1027397" s="44"/>
      <c r="V1027397" s="357"/>
      <c r="W1027397" s="285"/>
      <c r="X1027397" s="358"/>
      <c r="Y1027397" s="358"/>
      <c r="Z1027397" s="361"/>
      <c r="AA1027397" s="350"/>
      <c r="AB1027397" s="350"/>
      <c r="AC1027397" s="350"/>
    </row>
    <row r="1027398" spans="1:29" s="294" customFormat="1" ht="15" customHeight="1">
      <c r="A1027398" s="285"/>
      <c r="B1027398" s="285"/>
      <c r="C1027398" s="285"/>
      <c r="D1027398" s="285"/>
      <c r="E1027398" s="285"/>
      <c r="F1027398" s="285"/>
      <c r="G1027398" s="285"/>
      <c r="H1027398" s="352"/>
      <c r="I1027398" s="352"/>
      <c r="J1027398" s="285"/>
      <c r="K1027398" s="285"/>
      <c r="L1027398" s="285"/>
      <c r="M1027398" s="285"/>
      <c r="N1027398" s="285"/>
      <c r="O1027398" s="285"/>
      <c r="P1027398" s="349"/>
      <c r="Q1027398" s="349"/>
      <c r="R1027398" s="349"/>
      <c r="S1027398" s="44"/>
      <c r="T1027398" s="298"/>
      <c r="U1027398" s="44"/>
      <c r="V1027398" s="357"/>
      <c r="W1027398" s="285"/>
      <c r="X1027398" s="358"/>
      <c r="Y1027398" s="358"/>
      <c r="Z1027398" s="361"/>
      <c r="AA1027398" s="350"/>
      <c r="AB1027398" s="350"/>
      <c r="AC1027398" s="350"/>
    </row>
    <row r="1027399" spans="1:29" s="294" customFormat="1" ht="15" customHeight="1">
      <c r="A1027399" s="285"/>
      <c r="B1027399" s="285"/>
      <c r="C1027399" s="285"/>
      <c r="D1027399" s="285"/>
      <c r="E1027399" s="285"/>
      <c r="F1027399" s="285"/>
      <c r="G1027399" s="285"/>
      <c r="H1027399" s="352"/>
      <c r="I1027399" s="352"/>
      <c r="J1027399" s="285"/>
      <c r="K1027399" s="285"/>
      <c r="L1027399" s="285"/>
      <c r="M1027399" s="285"/>
      <c r="N1027399" s="285"/>
      <c r="O1027399" s="285"/>
      <c r="P1027399" s="349"/>
      <c r="Q1027399" s="349"/>
      <c r="R1027399" s="349"/>
      <c r="S1027399" s="44"/>
      <c r="T1027399" s="298"/>
      <c r="U1027399" s="44"/>
      <c r="V1027399" s="357"/>
      <c r="W1027399" s="285"/>
      <c r="X1027399" s="358"/>
      <c r="Y1027399" s="358"/>
      <c r="Z1027399" s="361"/>
      <c r="AA1027399" s="350"/>
      <c r="AB1027399" s="350"/>
      <c r="AC1027399" s="350"/>
    </row>
    <row r="1027400" spans="1:29" s="294" customFormat="1" ht="15" customHeight="1">
      <c r="A1027400" s="285"/>
      <c r="B1027400" s="285"/>
      <c r="C1027400" s="285"/>
      <c r="D1027400" s="285"/>
      <c r="E1027400" s="285"/>
      <c r="F1027400" s="285"/>
      <c r="G1027400" s="285"/>
      <c r="H1027400" s="352"/>
      <c r="I1027400" s="352"/>
      <c r="J1027400" s="285"/>
      <c r="K1027400" s="285"/>
      <c r="L1027400" s="285"/>
      <c r="M1027400" s="285"/>
      <c r="N1027400" s="285"/>
      <c r="O1027400" s="285"/>
      <c r="P1027400" s="349"/>
      <c r="Q1027400" s="349"/>
      <c r="R1027400" s="349"/>
      <c r="S1027400" s="44"/>
      <c r="T1027400" s="298"/>
      <c r="U1027400" s="44"/>
      <c r="V1027400" s="357"/>
      <c r="W1027400" s="285"/>
      <c r="X1027400" s="358"/>
      <c r="Y1027400" s="358"/>
      <c r="Z1027400" s="361"/>
      <c r="AA1027400" s="350"/>
      <c r="AB1027400" s="350"/>
      <c r="AC1027400" s="350"/>
    </row>
    <row r="1027401" spans="1:29" s="294" customFormat="1" ht="15" customHeight="1">
      <c r="A1027401" s="285"/>
      <c r="B1027401" s="285"/>
      <c r="C1027401" s="285"/>
      <c r="D1027401" s="285"/>
      <c r="E1027401" s="285"/>
      <c r="F1027401" s="285"/>
      <c r="G1027401" s="285"/>
      <c r="H1027401" s="352"/>
      <c r="I1027401" s="352"/>
      <c r="J1027401" s="285"/>
      <c r="K1027401" s="285"/>
      <c r="L1027401" s="285"/>
      <c r="M1027401" s="285"/>
      <c r="N1027401" s="285"/>
      <c r="O1027401" s="285"/>
      <c r="P1027401" s="349"/>
      <c r="Q1027401" s="349"/>
      <c r="R1027401" s="349"/>
      <c r="S1027401" s="44"/>
      <c r="T1027401" s="298"/>
      <c r="U1027401" s="44"/>
      <c r="V1027401" s="357"/>
      <c r="W1027401" s="285"/>
      <c r="X1027401" s="358"/>
      <c r="Y1027401" s="358"/>
      <c r="Z1027401" s="361"/>
      <c r="AA1027401" s="350"/>
      <c r="AB1027401" s="350"/>
      <c r="AC1027401" s="350"/>
    </row>
    <row r="1027402" spans="1:29" s="294" customFormat="1" ht="15" customHeight="1">
      <c r="A1027402" s="285"/>
      <c r="B1027402" s="285"/>
      <c r="C1027402" s="285"/>
      <c r="D1027402" s="285"/>
      <c r="E1027402" s="285"/>
      <c r="F1027402" s="285"/>
      <c r="G1027402" s="285"/>
      <c r="H1027402" s="352"/>
      <c r="I1027402" s="352"/>
      <c r="J1027402" s="285"/>
      <c r="K1027402" s="285"/>
      <c r="L1027402" s="285"/>
      <c r="M1027402" s="285"/>
      <c r="N1027402" s="285"/>
      <c r="O1027402" s="285"/>
      <c r="P1027402" s="349"/>
      <c r="Q1027402" s="349"/>
      <c r="R1027402" s="349"/>
      <c r="S1027402" s="44"/>
      <c r="T1027402" s="298"/>
      <c r="U1027402" s="44"/>
      <c r="V1027402" s="357"/>
      <c r="W1027402" s="285"/>
      <c r="X1027402" s="358"/>
      <c r="Y1027402" s="358"/>
      <c r="Z1027402" s="361"/>
      <c r="AA1027402" s="350"/>
      <c r="AB1027402" s="350"/>
      <c r="AC1027402" s="350"/>
    </row>
    <row r="1027403" spans="1:29" s="294" customFormat="1" ht="15" customHeight="1">
      <c r="A1027403" s="285"/>
      <c r="B1027403" s="285"/>
      <c r="C1027403" s="285"/>
      <c r="D1027403" s="285"/>
      <c r="E1027403" s="285"/>
      <c r="F1027403" s="285"/>
      <c r="G1027403" s="285"/>
      <c r="H1027403" s="352"/>
      <c r="I1027403" s="352"/>
      <c r="J1027403" s="285"/>
      <c r="K1027403" s="285"/>
      <c r="L1027403" s="285"/>
      <c r="M1027403" s="285"/>
      <c r="N1027403" s="285"/>
      <c r="O1027403" s="285"/>
      <c r="P1027403" s="349"/>
      <c r="Q1027403" s="349"/>
      <c r="R1027403" s="349"/>
      <c r="S1027403" s="44"/>
      <c r="T1027403" s="298"/>
      <c r="U1027403" s="44"/>
      <c r="V1027403" s="357"/>
      <c r="W1027403" s="285"/>
      <c r="X1027403" s="358"/>
      <c r="Y1027403" s="358"/>
      <c r="Z1027403" s="361"/>
      <c r="AA1027403" s="350"/>
      <c r="AB1027403" s="350"/>
      <c r="AC1027403" s="350"/>
    </row>
    <row r="1027404" spans="1:29" s="294" customFormat="1" ht="15" customHeight="1">
      <c r="A1027404" s="285"/>
      <c r="B1027404" s="285"/>
      <c r="C1027404" s="285"/>
      <c r="D1027404" s="285"/>
      <c r="E1027404" s="285"/>
      <c r="F1027404" s="285"/>
      <c r="G1027404" s="285"/>
      <c r="H1027404" s="352"/>
      <c r="I1027404" s="352"/>
      <c r="J1027404" s="285"/>
      <c r="K1027404" s="285"/>
      <c r="L1027404" s="285"/>
      <c r="M1027404" s="285"/>
      <c r="N1027404" s="285"/>
      <c r="O1027404" s="285"/>
      <c r="P1027404" s="349"/>
      <c r="Q1027404" s="349"/>
      <c r="R1027404" s="349"/>
      <c r="S1027404" s="44"/>
      <c r="T1027404" s="298"/>
      <c r="U1027404" s="44"/>
      <c r="V1027404" s="357"/>
      <c r="W1027404" s="285"/>
      <c r="X1027404" s="358"/>
      <c r="Y1027404" s="358"/>
      <c r="Z1027404" s="361"/>
      <c r="AA1027404" s="350"/>
      <c r="AB1027404" s="350"/>
      <c r="AC1027404" s="350"/>
    </row>
    <row r="1027405" spans="1:29" s="294" customFormat="1" ht="15" customHeight="1">
      <c r="A1027405" s="285"/>
      <c r="B1027405" s="285"/>
      <c r="C1027405" s="285"/>
      <c r="D1027405" s="285"/>
      <c r="E1027405" s="285"/>
      <c r="F1027405" s="285"/>
      <c r="G1027405" s="285"/>
      <c r="H1027405" s="352"/>
      <c r="I1027405" s="352"/>
      <c r="J1027405" s="285"/>
      <c r="K1027405" s="285"/>
      <c r="L1027405" s="285"/>
      <c r="M1027405" s="285"/>
      <c r="N1027405" s="285"/>
      <c r="O1027405" s="285"/>
      <c r="P1027405" s="349"/>
      <c r="Q1027405" s="349"/>
      <c r="R1027405" s="349"/>
      <c r="S1027405" s="44"/>
      <c r="T1027405" s="298"/>
      <c r="U1027405" s="44"/>
      <c r="V1027405" s="357"/>
      <c r="W1027405" s="285"/>
      <c r="X1027405" s="358"/>
      <c r="Y1027405" s="358"/>
      <c r="Z1027405" s="360"/>
      <c r="AA1027405" s="350"/>
      <c r="AB1027405" s="350"/>
      <c r="AC1027405" s="350"/>
    </row>
    <row r="1027406" spans="1:29" s="294" customFormat="1" ht="15" customHeight="1">
      <c r="A1027406" s="285"/>
      <c r="B1027406" s="285"/>
      <c r="C1027406" s="285"/>
      <c r="D1027406" s="285"/>
      <c r="E1027406" s="285"/>
      <c r="F1027406" s="285"/>
      <c r="G1027406" s="285"/>
      <c r="H1027406" s="352"/>
      <c r="I1027406" s="352"/>
      <c r="J1027406" s="285"/>
      <c r="K1027406" s="285"/>
      <c r="L1027406" s="285"/>
      <c r="M1027406" s="285"/>
      <c r="N1027406" s="285"/>
      <c r="O1027406" s="285"/>
      <c r="P1027406" s="349"/>
      <c r="Q1027406" s="349"/>
      <c r="R1027406" s="349"/>
      <c r="S1027406" s="44"/>
      <c r="T1027406" s="298"/>
      <c r="U1027406" s="44"/>
      <c r="V1027406" s="357"/>
      <c r="W1027406" s="285"/>
      <c r="X1027406" s="358"/>
      <c r="Y1027406" s="358"/>
      <c r="Z1027406" s="360"/>
      <c r="AA1027406" s="350"/>
      <c r="AB1027406" s="350"/>
      <c r="AC1027406" s="350"/>
    </row>
    <row r="1027407" spans="1:29" s="294" customFormat="1" ht="15" customHeight="1">
      <c r="A1027407" s="285"/>
      <c r="B1027407" s="285"/>
      <c r="C1027407" s="285"/>
      <c r="D1027407" s="285"/>
      <c r="E1027407" s="285"/>
      <c r="F1027407" s="285"/>
      <c r="G1027407" s="285"/>
      <c r="H1027407" s="352"/>
      <c r="I1027407" s="352"/>
      <c r="J1027407" s="285"/>
      <c r="K1027407" s="285"/>
      <c r="L1027407" s="285"/>
      <c r="M1027407" s="285"/>
      <c r="N1027407" s="285"/>
      <c r="O1027407" s="285"/>
      <c r="P1027407" s="349"/>
      <c r="Q1027407" s="349"/>
      <c r="R1027407" s="349"/>
      <c r="S1027407" s="44"/>
      <c r="T1027407" s="298"/>
      <c r="U1027407" s="44"/>
      <c r="V1027407" s="357"/>
      <c r="W1027407" s="285"/>
      <c r="X1027407" s="358"/>
      <c r="Y1027407" s="358"/>
      <c r="Z1027407" s="360"/>
      <c r="AA1027407" s="350"/>
      <c r="AB1027407" s="350"/>
      <c r="AC1027407" s="350"/>
    </row>
    <row r="1027408" spans="1:29" s="294" customFormat="1" ht="15" customHeight="1">
      <c r="A1027408" s="285"/>
      <c r="B1027408" s="285"/>
      <c r="C1027408" s="285"/>
      <c r="D1027408" s="285"/>
      <c r="E1027408" s="285"/>
      <c r="F1027408" s="285"/>
      <c r="G1027408" s="285"/>
      <c r="H1027408" s="352"/>
      <c r="I1027408" s="352"/>
      <c r="J1027408" s="285"/>
      <c r="K1027408" s="285"/>
      <c r="L1027408" s="285"/>
      <c r="M1027408" s="285"/>
      <c r="N1027408" s="285"/>
      <c r="O1027408" s="285"/>
      <c r="P1027408" s="349"/>
      <c r="Q1027408" s="349"/>
      <c r="R1027408" s="349"/>
      <c r="S1027408" s="44"/>
      <c r="T1027408" s="298"/>
      <c r="U1027408" s="44"/>
      <c r="V1027408" s="357"/>
      <c r="W1027408" s="285"/>
      <c r="X1027408" s="358"/>
      <c r="Y1027408" s="358"/>
      <c r="Z1027408" s="360"/>
      <c r="AA1027408" s="350"/>
      <c r="AB1027408" s="350"/>
      <c r="AC1027408" s="350"/>
    </row>
    <row r="1027409" spans="1:29" s="294" customFormat="1" ht="15" customHeight="1">
      <c r="A1027409" s="285"/>
      <c r="B1027409" s="285"/>
      <c r="C1027409" s="285"/>
      <c r="D1027409" s="285"/>
      <c r="E1027409" s="285"/>
      <c r="F1027409" s="285"/>
      <c r="G1027409" s="285"/>
      <c r="H1027409" s="352"/>
      <c r="I1027409" s="352"/>
      <c r="J1027409" s="285"/>
      <c r="K1027409" s="285"/>
      <c r="L1027409" s="285"/>
      <c r="M1027409" s="285"/>
      <c r="N1027409" s="285"/>
      <c r="O1027409" s="285"/>
      <c r="P1027409" s="349"/>
      <c r="Q1027409" s="349"/>
      <c r="R1027409" s="349"/>
      <c r="S1027409" s="44"/>
      <c r="T1027409" s="298"/>
      <c r="U1027409" s="44"/>
      <c r="V1027409" s="357"/>
      <c r="W1027409" s="285"/>
      <c r="X1027409" s="358"/>
      <c r="Y1027409" s="358"/>
      <c r="Z1027409" s="360"/>
      <c r="AA1027409" s="350"/>
      <c r="AB1027409" s="350"/>
      <c r="AC1027409" s="350"/>
    </row>
    <row r="1027410" spans="1:29" s="294" customFormat="1" ht="15" customHeight="1">
      <c r="A1027410" s="285"/>
      <c r="B1027410" s="285"/>
      <c r="C1027410" s="285"/>
      <c r="D1027410" s="285"/>
      <c r="E1027410" s="285"/>
      <c r="F1027410" s="285"/>
      <c r="G1027410" s="285"/>
      <c r="H1027410" s="352"/>
      <c r="I1027410" s="352"/>
      <c r="J1027410" s="285"/>
      <c r="K1027410" s="285"/>
      <c r="L1027410" s="285"/>
      <c r="M1027410" s="285"/>
      <c r="N1027410" s="285"/>
      <c r="O1027410" s="285"/>
      <c r="P1027410" s="349"/>
      <c r="Q1027410" s="349"/>
      <c r="R1027410" s="349"/>
      <c r="S1027410" s="44"/>
      <c r="T1027410" s="298"/>
      <c r="U1027410" s="44"/>
      <c r="V1027410" s="357"/>
      <c r="W1027410" s="285"/>
      <c r="X1027410" s="358"/>
      <c r="Y1027410" s="358"/>
      <c r="Z1027410" s="360"/>
      <c r="AA1027410" s="350"/>
      <c r="AB1027410" s="350"/>
      <c r="AC1027410" s="350"/>
    </row>
  </sheetData>
  <phoneticPr fontId="3" type="noConversion"/>
  <conditionalFormatting sqref="A89 C89 E89:H89 K89">
    <cfRule type="expression" dxfId="1110" priority="1037">
      <formula>(#REF!&lt;&gt;"")*(#REF!&lt;&gt;"")</formula>
    </cfRule>
  </conditionalFormatting>
  <conditionalFormatting sqref="A89">
    <cfRule type="expression" dxfId="1109" priority="1039">
      <formula>(#REF!&lt;&gt;"")*(#REF!&lt;&gt;"")</formula>
    </cfRule>
  </conditionalFormatting>
  <conditionalFormatting sqref="A91 K91 M91">
    <cfRule type="expression" dxfId="1108" priority="1035">
      <formula>(#REF!&lt;&gt;"")*(#REF!&lt;&gt;"")</formula>
    </cfRule>
  </conditionalFormatting>
  <conditionalFormatting sqref="A95 C95 E95:G95 J95:K95">
    <cfRule type="expression" dxfId="1107" priority="1030">
      <formula>(#REF!&lt;&gt;"")*(#REF!&lt;&gt;"")</formula>
    </cfRule>
  </conditionalFormatting>
  <conditionalFormatting sqref="A150:A156 C150:C156">
    <cfRule type="expression" dxfId="1106" priority="988">
      <formula>(#REF!&lt;&gt;"")*(#REF!&lt;&gt;"")</formula>
    </cfRule>
  </conditionalFormatting>
  <conditionalFormatting sqref="A157:A158 C157:C158">
    <cfRule type="expression" dxfId="1105" priority="975">
      <formula>(#REF!&lt;&gt;"")*(#REF!&lt;&gt;"")</formula>
    </cfRule>
  </conditionalFormatting>
  <conditionalFormatting sqref="A160 C160">
    <cfRule type="expression" dxfId="1104" priority="1006">
      <formula>(#REF!&lt;&gt;"")*(#REF!&lt;&gt;"")</formula>
    </cfRule>
  </conditionalFormatting>
  <conditionalFormatting sqref="A168 C168">
    <cfRule type="expression" dxfId="1103" priority="996">
      <formula>(#REF!&lt;&gt;"")*(#REF!&lt;&gt;"")</formula>
    </cfRule>
  </conditionalFormatting>
  <conditionalFormatting sqref="A180 C180">
    <cfRule type="expression" dxfId="1102" priority="969">
      <formula>(#REF!&lt;&gt;"")*(#REF!&lt;&gt;"")</formula>
    </cfRule>
  </conditionalFormatting>
  <conditionalFormatting sqref="A182:A183 C182:C183 A185:A186 C185:C186">
    <cfRule type="expression" dxfId="1101" priority="926">
      <formula>(#REF!&lt;&gt;"")*(#REF!&lt;&gt;"")</formula>
    </cfRule>
  </conditionalFormatting>
  <conditionalFormatting sqref="A198:A200 C198:C200 E198:G200 J198:K200">
    <cfRule type="expression" dxfId="1100" priority="799">
      <formula>(#REF!&lt;&gt;"")*(#REF!&lt;&gt;"")</formula>
    </cfRule>
  </conditionalFormatting>
  <conditionalFormatting sqref="A201:A203 C201:C203 E201:G203 J201:K203 F338:G340 J338:O340 R338:R340 C338:C348 F344:G348 J344:R348 C388 E388:H388 N371:O371 A371:A372 C371:C372 G371:G372 C386 J386:O388 F387:G387 L341:M341 A342 F342:G342 J342:R342 L343:M343 P343 J370 J372:O372 J373:J374">
    <cfRule type="expression" dxfId="1099" priority="785">
      <formula>(#REF!&lt;&gt;"")*(#REF!&lt;&gt;"")</formula>
    </cfRule>
  </conditionalFormatting>
  <conditionalFormatting sqref="A227:A228 C227:C228 E227:H228 J227:J228">
    <cfRule type="expression" dxfId="1098" priority="761">
      <formula>(#REF!&lt;&gt;"")*(#REF!&lt;&gt;"")</formula>
    </cfRule>
  </conditionalFormatting>
  <conditionalFormatting sqref="A235 C235">
    <cfRule type="expression" dxfId="1097" priority="766">
      <formula>(#REF!&lt;&gt;"")*(#REF!&lt;&gt;"")</formula>
    </cfRule>
  </conditionalFormatting>
  <conditionalFormatting sqref="A242:A318 C360:C361 F360:G361 J360:M361 O360:R361 O91:Q91 O242:O318 F284:G286 J122 J140 O510:O517 O518:P519 E519:G519">
    <cfRule type="expression" dxfId="1096" priority="303">
      <formula>(#REF!&lt;&gt;"")*(#REF!&lt;&gt;"")</formula>
    </cfRule>
  </conditionalFormatting>
  <conditionalFormatting sqref="A338:A340">
    <cfRule type="expression" dxfId="1095" priority="439">
      <formula>(#REF!&lt;&gt;"")*(#REF!&lt;&gt;"")</formula>
    </cfRule>
  </conditionalFormatting>
  <conditionalFormatting sqref="A344:A348">
    <cfRule type="expression" dxfId="1094" priority="489">
      <formula>(#REF!&lt;&gt;"")*(#REF!&lt;&gt;"")</formula>
    </cfRule>
  </conditionalFormatting>
  <conditionalFormatting sqref="A360:A361">
    <cfRule type="expression" dxfId="1093" priority="431">
      <formula>(#REF!&lt;&gt;"")*(#REF!&lt;&gt;"")</formula>
    </cfRule>
  </conditionalFormatting>
  <conditionalFormatting sqref="A375:A383">
    <cfRule type="expression" dxfId="1092" priority="285">
      <formula>(#REF!&lt;&gt;"")*(#REF!&lt;&gt;"")</formula>
    </cfRule>
  </conditionalFormatting>
  <conditionalFormatting sqref="A384:A388">
    <cfRule type="expression" dxfId="1091" priority="67">
      <formula>(#REF!&lt;&gt;"")*(#REF!&lt;&gt;"")</formula>
    </cfRule>
  </conditionalFormatting>
  <conditionalFormatting sqref="A438:A440">
    <cfRule type="expression" dxfId="1090" priority="233">
      <formula>(#REF!&lt;&gt;"")*(#REF!&lt;&gt;"")</formula>
    </cfRule>
  </conditionalFormatting>
  <conditionalFormatting sqref="A469:A470">
    <cfRule type="expression" dxfId="1089" priority="47">
      <formula>(#REF!&lt;&gt;"")*(#REF!&lt;&gt;"")</formula>
    </cfRule>
  </conditionalFormatting>
  <conditionalFormatting sqref="A491:A509">
    <cfRule type="expression" dxfId="1088" priority="63">
      <formula>(#REF!&lt;&gt;"")*(#REF!&lt;&gt;"")</formula>
    </cfRule>
  </conditionalFormatting>
  <conditionalFormatting sqref="A516:A522 C516:C522">
    <cfRule type="expression" dxfId="1087" priority="35">
      <formula>(#REF!&lt;&gt;"")*(#REF!&lt;&gt;"")</formula>
    </cfRule>
  </conditionalFormatting>
  <conditionalFormatting sqref="A538:A584">
    <cfRule type="expression" dxfId="1086" priority="50">
      <formula>(#REF!&lt;&gt;"")*(#REF!&lt;&gt;"")</formula>
    </cfRule>
  </conditionalFormatting>
  <conditionalFormatting sqref="C74:C77 J74:K78 M74:O78">
    <cfRule type="expression" dxfId="1085" priority="1055">
      <formula>($A74&lt;&gt;"")*(#REF!&lt;&gt;"")</formula>
    </cfRule>
  </conditionalFormatting>
  <conditionalFormatting sqref="C363:C364 Q363:R364">
    <cfRule type="expression" dxfId="1084" priority="444">
      <formula>(#REF!&lt;&gt;"")*(#REF!&lt;&gt;"")</formula>
    </cfRule>
  </conditionalFormatting>
  <conditionalFormatting sqref="C369 G369 K369:M369 O369">
    <cfRule type="expression" dxfId="1083" priority="513">
      <formula>(#REF!&lt;&gt;"")*(#REF!&lt;&gt;"")</formula>
    </cfRule>
  </conditionalFormatting>
  <conditionalFormatting sqref="C438">
    <cfRule type="expression" dxfId="1082" priority="234">
      <formula>(#REF!&lt;&gt;"")*(#REF!&lt;&gt;"")</formula>
    </cfRule>
  </conditionalFormatting>
  <conditionalFormatting sqref="C469:C470 E469:G470">
    <cfRule type="expression" dxfId="1081" priority="46">
      <formula>(#REF!&lt;&gt;"")*(#REF!&lt;&gt;"")</formula>
    </cfRule>
  </conditionalFormatting>
  <conditionalFormatting sqref="C491:C509">
    <cfRule type="expression" dxfId="1080" priority="62">
      <formula>(#REF!&lt;&gt;"")*(#REF!&lt;&gt;"")</formula>
    </cfRule>
  </conditionalFormatting>
  <conditionalFormatting sqref="C561:C567">
    <cfRule type="expression" dxfId="1079" priority="80">
      <formula>(#REF!&lt;&gt;"")*(#REF!&lt;&gt;"")</formula>
    </cfRule>
  </conditionalFormatting>
  <conditionalFormatting sqref="C569:C584">
    <cfRule type="expression" dxfId="1078" priority="49">
      <formula>(#REF!&lt;&gt;"")*(#REF!&lt;&gt;"")</formula>
    </cfRule>
  </conditionalFormatting>
  <conditionalFormatting sqref="D524:H537">
    <cfRule type="expression" dxfId="1077" priority="44">
      <formula>(#REF!&lt;&gt;"")*(#REF!&lt;&gt;"")</formula>
    </cfRule>
  </conditionalFormatting>
  <conditionalFormatting sqref="E153">
    <cfRule type="expression" dxfId="1076" priority="1017">
      <formula>(#REF!&lt;&gt;"")*(#REF!&lt;&gt;"")</formula>
    </cfRule>
  </conditionalFormatting>
  <conditionalFormatting sqref="E241:E257">
    <cfRule type="expression" dxfId="1075" priority="308">
      <formula>(#REF!&lt;&gt;"")*(#REF!&lt;&gt;"")</formula>
    </cfRule>
  </conditionalFormatting>
  <conditionalFormatting sqref="E258">
    <cfRule type="expression" dxfId="1074" priority="641">
      <formula>(#REF!&lt;&gt;"")*(#REF!&lt;&gt;"")</formula>
    </cfRule>
  </conditionalFormatting>
  <conditionalFormatting sqref="E259:E266">
    <cfRule type="expression" dxfId="1073" priority="392">
      <formula>(#REF!&lt;&gt;"")*(#REF!&lt;&gt;"")</formula>
    </cfRule>
  </conditionalFormatting>
  <conditionalFormatting sqref="E267:E272">
    <cfRule type="expression" dxfId="1072" priority="377">
      <formula>(#REF!&lt;&gt;"")*(#REF!&lt;&gt;"")</formula>
    </cfRule>
  </conditionalFormatting>
  <conditionalFormatting sqref="E273:E317">
    <cfRule type="expression" dxfId="1071" priority="316">
      <formula>(#REF!&lt;&gt;"")*(#REF!&lt;&gt;"")</formula>
    </cfRule>
  </conditionalFormatting>
  <conditionalFormatting sqref="E319:E374">
    <cfRule type="expression" dxfId="1070" priority="322">
      <formula>(#REF!&lt;&gt;"")*(#REF!&lt;&gt;"")</formula>
    </cfRule>
  </conditionalFormatting>
  <conditionalFormatting sqref="E384:E388">
    <cfRule type="expression" dxfId="1069" priority="66">
      <formula>(#REF!&lt;&gt;"")*(#REF!&lt;&gt;"")</formula>
    </cfRule>
  </conditionalFormatting>
  <conditionalFormatting sqref="E438">
    <cfRule type="expression" dxfId="1068" priority="219">
      <formula>(#REF!&lt;&gt;"")*(#REF!&lt;&gt;"")</formula>
    </cfRule>
  </conditionalFormatting>
  <conditionalFormatting sqref="E500">
    <cfRule type="expression" dxfId="1067" priority="61">
      <formula>(#REF!&lt;&gt;"")*(#REF!&lt;&gt;"")</formula>
    </cfRule>
  </conditionalFormatting>
  <conditionalFormatting sqref="E571:F576">
    <cfRule type="expression" dxfId="1066" priority="48">
      <formula>(#REF!&lt;&gt;"")*(#REF!&lt;&gt;"")</formula>
    </cfRule>
  </conditionalFormatting>
  <conditionalFormatting sqref="E72:G72 J72:K72 M72:R72">
    <cfRule type="expression" dxfId="1065" priority="1063">
      <formula>(#REF!&lt;&gt;"")*(#REF!&lt;&gt;"")</formula>
    </cfRule>
  </conditionalFormatting>
  <conditionalFormatting sqref="E318:G318">
    <cfRule type="expression" dxfId="1064" priority="302">
      <formula>(#REF!&lt;&gt;"")*(#REF!&lt;&gt;"")</formula>
    </cfRule>
  </conditionalFormatting>
  <conditionalFormatting sqref="E384:G386">
    <cfRule type="expression" dxfId="1063" priority="241">
      <formula>(#REF!&lt;&gt;"")*(#REF!&lt;&gt;"")</formula>
    </cfRule>
  </conditionalFormatting>
  <conditionalFormatting sqref="E509:G509 J509:O509">
    <cfRule type="expression" dxfId="1062" priority="161">
      <formula>(#REF!&lt;&gt;"")*(#REF!&lt;&gt;"")</formula>
    </cfRule>
  </conditionalFormatting>
  <conditionalFormatting sqref="E510:G516">
    <cfRule type="expression" dxfId="1061" priority="37">
      <formula>(#REF!&lt;&gt;"")*(#REF!&lt;&gt;"")</formula>
    </cfRule>
  </conditionalFormatting>
  <conditionalFormatting sqref="E520:G521 E523:G523">
    <cfRule type="expression" dxfId="1060" priority="165">
      <formula>(#REF!&lt;&gt;"")*(#REF!&lt;&gt;"")</formula>
    </cfRule>
  </conditionalFormatting>
  <conditionalFormatting sqref="E522:G522 J522:O522 Q522">
    <cfRule type="expression" dxfId="1059" priority="33">
      <formula>(#REF!&lt;&gt;"")*(#REF!&lt;&gt;"")</formula>
    </cfRule>
  </conditionalFormatting>
  <conditionalFormatting sqref="E89:H89 K89 M89:O89 Q89">
    <cfRule type="expression" dxfId="1058" priority="1038">
      <formula>(#REF!&lt;&gt;"")*(#REF!&lt;&gt;"")</formula>
    </cfRule>
  </conditionalFormatting>
  <conditionalFormatting sqref="E91:H91">
    <cfRule type="expression" dxfId="1057" priority="1034">
      <formula>(#REF!&lt;&gt;"")*(#REF!&lt;&gt;"")</formula>
    </cfRule>
  </conditionalFormatting>
  <conditionalFormatting sqref="E235:H235 J235:R235">
    <cfRule type="expression" dxfId="1056" priority="744">
      <formula>(#REF!&lt;&gt;"")*(#REF!&lt;&gt;"")</formula>
    </cfRule>
  </conditionalFormatting>
  <conditionalFormatting sqref="E375:H379">
    <cfRule type="expression" dxfId="1055" priority="274">
      <formula>(#REF!&lt;&gt;"")*(#REF!&lt;&gt;"")</formula>
    </cfRule>
  </conditionalFormatting>
  <conditionalFormatting sqref="E438:H440">
    <cfRule type="expression" dxfId="1054" priority="214">
      <formula>(#REF!&lt;&gt;"")*(#REF!&lt;&gt;"")</formula>
    </cfRule>
  </conditionalFormatting>
  <conditionalFormatting sqref="E517:H518">
    <cfRule type="expression" dxfId="1053" priority="130">
      <formula>(#REF!&lt;&gt;"")*(#REF!&lt;&gt;"")</formula>
    </cfRule>
  </conditionalFormatting>
  <conditionalFormatting sqref="E561:H570">
    <cfRule type="expression" dxfId="1052" priority="79">
      <formula>(#REF!&lt;&gt;"")*(#REF!&lt;&gt;"")</formula>
    </cfRule>
  </conditionalFormatting>
  <conditionalFormatting sqref="F2 N150:N158 K156:L158 L160 K168:L168 N168 K182:L183 N182:N183 P182:P183 K185:L186 N185:N186 P185:P186 N2 L155">
    <cfRule type="expression" dxfId="1051" priority="927">
      <formula>(#REF!&lt;&gt;"")*(#REF!&lt;&gt;"")</formula>
    </cfRule>
  </conditionalFormatting>
  <conditionalFormatting sqref="F68:F69">
    <cfRule type="expression" dxfId="1050" priority="998">
      <formula>(#REF!&lt;&gt;"")*(#REF!&lt;&gt;"")</formula>
    </cfRule>
  </conditionalFormatting>
  <conditionalFormatting sqref="F150:F158">
    <cfRule type="expression" dxfId="1049" priority="973">
      <formula>(#REF!&lt;&gt;"")*(#REF!&lt;&gt;"")</formula>
    </cfRule>
  </conditionalFormatting>
  <conditionalFormatting sqref="F160">
    <cfRule type="expression" dxfId="1048" priority="1004">
      <formula>(#REF!&lt;&gt;"")*(#REF!&lt;&gt;"")</formula>
    </cfRule>
  </conditionalFormatting>
  <conditionalFormatting sqref="F168">
    <cfRule type="expression" dxfId="1047" priority="994">
      <formula>(#REF!&lt;&gt;"")*(#REF!&lt;&gt;"")</formula>
    </cfRule>
  </conditionalFormatting>
  <conditionalFormatting sqref="F180">
    <cfRule type="expression" dxfId="1046" priority="967">
      <formula>(#REF!&lt;&gt;"")*(#REF!&lt;&gt;"")</formula>
    </cfRule>
  </conditionalFormatting>
  <conditionalFormatting sqref="F182:F183">
    <cfRule type="expression" dxfId="1045" priority="924">
      <formula>(#REF!&lt;&gt;"")*(#REF!&lt;&gt;"")</formula>
    </cfRule>
  </conditionalFormatting>
  <conditionalFormatting sqref="F239">
    <cfRule type="expression" dxfId="1044" priority="742">
      <formula>(#REF!&lt;&gt;"")*(#REF!&lt;&gt;"")</formula>
    </cfRule>
  </conditionalFormatting>
  <conditionalFormatting sqref="F362:F364">
    <cfRule type="expression" dxfId="1043" priority="442">
      <formula>(#REF!&lt;&gt;"")*(#REF!&lt;&gt;"")</formula>
    </cfRule>
  </conditionalFormatting>
  <conditionalFormatting sqref="F242:G251">
    <cfRule type="expression" dxfId="1042" priority="312">
      <formula>(#REF!&lt;&gt;"")*(#REF!&lt;&gt;"")</formula>
    </cfRule>
  </conditionalFormatting>
  <conditionalFormatting sqref="F253:G275">
    <cfRule type="expression" dxfId="1041" priority="372">
      <formula>(#REF!&lt;&gt;"")*(#REF!&lt;&gt;"")</formula>
    </cfRule>
  </conditionalFormatting>
  <conditionalFormatting sqref="F278:G282">
    <cfRule type="expression" dxfId="1040" priority="358">
      <formula>(#REF!&lt;&gt;"")*(#REF!&lt;&gt;"")</formula>
    </cfRule>
  </conditionalFormatting>
  <conditionalFormatting sqref="F300:G317">
    <cfRule type="expression" dxfId="1039" priority="317">
      <formula>(#REF!&lt;&gt;"")*(#REF!&lt;&gt;"")</formula>
    </cfRule>
  </conditionalFormatting>
  <conditionalFormatting sqref="F500:G500">
    <cfRule type="expression" dxfId="1038" priority="64">
      <formula>(#REF!&lt;&gt;"")*(#REF!&lt;&gt;"")</formula>
    </cfRule>
  </conditionalFormatting>
  <conditionalFormatting sqref="F276:H277">
    <cfRule type="expression" dxfId="1037" priority="366">
      <formula>(#REF!&lt;&gt;"")*(#REF!&lt;&gt;"")</formula>
    </cfRule>
  </conditionalFormatting>
  <conditionalFormatting sqref="F283:H283">
    <cfRule type="expression" dxfId="1036" priority="728">
      <formula>(#REF!&lt;&gt;"")*(#REF!&lt;&gt;"")</formula>
    </cfRule>
  </conditionalFormatting>
  <conditionalFormatting sqref="F287:H299">
    <cfRule type="expression" dxfId="1035" priority="329">
      <formula>(#REF!&lt;&gt;"")*(#REF!&lt;&gt;"")</formula>
    </cfRule>
  </conditionalFormatting>
  <conditionalFormatting sqref="F386:H388">
    <cfRule type="expression" dxfId="1034" priority="65">
      <formula>(#REF!&lt;&gt;"")*(#REF!&lt;&gt;"")</formula>
    </cfRule>
  </conditionalFormatting>
  <conditionalFormatting sqref="G252">
    <cfRule type="expression" dxfId="1033" priority="624">
      <formula>(#REF!&lt;&gt;"")*(#REF!&lt;&gt;"")</formula>
    </cfRule>
  </conditionalFormatting>
  <conditionalFormatting sqref="G571:H580">
    <cfRule type="expression" dxfId="1032" priority="97">
      <formula>(#REF!&lt;&gt;"")*(#REF!&lt;&gt;"")</formula>
    </cfRule>
  </conditionalFormatting>
  <conditionalFormatting sqref="H72:H78 M73">
    <cfRule type="expression" dxfId="1031" priority="1062">
      <formula>(#REF!&lt;&gt;"")*(#REF!&lt;&gt;"")</formula>
    </cfRule>
  </conditionalFormatting>
  <conditionalFormatting sqref="H98:H101">
    <cfRule type="expression" dxfId="1030" priority="1071">
      <formula>(#REF!&lt;&gt;"")*(#REF!&lt;&gt;"")</formula>
    </cfRule>
  </conditionalFormatting>
  <conditionalFormatting sqref="H103:H106">
    <cfRule type="expression" dxfId="1029" priority="1070">
      <formula>(#REF!&lt;&gt;"")*(#REF!&lt;&gt;"")</formula>
    </cfRule>
  </conditionalFormatting>
  <conditionalFormatting sqref="H224">
    <cfRule type="expression" dxfId="1028" priority="770">
      <formula>(#REF!&lt;&gt;"")*(#REF!&lt;&gt;"")</formula>
    </cfRule>
  </conditionalFormatting>
  <conditionalFormatting sqref="H237">
    <cfRule type="expression" dxfId="1027" priority="743">
      <formula>(#REF!&lt;&gt;"")*(#REF!&lt;&gt;"")</formula>
    </cfRule>
  </conditionalFormatting>
  <conditionalFormatting sqref="H259:H266">
    <cfRule type="expression" dxfId="1026" priority="391">
      <formula>(#REF!&lt;&gt;"")*(#REF!&lt;&gt;"")</formula>
    </cfRule>
  </conditionalFormatting>
  <conditionalFormatting sqref="H270:H275">
    <cfRule type="expression" dxfId="1025" priority="376">
      <formula>(#REF!&lt;&gt;"")*(#REF!&lt;&gt;"")</formula>
    </cfRule>
  </conditionalFormatting>
  <conditionalFormatting sqref="H278:H286">
    <cfRule type="expression" dxfId="1024" priority="304">
      <formula>(#REF!&lt;&gt;"")*(#REF!&lt;&gt;"")</formula>
    </cfRule>
  </conditionalFormatting>
  <conditionalFormatting sqref="H300:H318">
    <cfRule type="expression" dxfId="1023" priority="298">
      <formula>(#REF!&lt;&gt;"")*(#REF!&lt;&gt;"")</formula>
    </cfRule>
  </conditionalFormatting>
  <conditionalFormatting sqref="H340:H347">
    <cfRule type="expression" dxfId="1022" priority="468">
      <formula>(#REF!&lt;&gt;"")*(#REF!&lt;&gt;"")</formula>
    </cfRule>
  </conditionalFormatting>
  <conditionalFormatting sqref="H349:H359">
    <cfRule type="expression" dxfId="1021" priority="434">
      <formula>(#REF!&lt;&gt;"")*(#REF!&lt;&gt;"")</formula>
    </cfRule>
  </conditionalFormatting>
  <conditionalFormatting sqref="H360:H364">
    <cfRule type="expression" dxfId="1020" priority="426">
      <formula>(#REF!&lt;&gt;"")*(#REF!&lt;&gt;"")</formula>
    </cfRule>
  </conditionalFormatting>
  <conditionalFormatting sqref="H384:H385">
    <cfRule type="expression" dxfId="1019" priority="238">
      <formula>(#REF!&lt;&gt;"")*(#REF!&lt;&gt;"")</formula>
    </cfRule>
  </conditionalFormatting>
  <conditionalFormatting sqref="H384:H387">
    <cfRule type="expression" dxfId="1018" priority="239">
      <formula>(#REF!&lt;&gt;"")*(#REF!&lt;&gt;"")</formula>
    </cfRule>
  </conditionalFormatting>
  <conditionalFormatting sqref="H474:H480">
    <cfRule type="expression" dxfId="1017" priority="108">
      <formula>(#REF!&lt;&gt;"")*(#REF!&lt;&gt;"")</formula>
    </cfRule>
  </conditionalFormatting>
  <conditionalFormatting sqref="H495:H507">
    <cfRule type="expression" dxfId="1016" priority="181">
      <formula>(#REF!&lt;&gt;"")*(#REF!&lt;&gt;"")</formula>
    </cfRule>
  </conditionalFormatting>
  <conditionalFormatting sqref="H509:H516 P509:Q516 K510:K519 M510:M519">
    <cfRule type="expression" dxfId="1015" priority="38">
      <formula>(#REF!&lt;&gt;"")*(#REF!&lt;&gt;"")</formula>
    </cfRule>
  </conditionalFormatting>
  <conditionalFormatting sqref="H519:H523">
    <cfRule type="expression" dxfId="1014" priority="36">
      <formula>(#REF!&lt;&gt;"")*(#REF!&lt;&gt;"")</formula>
    </cfRule>
  </conditionalFormatting>
  <conditionalFormatting sqref="J3:J15">
    <cfRule type="expression" dxfId="1013" priority="983">
      <formula>(#REF!&lt;&gt;"")*(#REF!&lt;&gt;"")</formula>
    </cfRule>
  </conditionalFormatting>
  <conditionalFormatting sqref="J51:J52">
    <cfRule type="expression" dxfId="1012" priority="1068">
      <formula>(#REF!&lt;&gt;"")*(#REF!&lt;&gt;"")</formula>
    </cfRule>
  </conditionalFormatting>
  <conditionalFormatting sqref="J57:J61">
    <cfRule type="expression" dxfId="1011" priority="999">
      <formula>(#REF!&lt;&gt;"")*(#REF!&lt;&gt;"")</formula>
    </cfRule>
  </conditionalFormatting>
  <conditionalFormatting sqref="J177">
    <cfRule type="expression" dxfId="1010" priority="981">
      <formula>(#REF!&lt;&gt;"")*(#REF!&lt;&gt;"")</formula>
    </cfRule>
  </conditionalFormatting>
  <conditionalFormatting sqref="J179">
    <cfRule type="expression" dxfId="1009" priority="979">
      <formula>(#REF!&lt;&gt;"")*(#REF!&lt;&gt;"")</formula>
    </cfRule>
  </conditionalFormatting>
  <conditionalFormatting sqref="J187:J189">
    <cfRule type="expression" dxfId="1008" priority="813">
      <formula>(#REF!&lt;&gt;"")*(#REF!&lt;&gt;"")</formula>
    </cfRule>
  </conditionalFormatting>
  <conditionalFormatting sqref="J195:J197">
    <cfRule type="expression" dxfId="1007" priority="800">
      <formula>(#REF!&lt;&gt;"")*(#REF!&lt;&gt;"")</formula>
    </cfRule>
  </conditionalFormatting>
  <conditionalFormatting sqref="J204:J214">
    <cfRule type="expression" dxfId="1006" priority="778">
      <formula>(#REF!&lt;&gt;"")*(#REF!&lt;&gt;"")</formula>
    </cfRule>
  </conditionalFormatting>
  <conditionalFormatting sqref="J219">
    <cfRule type="expression" dxfId="1005" priority="777">
      <formula>(#REF!&lt;&gt;"")*(#REF!&lt;&gt;"")</formula>
    </cfRule>
  </conditionalFormatting>
  <conditionalFormatting sqref="J221:J224">
    <cfRule type="expression" dxfId="1004" priority="771">
      <formula>(#REF!&lt;&gt;"")*(#REF!&lt;&gt;"")</formula>
    </cfRule>
  </conditionalFormatting>
  <conditionalFormatting sqref="J230:J234">
    <cfRule type="expression" dxfId="1003" priority="746">
      <formula>(#REF!&lt;&gt;"")*(#REF!&lt;&gt;"")</formula>
    </cfRule>
  </conditionalFormatting>
  <conditionalFormatting sqref="J350:J352">
    <cfRule type="expression" dxfId="1002" priority="482">
      <formula>(#REF!&lt;&gt;"")*(#REF!&lt;&gt;"")</formula>
    </cfRule>
  </conditionalFormatting>
  <conditionalFormatting sqref="J399:J401">
    <cfRule type="expression" dxfId="1001" priority="231">
      <formula>(#REF!&lt;&gt;"")*(#REF!&lt;&gt;"")</formula>
    </cfRule>
  </conditionalFormatting>
  <conditionalFormatting sqref="J441:J442 P443:Q444 J454:J456 Q459 P460:Q461 P473:Q473 P490:Q492 P493:P495 P517 O524:P537">
    <cfRule type="expression" dxfId="1000" priority="291">
      <formula>(#REF!&lt;&gt;"")*(#REF!&lt;&gt;"")</formula>
    </cfRule>
  </conditionalFormatting>
  <conditionalFormatting sqref="J459">
    <cfRule type="expression" dxfId="999" priority="212">
      <formula>(#REF!&lt;&gt;"")*(#REF!&lt;&gt;"")</formula>
    </cfRule>
  </conditionalFormatting>
  <conditionalFormatting sqref="J474:J475">
    <cfRule type="expression" dxfId="998" priority="106">
      <formula>(#REF!&lt;&gt;"")*(#REF!&lt;&gt;"")</formula>
    </cfRule>
  </conditionalFormatting>
  <conditionalFormatting sqref="J518:J519">
    <cfRule type="expression" dxfId="997" priority="120">
      <formula>(#REF!&lt;&gt;"")*(#REF!&lt;&gt;"")</formula>
    </cfRule>
  </conditionalFormatting>
  <conditionalFormatting sqref="J532">
    <cfRule type="expression" dxfId="996" priority="102">
      <formula>(#REF!&lt;&gt;"")*(#REF!&lt;&gt;"")</formula>
    </cfRule>
  </conditionalFormatting>
  <conditionalFormatting sqref="J150:L150">
    <cfRule type="expression" dxfId="995" priority="1025">
      <formula>(#REF!&lt;&gt;"")*(#REF!&lt;&gt;"")</formula>
    </cfRule>
  </conditionalFormatting>
  <conditionalFormatting sqref="J239:L239">
    <cfRule type="expression" dxfId="994" priority="735">
      <formula>(#REF!&lt;&gt;"")*(#REF!&lt;&gt;"")</formula>
    </cfRule>
  </conditionalFormatting>
  <conditionalFormatting sqref="J371:L371">
    <cfRule type="expression" dxfId="993" priority="507">
      <formula>(#REF!&lt;&gt;"")*(#REF!&lt;&gt;"")</formula>
    </cfRule>
  </conditionalFormatting>
  <conditionalFormatting sqref="J387:L388">
    <cfRule type="expression" dxfId="992" priority="256">
      <formula>(#REF!&lt;&gt;"")*(#REF!&lt;&gt;"")</formula>
    </cfRule>
  </conditionalFormatting>
  <conditionalFormatting sqref="J242:M318">
    <cfRule type="expression" dxfId="991" priority="301">
      <formula>(#REF!&lt;&gt;"")*(#REF!&lt;&gt;"")</formula>
    </cfRule>
  </conditionalFormatting>
  <conditionalFormatting sqref="J510:M517">
    <cfRule type="expression" dxfId="990" priority="42">
      <formula>(#REF!&lt;&gt;"")*(#REF!&lt;&gt;"")</formula>
    </cfRule>
  </conditionalFormatting>
  <conditionalFormatting sqref="J375:O383">
    <cfRule type="expression" dxfId="989" priority="273">
      <formula>(#REF!&lt;&gt;"")*(#REF!&lt;&gt;"")</formula>
    </cfRule>
  </conditionalFormatting>
  <conditionalFormatting sqref="J462:O463 R462:R463 AA462:AC463 C462:C467 E462:G467 J464:R464 J467:K467 AA467:AC467 R467:R469 M468:M469 P468:P469 AA468:AA469 AC468:AC469 J470:O470 Q470 P474:R475 AA474:AC475 M475:M478 M480">
    <cfRule type="expression" dxfId="988" priority="242">
      <formula>(#REF!&lt;&gt;"")*(#REF!&lt;&gt;"")</formula>
    </cfRule>
  </conditionalFormatting>
  <conditionalFormatting sqref="J491:O507 E501:G507">
    <cfRule type="expression" dxfId="987" priority="173">
      <formula>(#REF!&lt;&gt;"")*(#REF!&lt;&gt;"")</formula>
    </cfRule>
  </conditionalFormatting>
  <conditionalFormatting sqref="J541:O584">
    <cfRule type="expression" dxfId="986" priority="90">
      <formula>(#REF!&lt;&gt;"")*(#REF!&lt;&gt;"")</formula>
    </cfRule>
  </conditionalFormatting>
  <conditionalFormatting sqref="J384:P385">
    <cfRule type="expression" dxfId="985" priority="295">
      <formula>(#REF!&lt;&gt;"")*(#REF!&lt;&gt;"")</formula>
    </cfRule>
  </conditionalFormatting>
  <conditionalFormatting sqref="J440:P440">
    <cfRule type="expression" dxfId="984" priority="216">
      <formula>(#REF!&lt;&gt;"")*(#REF!&lt;&gt;"")</formula>
    </cfRule>
  </conditionalFormatting>
  <conditionalFormatting sqref="J524:P531">
    <cfRule type="expression" dxfId="983" priority="52">
      <formula>(#REF!&lt;&gt;"")*(#REF!&lt;&gt;"")</formula>
    </cfRule>
  </conditionalFormatting>
  <conditionalFormatting sqref="J520:Q521 J523:Q523">
    <cfRule type="expression" dxfId="982" priority="164">
      <formula>(#REF!&lt;&gt;"")*(#REF!&lt;&gt;"")</formula>
    </cfRule>
  </conditionalFormatting>
  <conditionalFormatting sqref="J438:R438">
    <cfRule type="expression" dxfId="981" priority="8">
      <formula>(#REF!&lt;&gt;"")*(#REF!&lt;&gt;"")</formula>
    </cfRule>
  </conditionalFormatting>
  <conditionalFormatting sqref="K74:K76 A74:A78 E74:G78">
    <cfRule type="expression" dxfId="980" priority="1054">
      <formula>($A74&lt;&gt;"")*(#REF!&lt;&gt;"")</formula>
    </cfRule>
  </conditionalFormatting>
  <conditionalFormatting sqref="K78">
    <cfRule type="expression" dxfId="979" priority="1042">
      <formula>(#REF!&lt;&gt;"")*(#REF!&lt;&gt;"")</formula>
    </cfRule>
  </conditionalFormatting>
  <conditionalFormatting sqref="K242:K248">
    <cfRule type="expression" dxfId="978" priority="709">
      <formula>(#REF!&lt;&gt;"")*(#REF!&lt;&gt;"")</formula>
    </cfRule>
  </conditionalFormatting>
  <conditionalFormatting sqref="K249:K318">
    <cfRule type="expression" dxfId="977" priority="309">
      <formula>(#REF!&lt;&gt;"")*(#REF!&lt;&gt;"")</formula>
    </cfRule>
  </conditionalFormatting>
  <conditionalFormatting sqref="K2:L2">
    <cfRule type="expression" dxfId="976" priority="1075">
      <formula>(#REF!&lt;&gt;"")*(#REF!&lt;&gt;"")</formula>
    </cfRule>
  </conditionalFormatting>
  <conditionalFormatting sqref="K386:L386">
    <cfRule type="expression" dxfId="975" priority="247">
      <formula>(#REF!&lt;&gt;"")*(#REF!&lt;&gt;"")</formula>
    </cfRule>
  </conditionalFormatting>
  <conditionalFormatting sqref="K518:M519">
    <cfRule type="expression" dxfId="974" priority="124">
      <formula>(#REF!&lt;&gt;"")*(#REF!&lt;&gt;"")</formula>
    </cfRule>
  </conditionalFormatting>
  <conditionalFormatting sqref="K532:P532">
    <cfRule type="expression" dxfId="973" priority="101">
      <formula>(#REF!&lt;&gt;"")*(#REF!&lt;&gt;"")</formula>
    </cfRule>
  </conditionalFormatting>
  <conditionalFormatting sqref="L250:L251">
    <cfRule type="expression" dxfId="972" priority="306">
      <formula>(#REF!&lt;&gt;"")*(#REF!&lt;&gt;"")</formula>
    </cfRule>
  </conditionalFormatting>
  <conditionalFormatting sqref="L467:M467">
    <cfRule type="expression" dxfId="971" priority="117">
      <formula>(#REF!&lt;&gt;"")*(#REF!&lt;&gt;"")</formula>
    </cfRule>
  </conditionalFormatting>
  <conditionalFormatting sqref="M3:M15">
    <cfRule type="expression" dxfId="970" priority="984">
      <formula>(#REF!&lt;&gt;"")*(#REF!&lt;&gt;"")</formula>
    </cfRule>
  </conditionalFormatting>
  <conditionalFormatting sqref="M62 M71 A72 C72 H154:H156">
    <cfRule type="expression" dxfId="969" priority="1069">
      <formula>(#REF!&lt;&gt;"")*(#REF!&lt;&gt;"")</formula>
    </cfRule>
  </conditionalFormatting>
  <conditionalFormatting sqref="M65:M66">
    <cfRule type="expression" dxfId="968" priority="1066">
      <formula>(#REF!&lt;&gt;"")*(#REF!&lt;&gt;"")</formula>
    </cfRule>
  </conditionalFormatting>
  <conditionalFormatting sqref="M90">
    <cfRule type="expression" dxfId="967" priority="1033">
      <formula>(#REF!&lt;&gt;"")*(#REF!&lt;&gt;"")</formula>
    </cfRule>
  </conditionalFormatting>
  <conditionalFormatting sqref="M92:M95 Q92:Q95">
    <cfRule type="expression" dxfId="966" priority="730">
      <formula>(#REF!&lt;&gt;"")*(#REF!&lt;&gt;"")</formula>
    </cfRule>
  </conditionalFormatting>
  <conditionalFormatting sqref="M116:M149">
    <cfRule type="expression" dxfId="965" priority="2835">
      <formula>(#REF!&lt;&gt;"")*(#REF!&lt;&gt;"")</formula>
    </cfRule>
  </conditionalFormatting>
  <conditionalFormatting sqref="M167">
    <cfRule type="expression" dxfId="964" priority="997">
      <formula>(#REF!&lt;&gt;"")*(#REF!&lt;&gt;"")</formula>
    </cfRule>
  </conditionalFormatting>
  <conditionalFormatting sqref="M170">
    <cfRule type="expression" dxfId="963" priority="990">
      <formula>(#REF!&lt;&gt;"")*(#REF!&lt;&gt;"")</formula>
    </cfRule>
  </conditionalFormatting>
  <conditionalFormatting sqref="M172">
    <cfRule type="expression" dxfId="962" priority="989">
      <formula>(#REF!&lt;&gt;"")*(#REF!&lt;&gt;"")</formula>
    </cfRule>
  </conditionalFormatting>
  <conditionalFormatting sqref="M176:M177">
    <cfRule type="expression" dxfId="961" priority="980">
      <formula>(#REF!&lt;&gt;"")*(#REF!&lt;&gt;"")</formula>
    </cfRule>
  </conditionalFormatting>
  <conditionalFormatting sqref="M179">
    <cfRule type="expression" dxfId="960" priority="978">
      <formula>(#REF!&lt;&gt;"")*(#REF!&lt;&gt;"")</formula>
    </cfRule>
  </conditionalFormatting>
  <conditionalFormatting sqref="M187:M194">
    <cfRule type="expression" dxfId="959" priority="802">
      <formula>(#REF!&lt;&gt;"")*(#REF!&lt;&gt;"")</formula>
    </cfRule>
  </conditionalFormatting>
  <conditionalFormatting sqref="M207:M214">
    <cfRule type="expression" dxfId="958" priority="779">
      <formula>(#REF!&lt;&gt;"")*(#REF!&lt;&gt;"")</formula>
    </cfRule>
  </conditionalFormatting>
  <conditionalFormatting sqref="M219">
    <cfRule type="expression" dxfId="957" priority="776">
      <formula>(#REF!&lt;&gt;"")*(#REF!&lt;&gt;"")</formula>
    </cfRule>
  </conditionalFormatting>
  <conditionalFormatting sqref="M225 Q225">
    <cfRule type="expression" dxfId="956" priority="768">
      <formula>(#REF!&lt;&gt;"")*(#REF!&lt;&gt;"")</formula>
    </cfRule>
  </conditionalFormatting>
  <conditionalFormatting sqref="M230:M234">
    <cfRule type="expression" dxfId="955" priority="747">
      <formula>(#REF!&lt;&gt;"")*(#REF!&lt;&gt;"")</formula>
    </cfRule>
  </conditionalFormatting>
  <conditionalFormatting sqref="M240">
    <cfRule type="expression" dxfId="954" priority="734">
      <formula>(#REF!&lt;&gt;"")*(#REF!&lt;&gt;"")</formula>
    </cfRule>
  </conditionalFormatting>
  <conditionalFormatting sqref="M242:M318">
    <cfRule type="expression" dxfId="952" priority="300">
      <formula>(#REF!&lt;&gt;"")*(#REF!&lt;&gt;"")</formula>
    </cfRule>
  </conditionalFormatting>
  <conditionalFormatting sqref="M353:M359">
    <cfRule type="expression" dxfId="951" priority="435">
      <formula>(#REF!&lt;&gt;"")*(#REF!&lt;&gt;"")</formula>
    </cfRule>
  </conditionalFormatting>
  <conditionalFormatting sqref="M365">
    <cfRule type="expression" dxfId="950" priority="454">
      <formula>(#REF!&lt;&gt;"")*(#REF!&lt;&gt;"")</formula>
    </cfRule>
  </conditionalFormatting>
  <conditionalFormatting sqref="M381 A510:A515 C510:C515 A523 C523">
    <cfRule type="expression" dxfId="949" priority="292">
      <formula>(#REF!&lt;&gt;"")*(#REF!&lt;&gt;"")</formula>
    </cfRule>
  </conditionalFormatting>
  <conditionalFormatting sqref="M382:M388">
    <cfRule type="expression" dxfId="948" priority="254">
      <formula>(#REF!&lt;&gt;"")*(#REF!&lt;&gt;"")</formula>
    </cfRule>
  </conditionalFormatting>
  <conditionalFormatting sqref="M420:M437">
    <cfRule type="expression" dxfId="947" priority="28">
      <formula>(#REF!&lt;&gt;"")*(#REF!&lt;&gt;"")</formula>
    </cfRule>
  </conditionalFormatting>
  <conditionalFormatting sqref="M440:M459">
    <cfRule type="expression" dxfId="946" priority="197">
      <formula>(#REF!&lt;&gt;"")*(#REF!&lt;&gt;"")</formula>
    </cfRule>
  </conditionalFormatting>
  <conditionalFormatting sqref="M471:M474">
    <cfRule type="expression" dxfId="945" priority="193">
      <formula>(#REF!&lt;&gt;"")*(#REF!&lt;&gt;"")</formula>
    </cfRule>
  </conditionalFormatting>
  <conditionalFormatting sqref="M479">
    <cfRule type="expression" dxfId="944" priority="112">
      <formula>(#REF!&lt;&gt;"")*(#REF!&lt;&gt;"")</formula>
    </cfRule>
  </conditionalFormatting>
  <conditionalFormatting sqref="M462:Q463">
    <cfRule type="expression" dxfId="943" priority="203">
      <formula>(#REF!&lt;&gt;"")*(#REF!&lt;&gt;"")</formula>
    </cfRule>
  </conditionalFormatting>
  <conditionalFormatting sqref="M74:R76">
    <cfRule type="expression" dxfId="942" priority="1048">
      <formula>($A74&lt;&gt;"")*(#REF!&lt;&gt;"")</formula>
    </cfRule>
  </conditionalFormatting>
  <conditionalFormatting sqref="M89:R89">
    <cfRule type="expression" dxfId="941" priority="1036">
      <formula>(#REF!&lt;&gt;"")*(#REF!&lt;&gt;"")</formula>
    </cfRule>
  </conditionalFormatting>
  <conditionalFormatting sqref="M198:R199">
    <cfRule type="expression" dxfId="940" priority="797">
      <formula>(#REF!&lt;&gt;"")*(#REF!&lt;&gt;"")</formula>
    </cfRule>
  </conditionalFormatting>
  <conditionalFormatting sqref="M200:R200">
    <cfRule type="expression" dxfId="939" priority="789">
      <formula>(#REF!&lt;&gt;"")*(#REF!&lt;&gt;"")</formula>
    </cfRule>
  </conditionalFormatting>
  <conditionalFormatting sqref="M201:R203">
    <cfRule type="expression" dxfId="938" priority="784">
      <formula>(#REF!&lt;&gt;"")*(#REF!&lt;&gt;"")</formula>
    </cfRule>
  </conditionalFormatting>
  <conditionalFormatting sqref="M227:R228">
    <cfRule type="expression" dxfId="937" priority="759">
      <formula>(#REF!&lt;&gt;"")*(#REF!&lt;&gt;"")</formula>
    </cfRule>
  </conditionalFormatting>
  <conditionalFormatting sqref="N160">
    <cfRule type="expression" dxfId="936" priority="1000">
      <formula>(#REF!&lt;&gt;"")*(#REF!&lt;&gt;"")</formula>
    </cfRule>
  </conditionalFormatting>
  <conditionalFormatting sqref="N180">
    <cfRule type="expression" dxfId="935" priority="963">
      <formula>(#REF!&lt;&gt;"")*(#REF!&lt;&gt;"")</formula>
    </cfRule>
  </conditionalFormatting>
  <conditionalFormatting sqref="N239">
    <cfRule type="expression" dxfId="934" priority="741">
      <formula>(#REF!&lt;&gt;"")*(#REF!&lt;&gt;"")</formula>
    </cfRule>
  </conditionalFormatting>
  <conditionalFormatting sqref="N242:N256">
    <cfRule type="expression" dxfId="933" priority="311">
      <formula>(#REF!&lt;&gt;"")*(#REF!&lt;&gt;"")</formula>
    </cfRule>
  </conditionalFormatting>
  <conditionalFormatting sqref="N259:N266">
    <cfRule type="expression" dxfId="932" priority="395">
      <formula>(#REF!&lt;&gt;"")*(#REF!&lt;&gt;"")</formula>
    </cfRule>
  </conditionalFormatting>
  <conditionalFormatting sqref="N270:N318">
    <cfRule type="expression" dxfId="931" priority="299">
      <formula>(#REF!&lt;&gt;"")*(#REF!&lt;&gt;"")</formula>
    </cfRule>
  </conditionalFormatting>
  <conditionalFormatting sqref="N360:N361">
    <cfRule type="expression" dxfId="930" priority="430">
      <formula>(#REF!&lt;&gt;"")*(#REF!&lt;&gt;"")</formula>
    </cfRule>
  </conditionalFormatting>
  <conditionalFormatting sqref="N386:N388">
    <cfRule type="expression" dxfId="929" priority="249">
      <formula>(#REF!&lt;&gt;"")*(#REF!&lt;&gt;"")</formula>
    </cfRule>
  </conditionalFormatting>
  <conditionalFormatting sqref="N510:N519">
    <cfRule type="expression" dxfId="928" priority="41">
      <formula>(#REF!&lt;&gt;"")*(#REF!&lt;&gt;"")</formula>
    </cfRule>
  </conditionalFormatting>
  <conditionalFormatting sqref="N470:O470">
    <cfRule type="expression" dxfId="927" priority="202">
      <formula>(#REF!&lt;&gt;"")*(#REF!&lt;&gt;"")</formula>
    </cfRule>
  </conditionalFormatting>
  <conditionalFormatting sqref="N95:Q95">
    <cfRule type="expression" dxfId="926" priority="1027">
      <formula>(#REF!&lt;&gt;"")*(#REF!&lt;&gt;"")</formula>
    </cfRule>
  </conditionalFormatting>
  <conditionalFormatting sqref="N467:Q467">
    <cfRule type="expression" dxfId="925" priority="116">
      <formula>(#REF!&lt;&gt;"")*(#REF!&lt;&gt;"")</formula>
    </cfRule>
  </conditionalFormatting>
  <conditionalFormatting sqref="O377">
    <cfRule type="expression" dxfId="924" priority="280">
      <formula>(#REF!&lt;&gt;"")*(#REF!&lt;&gt;"")</formula>
    </cfRule>
  </conditionalFormatting>
  <conditionalFormatting sqref="O387:O388">
    <cfRule type="expression" dxfId="923" priority="257">
      <formula>(#REF!&lt;&gt;"")*(#REF!&lt;&gt;"")</formula>
    </cfRule>
  </conditionalFormatting>
  <conditionalFormatting sqref="O412">
    <cfRule type="expression" dxfId="922" priority="226">
      <formula>(#REF!&lt;&gt;"")*(#REF!&lt;&gt;"")</formula>
    </cfRule>
  </conditionalFormatting>
  <conditionalFormatting sqref="O447:O448">
    <cfRule type="expression" dxfId="921" priority="218">
      <formula>(#REF!&lt;&gt;"")*(#REF!&lt;&gt;"")</formula>
    </cfRule>
  </conditionalFormatting>
  <conditionalFormatting sqref="O457:O458">
    <cfRule type="expression" dxfId="920" priority="198">
      <formula>(#REF!&lt;&gt;"")*(#REF!&lt;&gt;"")</formula>
    </cfRule>
  </conditionalFormatting>
  <conditionalFormatting sqref="O538:O584">
    <cfRule type="expression" dxfId="919" priority="95">
      <formula>(#REF!&lt;&gt;"")*(#REF!&lt;&gt;"")</formula>
    </cfRule>
  </conditionalFormatting>
  <conditionalFormatting sqref="P77:P78">
    <cfRule type="expression" dxfId="918" priority="1041">
      <formula>($A77&lt;&gt;"")*(#REF!&lt;&gt;"")</formula>
    </cfRule>
  </conditionalFormatting>
  <conditionalFormatting sqref="P150:P152 K151:L154">
    <cfRule type="expression" dxfId="917" priority="986">
      <formula>(#REF!&lt;&gt;"")*(#REF!&lt;&gt;"")</formula>
    </cfRule>
  </conditionalFormatting>
  <conditionalFormatting sqref="P153">
    <cfRule type="expression" dxfId="916" priority="1015">
      <formula>(#REF!&lt;&gt;"")*(#REF!&lt;&gt;"")</formula>
    </cfRule>
    <cfRule type="expression" dxfId="915" priority="1016">
      <formula>(#REF!&lt;&gt;"")*(#REF!&lt;&gt;"")</formula>
    </cfRule>
  </conditionalFormatting>
  <conditionalFormatting sqref="P154:P156">
    <cfRule type="expression" dxfId="914" priority="1010">
      <formula>(#REF!&lt;&gt;"")*(#REF!&lt;&gt;"")</formula>
    </cfRule>
  </conditionalFormatting>
  <conditionalFormatting sqref="P157:P158">
    <cfRule type="expression" dxfId="913" priority="970">
      <formula>(#REF!&lt;&gt;"")*(#REF!&lt;&gt;"")</formula>
    </cfRule>
    <cfRule type="expression" dxfId="912" priority="971">
      <formula>(#REF!&lt;&gt;"")*(#REF!&lt;&gt;"")</formula>
    </cfRule>
  </conditionalFormatting>
  <conditionalFormatting sqref="P160">
    <cfRule type="expression" dxfId="911" priority="1001">
      <formula>(#REF!&lt;&gt;"")*(#REF!&lt;&gt;"")</formula>
    </cfRule>
    <cfRule type="expression" dxfId="910" priority="1002">
      <formula>(#REF!&lt;&gt;"")*(#REF!&lt;&gt;"")</formula>
    </cfRule>
  </conditionalFormatting>
  <conditionalFormatting sqref="P168">
    <cfRule type="expression" dxfId="909" priority="991">
      <formula>(#REF!&lt;&gt;"")*(#REF!&lt;&gt;"")</formula>
    </cfRule>
    <cfRule type="expression" dxfId="908" priority="992">
      <formula>(#REF!&lt;&gt;"")*(#REF!&lt;&gt;"")</formula>
    </cfRule>
  </conditionalFormatting>
  <conditionalFormatting sqref="P175">
    <cfRule type="expression" dxfId="907" priority="977">
      <formula>(#REF!&lt;&gt;"")*(#REF!&lt;&gt;"")</formula>
    </cfRule>
  </conditionalFormatting>
  <conditionalFormatting sqref="P180">
    <cfRule type="expression" dxfId="906" priority="964">
      <formula>(#REF!&lt;&gt;"")*(#REF!&lt;&gt;"")</formula>
    </cfRule>
    <cfRule type="expression" dxfId="905" priority="965">
      <formula>(#REF!&lt;&gt;"")*(#REF!&lt;&gt;"")</formula>
    </cfRule>
  </conditionalFormatting>
  <conditionalFormatting sqref="P239">
    <cfRule type="expression" dxfId="904" priority="736">
      <formula>(#REF!&lt;&gt;"")*(#REF!&lt;&gt;"")</formula>
    </cfRule>
    <cfRule type="expression" dxfId="903" priority="737">
      <formula>(#REF!&lt;&gt;"")*(#REF!&lt;&gt;"")</formula>
    </cfRule>
  </conditionalFormatting>
  <conditionalFormatting sqref="P340:P341">
    <cfRule type="expression" dxfId="902" priority="512">
      <formula>(#REF!&lt;&gt;"")*(#REF!&lt;&gt;"")</formula>
    </cfRule>
  </conditionalFormatting>
  <conditionalFormatting sqref="P375:P383">
    <cfRule type="expression" dxfId="901" priority="267">
      <formula>(#REF!&lt;&gt;"")*(#REF!&lt;&gt;"")</formula>
    </cfRule>
  </conditionalFormatting>
  <conditionalFormatting sqref="P384:P388">
    <cfRule type="expression" dxfId="900" priority="296">
      <formula>(#REF!&lt;&gt;"")*(#REF!&lt;&gt;"")</formula>
    </cfRule>
  </conditionalFormatting>
  <conditionalFormatting sqref="P386:P388">
    <cfRule type="expression" dxfId="899" priority="248">
      <formula>(#REF!&lt;&gt;"")*(#REF!&lt;&gt;"")</formula>
    </cfRule>
  </conditionalFormatting>
  <conditionalFormatting sqref="P394">
    <cfRule type="expression" dxfId="898" priority="230">
      <formula>(#REF!&lt;&gt;"")*(#REF!&lt;&gt;"")</formula>
    </cfRule>
  </conditionalFormatting>
  <conditionalFormatting sqref="P31:Q31">
    <cfRule type="expression" dxfId="897" priority="1065">
      <formula>(#REF!&lt;&gt;"")*(#REF!&lt;&gt;"")</formula>
    </cfRule>
  </conditionalFormatting>
  <conditionalFormatting sqref="P72:Q73">
    <cfRule type="expression" dxfId="896" priority="1059">
      <formula>(#REF!&lt;&gt;"")*(#REF!&lt;&gt;"")</formula>
    </cfRule>
  </conditionalFormatting>
  <conditionalFormatting sqref="P74:Q76 P77 P78:Q78">
    <cfRule type="expression" dxfId="895" priority="1057">
      <formula>($A74&lt;&gt;"")*(#REF!&lt;&gt;"")</formula>
    </cfRule>
  </conditionalFormatting>
  <conditionalFormatting sqref="P89:Q89">
    <cfRule type="expression" dxfId="894" priority="1067">
      <formula>(#REF!&lt;&gt;"")*(#REF!&lt;&gt;"")</formula>
    </cfRule>
  </conditionalFormatting>
  <conditionalFormatting sqref="P95:Q95">
    <cfRule type="expression" dxfId="893" priority="1031">
      <formula>(#REF!&lt;&gt;"")*(#REF!&lt;&gt;"")</formula>
    </cfRule>
  </conditionalFormatting>
  <conditionalFormatting sqref="P198:Q199">
    <cfRule type="expression" dxfId="892" priority="798">
      <formula>(#REF!&lt;&gt;"")*(#REF!&lt;&gt;"")</formula>
    </cfRule>
  </conditionalFormatting>
  <conditionalFormatting sqref="P200:Q200">
    <cfRule type="expression" dxfId="891" priority="795">
      <formula>(#REF!&lt;&gt;"")*(#REF!&lt;&gt;"")</formula>
    </cfRule>
  </conditionalFormatting>
  <conditionalFormatting sqref="P226:Q228">
    <cfRule type="expression" dxfId="890" priority="760">
      <formula>(#REF!&lt;&gt;"")*(#REF!&lt;&gt;"")</formula>
    </cfRule>
  </conditionalFormatting>
  <conditionalFormatting sqref="P235:Q235">
    <cfRule type="expression" dxfId="889" priority="745">
      <formula>(#REF!&lt;&gt;"")*(#REF!&lt;&gt;"")</formula>
    </cfRule>
  </conditionalFormatting>
  <conditionalFormatting sqref="P438:Q438">
    <cfRule type="expression" dxfId="888" priority="9">
      <formula>(#REF!&lt;&gt;"")*(#REF!&lt;&gt;"")</formula>
    </cfRule>
  </conditionalFormatting>
  <conditionalFormatting sqref="P462:Q464">
    <cfRule type="expression" dxfId="887" priority="243">
      <formula>(#REF!&lt;&gt;"")*(#REF!&lt;&gt;"")</formula>
    </cfRule>
  </conditionalFormatting>
  <conditionalFormatting sqref="P467:Q472">
    <cfRule type="expression" dxfId="886" priority="227">
      <formula>(#REF!&lt;&gt;"")*(#REF!&lt;&gt;"")</formula>
    </cfRule>
  </conditionalFormatting>
  <conditionalFormatting sqref="P474:Q480">
    <cfRule type="expression" dxfId="885" priority="113">
      <formula>(#REF!&lt;&gt;"")*(#REF!&lt;&gt;"")</formula>
    </cfRule>
  </conditionalFormatting>
  <conditionalFormatting sqref="P476:Q476">
    <cfRule type="expression" dxfId="884" priority="195">
      <formula>(#REF!&lt;&gt;"")*(#REF!&lt;&gt;"")</formula>
    </cfRule>
  </conditionalFormatting>
  <conditionalFormatting sqref="P496:Q516">
    <cfRule type="expression" dxfId="883" priority="39">
      <formula>(#REF!&lt;&gt;"")*(#REF!&lt;&gt;"")</formula>
    </cfRule>
  </conditionalFormatting>
  <conditionalFormatting sqref="P520:Q523">
    <cfRule type="expression" dxfId="882" priority="34">
      <formula>(#REF!&lt;&gt;"")*(#REF!&lt;&gt;"")</formula>
    </cfRule>
  </conditionalFormatting>
  <conditionalFormatting sqref="P522:Q522">
    <cfRule type="expression" dxfId="881" priority="32">
      <formula>(#REF!&lt;&gt;"")*(#REF!&lt;&gt;"")</formula>
    </cfRule>
  </conditionalFormatting>
  <conditionalFormatting sqref="P73:R73">
    <cfRule type="expression" dxfId="880" priority="1058">
      <formula>(#REF!&lt;&gt;"")*(#REF!&lt;&gt;"")</formula>
    </cfRule>
  </conditionalFormatting>
  <conditionalFormatting sqref="P470:R473">
    <cfRule type="expression" dxfId="879" priority="58">
      <formula>(#REF!&lt;&gt;"")*(#REF!&lt;&gt;"")</formula>
    </cfRule>
  </conditionalFormatting>
  <conditionalFormatting sqref="P477:R480">
    <cfRule type="expression" dxfId="878" priority="111">
      <formula>(#REF!&lt;&gt;"")*(#REF!&lt;&gt;"")</formula>
    </cfRule>
  </conditionalFormatting>
  <conditionalFormatting sqref="P491:R492">
    <cfRule type="expression" dxfId="877" priority="189">
      <formula>(#REF!&lt;&gt;"")*(#REF!&lt;&gt;"")</formula>
    </cfRule>
  </conditionalFormatting>
  <conditionalFormatting sqref="P496:R507">
    <cfRule type="expression" dxfId="876" priority="171">
      <formula>(#REF!&lt;&gt;"")*(#REF!&lt;&gt;"")</formula>
    </cfRule>
  </conditionalFormatting>
  <conditionalFormatting sqref="Q77">
    <cfRule type="expression" dxfId="875" priority="1044">
      <formula>(#REF!&lt;&gt;"")*(#REF!&lt;&gt;"")</formula>
    </cfRule>
    <cfRule type="expression" dxfId="874" priority="1047">
      <formula>(#REF!&lt;&gt;"")*(#REF!&lt;&gt;"")</formula>
    </cfRule>
  </conditionalFormatting>
  <conditionalFormatting sqref="Q78">
    <cfRule type="expression" dxfId="873" priority="1040">
      <formula>($A78&lt;&gt;"")*(#REF!&lt;&gt;"")</formula>
    </cfRule>
  </conditionalFormatting>
  <conditionalFormatting sqref="Q150:Q158">
    <cfRule type="expression" dxfId="872" priority="972">
      <formula>(#REF!&lt;&gt;"")*(#REF!&lt;&gt;"")</formula>
    </cfRule>
  </conditionalFormatting>
  <conditionalFormatting sqref="Q160">
    <cfRule type="expression" dxfId="871" priority="1003">
      <formula>(#REF!&lt;&gt;"")*(#REF!&lt;&gt;"")</formula>
    </cfRule>
  </conditionalFormatting>
  <conditionalFormatting sqref="Q168 Q185:Q186">
    <cfRule type="expression" dxfId="870" priority="993">
      <formula>(#REF!&lt;&gt;"")*(#REF!&lt;&gt;"")</formula>
    </cfRule>
  </conditionalFormatting>
  <conditionalFormatting sqref="Q169">
    <cfRule type="expression" dxfId="869" priority="982">
      <formula>(#REF!&lt;&gt;"")*(#REF!&lt;&gt;"")</formula>
    </cfRule>
  </conditionalFormatting>
  <conditionalFormatting sqref="Q180">
    <cfRule type="expression" dxfId="868" priority="966">
      <formula>(#REF!&lt;&gt;"")*(#REF!&lt;&gt;"")</formula>
    </cfRule>
  </conditionalFormatting>
  <conditionalFormatting sqref="Q182:Q183">
    <cfRule type="expression" dxfId="867" priority="923">
      <formula>(#REF!&lt;&gt;"")*(#REF!&lt;&gt;"")</formula>
    </cfRule>
  </conditionalFormatting>
  <conditionalFormatting sqref="Q191:Q194">
    <cfRule type="expression" dxfId="866" priority="803">
      <formula>(#REF!&lt;&gt;"")*(#REF!&lt;&gt;"")</formula>
    </cfRule>
  </conditionalFormatting>
  <conditionalFormatting sqref="Q239">
    <cfRule type="expression" dxfId="865" priority="738">
      <formula>(#REF!&lt;&gt;"")*(#REF!&lt;&gt;"")</formula>
    </cfRule>
  </conditionalFormatting>
  <conditionalFormatting sqref="Q240">
    <cfRule type="expression" dxfId="864" priority="733">
      <formula>(#REF!&lt;&gt;"")*(#REF!&lt;&gt;"")</formula>
    </cfRule>
  </conditionalFormatting>
  <conditionalFormatting sqref="Q241:Q352">
    <cfRule type="expression" dxfId="863" priority="16">
      <formula>(#REF!&lt;&gt;"")*(#REF!&lt;&gt;"")</formula>
    </cfRule>
  </conditionalFormatting>
  <conditionalFormatting sqref="Q362">
    <cfRule type="expression" dxfId="862" priority="487">
      <formula>(#REF!&lt;&gt;"")*(#REF!&lt;&gt;"")</formula>
    </cfRule>
  </conditionalFormatting>
  <conditionalFormatting sqref="Q365:Q374">
    <cfRule type="expression" dxfId="861" priority="14">
      <formula>(#REF!&lt;&gt;"")*(#REF!&lt;&gt;"")</formula>
    </cfRule>
  </conditionalFormatting>
  <conditionalFormatting sqref="Q375:Q378 E380:H383 A387 C387 R418:R419 Z418:Z500 J439:N439 P443:Q444 C460:C461 E460:G461 J460:R461 AA460:AC461 A460:A467 E474:E480 M481 E491:H494 P493:P495 R493:R495 E495:G499 Z501:AC506 E508:H508 J508:R508 P517 Z520:Z523 T523 Y524:Z525 Z526 Y527:Z527 Z528:Z531 Y532:Z532 J533:P535 Z533:Z540 AB534:AC536 O536:P537 R536:R537 J536:N540 C538:H540 O538:O540 AB538:AB540 C541:F542 G541:H546 E543:F547 C543:C549 G547 D547:D549 H547:H549 AB547:AC549 Z547:AA560 E548:G549 C550:H560 AB550:AB560 Z561:AB565 Z566:AC569 C568:D568 D570:D576 AB570:AC576 Z570:AA580 D577:F580 AB578:AC579 E581:H584 B585:H599 J585:N599 P585:P599 Y599:AC599">
    <cfRule type="expression" dxfId="860" priority="290">
      <formula>(#REF!&lt;&gt;"")*(#REF!&lt;&gt;"")</formula>
    </cfRule>
  </conditionalFormatting>
  <conditionalFormatting sqref="Q375:Q378">
    <cfRule type="expression" dxfId="859" priority="246">
      <formula>(#REF!&lt;&gt;"")*(#REF!&lt;&gt;"")</formula>
    </cfRule>
  </conditionalFormatting>
  <conditionalFormatting sqref="Q379:Q380 Q382:Q388">
    <cfRule type="expression" dxfId="858" priority="236">
      <formula>(#REF!&lt;&gt;"")*(#REF!&lt;&gt;"")</formula>
    </cfRule>
    <cfRule type="expression" dxfId="857" priority="237">
      <formula>(#REF!&lt;&gt;"")*(#REF!&lt;&gt;"")</formula>
    </cfRule>
  </conditionalFormatting>
  <conditionalFormatting sqref="Q394">
    <cfRule type="expression" dxfId="856" priority="229">
      <formula>(#REF!&lt;&gt;"")*(#REF!&lt;&gt;"")</formula>
    </cfRule>
  </conditionalFormatting>
  <conditionalFormatting sqref="Q440:Q442">
    <cfRule type="expression" dxfId="855" priority="1">
      <formula>(#REF!&lt;&gt;"")*(#REF!&lt;&gt;"")</formula>
    </cfRule>
    <cfRule type="expression" dxfId="854" priority="2">
      <formula>(#REF!&lt;&gt;"")*(#REF!&lt;&gt;"")</formula>
    </cfRule>
  </conditionalFormatting>
  <conditionalFormatting sqref="Q445:Q459">
    <cfRule type="expression" dxfId="853" priority="129">
      <formula>(#REF!&lt;&gt;"")*(#REF!&lt;&gt;"")</formula>
    </cfRule>
  </conditionalFormatting>
  <conditionalFormatting sqref="Q465:Q466">
    <cfRule type="expression" dxfId="852" priority="55">
      <formula>(#REF!&lt;&gt;"")*(#REF!&lt;&gt;"")</formula>
    </cfRule>
  </conditionalFormatting>
  <conditionalFormatting sqref="Q468:Q469">
    <cfRule type="expression" dxfId="851" priority="199">
      <formula>(#REF!&lt;&gt;"")*(#REF!&lt;&gt;"")</formula>
    </cfRule>
  </conditionalFormatting>
  <conditionalFormatting sqref="Q471:Q472">
    <cfRule type="expression" dxfId="850" priority="208">
      <formula>(#REF!&lt;&gt;"")*(#REF!&lt;&gt;"")</formula>
    </cfRule>
  </conditionalFormatting>
  <conditionalFormatting sqref="Q477:Q480">
    <cfRule type="expression" dxfId="849" priority="110">
      <formula>(#REF!&lt;&gt;"")*(#REF!&lt;&gt;"")</formula>
    </cfRule>
  </conditionalFormatting>
  <conditionalFormatting sqref="Q493:Q495">
    <cfRule type="expression" dxfId="848" priority="10">
      <formula>(#REF!&lt;&gt;"")*(#REF!&lt;&gt;"")</formula>
    </cfRule>
    <cfRule type="expression" dxfId="847" priority="11">
      <formula>(#REF!&lt;&gt;"")*(#REF!&lt;&gt;"")</formula>
    </cfRule>
  </conditionalFormatting>
  <conditionalFormatting sqref="Q517:Q519">
    <cfRule type="expression" dxfId="846" priority="127">
      <formula>(#REF!&lt;&gt;"")*(#REF!&lt;&gt;"")</formula>
    </cfRule>
  </conditionalFormatting>
  <conditionalFormatting sqref="Q517:Q521">
    <cfRule type="expression" dxfId="845" priority="126">
      <formula>(#REF!&lt;&gt;"")*(#REF!&lt;&gt;"")</formula>
    </cfRule>
  </conditionalFormatting>
  <conditionalFormatting sqref="Q538:Q584">
    <cfRule type="expression" dxfId="844" priority="77">
      <formula>(#REF!&lt;&gt;"")*(#REF!&lt;&gt;"")</formula>
    </cfRule>
  </conditionalFormatting>
  <conditionalFormatting sqref="Q465:R466">
    <cfRule type="expression" dxfId="843" priority="53">
      <formula>(#REF!&lt;&gt;"")*(#REF!&lt;&gt;"")</formula>
    </cfRule>
  </conditionalFormatting>
  <conditionalFormatting sqref="Q509:R509">
    <cfRule type="expression" dxfId="842" priority="159">
      <formula>(#REF!&lt;&gt;"")*(#REF!&lt;&gt;"")</formula>
    </cfRule>
  </conditionalFormatting>
  <conditionalFormatting sqref="R150:R158">
    <cfRule type="expression" dxfId="841" priority="974">
      <formula>(#REF!&lt;&gt;"")*(#REF!&lt;&gt;"")</formula>
    </cfRule>
  </conditionalFormatting>
  <conditionalFormatting sqref="R160">
    <cfRule type="expression" dxfId="840" priority="1005">
      <formula>(#REF!&lt;&gt;"")*(#REF!&lt;&gt;"")</formula>
    </cfRule>
  </conditionalFormatting>
  <conditionalFormatting sqref="R168">
    <cfRule type="expression" dxfId="839" priority="995">
      <formula>(#REF!&lt;&gt;"")*(#REF!&lt;&gt;"")</formula>
    </cfRule>
  </conditionalFormatting>
  <conditionalFormatting sqref="R175">
    <cfRule type="expression" dxfId="838" priority="976">
      <formula>(#REF!&lt;&gt;"")*(#REF!&lt;&gt;"")</formula>
    </cfRule>
  </conditionalFormatting>
  <conditionalFormatting sqref="R180">
    <cfRule type="expression" dxfId="837" priority="968">
      <formula>(#REF!&lt;&gt;"")*(#REF!&lt;&gt;"")</formula>
    </cfRule>
  </conditionalFormatting>
  <conditionalFormatting sqref="R182:R183 R185:R186">
    <cfRule type="expression" dxfId="836" priority="925">
      <formula>(#REF!&lt;&gt;"")*(#REF!&lt;&gt;"")</formula>
    </cfRule>
  </conditionalFormatting>
  <conditionalFormatting sqref="R239">
    <cfRule type="expression" dxfId="835" priority="739">
      <formula>(#REF!&lt;&gt;"")*(#REF!&lt;&gt;"")</formula>
    </cfRule>
  </conditionalFormatting>
  <conditionalFormatting sqref="R350:R359">
    <cfRule type="expression" dxfId="834" priority="437">
      <formula>(#REF!&lt;&gt;"")*(#REF!&lt;&gt;"")</formula>
    </cfRule>
  </conditionalFormatting>
  <conditionalFormatting sqref="R362">
    <cfRule type="expression" dxfId="833" priority="486">
      <formula>(#REF!&lt;&gt;"")*(#REF!&lt;&gt;"")</formula>
    </cfRule>
  </conditionalFormatting>
  <conditionalFormatting sqref="R366:R374">
    <cfRule type="expression" dxfId="832" priority="452">
      <formula>(#REF!&lt;&gt;"")*(#REF!&lt;&gt;"")</formula>
    </cfRule>
  </conditionalFormatting>
  <conditionalFormatting sqref="R386:R388">
    <cfRule type="expression" dxfId="831" priority="244">
      <formula>(#REF!&lt;&gt;"")*(#REF!&lt;&gt;"")</formula>
    </cfRule>
  </conditionalFormatting>
  <conditionalFormatting sqref="R520:R534">
    <cfRule type="expression" dxfId="830" priority="31">
      <formula>(#REF!&lt;&gt;"")*(#REF!&lt;&gt;"")</formula>
    </cfRule>
  </conditionalFormatting>
  <conditionalFormatting sqref="T72 T89">
    <cfRule type="expression" dxfId="829" priority="960">
      <formula>(#REF!&lt;&gt;"")*(#REF!&lt;&gt;"")</formula>
    </cfRule>
  </conditionalFormatting>
  <conditionalFormatting sqref="T74:T76">
    <cfRule type="expression" dxfId="828" priority="957">
      <formula>($A74&lt;&gt;"")*(#REF!&lt;&gt;"")</formula>
    </cfRule>
  </conditionalFormatting>
  <conditionalFormatting sqref="T77">
    <cfRule type="expression" dxfId="827" priority="958">
      <formula>(#REF!&lt;&gt;"")*(#REF!&lt;&gt;"")</formula>
    </cfRule>
  </conditionalFormatting>
  <conditionalFormatting sqref="T228">
    <cfRule type="expression" dxfId="826" priority="732">
      <formula>(#REF!&lt;&gt;"")*(#REF!&lt;&gt;"")</formula>
    </cfRule>
  </conditionalFormatting>
  <conditionalFormatting sqref="T235">
    <cfRule type="expression" dxfId="825" priority="731">
      <formula>(#REF!&lt;&gt;"")*(#REF!&lt;&gt;"")</formula>
    </cfRule>
  </conditionalFormatting>
  <conditionalFormatting sqref="T242:T256">
    <cfRule type="expression" dxfId="824" priority="18">
      <formula>(#REF!&lt;&gt;"")*(#REF!&lt;&gt;"")</formula>
    </cfRule>
  </conditionalFormatting>
  <conditionalFormatting sqref="T259:T266">
    <cfRule type="expression" dxfId="823" priority="390">
      <formula>(#REF!&lt;&gt;"")*(#REF!&lt;&gt;"")</formula>
    </cfRule>
  </conditionalFormatting>
  <conditionalFormatting sqref="T268">
    <cfRule type="expression" dxfId="822" priority="384">
      <formula>(#REF!&lt;&gt;"")*(#REF!&lt;&gt;"")</formula>
    </cfRule>
  </conditionalFormatting>
  <conditionalFormatting sqref="T270:T318">
    <cfRule type="expression" dxfId="821" priority="318">
      <formula>(#REF!&lt;&gt;"")*(#REF!&lt;&gt;"")</formula>
    </cfRule>
  </conditionalFormatting>
  <conditionalFormatting sqref="T375:T380">
    <cfRule type="expression" dxfId="820" priority="245">
      <formula>(#REF!&lt;&gt;"")*(#REF!&lt;&gt;"")</formula>
    </cfRule>
  </conditionalFormatting>
  <conditionalFormatting sqref="T381">
    <cfRule type="expression" dxfId="819" priority="293">
      <formula>(#REF!&lt;&gt;"")*(#REF!&lt;&gt;"")</formula>
    </cfRule>
  </conditionalFormatting>
  <conditionalFormatting sqref="T382:T388">
    <cfRule type="expression" dxfId="818" priority="265">
      <formula>(#REF!&lt;&gt;"")*(#REF!&lt;&gt;"")</formula>
    </cfRule>
  </conditionalFormatting>
  <conditionalFormatting sqref="T438">
    <cfRule type="expression" dxfId="817" priority="7">
      <formula>(#REF!&lt;&gt;"")*(#REF!&lt;&gt;"")</formula>
    </cfRule>
  </conditionalFormatting>
  <conditionalFormatting sqref="T78:U78">
    <cfRule type="expression" dxfId="816" priority="955">
      <formula>($A78&lt;&gt;"")*(#REF!&lt;&gt;"")</formula>
    </cfRule>
  </conditionalFormatting>
  <conditionalFormatting sqref="T439:U440">
    <cfRule type="expression" dxfId="815" priority="3">
      <formula>(#REF!&lt;&gt;"")*(#REF!&lt;&gt;"")</formula>
    </cfRule>
  </conditionalFormatting>
  <conditionalFormatting sqref="U242:U318">
    <cfRule type="expression" dxfId="814" priority="313">
      <formula>(#REF!&lt;&gt;"")*(#REF!&lt;&gt;"")</formula>
    </cfRule>
  </conditionalFormatting>
  <conditionalFormatting sqref="U510:U519">
    <cfRule type="expression" dxfId="813" priority="125">
      <formula>(#REF!&lt;&gt;"")*(#REF!&lt;&gt;"")</formula>
    </cfRule>
  </conditionalFormatting>
  <conditionalFormatting sqref="W276:W277">
    <cfRule type="expression" dxfId="812" priority="361">
      <formula>(#REF!&lt;&gt;"")*(#REF!&lt;&gt;"")</formula>
    </cfRule>
  </conditionalFormatting>
  <conditionalFormatting sqref="W330:W331">
    <cfRule type="expression" dxfId="811" priority="424">
      <formula>(#REF!&lt;&gt;"")*(#REF!&lt;&gt;"")</formula>
    </cfRule>
  </conditionalFormatting>
  <conditionalFormatting sqref="W360:W361">
    <cfRule type="expression" dxfId="810" priority="427">
      <formula>(#REF!&lt;&gt;"")*(#REF!&lt;&gt;"")</formula>
    </cfRule>
  </conditionalFormatting>
  <conditionalFormatting sqref="X252">
    <cfRule type="expression" dxfId="809" priority="514">
      <formula>(#REF!&lt;&gt;"")*(#REF!&lt;&gt;"")</formula>
    </cfRule>
  </conditionalFormatting>
  <conditionalFormatting sqref="Y348">
    <cfRule type="expression" dxfId="808" priority="495">
      <formula>(#REF!&lt;&gt;"")*(#REF!&lt;&gt;"")</formula>
    </cfRule>
  </conditionalFormatting>
  <conditionalFormatting sqref="Y585:AB598">
    <cfRule type="expression" dxfId="807" priority="72">
      <formula>(#REF!&lt;&gt;"")*(#REF!&lt;&gt;"")</formula>
    </cfRule>
  </conditionalFormatting>
  <conditionalFormatting sqref="Z76">
    <cfRule type="expression" dxfId="806" priority="959">
      <formula>($A76&lt;&gt;"")*(#REF!&lt;&gt;"")</formula>
    </cfRule>
  </conditionalFormatting>
  <conditionalFormatting sqref="Z78">
    <cfRule type="expression" dxfId="805" priority="956">
      <formula>($A78&lt;&gt;"")*(#REF!&lt;&gt;"")</formula>
    </cfRule>
  </conditionalFormatting>
  <conditionalFormatting sqref="Z360:Z361">
    <cfRule type="expression" dxfId="804" priority="429">
      <formula>(#REF!&lt;&gt;"")*(#REF!&lt;&gt;"")</formula>
    </cfRule>
  </conditionalFormatting>
  <conditionalFormatting sqref="Z369">
    <cfRule type="expression" dxfId="803" priority="511">
      <formula>(#REF!&lt;&gt;"")*(#REF!&lt;&gt;"")</formula>
    </cfRule>
  </conditionalFormatting>
  <conditionalFormatting sqref="Z371:Z372">
    <cfRule type="expression" dxfId="802" priority="506">
      <formula>(#REF!&lt;&gt;"")*(#REF!&lt;&gt;"")</formula>
    </cfRule>
  </conditionalFormatting>
  <conditionalFormatting sqref="Z766">
    <cfRule type="duplicateValues" dxfId="801" priority="23"/>
  </conditionalFormatting>
  <conditionalFormatting sqref="Z767">
    <cfRule type="duplicateValues" dxfId="800" priority="22"/>
  </conditionalFormatting>
  <conditionalFormatting sqref="Z768">
    <cfRule type="duplicateValues" dxfId="799" priority="21"/>
  </conditionalFormatting>
  <conditionalFormatting sqref="Z769">
    <cfRule type="duplicateValues" dxfId="798" priority="20"/>
  </conditionalFormatting>
  <conditionalFormatting sqref="Z1027398">
    <cfRule type="expression" dxfId="797" priority="2839">
      <formula>(#REF!&lt;&gt;"")*(#REF!&lt;&gt;"")</formula>
    </cfRule>
  </conditionalFormatting>
  <conditionalFormatting sqref="Z1027399">
    <cfRule type="expression" dxfId="796" priority="2838">
      <formula>(#REF!&lt;&gt;"")*(#REF!&lt;&gt;"")</formula>
    </cfRule>
  </conditionalFormatting>
  <conditionalFormatting sqref="Z1027401:Z1027404">
    <cfRule type="expression" dxfId="795" priority="2837">
      <formula>(#REF!&lt;&gt;"")*(#REF!&lt;&gt;"")</formula>
    </cfRule>
  </conditionalFormatting>
  <conditionalFormatting sqref="Z507:AA509">
    <cfRule type="expression" dxfId="794" priority="158">
      <formula>(#REF!&lt;&gt;"")*(#REF!&lt;&gt;"")</formula>
    </cfRule>
  </conditionalFormatting>
  <conditionalFormatting sqref="Z581:AB584">
    <cfRule type="expression" dxfId="793" priority="73">
      <formula>(#REF!&lt;&gt;"")*(#REF!&lt;&gt;"")</formula>
    </cfRule>
  </conditionalFormatting>
  <conditionalFormatting sqref="Z72:AC73 Z89:AC89 AB577:AC577 AB580:AC580">
    <cfRule type="expression" dxfId="792" priority="1074">
      <formula>(#REF!&lt;&gt;"")*(#REF!&lt;&gt;"")</formula>
    </cfRule>
  </conditionalFormatting>
  <conditionalFormatting sqref="Z74:AC75 AB76:AC76 M78">
    <cfRule type="expression" dxfId="791" priority="1064">
      <formula>($A74&lt;&gt;"")*(#REF!&lt;&gt;"")</formula>
    </cfRule>
  </conditionalFormatting>
  <conditionalFormatting sqref="Z77:AC77">
    <cfRule type="expression" dxfId="790" priority="961">
      <formula>(#REF!&lt;&gt;"")*(#REF!&lt;&gt;"")</formula>
    </cfRule>
  </conditionalFormatting>
  <conditionalFormatting sqref="Z541:AC546 AC550:AC565">
    <cfRule type="expression" dxfId="789" priority="75">
      <formula>(#REF!&lt;&gt;"")*(#REF!&lt;&gt;"")</formula>
    </cfRule>
  </conditionalFormatting>
  <conditionalFormatting sqref="AA84">
    <cfRule type="expression" dxfId="788" priority="943">
      <formula>($A84&lt;&gt;"")*(#REF!&lt;&gt;"")</formula>
    </cfRule>
  </conditionalFormatting>
  <conditionalFormatting sqref="AA88">
    <cfRule type="expression" dxfId="787" priority="944">
      <formula>(#REF!&lt;&gt;"")*(#REF!&lt;&gt;"")</formula>
    </cfRule>
  </conditionalFormatting>
  <conditionalFormatting sqref="AA98">
    <cfRule type="expression" dxfId="786" priority="942">
      <formula>($A98&lt;&gt;"")*(#REF!&lt;&gt;"")</formula>
    </cfRule>
  </conditionalFormatting>
  <conditionalFormatting sqref="AA100">
    <cfRule type="expression" dxfId="785" priority="941">
      <formula>($A100&lt;&gt;"")*(#REF!&lt;&gt;"")</formula>
    </cfRule>
  </conditionalFormatting>
  <conditionalFormatting sqref="AA104">
    <cfRule type="expression" dxfId="784" priority="940">
      <formula>($A104&lt;&gt;"")*(#REF!&lt;&gt;"")</formula>
    </cfRule>
  </conditionalFormatting>
  <conditionalFormatting sqref="AA137:AA138">
    <cfRule type="expression" dxfId="783" priority="938">
      <formula>($A137&lt;&gt;"")*(#REF!&lt;&gt;"")</formula>
    </cfRule>
  </conditionalFormatting>
  <conditionalFormatting sqref="AA140:AA143">
    <cfRule type="expression" dxfId="782" priority="936">
      <formula>($A140&lt;&gt;"")*(#REF!&lt;&gt;"")</formula>
    </cfRule>
  </conditionalFormatting>
  <conditionalFormatting sqref="AA150 AA154 AA156">
    <cfRule type="expression" dxfId="781" priority="935">
      <formula>($A150&lt;&gt;"")*(#REF!&lt;&gt;"")</formula>
    </cfRule>
  </conditionalFormatting>
  <conditionalFormatting sqref="AA173">
    <cfRule type="expression" dxfId="780" priority="934">
      <formula>(#REF!&lt;&gt;"")*(#REF!&lt;&gt;"")</formula>
    </cfRule>
  </conditionalFormatting>
  <conditionalFormatting sqref="AA181">
    <cfRule type="expression" dxfId="779" priority="928">
      <formula>(#REF!&lt;&gt;"")*(#REF!&lt;&gt;"")</formula>
    </cfRule>
  </conditionalFormatting>
  <conditionalFormatting sqref="AA78:AC78">
    <cfRule type="expression" dxfId="778" priority="954">
      <formula>(#REF!&lt;&gt;"")*(#REF!&lt;&gt;"")</formula>
    </cfRule>
  </conditionalFormatting>
  <conditionalFormatting sqref="AA438:AC438">
    <cfRule type="expression" dxfId="777" priority="188">
      <formula>(#REF!&lt;&gt;"")*(#REF!&lt;&gt;"")</formula>
    </cfRule>
  </conditionalFormatting>
  <conditionalFormatting sqref="AA440:AC440">
    <cfRule type="expression" dxfId="776" priority="187">
      <formula>(#REF!&lt;&gt;"")*(#REF!&lt;&gt;"")</formula>
    </cfRule>
  </conditionalFormatting>
  <conditionalFormatting sqref="AA443:AC444">
    <cfRule type="expression" dxfId="775" priority="56">
      <formula>(#REF!&lt;&gt;"")*(#REF!&lt;&gt;"")</formula>
    </cfRule>
  </conditionalFormatting>
  <conditionalFormatting sqref="AA464:AC466">
    <cfRule type="expression" dxfId="774" priority="114">
      <formula>(#REF!&lt;&gt;"")*(#REF!&lt;&gt;"")</formula>
    </cfRule>
  </conditionalFormatting>
  <conditionalFormatting sqref="AA470:AC473">
    <cfRule type="expression" dxfId="773" priority="57">
      <formula>(#REF!&lt;&gt;"")*(#REF!&lt;&gt;"")</formula>
    </cfRule>
  </conditionalFormatting>
  <conditionalFormatting sqref="AA477:AC480">
    <cfRule type="expression" dxfId="772" priority="105">
      <formula>(#REF!&lt;&gt;"")*(#REF!&lt;&gt;"")</formula>
    </cfRule>
  </conditionalFormatting>
  <conditionalFormatting sqref="AA491:AC500">
    <cfRule type="expression" dxfId="771" priority="179">
      <formula>(#REF!&lt;&gt;"")*(#REF!&lt;&gt;"")</formula>
    </cfRule>
  </conditionalFormatting>
  <conditionalFormatting sqref="AB153">
    <cfRule type="expression" dxfId="770" priority="950">
      <formula>(#REF!&lt;&gt;"")*(#REF!&lt;&gt;"")</formula>
    </cfRule>
  </conditionalFormatting>
  <conditionalFormatting sqref="AB468:AB469">
    <cfRule type="expression" dxfId="769" priority="183">
      <formula>(#REF!&lt;&gt;"")*(#REF!&lt;&gt;"")</formula>
    </cfRule>
  </conditionalFormatting>
  <conditionalFormatting sqref="AB509">
    <cfRule type="expression" dxfId="768" priority="157">
      <formula>(#REF!&lt;&gt;"")*(#REF!&lt;&gt;"")</formula>
    </cfRule>
  </conditionalFormatting>
  <conditionalFormatting sqref="AB512:AB525 AB526:AC533 AB537">
    <cfRule type="expression" dxfId="767" priority="103">
      <formula>(#REF!&lt;&gt;"")*(#REF!&lt;&gt;"")</formula>
    </cfRule>
  </conditionalFormatting>
  <conditionalFormatting sqref="AB150:AC150">
    <cfRule type="expression" dxfId="766" priority="952">
      <formula>(#REF!&lt;&gt;"")*(#REF!&lt;&gt;"")</formula>
    </cfRule>
  </conditionalFormatting>
  <conditionalFormatting sqref="AB154:AC158">
    <cfRule type="expression" dxfId="765" priority="933">
      <formula>(#REF!&lt;&gt;"")*(#REF!&lt;&gt;"")</formula>
    </cfRule>
  </conditionalFormatting>
  <conditionalFormatting sqref="AB180:AC180">
    <cfRule type="expression" dxfId="764" priority="930">
      <formula>(#REF!&lt;&gt;"")*(#REF!&lt;&gt;"")</formula>
    </cfRule>
  </conditionalFormatting>
  <conditionalFormatting sqref="AB507:AC508">
    <cfRule type="expression" dxfId="763" priority="137">
      <formula>(#REF!&lt;&gt;"")*(#REF!&lt;&gt;"")</formula>
    </cfRule>
  </conditionalFormatting>
  <conditionalFormatting sqref="AC154:AC158">
    <cfRule type="expression" dxfId="762" priority="932">
      <formula>(#REF!&lt;&gt;"")*(#REF!&lt;&gt;"")</formula>
    </cfRule>
  </conditionalFormatting>
  <conditionalFormatting sqref="AC180">
    <cfRule type="expression" dxfId="761" priority="929">
      <formula>(#REF!&lt;&gt;"")*(#REF!&lt;&gt;"")</formula>
    </cfRule>
  </conditionalFormatting>
  <conditionalFormatting sqref="AC509:AC525">
    <cfRule type="expression" dxfId="760" priority="119">
      <formula>(#REF!&lt;&gt;"")*(#REF!&lt;&gt;"")</formula>
    </cfRule>
  </conditionalFormatting>
  <conditionalFormatting sqref="AC537:AC540">
    <cfRule type="expression" dxfId="759" priority="131">
      <formula>(#REF!&lt;&gt;"")*(#REF!&lt;&gt;"")</formula>
    </cfRule>
  </conditionalFormatting>
  <conditionalFormatting sqref="AC581:AC598">
    <cfRule type="expression" dxfId="758" priority="74">
      <formula>(#REF!&lt;&gt;"")*(#REF!&lt;&gt;"")</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726" id="{E47C5DA6-8121-4A16-A5F7-2A2A7E45457A}">
            <xm:f>('/Users/zhuangyuhao/Desktop/IDC\A计提表\2020年\202008\[2020年8月IDC费用支付明细表-华东-WO.xlsx]202008华东及第三方-带宽'!#REF!&lt;&gt;"")*('/Users/zhuangyuhao/Desktop/IDC\A计提表\2020年\202008\[2020年8月IDC费用支付明细表-华东-WO.xlsx]202008华东及第三方-带宽'!#REF!&lt;&gt;"")</xm:f>
            <x14:dxf>
              <border>
                <left style="thin">
                  <color auto="1"/>
                </left>
                <right style="thin">
                  <color auto="1"/>
                </right>
                <top style="thin">
                  <color auto="1"/>
                </top>
                <bottom style="thin">
                  <color auto="1"/>
                </bottom>
                <vertical/>
                <horizontal/>
              </border>
            </x14:dxf>
          </x14:cfRule>
          <xm:sqref>M241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C1661-78FF-4677-9DCC-7AB804B3EA87}">
  <dimension ref="A1:AS1030182"/>
  <sheetViews>
    <sheetView zoomScaleNormal="100" workbookViewId="0">
      <pane ySplit="1" topLeftCell="A1913" activePane="bottomLeft" state="frozen"/>
      <selection pane="bottomLeft" activeCell="J2525" sqref="J2525"/>
    </sheetView>
  </sheetViews>
  <sheetFormatPr baseColWidth="10" defaultColWidth="11.6640625" defaultRowHeight="15" customHeight="1"/>
  <cols>
    <col min="1" max="1" width="7.33203125" style="44" customWidth="1"/>
    <col min="2" max="3" width="3.33203125" style="44" customWidth="1"/>
    <col min="4" max="4" width="6.5" style="44" customWidth="1"/>
    <col min="5" max="5" width="11.5" style="44" customWidth="1"/>
    <col min="6" max="6" width="13.83203125" style="44" customWidth="1"/>
    <col min="7" max="7" width="4.5" style="44" customWidth="1"/>
    <col min="8" max="8" width="17.1640625" style="284" customWidth="1"/>
    <col min="9" max="9" width="8.6640625" style="44" customWidth="1"/>
    <col min="10" max="10" width="18.1640625" style="285" customWidth="1"/>
    <col min="11" max="11" width="18.83203125" style="285" customWidth="1"/>
    <col min="12" max="12" width="11.6640625" style="44" customWidth="1"/>
    <col min="13" max="13" width="11.83203125" style="44" customWidth="1"/>
    <col min="14" max="14" width="11.6640625" style="44" customWidth="1"/>
    <col min="15" max="15" width="12.1640625" style="286" customWidth="1"/>
    <col min="16" max="16" width="11.83203125" style="287" customWidth="1"/>
    <col min="17" max="17" width="16.33203125" style="286" customWidth="1"/>
    <col min="18" max="18" width="11.83203125" style="288" customWidth="1"/>
    <col min="19" max="19" width="20.83203125" style="44" customWidth="1"/>
    <col min="20" max="20" width="17.33203125" style="44" customWidth="1"/>
    <col min="21" max="21" width="43.83203125" style="289" customWidth="1"/>
    <col min="22" max="22" width="11.6640625" style="44" customWidth="1"/>
    <col min="23" max="23" width="11.6640625" style="290" customWidth="1"/>
    <col min="24" max="24" width="11.6640625" style="44" customWidth="1"/>
    <col min="25" max="26" width="11.83203125" style="291" customWidth="1"/>
    <col min="27" max="27" width="11.6640625" style="298" customWidth="1"/>
    <col min="28" max="30" width="11.6640625" style="293" customWidth="1"/>
    <col min="31" max="31" width="11.6640625" style="294" customWidth="1"/>
    <col min="32" max="32" width="11.6640625" style="285" customWidth="1"/>
    <col min="33" max="33" width="11.6640625" style="294" customWidth="1"/>
    <col min="34" max="35" width="11.6640625" style="44" customWidth="1"/>
    <col min="36" max="40" width="11.6640625" style="295" customWidth="1"/>
    <col min="41" max="42" width="11.6640625" style="44" customWidth="1"/>
    <col min="43" max="43" width="21.83203125" style="44" customWidth="1"/>
    <col min="44" max="44" width="11.6640625" style="44" customWidth="1"/>
    <col min="45" max="16384" width="11.6640625" style="44"/>
  </cols>
  <sheetData>
    <row r="1" spans="1:45" s="19" customFormat="1" ht="15" customHeight="1">
      <c r="A1" s="1" t="s">
        <v>0</v>
      </c>
      <c r="B1" s="1" t="s">
        <v>1</v>
      </c>
      <c r="C1" s="1" t="s">
        <v>2</v>
      </c>
      <c r="D1" s="1" t="s">
        <v>3</v>
      </c>
      <c r="E1" s="1" t="s">
        <v>4</v>
      </c>
      <c r="F1" s="1" t="s">
        <v>5</v>
      </c>
      <c r="G1" s="1" t="s">
        <v>6</v>
      </c>
      <c r="H1" s="2" t="s">
        <v>7</v>
      </c>
      <c r="I1" s="3" t="s">
        <v>8</v>
      </c>
      <c r="J1" s="3" t="s">
        <v>9</v>
      </c>
      <c r="K1" s="3" t="s">
        <v>10</v>
      </c>
      <c r="L1" s="3" t="s">
        <v>11</v>
      </c>
      <c r="M1" s="4" t="s">
        <v>12</v>
      </c>
      <c r="N1" s="3" t="s">
        <v>13</v>
      </c>
      <c r="O1" s="5" t="s">
        <v>14</v>
      </c>
      <c r="P1" s="6" t="s">
        <v>15</v>
      </c>
      <c r="Q1" s="5" t="s">
        <v>16</v>
      </c>
      <c r="R1" s="7" t="s">
        <v>17</v>
      </c>
      <c r="S1" s="8" t="s">
        <v>18</v>
      </c>
      <c r="T1" s="9" t="s">
        <v>19</v>
      </c>
      <c r="U1" s="10" t="s">
        <v>20</v>
      </c>
      <c r="V1" s="9" t="s">
        <v>21</v>
      </c>
      <c r="W1" s="11" t="s">
        <v>22</v>
      </c>
      <c r="X1" s="12" t="s">
        <v>23</v>
      </c>
      <c r="Y1" s="4" t="s">
        <v>24</v>
      </c>
      <c r="Z1" s="4" t="s">
        <v>25</v>
      </c>
      <c r="AA1" s="13" t="s">
        <v>26</v>
      </c>
      <c r="AB1" s="14" t="s">
        <v>27</v>
      </c>
      <c r="AC1" s="14" t="s">
        <v>28</v>
      </c>
      <c r="AD1" s="14" t="s">
        <v>29</v>
      </c>
      <c r="AE1" s="15" t="s">
        <v>30</v>
      </c>
      <c r="AF1" s="16" t="s">
        <v>31</v>
      </c>
      <c r="AG1" s="17" t="s">
        <v>32</v>
      </c>
      <c r="AH1" s="17" t="s">
        <v>33</v>
      </c>
      <c r="AI1" s="18" t="s">
        <v>34</v>
      </c>
      <c r="AJ1" s="18" t="s">
        <v>35</v>
      </c>
      <c r="AK1" s="18" t="s">
        <v>36</v>
      </c>
      <c r="AL1" s="18" t="s">
        <v>37</v>
      </c>
      <c r="AM1" s="18" t="s">
        <v>38</v>
      </c>
      <c r="AN1" s="15" t="s">
        <v>39</v>
      </c>
      <c r="AO1" s="15" t="s">
        <v>40</v>
      </c>
      <c r="AP1" s="15" t="s">
        <v>41</v>
      </c>
      <c r="AQ1" s="17" t="s">
        <v>42</v>
      </c>
      <c r="AR1" s="17" t="s">
        <v>43</v>
      </c>
      <c r="AS1" s="17" t="s">
        <v>44</v>
      </c>
    </row>
    <row r="2" spans="1:45" ht="15" customHeight="1">
      <c r="A2" s="20" t="s">
        <v>45</v>
      </c>
      <c r="B2" s="21" t="s">
        <v>46</v>
      </c>
      <c r="C2" s="22" t="s">
        <v>47</v>
      </c>
      <c r="D2" s="22" t="s">
        <v>48</v>
      </c>
      <c r="E2" s="23" t="s">
        <v>49</v>
      </c>
      <c r="F2" s="20" t="s">
        <v>50</v>
      </c>
      <c r="G2" s="24" t="s">
        <v>51</v>
      </c>
      <c r="H2" s="25" t="s">
        <v>52</v>
      </c>
      <c r="I2" s="24" t="s">
        <v>51</v>
      </c>
      <c r="J2" s="20" t="s">
        <v>53</v>
      </c>
      <c r="K2" s="26"/>
      <c r="L2" s="20"/>
      <c r="M2" s="27">
        <v>45139</v>
      </c>
      <c r="N2" s="20" t="s">
        <v>54</v>
      </c>
      <c r="O2" s="28">
        <v>3120</v>
      </c>
      <c r="P2" s="29">
        <v>1</v>
      </c>
      <c r="Q2" s="30">
        <f t="shared" ref="Q2:Q6" si="0">ROUND(O2*P2,2)</f>
        <v>3120</v>
      </c>
      <c r="R2" s="31">
        <v>202310</v>
      </c>
      <c r="S2" s="32" t="s">
        <v>55</v>
      </c>
      <c r="T2" s="33"/>
      <c r="U2" s="32"/>
      <c r="V2" s="32"/>
      <c r="W2" s="34"/>
      <c r="X2" s="35"/>
      <c r="Y2" s="36">
        <v>45139</v>
      </c>
      <c r="Z2" s="36">
        <v>45504</v>
      </c>
      <c r="AA2" s="37"/>
      <c r="AB2" s="38"/>
      <c r="AC2" s="38"/>
      <c r="AD2" s="38"/>
      <c r="AE2" s="39"/>
      <c r="AF2" s="40" t="s">
        <v>56</v>
      </c>
      <c r="AG2" s="41"/>
      <c r="AH2" s="42"/>
      <c r="AI2" s="43"/>
      <c r="AJ2" s="43"/>
      <c r="AK2" s="43"/>
      <c r="AL2" s="43"/>
      <c r="AM2" s="43"/>
      <c r="AN2" s="42"/>
      <c r="AO2" s="42"/>
      <c r="AP2" s="42"/>
      <c r="AQ2" s="42"/>
      <c r="AR2" s="42"/>
      <c r="AS2" s="42"/>
    </row>
    <row r="3" spans="1:45" ht="15" customHeight="1">
      <c r="A3" s="20" t="s">
        <v>57</v>
      </c>
      <c r="B3" s="21" t="s">
        <v>46</v>
      </c>
      <c r="C3" s="22" t="s">
        <v>58</v>
      </c>
      <c r="D3" s="22" t="s">
        <v>59</v>
      </c>
      <c r="E3" s="23" t="s">
        <v>60</v>
      </c>
      <c r="F3" s="20" t="s">
        <v>61</v>
      </c>
      <c r="G3" s="26" t="s">
        <v>62</v>
      </c>
      <c r="H3" s="45" t="s">
        <v>63</v>
      </c>
      <c r="I3" s="26" t="s">
        <v>64</v>
      </c>
      <c r="J3" s="46" t="s">
        <v>65</v>
      </c>
      <c r="K3" s="47"/>
      <c r="L3" s="48"/>
      <c r="M3" s="49">
        <v>44345</v>
      </c>
      <c r="N3" s="47" t="s">
        <v>66</v>
      </c>
      <c r="O3" s="50">
        <v>1730</v>
      </c>
      <c r="P3" s="51">
        <v>2</v>
      </c>
      <c r="Q3" s="51">
        <f t="shared" si="0"/>
        <v>3460</v>
      </c>
      <c r="R3" s="31">
        <v>202310</v>
      </c>
      <c r="S3" s="32" t="s">
        <v>67</v>
      </c>
      <c r="T3" s="32"/>
      <c r="U3" s="32"/>
      <c r="V3" s="32"/>
      <c r="W3" s="52"/>
      <c r="X3" s="52"/>
      <c r="Y3" s="36">
        <v>44331</v>
      </c>
      <c r="Z3" s="36">
        <v>45426</v>
      </c>
      <c r="AA3" s="36"/>
      <c r="AB3" s="36"/>
      <c r="AC3" s="36"/>
      <c r="AD3" s="36"/>
      <c r="AE3" s="36"/>
      <c r="AF3" s="53" t="s">
        <v>68</v>
      </c>
      <c r="AG3" s="54"/>
      <c r="AH3" s="54"/>
      <c r="AI3" s="55"/>
      <c r="AJ3" s="55"/>
      <c r="AK3" s="55"/>
      <c r="AL3" s="55"/>
      <c r="AM3" s="55"/>
      <c r="AN3" s="42"/>
      <c r="AO3" s="42"/>
      <c r="AP3" s="42"/>
      <c r="AQ3" s="43"/>
      <c r="AR3" s="42"/>
      <c r="AS3" s="42"/>
    </row>
    <row r="4" spans="1:45" ht="15" customHeight="1">
      <c r="A4" s="20" t="s">
        <v>57</v>
      </c>
      <c r="B4" s="21" t="s">
        <v>46</v>
      </c>
      <c r="C4" s="22" t="s">
        <v>58</v>
      </c>
      <c r="D4" s="22" t="s">
        <v>59</v>
      </c>
      <c r="E4" s="23" t="s">
        <v>60</v>
      </c>
      <c r="F4" s="20" t="s">
        <v>61</v>
      </c>
      <c r="G4" s="26" t="s">
        <v>62</v>
      </c>
      <c r="H4" s="45" t="s">
        <v>63</v>
      </c>
      <c r="I4" s="26" t="s">
        <v>64</v>
      </c>
      <c r="J4" s="46" t="s">
        <v>69</v>
      </c>
      <c r="K4" s="47"/>
      <c r="L4" s="48"/>
      <c r="M4" s="49">
        <v>44345</v>
      </c>
      <c r="N4" s="47" t="s">
        <v>66</v>
      </c>
      <c r="O4" s="50">
        <v>1660</v>
      </c>
      <c r="P4" s="51">
        <v>1</v>
      </c>
      <c r="Q4" s="51">
        <f t="shared" si="0"/>
        <v>1660</v>
      </c>
      <c r="R4" s="31">
        <v>202310</v>
      </c>
      <c r="S4" s="32" t="s">
        <v>70</v>
      </c>
      <c r="T4" s="32"/>
      <c r="U4" s="32"/>
      <c r="V4" s="32"/>
      <c r="W4" s="42"/>
      <c r="X4" s="42"/>
      <c r="Y4" s="36">
        <v>44331</v>
      </c>
      <c r="Z4" s="36">
        <v>45426</v>
      </c>
      <c r="AA4" s="36"/>
      <c r="AB4" s="36"/>
      <c r="AC4" s="36"/>
      <c r="AD4" s="36"/>
      <c r="AE4" s="36"/>
      <c r="AF4" s="53" t="s">
        <v>68</v>
      </c>
      <c r="AG4" s="54"/>
      <c r="AH4" s="54"/>
      <c r="AI4" s="55"/>
      <c r="AJ4" s="55"/>
      <c r="AK4" s="55"/>
      <c r="AL4" s="55"/>
      <c r="AM4" s="55"/>
      <c r="AN4" s="42"/>
      <c r="AO4" s="42"/>
      <c r="AP4" s="42"/>
      <c r="AQ4" s="43"/>
      <c r="AR4" s="42"/>
      <c r="AS4" s="42"/>
    </row>
    <row r="5" spans="1:45" ht="15" customHeight="1">
      <c r="A5" s="56" t="s">
        <v>57</v>
      </c>
      <c r="B5" s="21" t="s">
        <v>46</v>
      </c>
      <c r="C5" s="57" t="s">
        <v>58</v>
      </c>
      <c r="D5" s="22" t="s">
        <v>71</v>
      </c>
      <c r="E5" s="58" t="s">
        <v>72</v>
      </c>
      <c r="F5" s="56" t="s">
        <v>73</v>
      </c>
      <c r="G5" s="26" t="s">
        <v>62</v>
      </c>
      <c r="H5" s="25" t="s">
        <v>74</v>
      </c>
      <c r="I5" s="26" t="s">
        <v>64</v>
      </c>
      <c r="J5" s="56" t="s">
        <v>75</v>
      </c>
      <c r="K5" s="59"/>
      <c r="L5" s="48"/>
      <c r="M5" s="49">
        <v>45022</v>
      </c>
      <c r="N5" s="49" t="s">
        <v>66</v>
      </c>
      <c r="O5" s="60">
        <v>1000</v>
      </c>
      <c r="P5" s="61">
        <v>2</v>
      </c>
      <c r="Q5" s="51">
        <f t="shared" si="0"/>
        <v>2000</v>
      </c>
      <c r="R5" s="31">
        <v>202310</v>
      </c>
      <c r="S5" s="62" t="s">
        <v>76</v>
      </c>
      <c r="T5" s="58"/>
      <c r="U5" s="58"/>
      <c r="V5" s="58"/>
      <c r="W5" s="63"/>
      <c r="X5" s="63"/>
      <c r="Y5" s="36">
        <v>45017</v>
      </c>
      <c r="Z5" s="36">
        <v>46112</v>
      </c>
      <c r="AA5" s="36"/>
      <c r="AB5" s="36"/>
      <c r="AC5" s="36"/>
      <c r="AD5" s="36"/>
      <c r="AE5" s="36"/>
      <c r="AF5" s="53" t="s">
        <v>68</v>
      </c>
      <c r="AG5" s="42"/>
      <c r="AH5" s="42"/>
      <c r="AI5" s="43"/>
      <c r="AJ5" s="43"/>
      <c r="AK5" s="43"/>
      <c r="AL5" s="43"/>
      <c r="AM5" s="43"/>
      <c r="AN5" s="42"/>
      <c r="AO5" s="42"/>
      <c r="AP5" s="42"/>
      <c r="AQ5" s="43"/>
      <c r="AR5" s="42"/>
      <c r="AS5" s="42"/>
    </row>
    <row r="6" spans="1:45" ht="15" customHeight="1">
      <c r="A6" s="56" t="s">
        <v>57</v>
      </c>
      <c r="B6" s="21" t="s">
        <v>46</v>
      </c>
      <c r="C6" s="57" t="s">
        <v>58</v>
      </c>
      <c r="D6" s="22" t="s">
        <v>71</v>
      </c>
      <c r="E6" s="58" t="s">
        <v>72</v>
      </c>
      <c r="F6" s="56" t="s">
        <v>73</v>
      </c>
      <c r="G6" s="26" t="s">
        <v>77</v>
      </c>
      <c r="H6" s="25" t="s">
        <v>74</v>
      </c>
      <c r="I6" s="26" t="s">
        <v>78</v>
      </c>
      <c r="J6" s="56" t="s">
        <v>79</v>
      </c>
      <c r="K6" s="59"/>
      <c r="L6" s="48" t="s">
        <v>80</v>
      </c>
      <c r="M6" s="49">
        <v>45022</v>
      </c>
      <c r="N6" s="49" t="s">
        <v>81</v>
      </c>
      <c r="O6" s="60">
        <v>6000</v>
      </c>
      <c r="P6" s="61">
        <v>1</v>
      </c>
      <c r="Q6" s="51">
        <f t="shared" si="0"/>
        <v>6000</v>
      </c>
      <c r="R6" s="31">
        <v>202310</v>
      </c>
      <c r="S6" s="62" t="s">
        <v>82</v>
      </c>
      <c r="T6" s="58"/>
      <c r="U6" s="58"/>
      <c r="V6" s="58"/>
      <c r="W6" s="63"/>
      <c r="X6" s="63"/>
      <c r="Y6" s="36">
        <v>45017</v>
      </c>
      <c r="Z6" s="36">
        <v>46112</v>
      </c>
      <c r="AA6" s="36"/>
      <c r="AB6" s="36"/>
      <c r="AC6" s="36"/>
      <c r="AD6" s="36"/>
      <c r="AE6" s="36"/>
      <c r="AF6" s="53" t="s">
        <v>68</v>
      </c>
      <c r="AG6" s="42"/>
      <c r="AH6" s="42"/>
      <c r="AI6" s="43"/>
      <c r="AJ6" s="43"/>
      <c r="AK6" s="43"/>
      <c r="AL6" s="43"/>
      <c r="AM6" s="43"/>
      <c r="AN6" s="42"/>
      <c r="AO6" s="42"/>
      <c r="AP6" s="42"/>
      <c r="AQ6" s="43"/>
      <c r="AR6" s="42"/>
      <c r="AS6" s="42"/>
    </row>
    <row r="7" spans="1:45" ht="15" customHeight="1">
      <c r="A7" s="20" t="s">
        <v>57</v>
      </c>
      <c r="B7" s="22" t="s">
        <v>83</v>
      </c>
      <c r="C7" s="22" t="s">
        <v>84</v>
      </c>
      <c r="D7" s="22" t="s">
        <v>85</v>
      </c>
      <c r="E7" s="23" t="s">
        <v>86</v>
      </c>
      <c r="F7" s="20" t="s">
        <v>87</v>
      </c>
      <c r="G7" s="26" t="s">
        <v>77</v>
      </c>
      <c r="H7" s="25" t="s">
        <v>88</v>
      </c>
      <c r="I7" s="26" t="s">
        <v>78</v>
      </c>
      <c r="J7" s="46"/>
      <c r="K7" s="47"/>
      <c r="L7" s="48" t="s">
        <v>89</v>
      </c>
      <c r="M7" s="49">
        <v>43313</v>
      </c>
      <c r="N7" s="47" t="s">
        <v>90</v>
      </c>
      <c r="O7" s="50">
        <v>5000</v>
      </c>
      <c r="P7" s="51">
        <v>2</v>
      </c>
      <c r="Q7" s="51">
        <f>O7*P7</f>
        <v>10000</v>
      </c>
      <c r="R7" s="31">
        <v>202310</v>
      </c>
      <c r="S7" s="32" t="s">
        <v>91</v>
      </c>
      <c r="T7" s="32"/>
      <c r="U7" s="32"/>
      <c r="V7" s="32"/>
      <c r="W7" s="42"/>
      <c r="X7" s="42"/>
      <c r="Y7" s="36">
        <v>44044</v>
      </c>
      <c r="Z7" s="36">
        <v>45504</v>
      </c>
      <c r="AA7" s="36"/>
      <c r="AB7" s="36"/>
      <c r="AC7" s="36"/>
      <c r="AD7" s="36"/>
      <c r="AE7" s="36"/>
      <c r="AF7" s="53" t="s">
        <v>68</v>
      </c>
      <c r="AG7" s="54"/>
      <c r="AH7" s="54"/>
      <c r="AI7" s="55"/>
      <c r="AJ7" s="55"/>
      <c r="AK7" s="55"/>
      <c r="AL7" s="55"/>
      <c r="AM7" s="55"/>
      <c r="AN7" s="42"/>
      <c r="AO7" s="42"/>
      <c r="AP7" s="42"/>
      <c r="AQ7" s="43" t="s">
        <v>92</v>
      </c>
      <c r="AR7" s="42"/>
      <c r="AS7" s="42"/>
    </row>
    <row r="8" spans="1:45" ht="15" customHeight="1">
      <c r="A8" s="20" t="s">
        <v>57</v>
      </c>
      <c r="B8" s="22" t="s">
        <v>83</v>
      </c>
      <c r="C8" s="22" t="s">
        <v>84</v>
      </c>
      <c r="D8" s="22" t="s">
        <v>85</v>
      </c>
      <c r="E8" s="23" t="s">
        <v>86</v>
      </c>
      <c r="F8" s="20" t="s">
        <v>87</v>
      </c>
      <c r="G8" s="26" t="s">
        <v>62</v>
      </c>
      <c r="H8" s="25" t="s">
        <v>88</v>
      </c>
      <c r="I8" s="26" t="s">
        <v>64</v>
      </c>
      <c r="J8" s="46" t="s">
        <v>93</v>
      </c>
      <c r="K8" s="47"/>
      <c r="L8" s="48"/>
      <c r="M8" s="49">
        <v>43819</v>
      </c>
      <c r="N8" s="47" t="s">
        <v>66</v>
      </c>
      <c r="O8" s="50">
        <v>500</v>
      </c>
      <c r="P8" s="51">
        <v>1</v>
      </c>
      <c r="Q8" s="51">
        <f t="shared" ref="Q8:Q24" si="1">ROUND(O8*P8,2)</f>
        <v>500</v>
      </c>
      <c r="R8" s="31">
        <v>202310</v>
      </c>
      <c r="S8" s="32" t="s">
        <v>94</v>
      </c>
      <c r="T8" s="32"/>
      <c r="U8" s="32"/>
      <c r="V8" s="32"/>
      <c r="W8" s="42"/>
      <c r="X8" s="42"/>
      <c r="Y8" s="36">
        <v>44044</v>
      </c>
      <c r="Z8" s="36">
        <v>45504</v>
      </c>
      <c r="AA8" s="36"/>
      <c r="AB8" s="36"/>
      <c r="AC8" s="36"/>
      <c r="AD8" s="36"/>
      <c r="AE8" s="36"/>
      <c r="AF8" s="53" t="s">
        <v>68</v>
      </c>
      <c r="AG8" s="54"/>
      <c r="AH8" s="54"/>
      <c r="AI8" s="55"/>
      <c r="AJ8" s="55"/>
      <c r="AK8" s="55"/>
      <c r="AL8" s="55"/>
      <c r="AM8" s="55"/>
      <c r="AN8" s="42"/>
      <c r="AO8" s="42"/>
      <c r="AP8" s="42"/>
      <c r="AQ8" s="43" t="s">
        <v>92</v>
      </c>
      <c r="AR8" s="42"/>
      <c r="AS8" s="42"/>
    </row>
    <row r="9" spans="1:45" ht="15" customHeight="1">
      <c r="A9" s="20" t="s">
        <v>57</v>
      </c>
      <c r="B9" s="22" t="s">
        <v>83</v>
      </c>
      <c r="C9" s="22" t="s">
        <v>84</v>
      </c>
      <c r="D9" s="22" t="s">
        <v>85</v>
      </c>
      <c r="E9" s="23" t="s">
        <v>86</v>
      </c>
      <c r="F9" s="20" t="s">
        <v>87</v>
      </c>
      <c r="G9" s="26" t="s">
        <v>62</v>
      </c>
      <c r="H9" s="25" t="s">
        <v>88</v>
      </c>
      <c r="I9" s="26" t="s">
        <v>64</v>
      </c>
      <c r="J9" s="46"/>
      <c r="K9" s="47"/>
      <c r="L9" s="48"/>
      <c r="M9" s="49">
        <v>44805</v>
      </c>
      <c r="N9" s="47" t="s">
        <v>66</v>
      </c>
      <c r="O9" s="50">
        <v>500</v>
      </c>
      <c r="P9" s="51">
        <v>1</v>
      </c>
      <c r="Q9" s="51">
        <f t="shared" si="1"/>
        <v>500</v>
      </c>
      <c r="R9" s="31">
        <v>202310</v>
      </c>
      <c r="S9" s="32" t="s">
        <v>95</v>
      </c>
      <c r="T9" s="32"/>
      <c r="U9" s="32"/>
      <c r="V9" s="32"/>
      <c r="W9" s="42"/>
      <c r="X9" s="42"/>
      <c r="Y9" s="36">
        <v>44044</v>
      </c>
      <c r="Z9" s="36">
        <v>45504</v>
      </c>
      <c r="AA9" s="36"/>
      <c r="AB9" s="36"/>
      <c r="AC9" s="36"/>
      <c r="AD9" s="36"/>
      <c r="AE9" s="36"/>
      <c r="AF9" s="53" t="s">
        <v>68</v>
      </c>
      <c r="AG9" s="54"/>
      <c r="AH9" s="54"/>
      <c r="AI9" s="55"/>
      <c r="AJ9" s="55"/>
      <c r="AK9" s="55"/>
      <c r="AL9" s="55"/>
      <c r="AM9" s="55"/>
      <c r="AN9" s="42"/>
      <c r="AO9" s="42"/>
      <c r="AP9" s="42"/>
      <c r="AQ9" s="43" t="s">
        <v>92</v>
      </c>
      <c r="AR9" s="42"/>
      <c r="AS9" s="42"/>
    </row>
    <row r="10" spans="1:45" ht="15" customHeight="1">
      <c r="A10" s="20" t="s">
        <v>57</v>
      </c>
      <c r="B10" s="22" t="s">
        <v>83</v>
      </c>
      <c r="C10" s="22" t="s">
        <v>84</v>
      </c>
      <c r="D10" s="22" t="s">
        <v>85</v>
      </c>
      <c r="E10" s="23" t="s">
        <v>86</v>
      </c>
      <c r="F10" s="20" t="s">
        <v>87</v>
      </c>
      <c r="G10" s="26" t="s">
        <v>62</v>
      </c>
      <c r="H10" s="25" t="s">
        <v>88</v>
      </c>
      <c r="I10" s="26" t="s">
        <v>64</v>
      </c>
      <c r="J10" s="46"/>
      <c r="K10" s="47"/>
      <c r="L10" s="48"/>
      <c r="M10" s="49">
        <v>44805</v>
      </c>
      <c r="N10" s="47" t="s">
        <v>66</v>
      </c>
      <c r="O10" s="50">
        <v>500</v>
      </c>
      <c r="P10" s="51">
        <v>1</v>
      </c>
      <c r="Q10" s="51">
        <f t="shared" si="1"/>
        <v>500</v>
      </c>
      <c r="R10" s="31">
        <v>202310</v>
      </c>
      <c r="S10" s="32" t="s">
        <v>96</v>
      </c>
      <c r="T10" s="32"/>
      <c r="U10" s="32"/>
      <c r="V10" s="32"/>
      <c r="W10" s="42"/>
      <c r="X10" s="42"/>
      <c r="Y10" s="36">
        <v>44044</v>
      </c>
      <c r="Z10" s="36">
        <v>45504</v>
      </c>
      <c r="AA10" s="36"/>
      <c r="AB10" s="36"/>
      <c r="AC10" s="36"/>
      <c r="AD10" s="36"/>
      <c r="AE10" s="36"/>
      <c r="AF10" s="53" t="s">
        <v>68</v>
      </c>
      <c r="AG10" s="54"/>
      <c r="AH10" s="54"/>
      <c r="AI10" s="55"/>
      <c r="AJ10" s="55"/>
      <c r="AK10" s="55"/>
      <c r="AL10" s="55"/>
      <c r="AM10" s="55"/>
      <c r="AN10" s="42"/>
      <c r="AO10" s="42"/>
      <c r="AP10" s="42"/>
      <c r="AQ10" s="43" t="s">
        <v>92</v>
      </c>
      <c r="AR10" s="42"/>
      <c r="AS10" s="42"/>
    </row>
    <row r="11" spans="1:45" ht="15" customHeight="1">
      <c r="A11" s="20" t="s">
        <v>57</v>
      </c>
      <c r="B11" s="22" t="s">
        <v>83</v>
      </c>
      <c r="C11" s="22" t="s">
        <v>84</v>
      </c>
      <c r="D11" s="22" t="s">
        <v>85</v>
      </c>
      <c r="E11" s="23" t="s">
        <v>86</v>
      </c>
      <c r="F11" s="20" t="s">
        <v>87</v>
      </c>
      <c r="G11" s="26" t="s">
        <v>62</v>
      </c>
      <c r="H11" s="25" t="s">
        <v>88</v>
      </c>
      <c r="I11" s="26" t="s">
        <v>64</v>
      </c>
      <c r="J11" s="46"/>
      <c r="K11" s="47"/>
      <c r="L11" s="48"/>
      <c r="M11" s="49">
        <v>44805</v>
      </c>
      <c r="N11" s="47" t="s">
        <v>66</v>
      </c>
      <c r="O11" s="50">
        <v>500</v>
      </c>
      <c r="P11" s="51">
        <v>1</v>
      </c>
      <c r="Q11" s="51">
        <f t="shared" si="1"/>
        <v>500</v>
      </c>
      <c r="R11" s="31">
        <v>202310</v>
      </c>
      <c r="S11" s="32" t="s">
        <v>97</v>
      </c>
      <c r="T11" s="32"/>
      <c r="U11" s="32"/>
      <c r="V11" s="32"/>
      <c r="W11" s="42"/>
      <c r="X11" s="42"/>
      <c r="Y11" s="36">
        <v>44044</v>
      </c>
      <c r="Z11" s="36">
        <v>45504</v>
      </c>
      <c r="AA11" s="36"/>
      <c r="AB11" s="36"/>
      <c r="AC11" s="36"/>
      <c r="AD11" s="36"/>
      <c r="AE11" s="36"/>
      <c r="AF11" s="53" t="s">
        <v>68</v>
      </c>
      <c r="AG11" s="54"/>
      <c r="AH11" s="54"/>
      <c r="AI11" s="55"/>
      <c r="AJ11" s="55"/>
      <c r="AK11" s="55"/>
      <c r="AL11" s="55"/>
      <c r="AM11" s="55"/>
      <c r="AN11" s="42"/>
      <c r="AO11" s="42"/>
      <c r="AP11" s="42"/>
      <c r="AQ11" s="43" t="s">
        <v>92</v>
      </c>
      <c r="AR11" s="42"/>
      <c r="AS11" s="42"/>
    </row>
    <row r="12" spans="1:45" ht="15" customHeight="1">
      <c r="A12" s="20" t="s">
        <v>57</v>
      </c>
      <c r="B12" s="22" t="s">
        <v>83</v>
      </c>
      <c r="C12" s="22" t="s">
        <v>84</v>
      </c>
      <c r="D12" s="22" t="s">
        <v>85</v>
      </c>
      <c r="E12" s="23" t="s">
        <v>86</v>
      </c>
      <c r="F12" s="20" t="s">
        <v>87</v>
      </c>
      <c r="G12" s="26" t="s">
        <v>62</v>
      </c>
      <c r="H12" s="25" t="s">
        <v>88</v>
      </c>
      <c r="I12" s="26" t="s">
        <v>64</v>
      </c>
      <c r="J12" s="46"/>
      <c r="K12" s="47"/>
      <c r="L12" s="48"/>
      <c r="M12" s="49">
        <v>44805</v>
      </c>
      <c r="N12" s="47" t="s">
        <v>66</v>
      </c>
      <c r="O12" s="50">
        <v>500</v>
      </c>
      <c r="P12" s="51">
        <v>1</v>
      </c>
      <c r="Q12" s="51">
        <f t="shared" si="1"/>
        <v>500</v>
      </c>
      <c r="R12" s="31">
        <v>202310</v>
      </c>
      <c r="S12" s="32" t="s">
        <v>98</v>
      </c>
      <c r="T12" s="32"/>
      <c r="U12" s="32"/>
      <c r="V12" s="32"/>
      <c r="W12" s="42"/>
      <c r="X12" s="42"/>
      <c r="Y12" s="36">
        <v>44044</v>
      </c>
      <c r="Z12" s="36">
        <v>45504</v>
      </c>
      <c r="AA12" s="36"/>
      <c r="AB12" s="36"/>
      <c r="AC12" s="36"/>
      <c r="AD12" s="36"/>
      <c r="AE12" s="36"/>
      <c r="AF12" s="53" t="s">
        <v>68</v>
      </c>
      <c r="AG12" s="54"/>
      <c r="AH12" s="54"/>
      <c r="AI12" s="55"/>
      <c r="AJ12" s="55"/>
      <c r="AK12" s="55"/>
      <c r="AL12" s="55"/>
      <c r="AM12" s="55"/>
      <c r="AN12" s="42"/>
      <c r="AO12" s="42"/>
      <c r="AP12" s="42"/>
      <c r="AQ12" s="43" t="s">
        <v>92</v>
      </c>
      <c r="AR12" s="42"/>
      <c r="AS12" s="42"/>
    </row>
    <row r="13" spans="1:45" ht="15" customHeight="1">
      <c r="A13" s="20" t="s">
        <v>57</v>
      </c>
      <c r="B13" s="22" t="s">
        <v>83</v>
      </c>
      <c r="C13" s="22" t="s">
        <v>84</v>
      </c>
      <c r="D13" s="22" t="s">
        <v>85</v>
      </c>
      <c r="E13" s="23" t="s">
        <v>86</v>
      </c>
      <c r="F13" s="20" t="s">
        <v>87</v>
      </c>
      <c r="G13" s="26" t="s">
        <v>62</v>
      </c>
      <c r="H13" s="25" t="s">
        <v>88</v>
      </c>
      <c r="I13" s="26" t="s">
        <v>64</v>
      </c>
      <c r="J13" s="46"/>
      <c r="K13" s="47"/>
      <c r="L13" s="48"/>
      <c r="M13" s="49">
        <v>44805</v>
      </c>
      <c r="N13" s="47" t="s">
        <v>66</v>
      </c>
      <c r="O13" s="50">
        <v>500</v>
      </c>
      <c r="P13" s="51">
        <v>1</v>
      </c>
      <c r="Q13" s="51">
        <f t="shared" si="1"/>
        <v>500</v>
      </c>
      <c r="R13" s="31">
        <v>202310</v>
      </c>
      <c r="S13" s="32" t="s">
        <v>99</v>
      </c>
      <c r="T13" s="32"/>
      <c r="U13" s="32"/>
      <c r="V13" s="32"/>
      <c r="W13" s="42"/>
      <c r="X13" s="42"/>
      <c r="Y13" s="36">
        <v>44044</v>
      </c>
      <c r="Z13" s="36">
        <v>45504</v>
      </c>
      <c r="AA13" s="36"/>
      <c r="AB13" s="36"/>
      <c r="AC13" s="36"/>
      <c r="AD13" s="36"/>
      <c r="AE13" s="36"/>
      <c r="AF13" s="53" t="s">
        <v>68</v>
      </c>
      <c r="AG13" s="54"/>
      <c r="AH13" s="54"/>
      <c r="AI13" s="55"/>
      <c r="AJ13" s="55"/>
      <c r="AK13" s="55"/>
      <c r="AL13" s="55"/>
      <c r="AM13" s="55"/>
      <c r="AN13" s="42"/>
      <c r="AO13" s="42"/>
      <c r="AP13" s="42"/>
      <c r="AQ13" s="43" t="s">
        <v>92</v>
      </c>
      <c r="AR13" s="42"/>
      <c r="AS13" s="42"/>
    </row>
    <row r="14" spans="1:45" ht="15" customHeight="1">
      <c r="A14" s="20" t="s">
        <v>57</v>
      </c>
      <c r="B14" s="22" t="s">
        <v>83</v>
      </c>
      <c r="C14" s="22" t="s">
        <v>84</v>
      </c>
      <c r="D14" s="22" t="s">
        <v>85</v>
      </c>
      <c r="E14" s="23" t="s">
        <v>86</v>
      </c>
      <c r="F14" s="20" t="s">
        <v>87</v>
      </c>
      <c r="G14" s="26" t="s">
        <v>62</v>
      </c>
      <c r="H14" s="25" t="s">
        <v>88</v>
      </c>
      <c r="I14" s="26" t="s">
        <v>64</v>
      </c>
      <c r="J14" s="46"/>
      <c r="K14" s="47"/>
      <c r="L14" s="48"/>
      <c r="M14" s="49">
        <v>44805</v>
      </c>
      <c r="N14" s="47" t="s">
        <v>66</v>
      </c>
      <c r="O14" s="50">
        <v>500</v>
      </c>
      <c r="P14" s="51">
        <v>1</v>
      </c>
      <c r="Q14" s="51">
        <f t="shared" si="1"/>
        <v>500</v>
      </c>
      <c r="R14" s="31">
        <v>202310</v>
      </c>
      <c r="S14" s="32" t="s">
        <v>100</v>
      </c>
      <c r="T14" s="32"/>
      <c r="U14" s="32"/>
      <c r="V14" s="32"/>
      <c r="W14" s="42"/>
      <c r="X14" s="42"/>
      <c r="Y14" s="36">
        <v>44044</v>
      </c>
      <c r="Z14" s="36">
        <v>45504</v>
      </c>
      <c r="AA14" s="36"/>
      <c r="AB14" s="36"/>
      <c r="AC14" s="36"/>
      <c r="AD14" s="36"/>
      <c r="AE14" s="36"/>
      <c r="AF14" s="53" t="s">
        <v>68</v>
      </c>
      <c r="AG14" s="54"/>
      <c r="AH14" s="54"/>
      <c r="AI14" s="55"/>
      <c r="AJ14" s="55"/>
      <c r="AK14" s="55"/>
      <c r="AL14" s="55"/>
      <c r="AM14" s="55"/>
      <c r="AN14" s="42"/>
      <c r="AO14" s="42"/>
      <c r="AP14" s="42"/>
      <c r="AQ14" s="43" t="s">
        <v>92</v>
      </c>
      <c r="AR14" s="42"/>
      <c r="AS14" s="42"/>
    </row>
    <row r="15" spans="1:45" ht="15" customHeight="1">
      <c r="A15" s="20" t="s">
        <v>57</v>
      </c>
      <c r="B15" s="22" t="s">
        <v>83</v>
      </c>
      <c r="C15" s="22" t="s">
        <v>84</v>
      </c>
      <c r="D15" s="22" t="s">
        <v>85</v>
      </c>
      <c r="E15" s="23" t="s">
        <v>86</v>
      </c>
      <c r="F15" s="20" t="s">
        <v>87</v>
      </c>
      <c r="G15" s="26" t="s">
        <v>62</v>
      </c>
      <c r="H15" s="25" t="s">
        <v>88</v>
      </c>
      <c r="I15" s="26" t="s">
        <v>64</v>
      </c>
      <c r="J15" s="46"/>
      <c r="K15" s="47"/>
      <c r="L15" s="48"/>
      <c r="M15" s="49">
        <v>44805</v>
      </c>
      <c r="N15" s="47" t="s">
        <v>66</v>
      </c>
      <c r="O15" s="50">
        <v>500</v>
      </c>
      <c r="P15" s="51">
        <v>1</v>
      </c>
      <c r="Q15" s="51">
        <f t="shared" si="1"/>
        <v>500</v>
      </c>
      <c r="R15" s="31">
        <v>202310</v>
      </c>
      <c r="S15" s="32" t="s">
        <v>101</v>
      </c>
      <c r="T15" s="32"/>
      <c r="U15" s="32"/>
      <c r="V15" s="32"/>
      <c r="W15" s="42"/>
      <c r="X15" s="42"/>
      <c r="Y15" s="36">
        <v>44044</v>
      </c>
      <c r="Z15" s="36">
        <v>45504</v>
      </c>
      <c r="AA15" s="36"/>
      <c r="AB15" s="36"/>
      <c r="AC15" s="36"/>
      <c r="AD15" s="36"/>
      <c r="AE15" s="36"/>
      <c r="AF15" s="53" t="s">
        <v>68</v>
      </c>
      <c r="AG15" s="54"/>
      <c r="AH15" s="54"/>
      <c r="AI15" s="55"/>
      <c r="AJ15" s="55"/>
      <c r="AK15" s="55"/>
      <c r="AL15" s="55"/>
      <c r="AM15" s="55"/>
      <c r="AN15" s="42"/>
      <c r="AO15" s="42"/>
      <c r="AP15" s="42"/>
      <c r="AQ15" s="43" t="s">
        <v>92</v>
      </c>
      <c r="AR15" s="42"/>
      <c r="AS15" s="42"/>
    </row>
    <row r="16" spans="1:45" ht="15" customHeight="1">
      <c r="A16" s="20" t="s">
        <v>57</v>
      </c>
      <c r="B16" s="22" t="s">
        <v>83</v>
      </c>
      <c r="C16" s="22" t="s">
        <v>84</v>
      </c>
      <c r="D16" s="22" t="s">
        <v>85</v>
      </c>
      <c r="E16" s="23" t="s">
        <v>86</v>
      </c>
      <c r="F16" s="20" t="s">
        <v>87</v>
      </c>
      <c r="G16" s="26" t="s">
        <v>62</v>
      </c>
      <c r="H16" s="25" t="s">
        <v>88</v>
      </c>
      <c r="I16" s="26" t="s">
        <v>64</v>
      </c>
      <c r="J16" s="46"/>
      <c r="K16" s="47"/>
      <c r="L16" s="48"/>
      <c r="M16" s="49">
        <v>44805</v>
      </c>
      <c r="N16" s="47" t="s">
        <v>66</v>
      </c>
      <c r="O16" s="50">
        <v>500</v>
      </c>
      <c r="P16" s="51">
        <v>1</v>
      </c>
      <c r="Q16" s="51">
        <f t="shared" si="1"/>
        <v>500</v>
      </c>
      <c r="R16" s="31">
        <v>202310</v>
      </c>
      <c r="S16" s="32" t="s">
        <v>102</v>
      </c>
      <c r="T16" s="32"/>
      <c r="U16" s="32"/>
      <c r="V16" s="32"/>
      <c r="W16" s="42"/>
      <c r="X16" s="42"/>
      <c r="Y16" s="36">
        <v>44044</v>
      </c>
      <c r="Z16" s="36">
        <v>45504</v>
      </c>
      <c r="AA16" s="36"/>
      <c r="AB16" s="36"/>
      <c r="AC16" s="36"/>
      <c r="AD16" s="36"/>
      <c r="AE16" s="36"/>
      <c r="AF16" s="53" t="s">
        <v>68</v>
      </c>
      <c r="AG16" s="54"/>
      <c r="AH16" s="54"/>
      <c r="AI16" s="55"/>
      <c r="AJ16" s="55"/>
      <c r="AK16" s="55"/>
      <c r="AL16" s="55"/>
      <c r="AM16" s="55"/>
      <c r="AN16" s="42"/>
      <c r="AO16" s="42"/>
      <c r="AP16" s="42"/>
      <c r="AQ16" s="43" t="s">
        <v>92</v>
      </c>
      <c r="AR16" s="42"/>
      <c r="AS16" s="42"/>
    </row>
    <row r="17" spans="1:45" ht="15" customHeight="1">
      <c r="A17" s="20" t="s">
        <v>57</v>
      </c>
      <c r="B17" s="22" t="s">
        <v>83</v>
      </c>
      <c r="C17" s="22" t="s">
        <v>84</v>
      </c>
      <c r="D17" s="22" t="s">
        <v>85</v>
      </c>
      <c r="E17" s="23" t="s">
        <v>86</v>
      </c>
      <c r="F17" s="20" t="s">
        <v>87</v>
      </c>
      <c r="G17" s="26" t="s">
        <v>62</v>
      </c>
      <c r="H17" s="25" t="s">
        <v>88</v>
      </c>
      <c r="I17" s="26" t="s">
        <v>64</v>
      </c>
      <c r="J17" s="46"/>
      <c r="K17" s="47"/>
      <c r="L17" s="48"/>
      <c r="M17" s="49">
        <v>44805</v>
      </c>
      <c r="N17" s="47" t="s">
        <v>66</v>
      </c>
      <c r="O17" s="50">
        <v>500</v>
      </c>
      <c r="P17" s="51">
        <v>1</v>
      </c>
      <c r="Q17" s="51">
        <f t="shared" si="1"/>
        <v>500</v>
      </c>
      <c r="R17" s="31">
        <v>202310</v>
      </c>
      <c r="S17" s="32" t="s">
        <v>103</v>
      </c>
      <c r="T17" s="32"/>
      <c r="U17" s="32"/>
      <c r="V17" s="32"/>
      <c r="W17" s="42"/>
      <c r="X17" s="42"/>
      <c r="Y17" s="36">
        <v>44044</v>
      </c>
      <c r="Z17" s="36">
        <v>45504</v>
      </c>
      <c r="AA17" s="36"/>
      <c r="AB17" s="36"/>
      <c r="AC17" s="36"/>
      <c r="AD17" s="36"/>
      <c r="AE17" s="36"/>
      <c r="AF17" s="53" t="s">
        <v>68</v>
      </c>
      <c r="AG17" s="54"/>
      <c r="AH17" s="54"/>
      <c r="AI17" s="55"/>
      <c r="AJ17" s="55"/>
      <c r="AK17" s="55"/>
      <c r="AL17" s="55"/>
      <c r="AM17" s="55"/>
      <c r="AN17" s="42"/>
      <c r="AO17" s="42"/>
      <c r="AP17" s="42"/>
      <c r="AQ17" s="43" t="s">
        <v>92</v>
      </c>
      <c r="AR17" s="42"/>
      <c r="AS17" s="42"/>
    </row>
    <row r="18" spans="1:45" ht="15" customHeight="1">
      <c r="A18" s="20" t="s">
        <v>57</v>
      </c>
      <c r="B18" s="22" t="s">
        <v>83</v>
      </c>
      <c r="C18" s="22" t="s">
        <v>84</v>
      </c>
      <c r="D18" s="22" t="s">
        <v>85</v>
      </c>
      <c r="E18" s="23" t="s">
        <v>86</v>
      </c>
      <c r="F18" s="20" t="s">
        <v>87</v>
      </c>
      <c r="G18" s="26" t="s">
        <v>62</v>
      </c>
      <c r="H18" s="25" t="s">
        <v>88</v>
      </c>
      <c r="I18" s="26" t="s">
        <v>64</v>
      </c>
      <c r="J18" s="46"/>
      <c r="K18" s="47"/>
      <c r="L18" s="48"/>
      <c r="M18" s="49">
        <v>44805</v>
      </c>
      <c r="N18" s="47" t="s">
        <v>66</v>
      </c>
      <c r="O18" s="50">
        <v>500</v>
      </c>
      <c r="P18" s="51">
        <v>1</v>
      </c>
      <c r="Q18" s="51">
        <f t="shared" si="1"/>
        <v>500</v>
      </c>
      <c r="R18" s="31">
        <v>202310</v>
      </c>
      <c r="S18" s="32" t="s">
        <v>104</v>
      </c>
      <c r="T18" s="32"/>
      <c r="U18" s="32"/>
      <c r="V18" s="32"/>
      <c r="W18" s="42"/>
      <c r="X18" s="42"/>
      <c r="Y18" s="36">
        <v>44044</v>
      </c>
      <c r="Z18" s="36">
        <v>45504</v>
      </c>
      <c r="AA18" s="36"/>
      <c r="AB18" s="36"/>
      <c r="AC18" s="36"/>
      <c r="AD18" s="36"/>
      <c r="AE18" s="36"/>
      <c r="AF18" s="53" t="s">
        <v>68</v>
      </c>
      <c r="AG18" s="54"/>
      <c r="AH18" s="54"/>
      <c r="AI18" s="55"/>
      <c r="AJ18" s="55"/>
      <c r="AK18" s="55"/>
      <c r="AL18" s="55"/>
      <c r="AM18" s="55"/>
      <c r="AN18" s="42"/>
      <c r="AO18" s="42"/>
      <c r="AP18" s="42"/>
      <c r="AQ18" s="43" t="s">
        <v>92</v>
      </c>
      <c r="AR18" s="42"/>
      <c r="AS18" s="42"/>
    </row>
    <row r="19" spans="1:45" ht="15" customHeight="1">
      <c r="A19" s="20" t="s">
        <v>57</v>
      </c>
      <c r="B19" s="22" t="s">
        <v>83</v>
      </c>
      <c r="C19" s="22" t="s">
        <v>84</v>
      </c>
      <c r="D19" s="22" t="s">
        <v>85</v>
      </c>
      <c r="E19" s="23" t="s">
        <v>86</v>
      </c>
      <c r="F19" s="20" t="s">
        <v>87</v>
      </c>
      <c r="G19" s="26" t="s">
        <v>62</v>
      </c>
      <c r="H19" s="25" t="s">
        <v>88</v>
      </c>
      <c r="I19" s="26" t="s">
        <v>64</v>
      </c>
      <c r="J19" s="46"/>
      <c r="K19" s="47"/>
      <c r="L19" s="48"/>
      <c r="M19" s="49">
        <v>44805</v>
      </c>
      <c r="N19" s="47" t="s">
        <v>66</v>
      </c>
      <c r="O19" s="50">
        <v>500</v>
      </c>
      <c r="P19" s="51">
        <v>1</v>
      </c>
      <c r="Q19" s="51">
        <f t="shared" si="1"/>
        <v>500</v>
      </c>
      <c r="R19" s="31">
        <v>202310</v>
      </c>
      <c r="S19" s="32" t="s">
        <v>105</v>
      </c>
      <c r="T19" s="32"/>
      <c r="U19" s="32"/>
      <c r="V19" s="32"/>
      <c r="W19" s="42"/>
      <c r="X19" s="42"/>
      <c r="Y19" s="36">
        <v>44044</v>
      </c>
      <c r="Z19" s="36">
        <v>45504</v>
      </c>
      <c r="AA19" s="36"/>
      <c r="AB19" s="36"/>
      <c r="AC19" s="36"/>
      <c r="AD19" s="36"/>
      <c r="AE19" s="36"/>
      <c r="AF19" s="53" t="s">
        <v>68</v>
      </c>
      <c r="AG19" s="54"/>
      <c r="AH19" s="54"/>
      <c r="AI19" s="55"/>
      <c r="AJ19" s="55"/>
      <c r="AK19" s="55"/>
      <c r="AL19" s="55"/>
      <c r="AM19" s="55"/>
      <c r="AN19" s="42"/>
      <c r="AO19" s="42"/>
      <c r="AP19" s="42"/>
      <c r="AQ19" s="43" t="s">
        <v>92</v>
      </c>
      <c r="AR19" s="42"/>
      <c r="AS19" s="42"/>
    </row>
    <row r="20" spans="1:45" ht="15" customHeight="1">
      <c r="A20" s="20" t="s">
        <v>57</v>
      </c>
      <c r="B20" s="22" t="s">
        <v>83</v>
      </c>
      <c r="C20" s="22" t="s">
        <v>84</v>
      </c>
      <c r="D20" s="22" t="s">
        <v>85</v>
      </c>
      <c r="E20" s="23" t="s">
        <v>86</v>
      </c>
      <c r="F20" s="20" t="s">
        <v>87</v>
      </c>
      <c r="G20" s="26" t="s">
        <v>62</v>
      </c>
      <c r="H20" s="25" t="s">
        <v>88</v>
      </c>
      <c r="I20" s="26" t="s">
        <v>64</v>
      </c>
      <c r="J20" s="46"/>
      <c r="K20" s="47"/>
      <c r="L20" s="48"/>
      <c r="M20" s="49">
        <v>44805</v>
      </c>
      <c r="N20" s="47" t="s">
        <v>66</v>
      </c>
      <c r="O20" s="50">
        <v>500</v>
      </c>
      <c r="P20" s="51">
        <v>1</v>
      </c>
      <c r="Q20" s="51">
        <f t="shared" si="1"/>
        <v>500</v>
      </c>
      <c r="R20" s="31">
        <v>202310</v>
      </c>
      <c r="S20" s="32" t="s">
        <v>106</v>
      </c>
      <c r="T20" s="32"/>
      <c r="U20" s="32"/>
      <c r="V20" s="32"/>
      <c r="W20" s="42"/>
      <c r="X20" s="42"/>
      <c r="Y20" s="36">
        <v>44044</v>
      </c>
      <c r="Z20" s="36">
        <v>45504</v>
      </c>
      <c r="AA20" s="36"/>
      <c r="AB20" s="36"/>
      <c r="AC20" s="36"/>
      <c r="AD20" s="36"/>
      <c r="AE20" s="36"/>
      <c r="AF20" s="53" t="s">
        <v>68</v>
      </c>
      <c r="AG20" s="54"/>
      <c r="AH20" s="54"/>
      <c r="AI20" s="55"/>
      <c r="AJ20" s="55"/>
      <c r="AK20" s="55"/>
      <c r="AL20" s="55"/>
      <c r="AM20" s="55"/>
      <c r="AN20" s="42"/>
      <c r="AO20" s="42"/>
      <c r="AP20" s="42"/>
      <c r="AQ20" s="43" t="s">
        <v>92</v>
      </c>
      <c r="AR20" s="42"/>
      <c r="AS20" s="42"/>
    </row>
    <row r="21" spans="1:45" ht="15" customHeight="1">
      <c r="A21" s="20" t="s">
        <v>57</v>
      </c>
      <c r="B21" s="22" t="s">
        <v>83</v>
      </c>
      <c r="C21" s="22" t="s">
        <v>84</v>
      </c>
      <c r="D21" s="22" t="s">
        <v>85</v>
      </c>
      <c r="E21" s="23" t="s">
        <v>86</v>
      </c>
      <c r="F21" s="20" t="s">
        <v>87</v>
      </c>
      <c r="G21" s="26" t="s">
        <v>62</v>
      </c>
      <c r="H21" s="25" t="s">
        <v>88</v>
      </c>
      <c r="I21" s="26" t="s">
        <v>64</v>
      </c>
      <c r="J21" s="46"/>
      <c r="K21" s="47"/>
      <c r="L21" s="48"/>
      <c r="M21" s="49">
        <v>44971</v>
      </c>
      <c r="N21" s="47" t="s">
        <v>66</v>
      </c>
      <c r="O21" s="50">
        <v>500</v>
      </c>
      <c r="P21" s="51">
        <v>2</v>
      </c>
      <c r="Q21" s="51">
        <f t="shared" si="1"/>
        <v>1000</v>
      </c>
      <c r="R21" s="31">
        <v>202310</v>
      </c>
      <c r="S21" s="64" t="s">
        <v>107</v>
      </c>
      <c r="T21" s="32"/>
      <c r="U21" s="32"/>
      <c r="V21" s="32"/>
      <c r="W21" s="42"/>
      <c r="X21" s="42"/>
      <c r="Y21" s="36">
        <v>44044</v>
      </c>
      <c r="Z21" s="36">
        <v>45504</v>
      </c>
      <c r="AA21" s="36"/>
      <c r="AB21" s="36"/>
      <c r="AC21" s="36"/>
      <c r="AD21" s="36"/>
      <c r="AE21" s="36"/>
      <c r="AF21" s="53" t="s">
        <v>68</v>
      </c>
      <c r="AG21" s="54"/>
      <c r="AH21" s="54"/>
      <c r="AI21" s="55"/>
      <c r="AJ21" s="55"/>
      <c r="AK21" s="55"/>
      <c r="AL21" s="55"/>
      <c r="AM21" s="55"/>
      <c r="AN21" s="42"/>
      <c r="AO21" s="42"/>
      <c r="AP21" s="42"/>
      <c r="AQ21" s="43" t="s">
        <v>92</v>
      </c>
      <c r="AR21" s="42"/>
      <c r="AS21" s="42"/>
    </row>
    <row r="22" spans="1:45" ht="15" customHeight="1">
      <c r="A22" s="20" t="s">
        <v>57</v>
      </c>
      <c r="B22" s="22" t="s">
        <v>83</v>
      </c>
      <c r="C22" s="22" t="s">
        <v>84</v>
      </c>
      <c r="D22" s="22" t="s">
        <v>85</v>
      </c>
      <c r="E22" s="23" t="s">
        <v>86</v>
      </c>
      <c r="F22" s="20" t="s">
        <v>87</v>
      </c>
      <c r="G22" s="26" t="s">
        <v>62</v>
      </c>
      <c r="H22" s="25" t="s">
        <v>88</v>
      </c>
      <c r="I22" s="26" t="s">
        <v>64</v>
      </c>
      <c r="J22" s="46"/>
      <c r="K22" s="47"/>
      <c r="L22" s="48"/>
      <c r="M22" s="49">
        <v>45041</v>
      </c>
      <c r="N22" s="47" t="s">
        <v>66</v>
      </c>
      <c r="O22" s="50">
        <v>500</v>
      </c>
      <c r="P22" s="51">
        <v>2</v>
      </c>
      <c r="Q22" s="51">
        <f t="shared" si="1"/>
        <v>1000</v>
      </c>
      <c r="R22" s="31">
        <v>202310</v>
      </c>
      <c r="S22" s="32" t="s">
        <v>108</v>
      </c>
      <c r="T22" s="43"/>
      <c r="U22" s="32"/>
      <c r="V22" s="32"/>
      <c r="W22" s="42"/>
      <c r="X22" s="42"/>
      <c r="Y22" s="36">
        <v>44044</v>
      </c>
      <c r="Z22" s="36">
        <v>45504</v>
      </c>
      <c r="AA22" s="36"/>
      <c r="AB22" s="36"/>
      <c r="AC22" s="36"/>
      <c r="AD22" s="36"/>
      <c r="AE22" s="36"/>
      <c r="AF22" s="53" t="s">
        <v>68</v>
      </c>
      <c r="AG22" s="54"/>
      <c r="AH22" s="54"/>
      <c r="AI22" s="55"/>
      <c r="AJ22" s="55"/>
      <c r="AK22" s="55"/>
      <c r="AL22" s="55"/>
      <c r="AM22" s="55"/>
      <c r="AN22" s="42"/>
      <c r="AO22" s="42"/>
      <c r="AP22" s="42"/>
      <c r="AQ22" s="43" t="s">
        <v>92</v>
      </c>
      <c r="AR22" s="42"/>
      <c r="AS22" s="42"/>
    </row>
    <row r="23" spans="1:45" ht="15" customHeight="1">
      <c r="A23" s="20" t="s">
        <v>57</v>
      </c>
      <c r="B23" s="22" t="s">
        <v>83</v>
      </c>
      <c r="C23" s="22" t="s">
        <v>84</v>
      </c>
      <c r="D23" s="22" t="s">
        <v>85</v>
      </c>
      <c r="E23" s="23" t="s">
        <v>86</v>
      </c>
      <c r="F23" s="20" t="s">
        <v>87</v>
      </c>
      <c r="G23" s="26" t="s">
        <v>62</v>
      </c>
      <c r="H23" s="25" t="s">
        <v>88</v>
      </c>
      <c r="I23" s="26" t="s">
        <v>64</v>
      </c>
      <c r="J23" s="46"/>
      <c r="K23" s="47"/>
      <c r="L23" s="48"/>
      <c r="M23" s="49">
        <v>45041</v>
      </c>
      <c r="N23" s="47" t="s">
        <v>66</v>
      </c>
      <c r="O23" s="50">
        <v>500</v>
      </c>
      <c r="P23" s="51">
        <v>1</v>
      </c>
      <c r="Q23" s="51">
        <f t="shared" si="1"/>
        <v>500</v>
      </c>
      <c r="R23" s="31">
        <v>202310</v>
      </c>
      <c r="S23" s="32" t="s">
        <v>109</v>
      </c>
      <c r="T23" s="32"/>
      <c r="U23" s="32"/>
      <c r="V23" s="32"/>
      <c r="W23" s="42"/>
      <c r="X23" s="42"/>
      <c r="Y23" s="36">
        <v>44044</v>
      </c>
      <c r="Z23" s="36">
        <v>45504</v>
      </c>
      <c r="AA23" s="36"/>
      <c r="AB23" s="36"/>
      <c r="AC23" s="36"/>
      <c r="AD23" s="36"/>
      <c r="AE23" s="36"/>
      <c r="AF23" s="53" t="s">
        <v>68</v>
      </c>
      <c r="AG23" s="54"/>
      <c r="AH23" s="54"/>
      <c r="AI23" s="55"/>
      <c r="AJ23" s="55"/>
      <c r="AK23" s="55"/>
      <c r="AL23" s="55"/>
      <c r="AM23" s="55"/>
      <c r="AN23" s="42"/>
      <c r="AO23" s="42"/>
      <c r="AP23" s="42"/>
      <c r="AQ23" s="43" t="s">
        <v>92</v>
      </c>
      <c r="AR23" s="42"/>
      <c r="AS23" s="42"/>
    </row>
    <row r="24" spans="1:45" ht="15" customHeight="1">
      <c r="A24" s="20" t="s">
        <v>57</v>
      </c>
      <c r="B24" s="22" t="s">
        <v>83</v>
      </c>
      <c r="C24" s="22" t="s">
        <v>84</v>
      </c>
      <c r="D24" s="22" t="s">
        <v>85</v>
      </c>
      <c r="E24" s="23" t="s">
        <v>86</v>
      </c>
      <c r="F24" s="20" t="s">
        <v>87</v>
      </c>
      <c r="G24" s="26" t="s">
        <v>62</v>
      </c>
      <c r="H24" s="25" t="s">
        <v>88</v>
      </c>
      <c r="I24" s="26" t="s">
        <v>64</v>
      </c>
      <c r="J24" s="46"/>
      <c r="K24" s="47"/>
      <c r="L24" s="48"/>
      <c r="M24" s="49">
        <v>45053</v>
      </c>
      <c r="N24" s="47" t="s">
        <v>66</v>
      </c>
      <c r="O24" s="50">
        <v>500</v>
      </c>
      <c r="P24" s="51">
        <v>1</v>
      </c>
      <c r="Q24" s="51">
        <f t="shared" si="1"/>
        <v>500</v>
      </c>
      <c r="R24" s="31">
        <v>202310</v>
      </c>
      <c r="S24" s="32" t="s">
        <v>110</v>
      </c>
      <c r="T24" s="32"/>
      <c r="U24" s="32"/>
      <c r="V24" s="32"/>
      <c r="W24" s="42"/>
      <c r="X24" s="42"/>
      <c r="Y24" s="36">
        <v>44044</v>
      </c>
      <c r="Z24" s="36">
        <v>45504</v>
      </c>
      <c r="AA24" s="36"/>
      <c r="AB24" s="36"/>
      <c r="AC24" s="36"/>
      <c r="AD24" s="36"/>
      <c r="AE24" s="36"/>
      <c r="AF24" s="53" t="s">
        <v>68</v>
      </c>
      <c r="AG24" s="54"/>
      <c r="AH24" s="54"/>
      <c r="AI24" s="55"/>
      <c r="AJ24" s="55"/>
      <c r="AK24" s="55"/>
      <c r="AL24" s="55"/>
      <c r="AM24" s="55"/>
      <c r="AN24" s="42"/>
      <c r="AO24" s="42"/>
      <c r="AP24" s="42"/>
      <c r="AQ24" s="43" t="s">
        <v>92</v>
      </c>
      <c r="AR24" s="42"/>
      <c r="AS24" s="42"/>
    </row>
    <row r="25" spans="1:45" ht="15" customHeight="1">
      <c r="A25" s="20" t="s">
        <v>57</v>
      </c>
      <c r="B25" s="22" t="s">
        <v>83</v>
      </c>
      <c r="C25" s="22" t="s">
        <v>84</v>
      </c>
      <c r="D25" s="22" t="s">
        <v>85</v>
      </c>
      <c r="E25" s="23" t="s">
        <v>86</v>
      </c>
      <c r="F25" s="20" t="s">
        <v>87</v>
      </c>
      <c r="G25" s="26" t="s">
        <v>62</v>
      </c>
      <c r="H25" s="25" t="s">
        <v>88</v>
      </c>
      <c r="I25" s="26" t="s">
        <v>64</v>
      </c>
      <c r="J25" s="46"/>
      <c r="K25" s="47"/>
      <c r="L25" s="48"/>
      <c r="M25" s="49">
        <v>45148</v>
      </c>
      <c r="N25" s="47" t="s">
        <v>66</v>
      </c>
      <c r="O25" s="50">
        <v>500</v>
      </c>
      <c r="P25" s="51">
        <v>2</v>
      </c>
      <c r="Q25" s="51">
        <f>ROUND(O25*P25,2)</f>
        <v>1000</v>
      </c>
      <c r="R25" s="31">
        <v>202310</v>
      </c>
      <c r="S25" s="64" t="s">
        <v>111</v>
      </c>
      <c r="T25" s="32"/>
      <c r="U25" s="32"/>
      <c r="V25" s="32"/>
      <c r="W25" s="42"/>
      <c r="X25" s="42"/>
      <c r="Y25" s="36">
        <v>44044</v>
      </c>
      <c r="Z25" s="36">
        <v>45504</v>
      </c>
      <c r="AA25" s="36"/>
      <c r="AB25" s="36"/>
      <c r="AC25" s="36"/>
      <c r="AD25" s="36"/>
      <c r="AE25" s="36"/>
      <c r="AF25" s="53" t="s">
        <v>68</v>
      </c>
      <c r="AG25" s="54"/>
      <c r="AH25" s="54"/>
      <c r="AI25" s="55"/>
      <c r="AJ25" s="55"/>
      <c r="AK25" s="55"/>
      <c r="AL25" s="55"/>
      <c r="AM25" s="55"/>
      <c r="AN25" s="42"/>
      <c r="AO25" s="42"/>
      <c r="AP25" s="42"/>
      <c r="AQ25" s="43" t="s">
        <v>92</v>
      </c>
      <c r="AR25" s="42"/>
      <c r="AS25" s="42"/>
    </row>
    <row r="26" spans="1:45" ht="15" customHeight="1">
      <c r="A26" s="65" t="s">
        <v>57</v>
      </c>
      <c r="B26" s="22" t="s">
        <v>83</v>
      </c>
      <c r="C26" s="21" t="s">
        <v>58</v>
      </c>
      <c r="D26" s="22" t="s">
        <v>85</v>
      </c>
      <c r="E26" s="66" t="s">
        <v>112</v>
      </c>
      <c r="F26" s="65" t="s">
        <v>113</v>
      </c>
      <c r="G26" s="26" t="s">
        <v>114</v>
      </c>
      <c r="H26" s="45" t="s">
        <v>115</v>
      </c>
      <c r="I26" s="26" t="s">
        <v>116</v>
      </c>
      <c r="J26" s="46" t="s">
        <v>58</v>
      </c>
      <c r="K26" s="47" t="s">
        <v>117</v>
      </c>
      <c r="L26" s="48"/>
      <c r="M26" s="49">
        <v>42817</v>
      </c>
      <c r="N26" s="47" t="s">
        <v>118</v>
      </c>
      <c r="O26" s="61">
        <v>68200</v>
      </c>
      <c r="P26" s="51">
        <v>0</v>
      </c>
      <c r="Q26" s="51">
        <f>ROUND(O26*P26,2)</f>
        <v>0</v>
      </c>
      <c r="R26" s="31">
        <v>202310</v>
      </c>
      <c r="S26" s="32" t="s">
        <v>119</v>
      </c>
      <c r="T26" s="33"/>
      <c r="U26" s="32"/>
      <c r="V26" s="33"/>
      <c r="W26" s="67"/>
      <c r="X26" s="67"/>
      <c r="Y26" s="36"/>
      <c r="Z26" s="36"/>
      <c r="AA26" s="36"/>
      <c r="AB26" s="36"/>
      <c r="AC26" s="36"/>
      <c r="AD26" s="36"/>
      <c r="AE26" s="36"/>
      <c r="AF26" s="53" t="s">
        <v>68</v>
      </c>
      <c r="AG26" s="54"/>
      <c r="AH26" s="54"/>
      <c r="AI26" s="55"/>
      <c r="AJ26" s="55"/>
      <c r="AK26" s="55"/>
      <c r="AL26" s="55"/>
      <c r="AM26" s="55"/>
      <c r="AN26" s="42"/>
      <c r="AO26" s="42"/>
      <c r="AP26" s="42"/>
      <c r="AQ26" s="43"/>
      <c r="AR26" s="42"/>
      <c r="AS26" s="42"/>
    </row>
    <row r="27" spans="1:45" ht="15" customHeight="1">
      <c r="A27" s="65" t="s">
        <v>57</v>
      </c>
      <c r="B27" s="22" t="s">
        <v>83</v>
      </c>
      <c r="C27" s="21" t="s">
        <v>58</v>
      </c>
      <c r="D27" s="22" t="s">
        <v>85</v>
      </c>
      <c r="E27" s="66" t="s">
        <v>112</v>
      </c>
      <c r="F27" s="65" t="s">
        <v>113</v>
      </c>
      <c r="G27" s="26" t="s">
        <v>114</v>
      </c>
      <c r="H27" s="45" t="s">
        <v>115</v>
      </c>
      <c r="I27" s="26" t="s">
        <v>120</v>
      </c>
      <c r="J27" s="46" t="s">
        <v>58</v>
      </c>
      <c r="K27" s="47"/>
      <c r="L27" s="48"/>
      <c r="M27" s="49" t="s">
        <v>121</v>
      </c>
      <c r="N27" s="47" t="s">
        <v>122</v>
      </c>
      <c r="O27" s="61">
        <v>2392</v>
      </c>
      <c r="P27" s="51">
        <v>1</v>
      </c>
      <c r="Q27" s="51">
        <v>0</v>
      </c>
      <c r="R27" s="31">
        <v>202310</v>
      </c>
      <c r="S27" s="32" t="s">
        <v>123</v>
      </c>
      <c r="T27" s="33"/>
      <c r="U27" s="32"/>
      <c r="V27" s="33"/>
      <c r="W27" s="67"/>
      <c r="X27" s="67"/>
      <c r="Y27" s="36"/>
      <c r="Z27" s="36"/>
      <c r="AA27" s="36"/>
      <c r="AB27" s="36"/>
      <c r="AC27" s="36"/>
      <c r="AD27" s="36"/>
      <c r="AE27" s="36"/>
      <c r="AF27" s="53" t="s">
        <v>68</v>
      </c>
      <c r="AG27" s="54"/>
      <c r="AH27" s="54"/>
      <c r="AI27" s="55"/>
      <c r="AJ27" s="55"/>
      <c r="AK27" s="55"/>
      <c r="AL27" s="55"/>
      <c r="AM27" s="55"/>
      <c r="AN27" s="42"/>
      <c r="AO27" s="42"/>
      <c r="AP27" s="42"/>
      <c r="AQ27" s="43"/>
      <c r="AR27" s="42"/>
      <c r="AS27" s="42"/>
    </row>
    <row r="28" spans="1:45" ht="15" customHeight="1">
      <c r="A28" s="65" t="s">
        <v>57</v>
      </c>
      <c r="B28" s="22" t="s">
        <v>83</v>
      </c>
      <c r="C28" s="21" t="s">
        <v>58</v>
      </c>
      <c r="D28" s="22" t="s">
        <v>85</v>
      </c>
      <c r="E28" s="66" t="s">
        <v>112</v>
      </c>
      <c r="F28" s="65" t="s">
        <v>113</v>
      </c>
      <c r="G28" s="26" t="s">
        <v>114</v>
      </c>
      <c r="H28" s="45" t="s">
        <v>115</v>
      </c>
      <c r="I28" s="26" t="s">
        <v>124</v>
      </c>
      <c r="J28" s="46" t="s">
        <v>58</v>
      </c>
      <c r="K28" s="47"/>
      <c r="L28" s="48"/>
      <c r="M28" s="49" t="s">
        <v>125</v>
      </c>
      <c r="N28" s="47" t="s">
        <v>122</v>
      </c>
      <c r="O28" s="61">
        <v>2427</v>
      </c>
      <c r="P28" s="51">
        <v>1</v>
      </c>
      <c r="Q28" s="51">
        <v>0</v>
      </c>
      <c r="R28" s="31">
        <v>202310</v>
      </c>
      <c r="S28" s="32" t="s">
        <v>126</v>
      </c>
      <c r="T28" s="33"/>
      <c r="U28" s="32"/>
      <c r="V28" s="33"/>
      <c r="W28" s="67"/>
      <c r="X28" s="67"/>
      <c r="Y28" s="36"/>
      <c r="Z28" s="36"/>
      <c r="AA28" s="36"/>
      <c r="AB28" s="36"/>
      <c r="AC28" s="36"/>
      <c r="AD28" s="36"/>
      <c r="AE28" s="36"/>
      <c r="AF28" s="53" t="s">
        <v>68</v>
      </c>
      <c r="AG28" s="54"/>
      <c r="AH28" s="54"/>
      <c r="AI28" s="55"/>
      <c r="AJ28" s="55"/>
      <c r="AK28" s="55"/>
      <c r="AL28" s="55"/>
      <c r="AM28" s="55"/>
      <c r="AN28" s="42"/>
      <c r="AO28" s="42"/>
      <c r="AP28" s="42"/>
      <c r="AQ28" s="43"/>
      <c r="AR28" s="42"/>
      <c r="AS28" s="42"/>
    </row>
    <row r="29" spans="1:45" ht="15" customHeight="1">
      <c r="A29" s="65" t="s">
        <v>57</v>
      </c>
      <c r="B29" s="22" t="s">
        <v>83</v>
      </c>
      <c r="C29" s="21" t="s">
        <v>58</v>
      </c>
      <c r="D29" s="22" t="s">
        <v>85</v>
      </c>
      <c r="E29" s="66" t="s">
        <v>112</v>
      </c>
      <c r="F29" s="65" t="s">
        <v>113</v>
      </c>
      <c r="G29" s="26" t="s">
        <v>114</v>
      </c>
      <c r="H29" s="45" t="s">
        <v>115</v>
      </c>
      <c r="I29" s="26" t="s">
        <v>127</v>
      </c>
      <c r="J29" s="46" t="s">
        <v>58</v>
      </c>
      <c r="K29" s="47"/>
      <c r="L29" s="48"/>
      <c r="M29" s="49">
        <v>42965</v>
      </c>
      <c r="N29" s="47" t="s">
        <v>128</v>
      </c>
      <c r="O29" s="61">
        <v>5850</v>
      </c>
      <c r="P29" s="51">
        <v>1</v>
      </c>
      <c r="Q29" s="51">
        <v>0</v>
      </c>
      <c r="R29" s="31">
        <v>202310</v>
      </c>
      <c r="S29" s="32" t="s">
        <v>129</v>
      </c>
      <c r="T29" s="33"/>
      <c r="U29" s="32"/>
      <c r="V29" s="33"/>
      <c r="W29" s="67"/>
      <c r="X29" s="67"/>
      <c r="Y29" s="36"/>
      <c r="Z29" s="36"/>
      <c r="AA29" s="36"/>
      <c r="AB29" s="36"/>
      <c r="AC29" s="36"/>
      <c r="AD29" s="36"/>
      <c r="AE29" s="36"/>
      <c r="AF29" s="53" t="s">
        <v>68</v>
      </c>
      <c r="AG29" s="54"/>
      <c r="AH29" s="54"/>
      <c r="AI29" s="55"/>
      <c r="AJ29" s="55"/>
      <c r="AK29" s="55"/>
      <c r="AL29" s="55"/>
      <c r="AM29" s="55"/>
      <c r="AN29" s="42"/>
      <c r="AO29" s="42"/>
      <c r="AP29" s="42"/>
      <c r="AQ29" s="43"/>
      <c r="AR29" s="42"/>
      <c r="AS29" s="42"/>
    </row>
    <row r="30" spans="1:45" ht="15" customHeight="1">
      <c r="A30" s="65" t="s">
        <v>57</v>
      </c>
      <c r="B30" s="22" t="s">
        <v>83</v>
      </c>
      <c r="C30" s="21" t="s">
        <v>58</v>
      </c>
      <c r="D30" s="22" t="s">
        <v>85</v>
      </c>
      <c r="E30" s="66" t="s">
        <v>112</v>
      </c>
      <c r="F30" s="65" t="s">
        <v>113</v>
      </c>
      <c r="G30" s="26" t="s">
        <v>114</v>
      </c>
      <c r="H30" s="45" t="s">
        <v>115</v>
      </c>
      <c r="I30" s="26" t="s">
        <v>120</v>
      </c>
      <c r="J30" s="46" t="s">
        <v>58</v>
      </c>
      <c r="K30" s="47"/>
      <c r="L30" s="48"/>
      <c r="M30" s="49">
        <v>42934</v>
      </c>
      <c r="N30" s="47" t="s">
        <v>130</v>
      </c>
      <c r="O30" s="61">
        <v>3484</v>
      </c>
      <c r="P30" s="51">
        <v>1</v>
      </c>
      <c r="Q30" s="51">
        <v>0</v>
      </c>
      <c r="R30" s="31">
        <v>202310</v>
      </c>
      <c r="S30" s="32" t="s">
        <v>131</v>
      </c>
      <c r="T30" s="33"/>
      <c r="U30" s="32"/>
      <c r="V30" s="33"/>
      <c r="W30" s="67"/>
      <c r="X30" s="67"/>
      <c r="Y30" s="36"/>
      <c r="Z30" s="36"/>
      <c r="AA30" s="36"/>
      <c r="AB30" s="36"/>
      <c r="AC30" s="36"/>
      <c r="AD30" s="36"/>
      <c r="AE30" s="36"/>
      <c r="AF30" s="53" t="s">
        <v>68</v>
      </c>
      <c r="AG30" s="54"/>
      <c r="AH30" s="54"/>
      <c r="AI30" s="55"/>
      <c r="AJ30" s="55"/>
      <c r="AK30" s="55"/>
      <c r="AL30" s="55"/>
      <c r="AM30" s="55"/>
      <c r="AN30" s="42"/>
      <c r="AO30" s="42"/>
      <c r="AP30" s="42"/>
      <c r="AQ30" s="43"/>
      <c r="AR30" s="42"/>
      <c r="AS30" s="42"/>
    </row>
    <row r="31" spans="1:45" ht="15" customHeight="1">
      <c r="A31" s="65" t="s">
        <v>57</v>
      </c>
      <c r="B31" s="22" t="s">
        <v>83</v>
      </c>
      <c r="C31" s="21" t="s">
        <v>58</v>
      </c>
      <c r="D31" s="22" t="s">
        <v>85</v>
      </c>
      <c r="E31" s="66" t="s">
        <v>112</v>
      </c>
      <c r="F31" s="65" t="s">
        <v>113</v>
      </c>
      <c r="G31" s="26" t="s">
        <v>114</v>
      </c>
      <c r="H31" s="45" t="s">
        <v>115</v>
      </c>
      <c r="I31" s="26" t="s">
        <v>120</v>
      </c>
      <c r="J31" s="46" t="s">
        <v>58</v>
      </c>
      <c r="K31" s="47"/>
      <c r="L31" s="48"/>
      <c r="M31" s="49">
        <v>42937</v>
      </c>
      <c r="N31" s="47" t="s">
        <v>130</v>
      </c>
      <c r="O31" s="61">
        <v>3484</v>
      </c>
      <c r="P31" s="51">
        <v>1</v>
      </c>
      <c r="Q31" s="51">
        <v>0</v>
      </c>
      <c r="R31" s="31">
        <v>202310</v>
      </c>
      <c r="S31" s="32" t="s">
        <v>132</v>
      </c>
      <c r="T31" s="33"/>
      <c r="U31" s="32"/>
      <c r="V31" s="33"/>
      <c r="W31" s="67"/>
      <c r="X31" s="67"/>
      <c r="Y31" s="36"/>
      <c r="Z31" s="36"/>
      <c r="AA31" s="36"/>
      <c r="AB31" s="36"/>
      <c r="AC31" s="36"/>
      <c r="AD31" s="36"/>
      <c r="AE31" s="36"/>
      <c r="AF31" s="53" t="s">
        <v>68</v>
      </c>
      <c r="AG31" s="54"/>
      <c r="AH31" s="54"/>
      <c r="AI31" s="55"/>
      <c r="AJ31" s="55"/>
      <c r="AK31" s="55"/>
      <c r="AL31" s="55"/>
      <c r="AM31" s="55"/>
      <c r="AN31" s="42"/>
      <c r="AO31" s="42"/>
      <c r="AP31" s="42"/>
      <c r="AQ31" s="43"/>
      <c r="AR31" s="42"/>
      <c r="AS31" s="42"/>
    </row>
    <row r="32" spans="1:45" ht="15" customHeight="1">
      <c r="A32" s="65" t="s">
        <v>57</v>
      </c>
      <c r="B32" s="22" t="s">
        <v>83</v>
      </c>
      <c r="C32" s="21" t="s">
        <v>58</v>
      </c>
      <c r="D32" s="22" t="s">
        <v>85</v>
      </c>
      <c r="E32" s="66" t="s">
        <v>112</v>
      </c>
      <c r="F32" s="65" t="s">
        <v>113</v>
      </c>
      <c r="G32" s="26" t="s">
        <v>114</v>
      </c>
      <c r="H32" s="45" t="s">
        <v>115</v>
      </c>
      <c r="I32" s="26" t="s">
        <v>124</v>
      </c>
      <c r="J32" s="46" t="s">
        <v>58</v>
      </c>
      <c r="K32" s="47"/>
      <c r="L32" s="48"/>
      <c r="M32" s="49">
        <v>42937</v>
      </c>
      <c r="N32" s="47" t="s">
        <v>130</v>
      </c>
      <c r="O32" s="61">
        <v>3520</v>
      </c>
      <c r="P32" s="51">
        <v>1</v>
      </c>
      <c r="Q32" s="51">
        <v>0</v>
      </c>
      <c r="R32" s="31">
        <v>202310</v>
      </c>
      <c r="S32" s="32" t="s">
        <v>133</v>
      </c>
      <c r="T32" s="33"/>
      <c r="U32" s="32"/>
      <c r="V32" s="33"/>
      <c r="W32" s="67"/>
      <c r="X32" s="67"/>
      <c r="Y32" s="36"/>
      <c r="Z32" s="36"/>
      <c r="AA32" s="36"/>
      <c r="AB32" s="36"/>
      <c r="AC32" s="36"/>
      <c r="AD32" s="36"/>
      <c r="AE32" s="36"/>
      <c r="AF32" s="53" t="s">
        <v>68</v>
      </c>
      <c r="AG32" s="54"/>
      <c r="AH32" s="54"/>
      <c r="AI32" s="55"/>
      <c r="AJ32" s="55"/>
      <c r="AK32" s="55"/>
      <c r="AL32" s="55"/>
      <c r="AM32" s="55"/>
      <c r="AN32" s="42"/>
      <c r="AO32" s="42"/>
      <c r="AP32" s="42"/>
      <c r="AQ32" s="43"/>
      <c r="AR32" s="42"/>
      <c r="AS32" s="42"/>
    </row>
    <row r="33" spans="1:45" ht="15" customHeight="1">
      <c r="A33" s="65" t="s">
        <v>57</v>
      </c>
      <c r="B33" s="22" t="s">
        <v>83</v>
      </c>
      <c r="C33" s="21" t="s">
        <v>58</v>
      </c>
      <c r="D33" s="22" t="s">
        <v>85</v>
      </c>
      <c r="E33" s="66" t="s">
        <v>112</v>
      </c>
      <c r="F33" s="65" t="s">
        <v>113</v>
      </c>
      <c r="G33" s="26" t="s">
        <v>114</v>
      </c>
      <c r="H33" s="45" t="s">
        <v>115</v>
      </c>
      <c r="I33" s="26" t="s">
        <v>120</v>
      </c>
      <c r="J33" s="46" t="s">
        <v>58</v>
      </c>
      <c r="K33" s="47"/>
      <c r="L33" s="48"/>
      <c r="M33" s="49">
        <v>43545</v>
      </c>
      <c r="N33" s="47" t="s">
        <v>130</v>
      </c>
      <c r="O33" s="61">
        <v>3484</v>
      </c>
      <c r="P33" s="51">
        <v>1</v>
      </c>
      <c r="Q33" s="51">
        <v>0</v>
      </c>
      <c r="R33" s="31">
        <v>202310</v>
      </c>
      <c r="S33" s="32" t="s">
        <v>134</v>
      </c>
      <c r="T33" s="33"/>
      <c r="U33" s="32"/>
      <c r="V33" s="33"/>
      <c r="W33" s="67"/>
      <c r="X33" s="67"/>
      <c r="Y33" s="36"/>
      <c r="Z33" s="36"/>
      <c r="AA33" s="36"/>
      <c r="AB33" s="36"/>
      <c r="AC33" s="36"/>
      <c r="AD33" s="36"/>
      <c r="AE33" s="36"/>
      <c r="AF33" s="53" t="s">
        <v>68</v>
      </c>
      <c r="AG33" s="54"/>
      <c r="AH33" s="54"/>
      <c r="AI33" s="55"/>
      <c r="AJ33" s="55"/>
      <c r="AK33" s="55"/>
      <c r="AL33" s="55"/>
      <c r="AM33" s="55"/>
      <c r="AN33" s="42"/>
      <c r="AO33" s="42"/>
      <c r="AP33" s="42"/>
      <c r="AQ33" s="43"/>
      <c r="AR33" s="42"/>
      <c r="AS33" s="42"/>
    </row>
    <row r="34" spans="1:45" ht="15" customHeight="1">
      <c r="A34" s="65" t="s">
        <v>57</v>
      </c>
      <c r="B34" s="22" t="s">
        <v>83</v>
      </c>
      <c r="C34" s="21" t="s">
        <v>58</v>
      </c>
      <c r="D34" s="22" t="s">
        <v>85</v>
      </c>
      <c r="E34" s="66" t="s">
        <v>112</v>
      </c>
      <c r="F34" s="65" t="s">
        <v>113</v>
      </c>
      <c r="G34" s="26" t="s">
        <v>114</v>
      </c>
      <c r="H34" s="45" t="s">
        <v>115</v>
      </c>
      <c r="I34" s="26" t="s">
        <v>135</v>
      </c>
      <c r="J34" s="46" t="s">
        <v>58</v>
      </c>
      <c r="K34" s="47"/>
      <c r="L34" s="48"/>
      <c r="M34" s="49">
        <v>43006</v>
      </c>
      <c r="N34" s="47" t="s">
        <v>128</v>
      </c>
      <c r="O34" s="61">
        <v>5200</v>
      </c>
      <c r="P34" s="51">
        <v>1</v>
      </c>
      <c r="Q34" s="51">
        <v>0</v>
      </c>
      <c r="R34" s="31">
        <v>202310</v>
      </c>
      <c r="S34" s="32" t="s">
        <v>136</v>
      </c>
      <c r="T34" s="33"/>
      <c r="U34" s="32"/>
      <c r="V34" s="33"/>
      <c r="W34" s="67"/>
      <c r="X34" s="67"/>
      <c r="Y34" s="36"/>
      <c r="Z34" s="36"/>
      <c r="AA34" s="36"/>
      <c r="AB34" s="36"/>
      <c r="AC34" s="36"/>
      <c r="AD34" s="36"/>
      <c r="AE34" s="36"/>
      <c r="AF34" s="53" t="s">
        <v>68</v>
      </c>
      <c r="AG34" s="54"/>
      <c r="AH34" s="54"/>
      <c r="AI34" s="55"/>
      <c r="AJ34" s="55"/>
      <c r="AK34" s="55"/>
      <c r="AL34" s="55"/>
      <c r="AM34" s="55"/>
      <c r="AN34" s="42"/>
      <c r="AO34" s="42"/>
      <c r="AP34" s="42"/>
      <c r="AQ34" s="43"/>
      <c r="AR34" s="42"/>
      <c r="AS34" s="42"/>
    </row>
    <row r="35" spans="1:45" ht="15" customHeight="1">
      <c r="A35" s="65" t="s">
        <v>57</v>
      </c>
      <c r="B35" s="22" t="s">
        <v>83</v>
      </c>
      <c r="C35" s="21" t="s">
        <v>58</v>
      </c>
      <c r="D35" s="22" t="s">
        <v>85</v>
      </c>
      <c r="E35" s="66" t="s">
        <v>112</v>
      </c>
      <c r="F35" s="65" t="s">
        <v>113</v>
      </c>
      <c r="G35" s="26" t="s">
        <v>114</v>
      </c>
      <c r="H35" s="45" t="s">
        <v>115</v>
      </c>
      <c r="I35" s="26" t="s">
        <v>137</v>
      </c>
      <c r="J35" s="46" t="s">
        <v>58</v>
      </c>
      <c r="K35" s="47"/>
      <c r="L35" s="48"/>
      <c r="M35" s="49">
        <v>43027</v>
      </c>
      <c r="N35" s="47" t="s">
        <v>128</v>
      </c>
      <c r="O35" s="61">
        <v>1040</v>
      </c>
      <c r="P35" s="51">
        <v>1</v>
      </c>
      <c r="Q35" s="51">
        <v>0</v>
      </c>
      <c r="R35" s="31">
        <v>202310</v>
      </c>
      <c r="S35" s="32" t="s">
        <v>138</v>
      </c>
      <c r="T35" s="33"/>
      <c r="U35" s="32"/>
      <c r="V35" s="33"/>
      <c r="W35" s="67"/>
      <c r="X35" s="67"/>
      <c r="Y35" s="36"/>
      <c r="Z35" s="36"/>
      <c r="AA35" s="36"/>
      <c r="AB35" s="36"/>
      <c r="AC35" s="36"/>
      <c r="AD35" s="36"/>
      <c r="AE35" s="36"/>
      <c r="AF35" s="53" t="s">
        <v>68</v>
      </c>
      <c r="AG35" s="54"/>
      <c r="AH35" s="54"/>
      <c r="AI35" s="55"/>
      <c r="AJ35" s="55"/>
      <c r="AK35" s="55"/>
      <c r="AL35" s="55"/>
      <c r="AM35" s="55"/>
      <c r="AN35" s="42"/>
      <c r="AO35" s="42"/>
      <c r="AP35" s="42"/>
      <c r="AQ35" s="43"/>
      <c r="AR35" s="42"/>
      <c r="AS35" s="42"/>
    </row>
    <row r="36" spans="1:45" ht="15" customHeight="1">
      <c r="A36" s="65" t="s">
        <v>57</v>
      </c>
      <c r="B36" s="22" t="s">
        <v>83</v>
      </c>
      <c r="C36" s="21" t="s">
        <v>58</v>
      </c>
      <c r="D36" s="22" t="s">
        <v>85</v>
      </c>
      <c r="E36" s="66" t="s">
        <v>112</v>
      </c>
      <c r="F36" s="65" t="s">
        <v>113</v>
      </c>
      <c r="G36" s="26" t="s">
        <v>114</v>
      </c>
      <c r="H36" s="45" t="s">
        <v>115</v>
      </c>
      <c r="I36" s="26" t="s">
        <v>137</v>
      </c>
      <c r="J36" s="46" t="s">
        <v>58</v>
      </c>
      <c r="K36" s="47"/>
      <c r="L36" s="48"/>
      <c r="M36" s="49">
        <v>43027</v>
      </c>
      <c r="N36" s="47" t="s">
        <v>128</v>
      </c>
      <c r="O36" s="61">
        <v>1040</v>
      </c>
      <c r="P36" s="51">
        <v>1</v>
      </c>
      <c r="Q36" s="51">
        <v>0</v>
      </c>
      <c r="R36" s="31">
        <v>202310</v>
      </c>
      <c r="S36" s="32" t="s">
        <v>139</v>
      </c>
      <c r="T36" s="33"/>
      <c r="U36" s="32"/>
      <c r="V36" s="33"/>
      <c r="W36" s="67"/>
      <c r="X36" s="67"/>
      <c r="Y36" s="36"/>
      <c r="Z36" s="36"/>
      <c r="AA36" s="36"/>
      <c r="AB36" s="36"/>
      <c r="AC36" s="36"/>
      <c r="AD36" s="36"/>
      <c r="AE36" s="36"/>
      <c r="AF36" s="53" t="s">
        <v>68</v>
      </c>
      <c r="AG36" s="54"/>
      <c r="AH36" s="54"/>
      <c r="AI36" s="55"/>
      <c r="AJ36" s="55"/>
      <c r="AK36" s="55"/>
      <c r="AL36" s="55"/>
      <c r="AM36" s="55"/>
      <c r="AN36" s="42"/>
      <c r="AO36" s="42"/>
      <c r="AP36" s="42"/>
      <c r="AQ36" s="43"/>
      <c r="AR36" s="42"/>
      <c r="AS36" s="42"/>
    </row>
    <row r="37" spans="1:45" ht="15" customHeight="1">
      <c r="A37" s="65" t="s">
        <v>57</v>
      </c>
      <c r="B37" s="22" t="s">
        <v>83</v>
      </c>
      <c r="C37" s="21" t="s">
        <v>58</v>
      </c>
      <c r="D37" s="22" t="s">
        <v>85</v>
      </c>
      <c r="E37" s="66" t="s">
        <v>112</v>
      </c>
      <c r="F37" s="65" t="s">
        <v>113</v>
      </c>
      <c r="G37" s="26" t="s">
        <v>114</v>
      </c>
      <c r="H37" s="45" t="s">
        <v>115</v>
      </c>
      <c r="I37" s="26" t="s">
        <v>127</v>
      </c>
      <c r="J37" s="46" t="s">
        <v>58</v>
      </c>
      <c r="K37" s="47"/>
      <c r="L37" s="48"/>
      <c r="M37" s="49">
        <v>43073</v>
      </c>
      <c r="N37" s="47" t="s">
        <v>128</v>
      </c>
      <c r="O37" s="61">
        <v>5850</v>
      </c>
      <c r="P37" s="51">
        <v>1</v>
      </c>
      <c r="Q37" s="51">
        <v>0</v>
      </c>
      <c r="R37" s="31">
        <v>202310</v>
      </c>
      <c r="S37" s="32" t="s">
        <v>140</v>
      </c>
      <c r="T37" s="33"/>
      <c r="U37" s="32"/>
      <c r="V37" s="33"/>
      <c r="W37" s="67"/>
      <c r="X37" s="67"/>
      <c r="Y37" s="36"/>
      <c r="Z37" s="36"/>
      <c r="AA37" s="36"/>
      <c r="AB37" s="36"/>
      <c r="AC37" s="36"/>
      <c r="AD37" s="36"/>
      <c r="AE37" s="36"/>
      <c r="AF37" s="53" t="s">
        <v>68</v>
      </c>
      <c r="AG37" s="54"/>
      <c r="AH37" s="54"/>
      <c r="AI37" s="55"/>
      <c r="AJ37" s="55"/>
      <c r="AK37" s="55"/>
      <c r="AL37" s="55"/>
      <c r="AM37" s="55"/>
      <c r="AN37" s="42"/>
      <c r="AO37" s="42"/>
      <c r="AP37" s="42"/>
      <c r="AQ37" s="43"/>
      <c r="AR37" s="42"/>
      <c r="AS37" s="42"/>
    </row>
    <row r="38" spans="1:45" ht="15" customHeight="1">
      <c r="A38" s="65" t="s">
        <v>57</v>
      </c>
      <c r="B38" s="22" t="s">
        <v>83</v>
      </c>
      <c r="C38" s="21" t="s">
        <v>58</v>
      </c>
      <c r="D38" s="22" t="s">
        <v>85</v>
      </c>
      <c r="E38" s="66" t="s">
        <v>112</v>
      </c>
      <c r="F38" s="65" t="s">
        <v>113</v>
      </c>
      <c r="G38" s="26" t="s">
        <v>114</v>
      </c>
      <c r="H38" s="45" t="s">
        <v>115</v>
      </c>
      <c r="I38" s="26" t="s">
        <v>141</v>
      </c>
      <c r="J38" s="46" t="s">
        <v>58</v>
      </c>
      <c r="K38" s="47"/>
      <c r="L38" s="48"/>
      <c r="M38" s="49">
        <v>43075</v>
      </c>
      <c r="N38" s="47" t="s">
        <v>142</v>
      </c>
      <c r="O38" s="61">
        <v>3120</v>
      </c>
      <c r="P38" s="51">
        <v>1</v>
      </c>
      <c r="Q38" s="51">
        <v>0</v>
      </c>
      <c r="R38" s="31">
        <v>202310</v>
      </c>
      <c r="S38" s="32" t="s">
        <v>143</v>
      </c>
      <c r="T38" s="33"/>
      <c r="U38" s="32"/>
      <c r="V38" s="33"/>
      <c r="W38" s="67"/>
      <c r="X38" s="67"/>
      <c r="Y38" s="36"/>
      <c r="Z38" s="36"/>
      <c r="AA38" s="36"/>
      <c r="AB38" s="36"/>
      <c r="AC38" s="36"/>
      <c r="AD38" s="36"/>
      <c r="AE38" s="36"/>
      <c r="AF38" s="53" t="s">
        <v>68</v>
      </c>
      <c r="AG38" s="54"/>
      <c r="AH38" s="54"/>
      <c r="AI38" s="55"/>
      <c r="AJ38" s="55"/>
      <c r="AK38" s="55"/>
      <c r="AL38" s="55"/>
      <c r="AM38" s="55"/>
      <c r="AN38" s="42"/>
      <c r="AO38" s="42"/>
      <c r="AP38" s="42"/>
      <c r="AQ38" s="43"/>
      <c r="AR38" s="42"/>
      <c r="AS38" s="42"/>
    </row>
    <row r="39" spans="1:45" ht="15" customHeight="1">
      <c r="A39" s="65" t="s">
        <v>57</v>
      </c>
      <c r="B39" s="22" t="s">
        <v>83</v>
      </c>
      <c r="C39" s="21" t="s">
        <v>58</v>
      </c>
      <c r="D39" s="22" t="s">
        <v>85</v>
      </c>
      <c r="E39" s="66" t="s">
        <v>112</v>
      </c>
      <c r="F39" s="65" t="s">
        <v>113</v>
      </c>
      <c r="G39" s="26" t="s">
        <v>114</v>
      </c>
      <c r="H39" s="45" t="s">
        <v>115</v>
      </c>
      <c r="I39" s="26" t="s">
        <v>144</v>
      </c>
      <c r="J39" s="46" t="s">
        <v>58</v>
      </c>
      <c r="K39" s="47"/>
      <c r="L39" s="48"/>
      <c r="M39" s="49">
        <v>43117</v>
      </c>
      <c r="N39" s="47" t="s">
        <v>128</v>
      </c>
      <c r="O39" s="61">
        <v>1040</v>
      </c>
      <c r="P39" s="51">
        <v>1</v>
      </c>
      <c r="Q39" s="51">
        <v>0</v>
      </c>
      <c r="R39" s="31">
        <v>202310</v>
      </c>
      <c r="S39" s="32" t="s">
        <v>145</v>
      </c>
      <c r="T39" s="33"/>
      <c r="U39" s="32"/>
      <c r="V39" s="33"/>
      <c r="W39" s="67"/>
      <c r="X39" s="67"/>
      <c r="Y39" s="36"/>
      <c r="Z39" s="36"/>
      <c r="AA39" s="36"/>
      <c r="AB39" s="36"/>
      <c r="AC39" s="36"/>
      <c r="AD39" s="36"/>
      <c r="AE39" s="36"/>
      <c r="AF39" s="53" t="s">
        <v>68</v>
      </c>
      <c r="AG39" s="54"/>
      <c r="AH39" s="54"/>
      <c r="AI39" s="55"/>
      <c r="AJ39" s="55"/>
      <c r="AK39" s="55"/>
      <c r="AL39" s="55"/>
      <c r="AM39" s="55"/>
      <c r="AN39" s="42"/>
      <c r="AO39" s="42"/>
      <c r="AP39" s="42"/>
      <c r="AQ39" s="43"/>
      <c r="AR39" s="42"/>
      <c r="AS39" s="42"/>
    </row>
    <row r="40" spans="1:45" ht="15" customHeight="1">
      <c r="A40" s="65" t="s">
        <v>57</v>
      </c>
      <c r="B40" s="22" t="s">
        <v>83</v>
      </c>
      <c r="C40" s="21" t="s">
        <v>58</v>
      </c>
      <c r="D40" s="22" t="s">
        <v>85</v>
      </c>
      <c r="E40" s="66" t="s">
        <v>112</v>
      </c>
      <c r="F40" s="65" t="s">
        <v>113</v>
      </c>
      <c r="G40" s="26" t="s">
        <v>114</v>
      </c>
      <c r="H40" s="45" t="s">
        <v>115</v>
      </c>
      <c r="I40" s="26" t="s">
        <v>146</v>
      </c>
      <c r="J40" s="46" t="s">
        <v>58</v>
      </c>
      <c r="K40" s="47"/>
      <c r="L40" s="48"/>
      <c r="M40" s="49">
        <v>43593</v>
      </c>
      <c r="N40" s="47" t="s">
        <v>142</v>
      </c>
      <c r="O40" s="61">
        <v>16965</v>
      </c>
      <c r="P40" s="51">
        <v>1</v>
      </c>
      <c r="Q40" s="51">
        <v>0</v>
      </c>
      <c r="R40" s="31">
        <v>202310</v>
      </c>
      <c r="S40" s="32" t="s">
        <v>147</v>
      </c>
      <c r="T40" s="33"/>
      <c r="U40" s="32"/>
      <c r="V40" s="33"/>
      <c r="W40" s="67"/>
      <c r="X40" s="67"/>
      <c r="Y40" s="36"/>
      <c r="Z40" s="36"/>
      <c r="AA40" s="36"/>
      <c r="AB40" s="36"/>
      <c r="AC40" s="36"/>
      <c r="AD40" s="36"/>
      <c r="AE40" s="36"/>
      <c r="AF40" s="53" t="s">
        <v>68</v>
      </c>
      <c r="AG40" s="54"/>
      <c r="AH40" s="54"/>
      <c r="AI40" s="55"/>
      <c r="AJ40" s="55"/>
      <c r="AK40" s="55"/>
      <c r="AL40" s="55"/>
      <c r="AM40" s="55"/>
      <c r="AN40" s="42"/>
      <c r="AO40" s="42"/>
      <c r="AP40" s="42"/>
      <c r="AQ40" s="43"/>
      <c r="AR40" s="42"/>
      <c r="AS40" s="42"/>
    </row>
    <row r="41" spans="1:45" ht="15" customHeight="1">
      <c r="A41" s="65" t="s">
        <v>57</v>
      </c>
      <c r="B41" s="22" t="s">
        <v>83</v>
      </c>
      <c r="C41" s="21" t="s">
        <v>58</v>
      </c>
      <c r="D41" s="22" t="s">
        <v>85</v>
      </c>
      <c r="E41" s="66" t="s">
        <v>112</v>
      </c>
      <c r="F41" s="65" t="s">
        <v>113</v>
      </c>
      <c r="G41" s="26" t="s">
        <v>114</v>
      </c>
      <c r="H41" s="45" t="s">
        <v>115</v>
      </c>
      <c r="I41" s="26" t="s">
        <v>137</v>
      </c>
      <c r="J41" s="46" t="s">
        <v>58</v>
      </c>
      <c r="K41" s="47"/>
      <c r="L41" s="48"/>
      <c r="M41" s="49">
        <v>43200</v>
      </c>
      <c r="N41" s="47" t="s">
        <v>128</v>
      </c>
      <c r="O41" s="61">
        <v>1040</v>
      </c>
      <c r="P41" s="51">
        <v>1</v>
      </c>
      <c r="Q41" s="51">
        <v>0</v>
      </c>
      <c r="R41" s="31">
        <v>202310</v>
      </c>
      <c r="S41" s="32" t="s">
        <v>148</v>
      </c>
      <c r="T41" s="33"/>
      <c r="U41" s="32"/>
      <c r="V41" s="33"/>
      <c r="W41" s="67"/>
      <c r="X41" s="67"/>
      <c r="Y41" s="36"/>
      <c r="Z41" s="36"/>
      <c r="AA41" s="36"/>
      <c r="AB41" s="36"/>
      <c r="AC41" s="36"/>
      <c r="AD41" s="36"/>
      <c r="AE41" s="36"/>
      <c r="AF41" s="53" t="s">
        <v>68</v>
      </c>
      <c r="AG41" s="54"/>
      <c r="AH41" s="54"/>
      <c r="AI41" s="55"/>
      <c r="AJ41" s="55"/>
      <c r="AK41" s="55"/>
      <c r="AL41" s="55"/>
      <c r="AM41" s="55"/>
      <c r="AN41" s="42"/>
      <c r="AO41" s="42"/>
      <c r="AP41" s="42"/>
      <c r="AQ41" s="43"/>
      <c r="AR41" s="42"/>
      <c r="AS41" s="42"/>
    </row>
    <row r="42" spans="1:45" ht="15" customHeight="1">
      <c r="A42" s="65" t="s">
        <v>57</v>
      </c>
      <c r="B42" s="22" t="s">
        <v>83</v>
      </c>
      <c r="C42" s="21" t="s">
        <v>58</v>
      </c>
      <c r="D42" s="22" t="s">
        <v>85</v>
      </c>
      <c r="E42" s="66" t="s">
        <v>112</v>
      </c>
      <c r="F42" s="65" t="s">
        <v>113</v>
      </c>
      <c r="G42" s="26" t="s">
        <v>114</v>
      </c>
      <c r="H42" s="45" t="s">
        <v>115</v>
      </c>
      <c r="I42" s="26" t="s">
        <v>144</v>
      </c>
      <c r="J42" s="46" t="s">
        <v>58</v>
      </c>
      <c r="K42" s="47"/>
      <c r="L42" s="48"/>
      <c r="M42" s="49">
        <v>43206</v>
      </c>
      <c r="N42" s="47" t="s">
        <v>128</v>
      </c>
      <c r="O42" s="61">
        <v>1040</v>
      </c>
      <c r="P42" s="51">
        <v>1</v>
      </c>
      <c r="Q42" s="51">
        <v>0</v>
      </c>
      <c r="R42" s="31">
        <v>202310</v>
      </c>
      <c r="S42" s="32" t="s">
        <v>149</v>
      </c>
      <c r="T42" s="33"/>
      <c r="U42" s="32"/>
      <c r="V42" s="33"/>
      <c r="W42" s="67"/>
      <c r="X42" s="67"/>
      <c r="Y42" s="36"/>
      <c r="Z42" s="36"/>
      <c r="AA42" s="36"/>
      <c r="AB42" s="36"/>
      <c r="AC42" s="36"/>
      <c r="AD42" s="36"/>
      <c r="AE42" s="36"/>
      <c r="AF42" s="53" t="s">
        <v>68</v>
      </c>
      <c r="AG42" s="54"/>
      <c r="AH42" s="54"/>
      <c r="AI42" s="55"/>
      <c r="AJ42" s="55"/>
      <c r="AK42" s="55"/>
      <c r="AL42" s="55"/>
      <c r="AM42" s="55"/>
      <c r="AN42" s="42"/>
      <c r="AO42" s="42"/>
      <c r="AP42" s="42"/>
      <c r="AQ42" s="43"/>
      <c r="AR42" s="42"/>
      <c r="AS42" s="42"/>
    </row>
    <row r="43" spans="1:45" ht="15" customHeight="1">
      <c r="A43" s="65" t="s">
        <v>57</v>
      </c>
      <c r="B43" s="22" t="s">
        <v>83</v>
      </c>
      <c r="C43" s="21" t="s">
        <v>58</v>
      </c>
      <c r="D43" s="22" t="s">
        <v>85</v>
      </c>
      <c r="E43" s="66" t="s">
        <v>112</v>
      </c>
      <c r="F43" s="65" t="s">
        <v>113</v>
      </c>
      <c r="G43" s="26" t="s">
        <v>114</v>
      </c>
      <c r="H43" s="45" t="s">
        <v>115</v>
      </c>
      <c r="I43" s="26" t="s">
        <v>120</v>
      </c>
      <c r="J43" s="46" t="s">
        <v>58</v>
      </c>
      <c r="K43" s="47"/>
      <c r="L43" s="48"/>
      <c r="M43" s="49">
        <v>43238</v>
      </c>
      <c r="N43" s="47" t="s">
        <v>130</v>
      </c>
      <c r="O43" s="61">
        <v>3484</v>
      </c>
      <c r="P43" s="51">
        <v>1</v>
      </c>
      <c r="Q43" s="51">
        <v>0</v>
      </c>
      <c r="R43" s="31">
        <v>202310</v>
      </c>
      <c r="S43" s="32" t="s">
        <v>150</v>
      </c>
      <c r="T43" s="33"/>
      <c r="U43" s="32"/>
      <c r="V43" s="33"/>
      <c r="W43" s="67"/>
      <c r="X43" s="67"/>
      <c r="Y43" s="36"/>
      <c r="Z43" s="36"/>
      <c r="AA43" s="36"/>
      <c r="AB43" s="36"/>
      <c r="AC43" s="36"/>
      <c r="AD43" s="36"/>
      <c r="AE43" s="36"/>
      <c r="AF43" s="53" t="s">
        <v>68</v>
      </c>
      <c r="AG43" s="54"/>
      <c r="AH43" s="54"/>
      <c r="AI43" s="55"/>
      <c r="AJ43" s="55"/>
      <c r="AK43" s="55"/>
      <c r="AL43" s="55"/>
      <c r="AM43" s="55"/>
      <c r="AN43" s="42"/>
      <c r="AO43" s="42"/>
      <c r="AP43" s="42"/>
      <c r="AQ43" s="43"/>
      <c r="AR43" s="42"/>
      <c r="AS43" s="42"/>
    </row>
    <row r="44" spans="1:45" ht="15" customHeight="1">
      <c r="A44" s="65" t="s">
        <v>57</v>
      </c>
      <c r="B44" s="22" t="s">
        <v>83</v>
      </c>
      <c r="C44" s="21" t="s">
        <v>58</v>
      </c>
      <c r="D44" s="22" t="s">
        <v>85</v>
      </c>
      <c r="E44" s="66" t="s">
        <v>112</v>
      </c>
      <c r="F44" s="65" t="s">
        <v>113</v>
      </c>
      <c r="G44" s="26" t="s">
        <v>114</v>
      </c>
      <c r="H44" s="45" t="s">
        <v>115</v>
      </c>
      <c r="I44" s="26" t="s">
        <v>144</v>
      </c>
      <c r="J44" s="46" t="s">
        <v>58</v>
      </c>
      <c r="K44" s="47"/>
      <c r="L44" s="48"/>
      <c r="M44" s="49">
        <v>43294</v>
      </c>
      <c r="N44" s="47" t="s">
        <v>128</v>
      </c>
      <c r="O44" s="61">
        <v>1040</v>
      </c>
      <c r="P44" s="51">
        <v>1</v>
      </c>
      <c r="Q44" s="51">
        <v>0</v>
      </c>
      <c r="R44" s="31">
        <v>202310</v>
      </c>
      <c r="S44" s="32" t="s">
        <v>151</v>
      </c>
      <c r="T44" s="33"/>
      <c r="U44" s="32"/>
      <c r="V44" s="33"/>
      <c r="W44" s="67"/>
      <c r="X44" s="67"/>
      <c r="Y44" s="36"/>
      <c r="Z44" s="36"/>
      <c r="AA44" s="36"/>
      <c r="AB44" s="36"/>
      <c r="AC44" s="36"/>
      <c r="AD44" s="36"/>
      <c r="AE44" s="36"/>
      <c r="AF44" s="53" t="s">
        <v>68</v>
      </c>
      <c r="AG44" s="54"/>
      <c r="AH44" s="54"/>
      <c r="AI44" s="55"/>
      <c r="AJ44" s="55"/>
      <c r="AK44" s="55"/>
      <c r="AL44" s="55"/>
      <c r="AM44" s="55"/>
      <c r="AN44" s="42"/>
      <c r="AO44" s="42"/>
      <c r="AP44" s="42"/>
      <c r="AQ44" s="43"/>
      <c r="AR44" s="42"/>
      <c r="AS44" s="42"/>
    </row>
    <row r="45" spans="1:45" ht="15" customHeight="1">
      <c r="A45" s="65" t="s">
        <v>57</v>
      </c>
      <c r="B45" s="22" t="s">
        <v>83</v>
      </c>
      <c r="C45" s="21" t="s">
        <v>58</v>
      </c>
      <c r="D45" s="22" t="s">
        <v>85</v>
      </c>
      <c r="E45" s="66" t="s">
        <v>112</v>
      </c>
      <c r="F45" s="65" t="s">
        <v>113</v>
      </c>
      <c r="G45" s="26" t="s">
        <v>114</v>
      </c>
      <c r="H45" s="45" t="s">
        <v>115</v>
      </c>
      <c r="I45" s="26" t="s">
        <v>127</v>
      </c>
      <c r="J45" s="46" t="s">
        <v>58</v>
      </c>
      <c r="K45" s="47"/>
      <c r="L45" s="48"/>
      <c r="M45" s="49">
        <v>43150</v>
      </c>
      <c r="N45" s="47" t="s">
        <v>128</v>
      </c>
      <c r="O45" s="61">
        <v>5850</v>
      </c>
      <c r="P45" s="51">
        <v>0</v>
      </c>
      <c r="Q45" s="51">
        <f>ROUND(O45*P45,2)</f>
        <v>0</v>
      </c>
      <c r="R45" s="31">
        <v>202310</v>
      </c>
      <c r="S45" s="32" t="s">
        <v>152</v>
      </c>
      <c r="T45" s="33"/>
      <c r="U45" s="32"/>
      <c r="V45" s="33"/>
      <c r="W45" s="67"/>
      <c r="X45" s="67"/>
      <c r="Y45" s="36"/>
      <c r="Z45" s="36"/>
      <c r="AA45" s="36"/>
      <c r="AB45" s="36"/>
      <c r="AC45" s="36"/>
      <c r="AD45" s="36"/>
      <c r="AE45" s="36"/>
      <c r="AF45" s="53" t="s">
        <v>68</v>
      </c>
      <c r="AG45" s="54"/>
      <c r="AH45" s="54"/>
      <c r="AI45" s="55"/>
      <c r="AJ45" s="55"/>
      <c r="AK45" s="55"/>
      <c r="AL45" s="55"/>
      <c r="AM45" s="55"/>
      <c r="AN45" s="42"/>
      <c r="AO45" s="42"/>
      <c r="AP45" s="42"/>
      <c r="AQ45" s="43"/>
      <c r="AR45" s="42"/>
      <c r="AS45" s="42"/>
    </row>
    <row r="46" spans="1:45" ht="15" customHeight="1">
      <c r="A46" s="65" t="s">
        <v>57</v>
      </c>
      <c r="B46" s="22" t="s">
        <v>83</v>
      </c>
      <c r="C46" s="21" t="s">
        <v>58</v>
      </c>
      <c r="D46" s="22" t="s">
        <v>85</v>
      </c>
      <c r="E46" s="66" t="s">
        <v>112</v>
      </c>
      <c r="F46" s="65" t="s">
        <v>113</v>
      </c>
      <c r="G46" s="26" t="s">
        <v>114</v>
      </c>
      <c r="H46" s="45" t="s">
        <v>115</v>
      </c>
      <c r="I46" s="26" t="s">
        <v>137</v>
      </c>
      <c r="J46" s="46" t="s">
        <v>58</v>
      </c>
      <c r="K46" s="47"/>
      <c r="L46" s="48"/>
      <c r="M46" s="49">
        <v>43353</v>
      </c>
      <c r="N46" s="47" t="s">
        <v>128</v>
      </c>
      <c r="O46" s="61">
        <v>1040</v>
      </c>
      <c r="P46" s="51">
        <v>1</v>
      </c>
      <c r="Q46" s="51">
        <v>0</v>
      </c>
      <c r="R46" s="31">
        <v>202310</v>
      </c>
      <c r="S46" s="32" t="s">
        <v>153</v>
      </c>
      <c r="T46" s="33"/>
      <c r="U46" s="32"/>
      <c r="V46" s="33"/>
      <c r="W46" s="67"/>
      <c r="X46" s="67"/>
      <c r="Y46" s="36"/>
      <c r="Z46" s="36"/>
      <c r="AA46" s="36"/>
      <c r="AB46" s="36"/>
      <c r="AC46" s="36"/>
      <c r="AD46" s="36"/>
      <c r="AE46" s="36"/>
      <c r="AF46" s="53" t="s">
        <v>68</v>
      </c>
      <c r="AG46" s="54"/>
      <c r="AH46" s="54"/>
      <c r="AI46" s="55"/>
      <c r="AJ46" s="55"/>
      <c r="AK46" s="55"/>
      <c r="AL46" s="55"/>
      <c r="AM46" s="55"/>
      <c r="AN46" s="42"/>
      <c r="AO46" s="42"/>
      <c r="AP46" s="42"/>
      <c r="AQ46" s="43"/>
      <c r="AR46" s="42"/>
      <c r="AS46" s="42"/>
    </row>
    <row r="47" spans="1:45" ht="15" customHeight="1">
      <c r="A47" s="65" t="s">
        <v>57</v>
      </c>
      <c r="B47" s="22" t="s">
        <v>83</v>
      </c>
      <c r="C47" s="21" t="s">
        <v>58</v>
      </c>
      <c r="D47" s="22" t="s">
        <v>85</v>
      </c>
      <c r="E47" s="66" t="s">
        <v>112</v>
      </c>
      <c r="F47" s="65" t="s">
        <v>113</v>
      </c>
      <c r="G47" s="26" t="s">
        <v>114</v>
      </c>
      <c r="H47" s="45" t="s">
        <v>115</v>
      </c>
      <c r="I47" s="26" t="s">
        <v>135</v>
      </c>
      <c r="J47" s="46" t="s">
        <v>58</v>
      </c>
      <c r="K47" s="47"/>
      <c r="L47" s="48"/>
      <c r="M47" s="49">
        <v>43397</v>
      </c>
      <c r="N47" s="47" t="s">
        <v>128</v>
      </c>
      <c r="O47" s="61">
        <v>5200</v>
      </c>
      <c r="P47" s="51">
        <v>1</v>
      </c>
      <c r="Q47" s="51">
        <v>0</v>
      </c>
      <c r="R47" s="31">
        <v>202310</v>
      </c>
      <c r="S47" s="32" t="s">
        <v>154</v>
      </c>
      <c r="T47" s="33"/>
      <c r="U47" s="32"/>
      <c r="V47" s="33"/>
      <c r="W47" s="67"/>
      <c r="X47" s="67"/>
      <c r="Y47" s="36"/>
      <c r="Z47" s="36"/>
      <c r="AA47" s="36"/>
      <c r="AB47" s="36"/>
      <c r="AC47" s="36"/>
      <c r="AD47" s="36"/>
      <c r="AE47" s="36"/>
      <c r="AF47" s="53" t="s">
        <v>68</v>
      </c>
      <c r="AG47" s="54"/>
      <c r="AH47" s="54"/>
      <c r="AI47" s="55"/>
      <c r="AJ47" s="55"/>
      <c r="AK47" s="55"/>
      <c r="AL47" s="55"/>
      <c r="AM47" s="55"/>
      <c r="AN47" s="42"/>
      <c r="AO47" s="42"/>
      <c r="AP47" s="42"/>
      <c r="AQ47" s="43"/>
      <c r="AR47" s="42"/>
      <c r="AS47" s="42"/>
    </row>
    <row r="48" spans="1:45" ht="15" customHeight="1">
      <c r="A48" s="65" t="s">
        <v>57</v>
      </c>
      <c r="B48" s="22" t="s">
        <v>83</v>
      </c>
      <c r="C48" s="21" t="s">
        <v>58</v>
      </c>
      <c r="D48" s="22" t="s">
        <v>85</v>
      </c>
      <c r="E48" s="66" t="s">
        <v>112</v>
      </c>
      <c r="F48" s="65" t="s">
        <v>113</v>
      </c>
      <c r="G48" s="26" t="s">
        <v>114</v>
      </c>
      <c r="H48" s="45" t="s">
        <v>115</v>
      </c>
      <c r="I48" s="26" t="s">
        <v>135</v>
      </c>
      <c r="J48" s="46" t="s">
        <v>58</v>
      </c>
      <c r="K48" s="47"/>
      <c r="L48" s="48"/>
      <c r="M48" s="49">
        <v>43384</v>
      </c>
      <c r="N48" s="47" t="s">
        <v>128</v>
      </c>
      <c r="O48" s="61">
        <v>5200</v>
      </c>
      <c r="P48" s="51">
        <v>1</v>
      </c>
      <c r="Q48" s="51">
        <v>0</v>
      </c>
      <c r="R48" s="31">
        <v>202310</v>
      </c>
      <c r="S48" s="32" t="s">
        <v>155</v>
      </c>
      <c r="T48" s="33"/>
      <c r="U48" s="32"/>
      <c r="V48" s="33"/>
      <c r="W48" s="67"/>
      <c r="X48" s="67"/>
      <c r="Y48" s="36"/>
      <c r="Z48" s="36"/>
      <c r="AA48" s="36"/>
      <c r="AB48" s="36"/>
      <c r="AC48" s="36"/>
      <c r="AD48" s="36"/>
      <c r="AE48" s="36"/>
      <c r="AF48" s="53" t="s">
        <v>68</v>
      </c>
      <c r="AG48" s="54"/>
      <c r="AH48" s="54"/>
      <c r="AI48" s="55"/>
      <c r="AJ48" s="55"/>
      <c r="AK48" s="55"/>
      <c r="AL48" s="55"/>
      <c r="AM48" s="55"/>
      <c r="AN48" s="42"/>
      <c r="AO48" s="42"/>
      <c r="AP48" s="42"/>
      <c r="AQ48" s="43"/>
      <c r="AR48" s="42"/>
      <c r="AS48" s="42"/>
    </row>
    <row r="49" spans="1:45" ht="15" customHeight="1">
      <c r="A49" s="65" t="s">
        <v>57</v>
      </c>
      <c r="B49" s="22" t="s">
        <v>83</v>
      </c>
      <c r="C49" s="21" t="s">
        <v>58</v>
      </c>
      <c r="D49" s="22" t="s">
        <v>85</v>
      </c>
      <c r="E49" s="66" t="s">
        <v>112</v>
      </c>
      <c r="F49" s="65" t="s">
        <v>113</v>
      </c>
      <c r="G49" s="26" t="s">
        <v>114</v>
      </c>
      <c r="H49" s="45" t="s">
        <v>115</v>
      </c>
      <c r="I49" s="26" t="s">
        <v>137</v>
      </c>
      <c r="J49" s="46" t="s">
        <v>58</v>
      </c>
      <c r="K49" s="47"/>
      <c r="L49" s="48"/>
      <c r="M49" s="49">
        <v>43371</v>
      </c>
      <c r="N49" s="47" t="s">
        <v>128</v>
      </c>
      <c r="O49" s="61">
        <v>1040</v>
      </c>
      <c r="P49" s="51">
        <v>1</v>
      </c>
      <c r="Q49" s="51">
        <v>0</v>
      </c>
      <c r="R49" s="31">
        <v>202310</v>
      </c>
      <c r="S49" s="32" t="s">
        <v>156</v>
      </c>
      <c r="T49" s="33"/>
      <c r="U49" s="32"/>
      <c r="V49" s="33"/>
      <c r="W49" s="67"/>
      <c r="X49" s="67"/>
      <c r="Y49" s="36"/>
      <c r="Z49" s="36"/>
      <c r="AA49" s="36"/>
      <c r="AB49" s="36"/>
      <c r="AC49" s="36"/>
      <c r="AD49" s="36"/>
      <c r="AE49" s="36"/>
      <c r="AF49" s="53" t="s">
        <v>68</v>
      </c>
      <c r="AG49" s="54"/>
      <c r="AH49" s="54"/>
      <c r="AI49" s="55"/>
      <c r="AJ49" s="55"/>
      <c r="AK49" s="55"/>
      <c r="AL49" s="55"/>
      <c r="AM49" s="55"/>
      <c r="AN49" s="42"/>
      <c r="AO49" s="42"/>
      <c r="AP49" s="42"/>
      <c r="AQ49" s="43"/>
      <c r="AR49" s="42"/>
      <c r="AS49" s="42"/>
    </row>
    <row r="50" spans="1:45" ht="15" customHeight="1">
      <c r="A50" s="65" t="s">
        <v>57</v>
      </c>
      <c r="B50" s="22" t="s">
        <v>83</v>
      </c>
      <c r="C50" s="21" t="s">
        <v>58</v>
      </c>
      <c r="D50" s="22" t="s">
        <v>85</v>
      </c>
      <c r="E50" s="66" t="s">
        <v>112</v>
      </c>
      <c r="F50" s="65" t="s">
        <v>113</v>
      </c>
      <c r="G50" s="26" t="s">
        <v>114</v>
      </c>
      <c r="H50" s="45" t="s">
        <v>115</v>
      </c>
      <c r="I50" s="26" t="s">
        <v>157</v>
      </c>
      <c r="J50" s="46" t="s">
        <v>58</v>
      </c>
      <c r="K50" s="47"/>
      <c r="L50" s="48"/>
      <c r="M50" s="49">
        <v>43373</v>
      </c>
      <c r="N50" s="47" t="s">
        <v>158</v>
      </c>
      <c r="O50" s="61">
        <v>8424</v>
      </c>
      <c r="P50" s="51">
        <v>1</v>
      </c>
      <c r="Q50" s="51">
        <v>0</v>
      </c>
      <c r="R50" s="31">
        <v>202310</v>
      </c>
      <c r="S50" s="32" t="s">
        <v>159</v>
      </c>
      <c r="T50" s="33"/>
      <c r="U50" s="32"/>
      <c r="V50" s="33"/>
      <c r="W50" s="67"/>
      <c r="X50" s="67"/>
      <c r="Y50" s="36"/>
      <c r="Z50" s="36"/>
      <c r="AA50" s="36"/>
      <c r="AB50" s="36"/>
      <c r="AC50" s="36"/>
      <c r="AD50" s="36"/>
      <c r="AE50" s="36"/>
      <c r="AF50" s="53" t="s">
        <v>68</v>
      </c>
      <c r="AG50" s="54"/>
      <c r="AH50" s="54"/>
      <c r="AI50" s="55"/>
      <c r="AJ50" s="55"/>
      <c r="AK50" s="55"/>
      <c r="AL50" s="55"/>
      <c r="AM50" s="55"/>
      <c r="AN50" s="42"/>
      <c r="AO50" s="42"/>
      <c r="AP50" s="42"/>
      <c r="AQ50" s="43"/>
      <c r="AR50" s="42"/>
      <c r="AS50" s="42"/>
    </row>
    <row r="51" spans="1:45" ht="15" customHeight="1">
      <c r="A51" s="65" t="s">
        <v>57</v>
      </c>
      <c r="B51" s="22" t="s">
        <v>83</v>
      </c>
      <c r="C51" s="21" t="s">
        <v>58</v>
      </c>
      <c r="D51" s="22" t="s">
        <v>85</v>
      </c>
      <c r="E51" s="66" t="s">
        <v>112</v>
      </c>
      <c r="F51" s="65" t="s">
        <v>113</v>
      </c>
      <c r="G51" s="26" t="s">
        <v>114</v>
      </c>
      <c r="H51" s="45" t="s">
        <v>115</v>
      </c>
      <c r="I51" s="26" t="s">
        <v>120</v>
      </c>
      <c r="J51" s="46" t="s">
        <v>58</v>
      </c>
      <c r="K51" s="47"/>
      <c r="L51" s="48"/>
      <c r="M51" s="49">
        <v>43511</v>
      </c>
      <c r="N51" s="47" t="s">
        <v>130</v>
      </c>
      <c r="O51" s="61">
        <v>3484</v>
      </c>
      <c r="P51" s="51">
        <v>1</v>
      </c>
      <c r="Q51" s="51">
        <v>0</v>
      </c>
      <c r="R51" s="31">
        <v>202310</v>
      </c>
      <c r="S51" s="32" t="s">
        <v>160</v>
      </c>
      <c r="T51" s="33"/>
      <c r="U51" s="32"/>
      <c r="V51" s="33"/>
      <c r="W51" s="67"/>
      <c r="X51" s="67"/>
      <c r="Y51" s="36"/>
      <c r="Z51" s="36"/>
      <c r="AA51" s="36"/>
      <c r="AB51" s="36"/>
      <c r="AC51" s="36"/>
      <c r="AD51" s="36"/>
      <c r="AE51" s="36"/>
      <c r="AF51" s="53" t="s">
        <v>68</v>
      </c>
      <c r="AG51" s="54"/>
      <c r="AH51" s="54"/>
      <c r="AI51" s="55"/>
      <c r="AJ51" s="55"/>
      <c r="AK51" s="55"/>
      <c r="AL51" s="55"/>
      <c r="AM51" s="55"/>
      <c r="AN51" s="42"/>
      <c r="AO51" s="42"/>
      <c r="AP51" s="42"/>
      <c r="AQ51" s="43"/>
      <c r="AR51" s="42"/>
      <c r="AS51" s="42"/>
    </row>
    <row r="52" spans="1:45" ht="15" customHeight="1">
      <c r="A52" s="65" t="s">
        <v>57</v>
      </c>
      <c r="B52" s="22" t="s">
        <v>83</v>
      </c>
      <c r="C52" s="21" t="s">
        <v>58</v>
      </c>
      <c r="D52" s="22" t="s">
        <v>85</v>
      </c>
      <c r="E52" s="66" t="s">
        <v>112</v>
      </c>
      <c r="F52" s="65" t="s">
        <v>113</v>
      </c>
      <c r="G52" s="26" t="s">
        <v>114</v>
      </c>
      <c r="H52" s="45" t="s">
        <v>115</v>
      </c>
      <c r="I52" s="26" t="s">
        <v>157</v>
      </c>
      <c r="J52" s="46" t="s">
        <v>58</v>
      </c>
      <c r="K52" s="47"/>
      <c r="L52" s="48"/>
      <c r="M52" s="49">
        <v>43593</v>
      </c>
      <c r="N52" s="47" t="s">
        <v>158</v>
      </c>
      <c r="O52" s="61">
        <v>9555</v>
      </c>
      <c r="P52" s="51">
        <v>1</v>
      </c>
      <c r="Q52" s="51">
        <v>0</v>
      </c>
      <c r="R52" s="31">
        <v>202310</v>
      </c>
      <c r="S52" s="32" t="s">
        <v>161</v>
      </c>
      <c r="T52" s="33"/>
      <c r="U52" s="32"/>
      <c r="V52" s="33"/>
      <c r="W52" s="67"/>
      <c r="X52" s="67"/>
      <c r="Y52" s="36"/>
      <c r="Z52" s="36"/>
      <c r="AA52" s="36"/>
      <c r="AB52" s="36"/>
      <c r="AC52" s="36"/>
      <c r="AD52" s="36"/>
      <c r="AE52" s="36"/>
      <c r="AF52" s="53" t="s">
        <v>68</v>
      </c>
      <c r="AG52" s="54"/>
      <c r="AH52" s="54"/>
      <c r="AI52" s="55"/>
      <c r="AJ52" s="55"/>
      <c r="AK52" s="55"/>
      <c r="AL52" s="55"/>
      <c r="AM52" s="55"/>
      <c r="AN52" s="42"/>
      <c r="AO52" s="42"/>
      <c r="AP52" s="42"/>
      <c r="AQ52" s="43"/>
      <c r="AR52" s="42"/>
      <c r="AS52" s="42"/>
    </row>
    <row r="53" spans="1:45" ht="15" customHeight="1">
      <c r="A53" s="65" t="s">
        <v>57</v>
      </c>
      <c r="B53" s="22" t="s">
        <v>83</v>
      </c>
      <c r="C53" s="21" t="s">
        <v>58</v>
      </c>
      <c r="D53" s="22" t="s">
        <v>85</v>
      </c>
      <c r="E53" s="66" t="s">
        <v>112</v>
      </c>
      <c r="F53" s="65" t="s">
        <v>113</v>
      </c>
      <c r="G53" s="26" t="s">
        <v>114</v>
      </c>
      <c r="H53" s="45" t="s">
        <v>115</v>
      </c>
      <c r="I53" s="26" t="s">
        <v>162</v>
      </c>
      <c r="J53" s="46" t="s">
        <v>58</v>
      </c>
      <c r="K53" s="47"/>
      <c r="L53" s="48"/>
      <c r="M53" s="49">
        <v>43608</v>
      </c>
      <c r="N53" s="47" t="s">
        <v>158</v>
      </c>
      <c r="O53" s="61">
        <v>8424</v>
      </c>
      <c r="P53" s="51">
        <v>1</v>
      </c>
      <c r="Q53" s="51">
        <v>0</v>
      </c>
      <c r="R53" s="31">
        <v>202310</v>
      </c>
      <c r="S53" s="32" t="s">
        <v>163</v>
      </c>
      <c r="T53" s="33"/>
      <c r="U53" s="32"/>
      <c r="V53" s="33"/>
      <c r="W53" s="67"/>
      <c r="X53" s="67"/>
      <c r="Y53" s="36"/>
      <c r="Z53" s="36"/>
      <c r="AA53" s="36"/>
      <c r="AB53" s="36"/>
      <c r="AC53" s="36"/>
      <c r="AD53" s="36"/>
      <c r="AE53" s="36"/>
      <c r="AF53" s="53" t="s">
        <v>68</v>
      </c>
      <c r="AG53" s="54"/>
      <c r="AH53" s="54"/>
      <c r="AI53" s="55"/>
      <c r="AJ53" s="55"/>
      <c r="AK53" s="55"/>
      <c r="AL53" s="55"/>
      <c r="AM53" s="55"/>
      <c r="AN53" s="42"/>
      <c r="AO53" s="42"/>
      <c r="AP53" s="42"/>
      <c r="AQ53" s="43"/>
      <c r="AR53" s="42"/>
      <c r="AS53" s="42"/>
    </row>
    <row r="54" spans="1:45" ht="15" customHeight="1">
      <c r="A54" s="65" t="s">
        <v>57</v>
      </c>
      <c r="B54" s="22" t="s">
        <v>83</v>
      </c>
      <c r="C54" s="21" t="s">
        <v>58</v>
      </c>
      <c r="D54" s="22" t="s">
        <v>85</v>
      </c>
      <c r="E54" s="66" t="s">
        <v>112</v>
      </c>
      <c r="F54" s="65" t="s">
        <v>113</v>
      </c>
      <c r="G54" s="26" t="s">
        <v>114</v>
      </c>
      <c r="H54" s="45" t="s">
        <v>115</v>
      </c>
      <c r="I54" s="26" t="s">
        <v>144</v>
      </c>
      <c r="J54" s="46" t="s">
        <v>58</v>
      </c>
      <c r="K54" s="47"/>
      <c r="L54" s="48"/>
      <c r="M54" s="49">
        <v>43073</v>
      </c>
      <c r="N54" s="47" t="s">
        <v>128</v>
      </c>
      <c r="O54" s="61">
        <v>1040</v>
      </c>
      <c r="P54" s="51">
        <v>1</v>
      </c>
      <c r="Q54" s="51">
        <v>0</v>
      </c>
      <c r="R54" s="31">
        <v>202310</v>
      </c>
      <c r="S54" s="32" t="s">
        <v>164</v>
      </c>
      <c r="T54" s="33"/>
      <c r="U54" s="32"/>
      <c r="V54" s="33"/>
      <c r="W54" s="67"/>
      <c r="X54" s="67"/>
      <c r="Y54" s="36"/>
      <c r="Z54" s="36"/>
      <c r="AA54" s="36"/>
      <c r="AB54" s="36"/>
      <c r="AC54" s="36"/>
      <c r="AD54" s="36"/>
      <c r="AE54" s="36"/>
      <c r="AF54" s="53" t="s">
        <v>68</v>
      </c>
      <c r="AG54" s="54"/>
      <c r="AH54" s="54"/>
      <c r="AI54" s="55"/>
      <c r="AJ54" s="55"/>
      <c r="AK54" s="55"/>
      <c r="AL54" s="55"/>
      <c r="AM54" s="55"/>
      <c r="AN54" s="42"/>
      <c r="AO54" s="42"/>
      <c r="AP54" s="42"/>
      <c r="AQ54" s="43"/>
      <c r="AR54" s="42"/>
      <c r="AS54" s="42"/>
    </row>
    <row r="55" spans="1:45" ht="15" customHeight="1">
      <c r="A55" s="65" t="s">
        <v>57</v>
      </c>
      <c r="B55" s="22" t="s">
        <v>83</v>
      </c>
      <c r="C55" s="21" t="s">
        <v>58</v>
      </c>
      <c r="D55" s="22" t="s">
        <v>85</v>
      </c>
      <c r="E55" s="66" t="s">
        <v>112</v>
      </c>
      <c r="F55" s="65" t="s">
        <v>113</v>
      </c>
      <c r="G55" s="26" t="s">
        <v>165</v>
      </c>
      <c r="H55" s="45" t="s">
        <v>166</v>
      </c>
      <c r="I55" s="26" t="s">
        <v>167</v>
      </c>
      <c r="J55" s="46" t="s">
        <v>58</v>
      </c>
      <c r="K55" s="47"/>
      <c r="L55" s="48"/>
      <c r="M55" s="49">
        <v>42817</v>
      </c>
      <c r="N55" s="47" t="s">
        <v>168</v>
      </c>
      <c r="O55" s="61">
        <v>40</v>
      </c>
      <c r="P55" s="68">
        <v>0</v>
      </c>
      <c r="Q55" s="51">
        <f>ROUND(O55*P55,2)</f>
        <v>0</v>
      </c>
      <c r="R55" s="31">
        <v>202310</v>
      </c>
      <c r="S55" s="32"/>
      <c r="T55" s="33"/>
      <c r="U55" s="32"/>
      <c r="V55" s="33"/>
      <c r="W55" s="67"/>
      <c r="X55" s="67"/>
      <c r="Y55" s="36"/>
      <c r="Z55" s="36"/>
      <c r="AA55" s="36"/>
      <c r="AB55" s="36"/>
      <c r="AC55" s="36"/>
      <c r="AD55" s="36"/>
      <c r="AE55" s="36"/>
      <c r="AF55" s="53" t="s">
        <v>68</v>
      </c>
      <c r="AG55" s="54"/>
      <c r="AH55" s="54"/>
      <c r="AI55" s="55"/>
      <c r="AJ55" s="55"/>
      <c r="AK55" s="55"/>
      <c r="AL55" s="55"/>
      <c r="AM55" s="55"/>
      <c r="AN55" s="42"/>
      <c r="AO55" s="42"/>
      <c r="AP55" s="42"/>
      <c r="AQ55" s="43"/>
      <c r="AR55" s="42"/>
      <c r="AS55" s="42"/>
    </row>
    <row r="56" spans="1:45" ht="15" customHeight="1">
      <c r="A56" s="65" t="s">
        <v>57</v>
      </c>
      <c r="B56" s="22" t="s">
        <v>83</v>
      </c>
      <c r="C56" s="21" t="s">
        <v>58</v>
      </c>
      <c r="D56" s="22" t="s">
        <v>85</v>
      </c>
      <c r="E56" s="66" t="s">
        <v>112</v>
      </c>
      <c r="F56" s="65" t="s">
        <v>113</v>
      </c>
      <c r="G56" s="26" t="s">
        <v>114</v>
      </c>
      <c r="H56" s="45" t="s">
        <v>166</v>
      </c>
      <c r="I56" s="26" t="s">
        <v>169</v>
      </c>
      <c r="J56" s="46" t="s">
        <v>58</v>
      </c>
      <c r="K56" s="47"/>
      <c r="L56" s="48"/>
      <c r="M56" s="49">
        <v>43034</v>
      </c>
      <c r="N56" s="47" t="s">
        <v>170</v>
      </c>
      <c r="O56" s="61">
        <v>18480</v>
      </c>
      <c r="P56" s="51">
        <v>0</v>
      </c>
      <c r="Q56" s="51">
        <f>ROUND(O56*P56,2)</f>
        <v>0</v>
      </c>
      <c r="R56" s="31">
        <v>202310</v>
      </c>
      <c r="S56" s="32" t="s">
        <v>171</v>
      </c>
      <c r="T56" s="33"/>
      <c r="U56" s="32"/>
      <c r="V56" s="33"/>
      <c r="W56" s="67"/>
      <c r="X56" s="67"/>
      <c r="Y56" s="36"/>
      <c r="Z56" s="36"/>
      <c r="AA56" s="36"/>
      <c r="AB56" s="36"/>
      <c r="AC56" s="36"/>
      <c r="AD56" s="36"/>
      <c r="AE56" s="36"/>
      <c r="AF56" s="53" t="s">
        <v>68</v>
      </c>
      <c r="AG56" s="54"/>
      <c r="AH56" s="54"/>
      <c r="AI56" s="55"/>
      <c r="AJ56" s="55"/>
      <c r="AK56" s="55"/>
      <c r="AL56" s="55"/>
      <c r="AM56" s="55"/>
      <c r="AN56" s="42"/>
      <c r="AO56" s="42"/>
      <c r="AP56" s="42"/>
      <c r="AQ56" s="43"/>
      <c r="AR56" s="42"/>
      <c r="AS56" s="42"/>
    </row>
    <row r="57" spans="1:45" ht="15" customHeight="1">
      <c r="A57" s="65" t="s">
        <v>57</v>
      </c>
      <c r="B57" s="22" t="s">
        <v>83</v>
      </c>
      <c r="C57" s="21" t="s">
        <v>58</v>
      </c>
      <c r="D57" s="22" t="s">
        <v>85</v>
      </c>
      <c r="E57" s="66" t="s">
        <v>112</v>
      </c>
      <c r="F57" s="65" t="s">
        <v>113</v>
      </c>
      <c r="G57" s="26" t="s">
        <v>114</v>
      </c>
      <c r="H57" s="45" t="s">
        <v>166</v>
      </c>
      <c r="I57" s="26" t="s">
        <v>124</v>
      </c>
      <c r="J57" s="46" t="s">
        <v>58</v>
      </c>
      <c r="K57" s="47"/>
      <c r="L57" s="48"/>
      <c r="M57" s="49">
        <v>42978</v>
      </c>
      <c r="N57" s="47" t="s">
        <v>130</v>
      </c>
      <c r="O57" s="61">
        <v>3520</v>
      </c>
      <c r="P57" s="51">
        <v>1</v>
      </c>
      <c r="Q57" s="51">
        <v>0</v>
      </c>
      <c r="R57" s="31">
        <v>202310</v>
      </c>
      <c r="S57" s="32" t="s">
        <v>172</v>
      </c>
      <c r="T57" s="33"/>
      <c r="U57" s="32"/>
      <c r="V57" s="33"/>
      <c r="W57" s="67"/>
      <c r="X57" s="67"/>
      <c r="Y57" s="36"/>
      <c r="Z57" s="36"/>
      <c r="AA57" s="36"/>
      <c r="AB57" s="36"/>
      <c r="AC57" s="36"/>
      <c r="AD57" s="36"/>
      <c r="AE57" s="36"/>
      <c r="AF57" s="53" t="s">
        <v>68</v>
      </c>
      <c r="AG57" s="54"/>
      <c r="AH57" s="54"/>
      <c r="AI57" s="55"/>
      <c r="AJ57" s="55"/>
      <c r="AK57" s="55"/>
      <c r="AL57" s="55"/>
      <c r="AM57" s="55"/>
      <c r="AN57" s="42"/>
      <c r="AO57" s="42"/>
      <c r="AP57" s="42"/>
      <c r="AQ57" s="43"/>
      <c r="AR57" s="42"/>
      <c r="AS57" s="42"/>
    </row>
    <row r="58" spans="1:45" ht="15" customHeight="1">
      <c r="A58" s="20" t="s">
        <v>57</v>
      </c>
      <c r="B58" s="21" t="s">
        <v>83</v>
      </c>
      <c r="C58" s="20" t="s">
        <v>58</v>
      </c>
      <c r="D58" s="22" t="s">
        <v>85</v>
      </c>
      <c r="E58" s="58" t="s">
        <v>112</v>
      </c>
      <c r="F58" s="56" t="s">
        <v>113</v>
      </c>
      <c r="G58" s="47" t="s">
        <v>77</v>
      </c>
      <c r="H58" s="45" t="s">
        <v>173</v>
      </c>
      <c r="I58" s="24" t="s">
        <v>174</v>
      </c>
      <c r="J58" s="47" t="s">
        <v>175</v>
      </c>
      <c r="K58" s="47"/>
      <c r="L58" s="48" t="s">
        <v>176</v>
      </c>
      <c r="M58" s="49">
        <v>44774</v>
      </c>
      <c r="N58" s="47" t="s">
        <v>177</v>
      </c>
      <c r="O58" s="50">
        <v>6900</v>
      </c>
      <c r="P58" s="50">
        <v>15</v>
      </c>
      <c r="Q58" s="51">
        <f t="shared" ref="Q58:Q65" si="2">ROUND(O58*P58,2)</f>
        <v>103500</v>
      </c>
      <c r="R58" s="69">
        <v>202310</v>
      </c>
      <c r="S58" s="32" t="s">
        <v>178</v>
      </c>
      <c r="T58" s="32"/>
      <c r="U58" s="32"/>
      <c r="V58" s="46"/>
      <c r="W58" s="52"/>
      <c r="X58" s="52"/>
      <c r="Y58" s="36">
        <v>44742</v>
      </c>
      <c r="Z58" s="36">
        <v>45869</v>
      </c>
      <c r="AA58" s="36"/>
      <c r="AB58" s="36"/>
      <c r="AC58" s="36"/>
      <c r="AD58" s="36"/>
      <c r="AE58" s="36"/>
      <c r="AF58" s="53" t="s">
        <v>68</v>
      </c>
      <c r="AG58" s="42"/>
      <c r="AH58" s="43"/>
      <c r="AI58" s="43"/>
      <c r="AJ58" s="43"/>
      <c r="AK58" s="43"/>
      <c r="AL58" s="43"/>
      <c r="AM58" s="43"/>
      <c r="AN58" s="42"/>
      <c r="AO58" s="42"/>
      <c r="AP58" s="42"/>
      <c r="AQ58" s="43"/>
      <c r="AR58" s="42"/>
      <c r="AS58" s="42"/>
    </row>
    <row r="59" spans="1:45" ht="15" customHeight="1">
      <c r="A59" s="20" t="s">
        <v>57</v>
      </c>
      <c r="B59" s="21" t="s">
        <v>83</v>
      </c>
      <c r="C59" s="20" t="s">
        <v>58</v>
      </c>
      <c r="D59" s="22" t="s">
        <v>85</v>
      </c>
      <c r="E59" s="58" t="s">
        <v>112</v>
      </c>
      <c r="F59" s="56" t="s">
        <v>113</v>
      </c>
      <c r="G59" s="47" t="s">
        <v>77</v>
      </c>
      <c r="H59" s="45" t="s">
        <v>173</v>
      </c>
      <c r="I59" s="24" t="s">
        <v>174</v>
      </c>
      <c r="J59" s="47" t="s">
        <v>179</v>
      </c>
      <c r="K59" s="47"/>
      <c r="L59" s="48" t="s">
        <v>180</v>
      </c>
      <c r="M59" s="49">
        <v>44774</v>
      </c>
      <c r="N59" s="47" t="s">
        <v>177</v>
      </c>
      <c r="O59" s="50">
        <v>6900</v>
      </c>
      <c r="P59" s="50">
        <v>4</v>
      </c>
      <c r="Q59" s="51">
        <f t="shared" si="2"/>
        <v>27600</v>
      </c>
      <c r="R59" s="69">
        <v>202310</v>
      </c>
      <c r="S59" s="32" t="s">
        <v>181</v>
      </c>
      <c r="T59" s="32"/>
      <c r="U59" s="32"/>
      <c r="V59" s="46"/>
      <c r="W59" s="52"/>
      <c r="X59" s="52"/>
      <c r="Y59" s="36">
        <v>44742</v>
      </c>
      <c r="Z59" s="36">
        <v>45869</v>
      </c>
      <c r="AA59" s="36"/>
      <c r="AB59" s="36"/>
      <c r="AC59" s="36"/>
      <c r="AD59" s="36"/>
      <c r="AE59" s="36"/>
      <c r="AF59" s="53" t="s">
        <v>68</v>
      </c>
      <c r="AG59" s="42"/>
      <c r="AH59" s="43"/>
      <c r="AI59" s="43"/>
      <c r="AJ59" s="43"/>
      <c r="AK59" s="43"/>
      <c r="AL59" s="43"/>
      <c r="AM59" s="43"/>
      <c r="AN59" s="42"/>
      <c r="AO59" s="42"/>
      <c r="AP59" s="42"/>
      <c r="AQ59" s="43"/>
      <c r="AR59" s="42"/>
      <c r="AS59" s="42"/>
    </row>
    <row r="60" spans="1:45" ht="15" customHeight="1">
      <c r="A60" s="20" t="s">
        <v>57</v>
      </c>
      <c r="B60" s="21" t="s">
        <v>83</v>
      </c>
      <c r="C60" s="20" t="s">
        <v>58</v>
      </c>
      <c r="D60" s="22" t="s">
        <v>85</v>
      </c>
      <c r="E60" s="58" t="s">
        <v>112</v>
      </c>
      <c r="F60" s="56" t="s">
        <v>113</v>
      </c>
      <c r="G60" s="47" t="s">
        <v>77</v>
      </c>
      <c r="H60" s="45" t="s">
        <v>173</v>
      </c>
      <c r="I60" s="24" t="s">
        <v>174</v>
      </c>
      <c r="J60" s="47" t="s">
        <v>179</v>
      </c>
      <c r="K60" s="47"/>
      <c r="L60" s="48" t="s">
        <v>176</v>
      </c>
      <c r="M60" s="49">
        <v>44774</v>
      </c>
      <c r="N60" s="47" t="s">
        <v>182</v>
      </c>
      <c r="O60" s="50">
        <v>13000</v>
      </c>
      <c r="P60" s="50">
        <v>6</v>
      </c>
      <c r="Q60" s="51">
        <f t="shared" si="2"/>
        <v>78000</v>
      </c>
      <c r="R60" s="69">
        <v>202310</v>
      </c>
      <c r="S60" s="32" t="s">
        <v>183</v>
      </c>
      <c r="T60" s="32"/>
      <c r="U60" s="32"/>
      <c r="V60" s="46"/>
      <c r="W60" s="52"/>
      <c r="X60" s="52"/>
      <c r="Y60" s="36">
        <v>44742</v>
      </c>
      <c r="Z60" s="36">
        <v>45869</v>
      </c>
      <c r="AA60" s="36"/>
      <c r="AB60" s="36"/>
      <c r="AC60" s="36"/>
      <c r="AD60" s="36"/>
      <c r="AE60" s="36"/>
      <c r="AF60" s="53" t="s">
        <v>68</v>
      </c>
      <c r="AG60" s="42"/>
      <c r="AH60" s="43"/>
      <c r="AI60" s="43"/>
      <c r="AJ60" s="43"/>
      <c r="AK60" s="43"/>
      <c r="AL60" s="43"/>
      <c r="AM60" s="43"/>
      <c r="AN60" s="42"/>
      <c r="AO60" s="42"/>
      <c r="AP60" s="42"/>
      <c r="AQ60" s="43"/>
      <c r="AR60" s="42"/>
      <c r="AS60" s="42"/>
    </row>
    <row r="61" spans="1:45" ht="15" customHeight="1">
      <c r="A61" s="20" t="s">
        <v>57</v>
      </c>
      <c r="B61" s="21" t="s">
        <v>83</v>
      </c>
      <c r="C61" s="20" t="s">
        <v>58</v>
      </c>
      <c r="D61" s="22" t="s">
        <v>85</v>
      </c>
      <c r="E61" s="58" t="s">
        <v>112</v>
      </c>
      <c r="F61" s="56" t="s">
        <v>113</v>
      </c>
      <c r="G61" s="47" t="s">
        <v>77</v>
      </c>
      <c r="H61" s="45" t="s">
        <v>173</v>
      </c>
      <c r="I61" s="24" t="s">
        <v>174</v>
      </c>
      <c r="J61" s="47" t="s">
        <v>179</v>
      </c>
      <c r="K61" s="47"/>
      <c r="L61" s="48" t="s">
        <v>180</v>
      </c>
      <c r="M61" s="49">
        <v>44774</v>
      </c>
      <c r="N61" s="47" t="s">
        <v>182</v>
      </c>
      <c r="O61" s="50">
        <v>13000</v>
      </c>
      <c r="P61" s="50">
        <v>2</v>
      </c>
      <c r="Q61" s="51">
        <f t="shared" si="2"/>
        <v>26000</v>
      </c>
      <c r="R61" s="69">
        <v>202310</v>
      </c>
      <c r="S61" s="32" t="s">
        <v>184</v>
      </c>
      <c r="T61" s="32"/>
      <c r="U61" s="32"/>
      <c r="V61" s="46"/>
      <c r="W61" s="52"/>
      <c r="X61" s="52"/>
      <c r="Y61" s="36">
        <v>44742</v>
      </c>
      <c r="Z61" s="36">
        <v>45869</v>
      </c>
      <c r="AA61" s="36"/>
      <c r="AB61" s="36"/>
      <c r="AC61" s="36"/>
      <c r="AD61" s="36"/>
      <c r="AE61" s="36"/>
      <c r="AF61" s="53" t="s">
        <v>68</v>
      </c>
      <c r="AG61" s="42"/>
      <c r="AH61" s="43"/>
      <c r="AI61" s="43"/>
      <c r="AJ61" s="43"/>
      <c r="AK61" s="43"/>
      <c r="AL61" s="43"/>
      <c r="AM61" s="43"/>
      <c r="AN61" s="42"/>
      <c r="AO61" s="42"/>
      <c r="AP61" s="42"/>
      <c r="AQ61" s="43"/>
      <c r="AR61" s="42"/>
      <c r="AS61" s="42"/>
    </row>
    <row r="62" spans="1:45" ht="15" customHeight="1">
      <c r="A62" s="20" t="s">
        <v>57</v>
      </c>
      <c r="B62" s="21" t="s">
        <v>83</v>
      </c>
      <c r="C62" s="20" t="s">
        <v>58</v>
      </c>
      <c r="D62" s="22" t="s">
        <v>85</v>
      </c>
      <c r="E62" s="58" t="s">
        <v>112</v>
      </c>
      <c r="F62" s="56" t="s">
        <v>113</v>
      </c>
      <c r="G62" s="47" t="s">
        <v>77</v>
      </c>
      <c r="H62" s="45" t="s">
        <v>173</v>
      </c>
      <c r="I62" s="24" t="s">
        <v>174</v>
      </c>
      <c r="J62" s="47" t="s">
        <v>179</v>
      </c>
      <c r="K62" s="47"/>
      <c r="L62" s="48" t="s">
        <v>176</v>
      </c>
      <c r="M62" s="49">
        <v>44789</v>
      </c>
      <c r="N62" s="47" t="s">
        <v>177</v>
      </c>
      <c r="O62" s="50">
        <v>6900</v>
      </c>
      <c r="P62" s="50">
        <v>-2</v>
      </c>
      <c r="Q62" s="51">
        <f t="shared" si="2"/>
        <v>-13800</v>
      </c>
      <c r="R62" s="69">
        <v>202310</v>
      </c>
      <c r="S62" s="32" t="s">
        <v>185</v>
      </c>
      <c r="T62" s="32"/>
      <c r="U62" s="32"/>
      <c r="V62" s="46"/>
      <c r="W62" s="52"/>
      <c r="X62" s="52"/>
      <c r="Y62" s="36">
        <v>44742</v>
      </c>
      <c r="Z62" s="36">
        <v>45869</v>
      </c>
      <c r="AA62" s="36"/>
      <c r="AB62" s="36"/>
      <c r="AC62" s="36"/>
      <c r="AD62" s="36"/>
      <c r="AE62" s="36"/>
      <c r="AF62" s="53" t="s">
        <v>68</v>
      </c>
      <c r="AG62" s="42"/>
      <c r="AH62" s="43"/>
      <c r="AI62" s="43"/>
      <c r="AJ62" s="43"/>
      <c r="AK62" s="43"/>
      <c r="AL62" s="43"/>
      <c r="AM62" s="43"/>
      <c r="AN62" s="42"/>
      <c r="AO62" s="42"/>
      <c r="AP62" s="42"/>
      <c r="AQ62" s="43"/>
      <c r="AR62" s="42"/>
      <c r="AS62" s="42"/>
    </row>
    <row r="63" spans="1:45" ht="15" customHeight="1">
      <c r="A63" s="20" t="s">
        <v>57</v>
      </c>
      <c r="B63" s="21" t="s">
        <v>83</v>
      </c>
      <c r="C63" s="20" t="s">
        <v>58</v>
      </c>
      <c r="D63" s="22" t="s">
        <v>85</v>
      </c>
      <c r="E63" s="58" t="s">
        <v>112</v>
      </c>
      <c r="F63" s="56" t="s">
        <v>113</v>
      </c>
      <c r="G63" s="47" t="s">
        <v>77</v>
      </c>
      <c r="H63" s="45" t="s">
        <v>173</v>
      </c>
      <c r="I63" s="24" t="s">
        <v>174</v>
      </c>
      <c r="J63" s="47" t="s">
        <v>179</v>
      </c>
      <c r="K63" s="47"/>
      <c r="L63" s="48" t="s">
        <v>176</v>
      </c>
      <c r="M63" s="49">
        <v>45075</v>
      </c>
      <c r="N63" s="47" t="s">
        <v>177</v>
      </c>
      <c r="O63" s="50">
        <v>6900</v>
      </c>
      <c r="P63" s="50">
        <v>2</v>
      </c>
      <c r="Q63" s="51">
        <f t="shared" si="2"/>
        <v>13800</v>
      </c>
      <c r="R63" s="69">
        <v>202310</v>
      </c>
      <c r="S63" s="42" t="s">
        <v>186</v>
      </c>
      <c r="T63" s="42"/>
      <c r="U63" s="70"/>
      <c r="V63" s="42"/>
      <c r="W63" s="71"/>
      <c r="X63" s="42"/>
      <c r="Y63" s="36">
        <v>44742</v>
      </c>
      <c r="Z63" s="36">
        <v>45869</v>
      </c>
      <c r="AA63" s="72"/>
      <c r="AB63" s="72"/>
      <c r="AC63" s="72"/>
      <c r="AD63" s="72"/>
      <c r="AE63" s="72"/>
      <c r="AF63" s="53" t="s">
        <v>68</v>
      </c>
      <c r="AG63" s="40"/>
      <c r="AH63" s="42"/>
      <c r="AI63" s="42"/>
      <c r="AJ63" s="43"/>
      <c r="AK63" s="43"/>
      <c r="AL63" s="43"/>
      <c r="AM63" s="43"/>
      <c r="AN63" s="42"/>
      <c r="AO63" s="42"/>
      <c r="AP63" s="42"/>
      <c r="AQ63" s="42"/>
      <c r="AR63" s="42"/>
      <c r="AS63" s="42"/>
    </row>
    <row r="64" spans="1:45" ht="15" customHeight="1">
      <c r="A64" s="20" t="s">
        <v>57</v>
      </c>
      <c r="B64" s="21" t="s">
        <v>83</v>
      </c>
      <c r="C64" s="20" t="s">
        <v>58</v>
      </c>
      <c r="D64" s="22" t="s">
        <v>85</v>
      </c>
      <c r="E64" s="58" t="s">
        <v>112</v>
      </c>
      <c r="F64" s="56" t="s">
        <v>113</v>
      </c>
      <c r="G64" s="47" t="s">
        <v>77</v>
      </c>
      <c r="H64" s="45" t="s">
        <v>173</v>
      </c>
      <c r="I64" s="24" t="s">
        <v>174</v>
      </c>
      <c r="J64" s="47" t="s">
        <v>179</v>
      </c>
      <c r="K64" s="47"/>
      <c r="L64" s="48" t="s">
        <v>176</v>
      </c>
      <c r="M64" s="49">
        <v>45075</v>
      </c>
      <c r="N64" s="47" t="s">
        <v>182</v>
      </c>
      <c r="O64" s="50">
        <v>13000</v>
      </c>
      <c r="P64" s="50">
        <v>1</v>
      </c>
      <c r="Q64" s="51">
        <f t="shared" si="2"/>
        <v>13000</v>
      </c>
      <c r="R64" s="69">
        <v>202310</v>
      </c>
      <c r="S64" s="42" t="s">
        <v>187</v>
      </c>
      <c r="T64" s="42"/>
      <c r="U64" s="70"/>
      <c r="V64" s="42"/>
      <c r="W64" s="71"/>
      <c r="X64" s="42"/>
      <c r="Y64" s="36">
        <v>44742</v>
      </c>
      <c r="Z64" s="36">
        <v>45869</v>
      </c>
      <c r="AA64" s="72"/>
      <c r="AB64" s="72"/>
      <c r="AC64" s="72"/>
      <c r="AD64" s="72"/>
      <c r="AE64" s="72"/>
      <c r="AF64" s="53" t="s">
        <v>68</v>
      </c>
      <c r="AG64" s="40"/>
      <c r="AH64" s="42"/>
      <c r="AI64" s="42"/>
      <c r="AJ64" s="43"/>
      <c r="AK64" s="43"/>
      <c r="AL64" s="43"/>
      <c r="AM64" s="43"/>
      <c r="AN64" s="42"/>
      <c r="AO64" s="42"/>
      <c r="AP64" s="42"/>
      <c r="AQ64" s="42"/>
      <c r="AR64" s="42"/>
      <c r="AS64" s="42"/>
    </row>
    <row r="65" spans="1:45" ht="15" customHeight="1">
      <c r="A65" s="65" t="s">
        <v>57</v>
      </c>
      <c r="B65" s="22" t="s">
        <v>83</v>
      </c>
      <c r="C65" s="21" t="s">
        <v>188</v>
      </c>
      <c r="D65" s="22" t="s">
        <v>85</v>
      </c>
      <c r="E65" s="66" t="s">
        <v>112</v>
      </c>
      <c r="F65" s="65" t="s">
        <v>113</v>
      </c>
      <c r="G65" s="26" t="s">
        <v>114</v>
      </c>
      <c r="H65" s="73" t="s">
        <v>189</v>
      </c>
      <c r="I65" s="74" t="s">
        <v>190</v>
      </c>
      <c r="J65" s="46" t="s">
        <v>58</v>
      </c>
      <c r="K65" s="47"/>
      <c r="L65" s="48"/>
      <c r="M65" s="75" t="s">
        <v>191</v>
      </c>
      <c r="N65" s="76" t="s">
        <v>192</v>
      </c>
      <c r="O65" s="61">
        <f>36080+10*167.2</f>
        <v>37752</v>
      </c>
      <c r="P65" s="51">
        <v>1</v>
      </c>
      <c r="Q65" s="51">
        <f t="shared" si="2"/>
        <v>37752</v>
      </c>
      <c r="R65" s="31">
        <v>202310</v>
      </c>
      <c r="S65" s="64" t="s">
        <v>193</v>
      </c>
      <c r="T65" s="33"/>
      <c r="U65" s="32"/>
      <c r="V65" s="33"/>
      <c r="W65" s="67"/>
      <c r="X65" s="67"/>
      <c r="Y65" s="36"/>
      <c r="Z65" s="36"/>
      <c r="AA65" s="36"/>
      <c r="AB65" s="36"/>
      <c r="AC65" s="36"/>
      <c r="AD65" s="36"/>
      <c r="AE65" s="36"/>
      <c r="AF65" s="53" t="s">
        <v>68</v>
      </c>
      <c r="AG65" s="54"/>
      <c r="AH65" s="54"/>
      <c r="AI65" s="55"/>
      <c r="AJ65" s="55"/>
      <c r="AK65" s="55"/>
      <c r="AL65" s="55"/>
      <c r="AM65" s="55"/>
      <c r="AN65" s="42"/>
      <c r="AO65" s="42"/>
      <c r="AP65" s="42"/>
      <c r="AQ65" s="43" t="s">
        <v>194</v>
      </c>
      <c r="AR65" s="42"/>
      <c r="AS65" s="42"/>
    </row>
    <row r="66" spans="1:45" ht="15" customHeight="1">
      <c r="A66" s="65" t="s">
        <v>57</v>
      </c>
      <c r="B66" s="22" t="s">
        <v>83</v>
      </c>
      <c r="C66" s="21" t="s">
        <v>58</v>
      </c>
      <c r="D66" s="22" t="s">
        <v>85</v>
      </c>
      <c r="E66" s="66" t="s">
        <v>112</v>
      </c>
      <c r="F66" s="65" t="s">
        <v>113</v>
      </c>
      <c r="G66" s="26" t="s">
        <v>114</v>
      </c>
      <c r="H66" s="73" t="s">
        <v>189</v>
      </c>
      <c r="I66" s="26" t="s">
        <v>195</v>
      </c>
      <c r="J66" s="46" t="s">
        <v>58</v>
      </c>
      <c r="K66" s="47"/>
      <c r="L66" s="48"/>
      <c r="M66" s="49">
        <v>43112</v>
      </c>
      <c r="N66" s="47" t="s">
        <v>128</v>
      </c>
      <c r="O66" s="61">
        <v>1300</v>
      </c>
      <c r="P66" s="51">
        <v>1</v>
      </c>
      <c r="Q66" s="51">
        <v>0</v>
      </c>
      <c r="R66" s="31">
        <v>202310</v>
      </c>
      <c r="S66" s="32" t="s">
        <v>196</v>
      </c>
      <c r="T66" s="33"/>
      <c r="U66" s="32"/>
      <c r="V66" s="33"/>
      <c r="W66" s="67"/>
      <c r="X66" s="67"/>
      <c r="Y66" s="36"/>
      <c r="Z66" s="36"/>
      <c r="AA66" s="36"/>
      <c r="AB66" s="36"/>
      <c r="AC66" s="36"/>
      <c r="AD66" s="36"/>
      <c r="AE66" s="36"/>
      <c r="AF66" s="53" t="s">
        <v>68</v>
      </c>
      <c r="AG66" s="54"/>
      <c r="AH66" s="54"/>
      <c r="AI66" s="55"/>
      <c r="AJ66" s="55"/>
      <c r="AK66" s="55"/>
      <c r="AL66" s="55"/>
      <c r="AM66" s="55"/>
      <c r="AN66" s="42"/>
      <c r="AO66" s="42"/>
      <c r="AP66" s="42"/>
      <c r="AQ66" s="43" t="s">
        <v>194</v>
      </c>
      <c r="AR66" s="42"/>
      <c r="AS66" s="42"/>
    </row>
    <row r="67" spans="1:45" ht="15" customHeight="1">
      <c r="A67" s="65" t="s">
        <v>57</v>
      </c>
      <c r="B67" s="22" t="s">
        <v>83</v>
      </c>
      <c r="C67" s="21" t="s">
        <v>58</v>
      </c>
      <c r="D67" s="22" t="s">
        <v>85</v>
      </c>
      <c r="E67" s="66" t="s">
        <v>112</v>
      </c>
      <c r="F67" s="65" t="s">
        <v>113</v>
      </c>
      <c r="G67" s="26" t="s">
        <v>114</v>
      </c>
      <c r="H67" s="73" t="s">
        <v>189</v>
      </c>
      <c r="I67" s="26" t="s">
        <v>197</v>
      </c>
      <c r="J67" s="46" t="s">
        <v>58</v>
      </c>
      <c r="K67" s="47"/>
      <c r="L67" s="48"/>
      <c r="M67" s="49">
        <v>43238</v>
      </c>
      <c r="N67" s="47" t="s">
        <v>130</v>
      </c>
      <c r="O67" s="61">
        <v>2730</v>
      </c>
      <c r="P67" s="51">
        <v>1</v>
      </c>
      <c r="Q67" s="51">
        <v>0</v>
      </c>
      <c r="R67" s="31">
        <v>202310</v>
      </c>
      <c r="S67" s="32" t="s">
        <v>196</v>
      </c>
      <c r="T67" s="33"/>
      <c r="U67" s="32"/>
      <c r="V67" s="33"/>
      <c r="W67" s="67"/>
      <c r="X67" s="67"/>
      <c r="Y67" s="36"/>
      <c r="Z67" s="36"/>
      <c r="AA67" s="36"/>
      <c r="AB67" s="36"/>
      <c r="AC67" s="36"/>
      <c r="AD67" s="36"/>
      <c r="AE67" s="36"/>
      <c r="AF67" s="53" t="s">
        <v>68</v>
      </c>
      <c r="AG67" s="54"/>
      <c r="AH67" s="54"/>
      <c r="AI67" s="55"/>
      <c r="AJ67" s="55"/>
      <c r="AK67" s="55"/>
      <c r="AL67" s="55"/>
      <c r="AM67" s="55"/>
      <c r="AN67" s="42"/>
      <c r="AO67" s="42"/>
      <c r="AP67" s="42"/>
      <c r="AQ67" s="43" t="s">
        <v>194</v>
      </c>
      <c r="AR67" s="42"/>
      <c r="AS67" s="42"/>
    </row>
    <row r="68" spans="1:45" ht="15" customHeight="1">
      <c r="A68" s="65" t="s">
        <v>57</v>
      </c>
      <c r="B68" s="22" t="s">
        <v>83</v>
      </c>
      <c r="C68" s="21" t="s">
        <v>58</v>
      </c>
      <c r="D68" s="22" t="s">
        <v>85</v>
      </c>
      <c r="E68" s="66" t="s">
        <v>112</v>
      </c>
      <c r="F68" s="65" t="s">
        <v>113</v>
      </c>
      <c r="G68" s="26" t="s">
        <v>62</v>
      </c>
      <c r="H68" s="73" t="s">
        <v>189</v>
      </c>
      <c r="I68" s="26" t="s">
        <v>64</v>
      </c>
      <c r="J68" s="46" t="s">
        <v>58</v>
      </c>
      <c r="K68" s="47"/>
      <c r="L68" s="48"/>
      <c r="M68" s="49">
        <v>42994</v>
      </c>
      <c r="N68" s="47" t="s">
        <v>66</v>
      </c>
      <c r="O68" s="61">
        <v>600</v>
      </c>
      <c r="P68" s="51">
        <v>1</v>
      </c>
      <c r="Q68" s="51">
        <f t="shared" ref="Q68:Q131" si="3">ROUND(O68*P68,2)</f>
        <v>600</v>
      </c>
      <c r="R68" s="31">
        <v>202310</v>
      </c>
      <c r="S68" s="32" t="s">
        <v>198</v>
      </c>
      <c r="T68" s="33"/>
      <c r="U68" s="32"/>
      <c r="V68" s="33"/>
      <c r="W68" s="67"/>
      <c r="X68" s="67"/>
      <c r="Y68" s="36"/>
      <c r="Z68" s="36"/>
      <c r="AA68" s="36"/>
      <c r="AB68" s="36"/>
      <c r="AC68" s="36"/>
      <c r="AD68" s="36"/>
      <c r="AE68" s="36"/>
      <c r="AF68" s="53" t="s">
        <v>68</v>
      </c>
      <c r="AG68" s="46"/>
      <c r="AH68" s="46"/>
      <c r="AI68" s="77"/>
      <c r="AJ68" s="77"/>
      <c r="AK68" s="77"/>
      <c r="AL68" s="77"/>
      <c r="AM68" s="77"/>
      <c r="AN68" s="42"/>
      <c r="AO68" s="42"/>
      <c r="AP68" s="42"/>
      <c r="AQ68" s="43" t="s">
        <v>194</v>
      </c>
      <c r="AR68" s="42"/>
      <c r="AS68" s="42"/>
    </row>
    <row r="69" spans="1:45" ht="15" customHeight="1">
      <c r="A69" s="65" t="s">
        <v>57</v>
      </c>
      <c r="B69" s="22" t="s">
        <v>83</v>
      </c>
      <c r="C69" s="21" t="s">
        <v>58</v>
      </c>
      <c r="D69" s="22" t="s">
        <v>85</v>
      </c>
      <c r="E69" s="66" t="s">
        <v>112</v>
      </c>
      <c r="F69" s="65" t="s">
        <v>113</v>
      </c>
      <c r="G69" s="26" t="s">
        <v>62</v>
      </c>
      <c r="H69" s="73" t="s">
        <v>189</v>
      </c>
      <c r="I69" s="26" t="s">
        <v>64</v>
      </c>
      <c r="J69" s="46" t="s">
        <v>58</v>
      </c>
      <c r="K69" s="47"/>
      <c r="L69" s="48"/>
      <c r="M69" s="49">
        <v>43006</v>
      </c>
      <c r="N69" s="47" t="s">
        <v>66</v>
      </c>
      <c r="O69" s="61">
        <v>600</v>
      </c>
      <c r="P69" s="51">
        <v>1</v>
      </c>
      <c r="Q69" s="51">
        <f t="shared" si="3"/>
        <v>600</v>
      </c>
      <c r="R69" s="31">
        <v>202310</v>
      </c>
      <c r="S69" s="32" t="s">
        <v>199</v>
      </c>
      <c r="T69" s="33"/>
      <c r="U69" s="32"/>
      <c r="V69" s="33"/>
      <c r="W69" s="67"/>
      <c r="X69" s="67"/>
      <c r="Y69" s="36"/>
      <c r="Z69" s="36"/>
      <c r="AA69" s="36"/>
      <c r="AB69" s="36"/>
      <c r="AC69" s="36"/>
      <c r="AD69" s="36"/>
      <c r="AE69" s="36"/>
      <c r="AF69" s="53" t="s">
        <v>68</v>
      </c>
      <c r="AG69" s="46"/>
      <c r="AH69" s="46"/>
      <c r="AI69" s="77"/>
      <c r="AJ69" s="77"/>
      <c r="AK69" s="77"/>
      <c r="AL69" s="77"/>
      <c r="AM69" s="77"/>
      <c r="AN69" s="42"/>
      <c r="AO69" s="42"/>
      <c r="AP69" s="42"/>
      <c r="AQ69" s="43" t="s">
        <v>194</v>
      </c>
      <c r="AR69" s="42"/>
      <c r="AS69" s="42"/>
    </row>
    <row r="70" spans="1:45" ht="15" customHeight="1">
      <c r="A70" s="65" t="s">
        <v>57</v>
      </c>
      <c r="B70" s="22" t="s">
        <v>83</v>
      </c>
      <c r="C70" s="21" t="s">
        <v>58</v>
      </c>
      <c r="D70" s="22" t="s">
        <v>85</v>
      </c>
      <c r="E70" s="66" t="s">
        <v>112</v>
      </c>
      <c r="F70" s="65" t="s">
        <v>113</v>
      </c>
      <c r="G70" s="26" t="s">
        <v>62</v>
      </c>
      <c r="H70" s="73" t="s">
        <v>189</v>
      </c>
      <c r="I70" s="26" t="s">
        <v>64</v>
      </c>
      <c r="J70" s="46" t="s">
        <v>58</v>
      </c>
      <c r="K70" s="47"/>
      <c r="L70" s="48"/>
      <c r="M70" s="49">
        <v>43076</v>
      </c>
      <c r="N70" s="47" t="s">
        <v>66</v>
      </c>
      <c r="O70" s="61">
        <v>600</v>
      </c>
      <c r="P70" s="51">
        <v>1</v>
      </c>
      <c r="Q70" s="51">
        <f t="shared" si="3"/>
        <v>600</v>
      </c>
      <c r="R70" s="31">
        <v>202310</v>
      </c>
      <c r="S70" s="32" t="s">
        <v>200</v>
      </c>
      <c r="T70" s="33"/>
      <c r="U70" s="32"/>
      <c r="V70" s="33"/>
      <c r="W70" s="67"/>
      <c r="X70" s="67"/>
      <c r="Y70" s="36"/>
      <c r="Z70" s="36"/>
      <c r="AA70" s="36"/>
      <c r="AB70" s="36"/>
      <c r="AC70" s="36"/>
      <c r="AD70" s="36"/>
      <c r="AE70" s="36"/>
      <c r="AF70" s="53" t="s">
        <v>68</v>
      </c>
      <c r="AG70" s="54"/>
      <c r="AH70" s="54"/>
      <c r="AI70" s="55"/>
      <c r="AJ70" s="55"/>
      <c r="AK70" s="55"/>
      <c r="AL70" s="55"/>
      <c r="AM70" s="55"/>
      <c r="AN70" s="42"/>
      <c r="AO70" s="42"/>
      <c r="AP70" s="42"/>
      <c r="AQ70" s="43" t="s">
        <v>194</v>
      </c>
      <c r="AR70" s="42"/>
      <c r="AS70" s="42"/>
    </row>
    <row r="71" spans="1:45" ht="15" customHeight="1">
      <c r="A71" s="65" t="s">
        <v>57</v>
      </c>
      <c r="B71" s="22" t="s">
        <v>83</v>
      </c>
      <c r="C71" s="21" t="s">
        <v>58</v>
      </c>
      <c r="D71" s="22" t="s">
        <v>85</v>
      </c>
      <c r="E71" s="66" t="s">
        <v>112</v>
      </c>
      <c r="F71" s="65" t="s">
        <v>113</v>
      </c>
      <c r="G71" s="26" t="s">
        <v>62</v>
      </c>
      <c r="H71" s="73" t="s">
        <v>189</v>
      </c>
      <c r="I71" s="26" t="s">
        <v>64</v>
      </c>
      <c r="J71" s="46" t="s">
        <v>58</v>
      </c>
      <c r="K71" s="47"/>
      <c r="L71" s="48"/>
      <c r="M71" s="49">
        <v>43077</v>
      </c>
      <c r="N71" s="47" t="s">
        <v>66</v>
      </c>
      <c r="O71" s="61">
        <v>600</v>
      </c>
      <c r="P71" s="51">
        <v>1</v>
      </c>
      <c r="Q71" s="51">
        <f t="shared" si="3"/>
        <v>600</v>
      </c>
      <c r="R71" s="31">
        <v>202310</v>
      </c>
      <c r="S71" s="32" t="s">
        <v>201</v>
      </c>
      <c r="T71" s="33"/>
      <c r="U71" s="32"/>
      <c r="V71" s="33"/>
      <c r="W71" s="67"/>
      <c r="X71" s="67"/>
      <c r="Y71" s="36"/>
      <c r="Z71" s="36"/>
      <c r="AA71" s="36"/>
      <c r="AB71" s="36"/>
      <c r="AC71" s="36"/>
      <c r="AD71" s="36"/>
      <c r="AE71" s="36"/>
      <c r="AF71" s="53" t="s">
        <v>68</v>
      </c>
      <c r="AG71" s="54"/>
      <c r="AH71" s="54"/>
      <c r="AI71" s="55"/>
      <c r="AJ71" s="55"/>
      <c r="AK71" s="55"/>
      <c r="AL71" s="55"/>
      <c r="AM71" s="55"/>
      <c r="AN71" s="42"/>
      <c r="AO71" s="42"/>
      <c r="AP71" s="42"/>
      <c r="AQ71" s="43" t="s">
        <v>194</v>
      </c>
      <c r="AR71" s="42"/>
      <c r="AS71" s="42"/>
    </row>
    <row r="72" spans="1:45" ht="15" customHeight="1">
      <c r="A72" s="65" t="s">
        <v>57</v>
      </c>
      <c r="B72" s="22" t="s">
        <v>83</v>
      </c>
      <c r="C72" s="21" t="s">
        <v>58</v>
      </c>
      <c r="D72" s="22" t="s">
        <v>85</v>
      </c>
      <c r="E72" s="66" t="s">
        <v>112</v>
      </c>
      <c r="F72" s="65" t="s">
        <v>113</v>
      </c>
      <c r="G72" s="26" t="s">
        <v>62</v>
      </c>
      <c r="H72" s="73" t="s">
        <v>189</v>
      </c>
      <c r="I72" s="26" t="s">
        <v>64</v>
      </c>
      <c r="J72" s="46" t="s">
        <v>58</v>
      </c>
      <c r="K72" s="47"/>
      <c r="L72" s="48"/>
      <c r="M72" s="49">
        <v>43103</v>
      </c>
      <c r="N72" s="47" t="s">
        <v>66</v>
      </c>
      <c r="O72" s="61">
        <v>600</v>
      </c>
      <c r="P72" s="51">
        <v>1</v>
      </c>
      <c r="Q72" s="51">
        <f t="shared" si="3"/>
        <v>600</v>
      </c>
      <c r="R72" s="31">
        <v>202310</v>
      </c>
      <c r="S72" s="32" t="s">
        <v>202</v>
      </c>
      <c r="T72" s="33"/>
      <c r="U72" s="32"/>
      <c r="V72" s="33"/>
      <c r="W72" s="67"/>
      <c r="X72" s="67"/>
      <c r="Y72" s="36"/>
      <c r="Z72" s="36"/>
      <c r="AA72" s="36"/>
      <c r="AB72" s="36"/>
      <c r="AC72" s="36"/>
      <c r="AD72" s="36"/>
      <c r="AE72" s="36"/>
      <c r="AF72" s="53" t="s">
        <v>68</v>
      </c>
      <c r="AG72" s="46"/>
      <c r="AH72" s="46"/>
      <c r="AI72" s="77"/>
      <c r="AJ72" s="77"/>
      <c r="AK72" s="77"/>
      <c r="AL72" s="77"/>
      <c r="AM72" s="77"/>
      <c r="AN72" s="42"/>
      <c r="AO72" s="42"/>
      <c r="AP72" s="42"/>
      <c r="AQ72" s="43" t="s">
        <v>194</v>
      </c>
      <c r="AR72" s="42"/>
      <c r="AS72" s="42"/>
    </row>
    <row r="73" spans="1:45" ht="15" customHeight="1">
      <c r="A73" s="65" t="s">
        <v>57</v>
      </c>
      <c r="B73" s="22" t="s">
        <v>83</v>
      </c>
      <c r="C73" s="21" t="s">
        <v>58</v>
      </c>
      <c r="D73" s="22" t="s">
        <v>85</v>
      </c>
      <c r="E73" s="66" t="s">
        <v>112</v>
      </c>
      <c r="F73" s="65" t="s">
        <v>113</v>
      </c>
      <c r="G73" s="26" t="s">
        <v>62</v>
      </c>
      <c r="H73" s="73" t="s">
        <v>189</v>
      </c>
      <c r="I73" s="26" t="s">
        <v>64</v>
      </c>
      <c r="J73" s="46" t="s">
        <v>58</v>
      </c>
      <c r="K73" s="47"/>
      <c r="L73" s="48"/>
      <c r="M73" s="49">
        <v>43008</v>
      </c>
      <c r="N73" s="47" t="s">
        <v>66</v>
      </c>
      <c r="O73" s="61">
        <v>600</v>
      </c>
      <c r="P73" s="51">
        <v>1</v>
      </c>
      <c r="Q73" s="51">
        <f t="shared" si="3"/>
        <v>600</v>
      </c>
      <c r="R73" s="31">
        <v>202310</v>
      </c>
      <c r="S73" s="32" t="s">
        <v>203</v>
      </c>
      <c r="T73" s="33"/>
      <c r="U73" s="32"/>
      <c r="V73" s="33"/>
      <c r="W73" s="67"/>
      <c r="X73" s="67"/>
      <c r="Y73" s="36"/>
      <c r="Z73" s="36"/>
      <c r="AA73" s="36"/>
      <c r="AB73" s="36"/>
      <c r="AC73" s="36"/>
      <c r="AD73" s="36"/>
      <c r="AE73" s="36"/>
      <c r="AF73" s="53" t="s">
        <v>68</v>
      </c>
      <c r="AG73" s="46"/>
      <c r="AH73" s="46"/>
      <c r="AI73" s="77"/>
      <c r="AJ73" s="77"/>
      <c r="AK73" s="77"/>
      <c r="AL73" s="77"/>
      <c r="AM73" s="77"/>
      <c r="AN73" s="42"/>
      <c r="AO73" s="42"/>
      <c r="AP73" s="42"/>
      <c r="AQ73" s="43" t="s">
        <v>194</v>
      </c>
      <c r="AR73" s="42"/>
      <c r="AS73" s="42"/>
    </row>
    <row r="74" spans="1:45" ht="15" customHeight="1">
      <c r="A74" s="65" t="s">
        <v>57</v>
      </c>
      <c r="B74" s="22" t="s">
        <v>83</v>
      </c>
      <c r="C74" s="21" t="s">
        <v>58</v>
      </c>
      <c r="D74" s="22" t="s">
        <v>85</v>
      </c>
      <c r="E74" s="66" t="s">
        <v>112</v>
      </c>
      <c r="F74" s="65" t="s">
        <v>113</v>
      </c>
      <c r="G74" s="26" t="s">
        <v>62</v>
      </c>
      <c r="H74" s="73" t="s">
        <v>189</v>
      </c>
      <c r="I74" s="26" t="s">
        <v>64</v>
      </c>
      <c r="J74" s="46" t="s">
        <v>58</v>
      </c>
      <c r="K74" s="47"/>
      <c r="L74" s="48"/>
      <c r="M74" s="49">
        <v>43229</v>
      </c>
      <c r="N74" s="47" t="s">
        <v>66</v>
      </c>
      <c r="O74" s="61">
        <v>600</v>
      </c>
      <c r="P74" s="51">
        <v>1</v>
      </c>
      <c r="Q74" s="51">
        <f t="shared" si="3"/>
        <v>600</v>
      </c>
      <c r="R74" s="31">
        <v>202310</v>
      </c>
      <c r="S74" s="32" t="s">
        <v>204</v>
      </c>
      <c r="T74" s="33"/>
      <c r="U74" s="32"/>
      <c r="V74" s="33"/>
      <c r="W74" s="67"/>
      <c r="X74" s="67"/>
      <c r="Y74" s="36"/>
      <c r="Z74" s="36"/>
      <c r="AA74" s="36"/>
      <c r="AB74" s="36"/>
      <c r="AC74" s="36"/>
      <c r="AD74" s="36"/>
      <c r="AE74" s="36"/>
      <c r="AF74" s="53" t="s">
        <v>68</v>
      </c>
      <c r="AG74" s="54"/>
      <c r="AH74" s="54"/>
      <c r="AI74" s="55"/>
      <c r="AJ74" s="55"/>
      <c r="AK74" s="55"/>
      <c r="AL74" s="55"/>
      <c r="AM74" s="55"/>
      <c r="AN74" s="42"/>
      <c r="AO74" s="42"/>
      <c r="AP74" s="42"/>
      <c r="AQ74" s="43" t="s">
        <v>194</v>
      </c>
      <c r="AR74" s="42"/>
      <c r="AS74" s="42"/>
    </row>
    <row r="75" spans="1:45" ht="15" customHeight="1">
      <c r="A75" s="65" t="s">
        <v>57</v>
      </c>
      <c r="B75" s="22" t="s">
        <v>83</v>
      </c>
      <c r="C75" s="21" t="s">
        <v>58</v>
      </c>
      <c r="D75" s="22" t="s">
        <v>85</v>
      </c>
      <c r="E75" s="66" t="s">
        <v>112</v>
      </c>
      <c r="F75" s="65" t="s">
        <v>113</v>
      </c>
      <c r="G75" s="26" t="s">
        <v>62</v>
      </c>
      <c r="H75" s="73" t="s">
        <v>189</v>
      </c>
      <c r="I75" s="26" t="s">
        <v>64</v>
      </c>
      <c r="J75" s="46" t="s">
        <v>58</v>
      </c>
      <c r="K75" s="47"/>
      <c r="L75" s="48"/>
      <c r="M75" s="49">
        <v>43236</v>
      </c>
      <c r="N75" s="47" t="s">
        <v>66</v>
      </c>
      <c r="O75" s="61">
        <v>600</v>
      </c>
      <c r="P75" s="51">
        <v>1</v>
      </c>
      <c r="Q75" s="51">
        <f t="shared" si="3"/>
        <v>600</v>
      </c>
      <c r="R75" s="31">
        <v>202310</v>
      </c>
      <c r="S75" s="32" t="s">
        <v>205</v>
      </c>
      <c r="T75" s="33"/>
      <c r="U75" s="32"/>
      <c r="V75" s="33"/>
      <c r="W75" s="67"/>
      <c r="X75" s="67"/>
      <c r="Y75" s="36"/>
      <c r="Z75" s="36"/>
      <c r="AA75" s="36"/>
      <c r="AB75" s="36"/>
      <c r="AC75" s="36"/>
      <c r="AD75" s="36"/>
      <c r="AE75" s="36"/>
      <c r="AF75" s="53" t="s">
        <v>68</v>
      </c>
      <c r="AG75" s="54"/>
      <c r="AH75" s="54"/>
      <c r="AI75" s="55"/>
      <c r="AJ75" s="55"/>
      <c r="AK75" s="55"/>
      <c r="AL75" s="55"/>
      <c r="AM75" s="55"/>
      <c r="AN75" s="42"/>
      <c r="AO75" s="42"/>
      <c r="AP75" s="42"/>
      <c r="AQ75" s="43" t="s">
        <v>194</v>
      </c>
      <c r="AR75" s="42"/>
      <c r="AS75" s="42"/>
    </row>
    <row r="76" spans="1:45" ht="15" customHeight="1">
      <c r="A76" s="65" t="s">
        <v>57</v>
      </c>
      <c r="B76" s="22" t="s">
        <v>83</v>
      </c>
      <c r="C76" s="21" t="s">
        <v>58</v>
      </c>
      <c r="D76" s="22" t="s">
        <v>85</v>
      </c>
      <c r="E76" s="66" t="s">
        <v>112</v>
      </c>
      <c r="F76" s="65" t="s">
        <v>113</v>
      </c>
      <c r="G76" s="26" t="s">
        <v>62</v>
      </c>
      <c r="H76" s="73" t="s">
        <v>189</v>
      </c>
      <c r="I76" s="26" t="s">
        <v>64</v>
      </c>
      <c r="J76" s="46" t="s">
        <v>58</v>
      </c>
      <c r="K76" s="47"/>
      <c r="L76" s="48"/>
      <c r="M76" s="49">
        <v>43242</v>
      </c>
      <c r="N76" s="47" t="s">
        <v>66</v>
      </c>
      <c r="O76" s="61">
        <v>600</v>
      </c>
      <c r="P76" s="51">
        <v>1</v>
      </c>
      <c r="Q76" s="51">
        <f t="shared" si="3"/>
        <v>600</v>
      </c>
      <c r="R76" s="31">
        <v>202310</v>
      </c>
      <c r="S76" s="32" t="s">
        <v>206</v>
      </c>
      <c r="T76" s="33"/>
      <c r="U76" s="32"/>
      <c r="V76" s="33"/>
      <c r="W76" s="67"/>
      <c r="X76" s="67"/>
      <c r="Y76" s="36"/>
      <c r="Z76" s="36"/>
      <c r="AA76" s="36"/>
      <c r="AB76" s="36"/>
      <c r="AC76" s="36"/>
      <c r="AD76" s="36"/>
      <c r="AE76" s="36"/>
      <c r="AF76" s="53" t="s">
        <v>68</v>
      </c>
      <c r="AG76" s="54"/>
      <c r="AH76" s="54"/>
      <c r="AI76" s="55"/>
      <c r="AJ76" s="55"/>
      <c r="AK76" s="55"/>
      <c r="AL76" s="55"/>
      <c r="AM76" s="55"/>
      <c r="AN76" s="42"/>
      <c r="AO76" s="42"/>
      <c r="AP76" s="42"/>
      <c r="AQ76" s="43" t="s">
        <v>194</v>
      </c>
      <c r="AR76" s="42"/>
      <c r="AS76" s="42"/>
    </row>
    <row r="77" spans="1:45" ht="15" customHeight="1">
      <c r="A77" s="65" t="s">
        <v>57</v>
      </c>
      <c r="B77" s="22" t="s">
        <v>83</v>
      </c>
      <c r="C77" s="21" t="s">
        <v>58</v>
      </c>
      <c r="D77" s="22" t="s">
        <v>85</v>
      </c>
      <c r="E77" s="66" t="s">
        <v>112</v>
      </c>
      <c r="F77" s="65" t="s">
        <v>113</v>
      </c>
      <c r="G77" s="26" t="s">
        <v>62</v>
      </c>
      <c r="H77" s="73" t="s">
        <v>189</v>
      </c>
      <c r="I77" s="26" t="s">
        <v>64</v>
      </c>
      <c r="J77" s="46" t="s">
        <v>58</v>
      </c>
      <c r="K77" s="47"/>
      <c r="L77" s="48"/>
      <c r="M77" s="49">
        <v>43351</v>
      </c>
      <c r="N77" s="47" t="s">
        <v>66</v>
      </c>
      <c r="O77" s="61">
        <v>600</v>
      </c>
      <c r="P77" s="51">
        <v>1</v>
      </c>
      <c r="Q77" s="51">
        <f t="shared" si="3"/>
        <v>600</v>
      </c>
      <c r="R77" s="31">
        <v>202310</v>
      </c>
      <c r="S77" s="32" t="s">
        <v>207</v>
      </c>
      <c r="T77" s="33"/>
      <c r="U77" s="32"/>
      <c r="V77" s="33"/>
      <c r="W77" s="67"/>
      <c r="X77" s="67"/>
      <c r="Y77" s="36"/>
      <c r="Z77" s="36"/>
      <c r="AA77" s="36"/>
      <c r="AB77" s="36"/>
      <c r="AC77" s="36"/>
      <c r="AD77" s="36"/>
      <c r="AE77" s="36"/>
      <c r="AF77" s="53" t="s">
        <v>68</v>
      </c>
      <c r="AG77" s="54"/>
      <c r="AH77" s="54"/>
      <c r="AI77" s="55"/>
      <c r="AJ77" s="55"/>
      <c r="AK77" s="55"/>
      <c r="AL77" s="55"/>
      <c r="AM77" s="55"/>
      <c r="AN77" s="42"/>
      <c r="AO77" s="42"/>
      <c r="AP77" s="42"/>
      <c r="AQ77" s="43" t="s">
        <v>194</v>
      </c>
      <c r="AR77" s="42"/>
      <c r="AS77" s="42"/>
    </row>
    <row r="78" spans="1:45" ht="15" customHeight="1">
      <c r="A78" s="65" t="s">
        <v>57</v>
      </c>
      <c r="B78" s="22" t="s">
        <v>83</v>
      </c>
      <c r="C78" s="21" t="s">
        <v>58</v>
      </c>
      <c r="D78" s="22" t="s">
        <v>85</v>
      </c>
      <c r="E78" s="66" t="s">
        <v>112</v>
      </c>
      <c r="F78" s="65" t="s">
        <v>113</v>
      </c>
      <c r="G78" s="26" t="s">
        <v>62</v>
      </c>
      <c r="H78" s="73" t="s">
        <v>189</v>
      </c>
      <c r="I78" s="26" t="s">
        <v>64</v>
      </c>
      <c r="J78" s="46" t="s">
        <v>58</v>
      </c>
      <c r="K78" s="47"/>
      <c r="L78" s="48"/>
      <c r="M78" s="49">
        <v>43351</v>
      </c>
      <c r="N78" s="47" t="s">
        <v>66</v>
      </c>
      <c r="O78" s="61">
        <v>600</v>
      </c>
      <c r="P78" s="51">
        <v>1</v>
      </c>
      <c r="Q78" s="51">
        <f t="shared" si="3"/>
        <v>600</v>
      </c>
      <c r="R78" s="31">
        <v>202310</v>
      </c>
      <c r="S78" s="32" t="s">
        <v>208</v>
      </c>
      <c r="T78" s="33"/>
      <c r="U78" s="32"/>
      <c r="V78" s="33"/>
      <c r="W78" s="67"/>
      <c r="X78" s="67"/>
      <c r="Y78" s="36"/>
      <c r="Z78" s="36"/>
      <c r="AA78" s="36"/>
      <c r="AB78" s="36"/>
      <c r="AC78" s="36"/>
      <c r="AD78" s="36"/>
      <c r="AE78" s="36"/>
      <c r="AF78" s="53" t="s">
        <v>68</v>
      </c>
      <c r="AG78" s="46"/>
      <c r="AH78" s="46"/>
      <c r="AI78" s="77"/>
      <c r="AJ78" s="77"/>
      <c r="AK78" s="77"/>
      <c r="AL78" s="77"/>
      <c r="AM78" s="77"/>
      <c r="AN78" s="42"/>
      <c r="AO78" s="42"/>
      <c r="AP78" s="42"/>
      <c r="AQ78" s="43" t="s">
        <v>194</v>
      </c>
      <c r="AR78" s="42"/>
      <c r="AS78" s="42"/>
    </row>
    <row r="79" spans="1:45" ht="15" customHeight="1">
      <c r="A79" s="65" t="s">
        <v>57</v>
      </c>
      <c r="B79" s="22" t="s">
        <v>83</v>
      </c>
      <c r="C79" s="21" t="s">
        <v>58</v>
      </c>
      <c r="D79" s="22" t="s">
        <v>85</v>
      </c>
      <c r="E79" s="66" t="s">
        <v>112</v>
      </c>
      <c r="F79" s="65" t="s">
        <v>113</v>
      </c>
      <c r="G79" s="26" t="s">
        <v>62</v>
      </c>
      <c r="H79" s="73" t="s">
        <v>189</v>
      </c>
      <c r="I79" s="26" t="s">
        <v>64</v>
      </c>
      <c r="J79" s="46" t="s">
        <v>58</v>
      </c>
      <c r="K79" s="47"/>
      <c r="L79" s="48"/>
      <c r="M79" s="49">
        <v>43351</v>
      </c>
      <c r="N79" s="47" t="s">
        <v>66</v>
      </c>
      <c r="O79" s="61">
        <v>600</v>
      </c>
      <c r="P79" s="51">
        <v>1</v>
      </c>
      <c r="Q79" s="51">
        <f t="shared" si="3"/>
        <v>600</v>
      </c>
      <c r="R79" s="31">
        <v>202310</v>
      </c>
      <c r="S79" s="32" t="s">
        <v>209</v>
      </c>
      <c r="T79" s="33"/>
      <c r="U79" s="32"/>
      <c r="V79" s="33"/>
      <c r="W79" s="67"/>
      <c r="X79" s="67"/>
      <c r="Y79" s="36"/>
      <c r="Z79" s="36"/>
      <c r="AA79" s="36"/>
      <c r="AB79" s="36"/>
      <c r="AC79" s="36"/>
      <c r="AD79" s="36"/>
      <c r="AE79" s="36"/>
      <c r="AF79" s="53" t="s">
        <v>68</v>
      </c>
      <c r="AG79" s="46"/>
      <c r="AH79" s="46"/>
      <c r="AI79" s="77"/>
      <c r="AJ79" s="77"/>
      <c r="AK79" s="77"/>
      <c r="AL79" s="77"/>
      <c r="AM79" s="77"/>
      <c r="AN79" s="42"/>
      <c r="AO79" s="42"/>
      <c r="AP79" s="42"/>
      <c r="AQ79" s="43" t="s">
        <v>194</v>
      </c>
      <c r="AR79" s="42"/>
      <c r="AS79" s="42"/>
    </row>
    <row r="80" spans="1:45" ht="15" customHeight="1">
      <c r="A80" s="65" t="s">
        <v>57</v>
      </c>
      <c r="B80" s="22" t="s">
        <v>83</v>
      </c>
      <c r="C80" s="21" t="s">
        <v>58</v>
      </c>
      <c r="D80" s="22" t="s">
        <v>85</v>
      </c>
      <c r="E80" s="66" t="s">
        <v>112</v>
      </c>
      <c r="F80" s="65" t="s">
        <v>113</v>
      </c>
      <c r="G80" s="26" t="s">
        <v>62</v>
      </c>
      <c r="H80" s="73" t="s">
        <v>189</v>
      </c>
      <c r="I80" s="26" t="s">
        <v>64</v>
      </c>
      <c r="J80" s="46" t="s">
        <v>58</v>
      </c>
      <c r="K80" s="47"/>
      <c r="L80" s="48"/>
      <c r="M80" s="49">
        <v>43351</v>
      </c>
      <c r="N80" s="47" t="s">
        <v>66</v>
      </c>
      <c r="O80" s="61">
        <v>600</v>
      </c>
      <c r="P80" s="51">
        <v>1</v>
      </c>
      <c r="Q80" s="51">
        <f t="shared" si="3"/>
        <v>600</v>
      </c>
      <c r="R80" s="31">
        <v>202310</v>
      </c>
      <c r="S80" s="32" t="s">
        <v>210</v>
      </c>
      <c r="T80" s="33"/>
      <c r="U80" s="32"/>
      <c r="V80" s="33"/>
      <c r="W80" s="67"/>
      <c r="X80" s="67"/>
      <c r="Y80" s="36"/>
      <c r="Z80" s="36"/>
      <c r="AA80" s="36"/>
      <c r="AB80" s="36"/>
      <c r="AC80" s="36"/>
      <c r="AD80" s="36"/>
      <c r="AE80" s="36"/>
      <c r="AF80" s="53" t="s">
        <v>68</v>
      </c>
      <c r="AG80" s="46"/>
      <c r="AH80" s="46"/>
      <c r="AI80" s="77"/>
      <c r="AJ80" s="77"/>
      <c r="AK80" s="77"/>
      <c r="AL80" s="77"/>
      <c r="AM80" s="77"/>
      <c r="AN80" s="42"/>
      <c r="AO80" s="42"/>
      <c r="AP80" s="42"/>
      <c r="AQ80" s="43" t="s">
        <v>194</v>
      </c>
      <c r="AR80" s="42"/>
      <c r="AS80" s="42"/>
    </row>
    <row r="81" spans="1:45" ht="15" customHeight="1">
      <c r="A81" s="65" t="s">
        <v>57</v>
      </c>
      <c r="B81" s="22" t="s">
        <v>83</v>
      </c>
      <c r="C81" s="21" t="s">
        <v>58</v>
      </c>
      <c r="D81" s="22" t="s">
        <v>85</v>
      </c>
      <c r="E81" s="66" t="s">
        <v>112</v>
      </c>
      <c r="F81" s="65" t="s">
        <v>113</v>
      </c>
      <c r="G81" s="26" t="s">
        <v>62</v>
      </c>
      <c r="H81" s="73" t="s">
        <v>189</v>
      </c>
      <c r="I81" s="26" t="s">
        <v>64</v>
      </c>
      <c r="J81" s="46" t="s">
        <v>58</v>
      </c>
      <c r="K81" s="47"/>
      <c r="L81" s="48"/>
      <c r="M81" s="49">
        <v>43392</v>
      </c>
      <c r="N81" s="47" t="s">
        <v>66</v>
      </c>
      <c r="O81" s="61">
        <v>600</v>
      </c>
      <c r="P81" s="51">
        <v>1</v>
      </c>
      <c r="Q81" s="51">
        <f t="shared" si="3"/>
        <v>600</v>
      </c>
      <c r="R81" s="31">
        <v>202310</v>
      </c>
      <c r="S81" s="32" t="s">
        <v>211</v>
      </c>
      <c r="T81" s="33"/>
      <c r="U81" s="32"/>
      <c r="V81" s="33"/>
      <c r="W81" s="67"/>
      <c r="X81" s="67"/>
      <c r="Y81" s="36"/>
      <c r="Z81" s="36"/>
      <c r="AA81" s="36"/>
      <c r="AB81" s="36"/>
      <c r="AC81" s="36"/>
      <c r="AD81" s="36"/>
      <c r="AE81" s="36"/>
      <c r="AF81" s="53" t="s">
        <v>68</v>
      </c>
      <c r="AG81" s="54"/>
      <c r="AH81" s="54"/>
      <c r="AI81" s="55"/>
      <c r="AJ81" s="55"/>
      <c r="AK81" s="55"/>
      <c r="AL81" s="55"/>
      <c r="AM81" s="55"/>
      <c r="AN81" s="42"/>
      <c r="AO81" s="42"/>
      <c r="AP81" s="42"/>
      <c r="AQ81" s="43" t="s">
        <v>194</v>
      </c>
      <c r="AR81" s="42"/>
      <c r="AS81" s="42"/>
    </row>
    <row r="82" spans="1:45" ht="15" customHeight="1">
      <c r="A82" s="65" t="s">
        <v>57</v>
      </c>
      <c r="B82" s="22" t="s">
        <v>83</v>
      </c>
      <c r="C82" s="21" t="s">
        <v>58</v>
      </c>
      <c r="D82" s="22" t="s">
        <v>85</v>
      </c>
      <c r="E82" s="66" t="s">
        <v>112</v>
      </c>
      <c r="F82" s="65" t="s">
        <v>113</v>
      </c>
      <c r="G82" s="26" t="s">
        <v>62</v>
      </c>
      <c r="H82" s="73" t="s">
        <v>189</v>
      </c>
      <c r="I82" s="26" t="s">
        <v>64</v>
      </c>
      <c r="J82" s="46" t="s">
        <v>58</v>
      </c>
      <c r="K82" s="47"/>
      <c r="L82" s="48"/>
      <c r="M82" s="49">
        <v>44868</v>
      </c>
      <c r="N82" s="47" t="s">
        <v>66</v>
      </c>
      <c r="O82" s="61">
        <v>600</v>
      </c>
      <c r="P82" s="51">
        <v>-1</v>
      </c>
      <c r="Q82" s="51">
        <f t="shared" si="3"/>
        <v>-600</v>
      </c>
      <c r="R82" s="31">
        <v>202310</v>
      </c>
      <c r="S82" s="32" t="s">
        <v>212</v>
      </c>
      <c r="T82" s="33"/>
      <c r="U82" s="32"/>
      <c r="V82" s="33"/>
      <c r="W82" s="67"/>
      <c r="X82" s="67"/>
      <c r="Y82" s="36"/>
      <c r="Z82" s="36"/>
      <c r="AA82" s="36"/>
      <c r="AB82" s="36"/>
      <c r="AC82" s="36"/>
      <c r="AD82" s="36"/>
      <c r="AE82" s="36"/>
      <c r="AF82" s="53" t="s">
        <v>68</v>
      </c>
      <c r="AG82" s="54"/>
      <c r="AH82" s="54"/>
      <c r="AI82" s="55"/>
      <c r="AJ82" s="55"/>
      <c r="AK82" s="55"/>
      <c r="AL82" s="55"/>
      <c r="AM82" s="55"/>
      <c r="AN82" s="42"/>
      <c r="AO82" s="42"/>
      <c r="AP82" s="42"/>
      <c r="AQ82" s="43" t="s">
        <v>194</v>
      </c>
      <c r="AR82" s="42"/>
      <c r="AS82" s="42"/>
    </row>
    <row r="83" spans="1:45" ht="15" customHeight="1">
      <c r="A83" s="65" t="s">
        <v>57</v>
      </c>
      <c r="B83" s="22" t="s">
        <v>83</v>
      </c>
      <c r="C83" s="21" t="s">
        <v>58</v>
      </c>
      <c r="D83" s="22" t="s">
        <v>85</v>
      </c>
      <c r="E83" s="66" t="s">
        <v>112</v>
      </c>
      <c r="F83" s="65" t="s">
        <v>113</v>
      </c>
      <c r="G83" s="26" t="s">
        <v>62</v>
      </c>
      <c r="H83" s="73" t="s">
        <v>189</v>
      </c>
      <c r="I83" s="26" t="s">
        <v>64</v>
      </c>
      <c r="J83" s="46" t="s">
        <v>58</v>
      </c>
      <c r="K83" s="47"/>
      <c r="L83" s="48"/>
      <c r="M83" s="49">
        <v>43615</v>
      </c>
      <c r="N83" s="47" t="s">
        <v>66</v>
      </c>
      <c r="O83" s="61">
        <v>600</v>
      </c>
      <c r="P83" s="51">
        <v>1</v>
      </c>
      <c r="Q83" s="51">
        <f t="shared" si="3"/>
        <v>600</v>
      </c>
      <c r="R83" s="31">
        <v>202310</v>
      </c>
      <c r="S83" s="32" t="s">
        <v>213</v>
      </c>
      <c r="T83" s="33"/>
      <c r="U83" s="32"/>
      <c r="V83" s="33"/>
      <c r="W83" s="67"/>
      <c r="X83" s="67"/>
      <c r="Y83" s="36"/>
      <c r="Z83" s="36"/>
      <c r="AA83" s="36"/>
      <c r="AB83" s="36"/>
      <c r="AC83" s="36"/>
      <c r="AD83" s="36"/>
      <c r="AE83" s="36"/>
      <c r="AF83" s="53" t="s">
        <v>68</v>
      </c>
      <c r="AG83" s="46"/>
      <c r="AH83" s="46"/>
      <c r="AI83" s="77"/>
      <c r="AJ83" s="77"/>
      <c r="AK83" s="77"/>
      <c r="AL83" s="77"/>
      <c r="AM83" s="77"/>
      <c r="AN83" s="42"/>
      <c r="AO83" s="42"/>
      <c r="AP83" s="42"/>
      <c r="AQ83" s="43" t="s">
        <v>194</v>
      </c>
      <c r="AR83" s="42"/>
      <c r="AS83" s="42"/>
    </row>
    <row r="84" spans="1:45" ht="15" customHeight="1">
      <c r="A84" s="65" t="s">
        <v>57</v>
      </c>
      <c r="B84" s="22" t="s">
        <v>83</v>
      </c>
      <c r="C84" s="21" t="s">
        <v>58</v>
      </c>
      <c r="D84" s="22" t="s">
        <v>85</v>
      </c>
      <c r="E84" s="66" t="s">
        <v>112</v>
      </c>
      <c r="F84" s="65" t="s">
        <v>113</v>
      </c>
      <c r="G84" s="26" t="s">
        <v>62</v>
      </c>
      <c r="H84" s="73" t="s">
        <v>189</v>
      </c>
      <c r="I84" s="26" t="s">
        <v>64</v>
      </c>
      <c r="J84" s="46" t="s">
        <v>58</v>
      </c>
      <c r="K84" s="47"/>
      <c r="L84" s="48"/>
      <c r="M84" s="49">
        <v>43706</v>
      </c>
      <c r="N84" s="47" t="s">
        <v>66</v>
      </c>
      <c r="O84" s="61">
        <v>600</v>
      </c>
      <c r="P84" s="51">
        <v>1</v>
      </c>
      <c r="Q84" s="51">
        <f t="shared" si="3"/>
        <v>600</v>
      </c>
      <c r="R84" s="31">
        <v>202310</v>
      </c>
      <c r="S84" s="32" t="s">
        <v>214</v>
      </c>
      <c r="T84" s="33"/>
      <c r="U84" s="32"/>
      <c r="V84" s="33"/>
      <c r="W84" s="67"/>
      <c r="X84" s="67"/>
      <c r="Y84" s="36"/>
      <c r="Z84" s="36"/>
      <c r="AA84" s="36"/>
      <c r="AB84" s="36"/>
      <c r="AC84" s="36"/>
      <c r="AD84" s="36"/>
      <c r="AE84" s="36"/>
      <c r="AF84" s="53" t="s">
        <v>68</v>
      </c>
      <c r="AG84" s="46"/>
      <c r="AH84" s="46"/>
      <c r="AI84" s="77"/>
      <c r="AJ84" s="77"/>
      <c r="AK84" s="77"/>
      <c r="AL84" s="77"/>
      <c r="AM84" s="77"/>
      <c r="AN84" s="42"/>
      <c r="AO84" s="42"/>
      <c r="AP84" s="42"/>
      <c r="AQ84" s="43" t="s">
        <v>194</v>
      </c>
      <c r="AR84" s="42"/>
      <c r="AS84" s="42"/>
    </row>
    <row r="85" spans="1:45" ht="15" customHeight="1">
      <c r="A85" s="65" t="s">
        <v>57</v>
      </c>
      <c r="B85" s="22" t="s">
        <v>83</v>
      </c>
      <c r="C85" s="21" t="s">
        <v>58</v>
      </c>
      <c r="D85" s="22" t="s">
        <v>85</v>
      </c>
      <c r="E85" s="66" t="s">
        <v>112</v>
      </c>
      <c r="F85" s="65" t="s">
        <v>113</v>
      </c>
      <c r="G85" s="26" t="s">
        <v>62</v>
      </c>
      <c r="H85" s="73" t="s">
        <v>189</v>
      </c>
      <c r="I85" s="26" t="s">
        <v>64</v>
      </c>
      <c r="J85" s="46" t="s">
        <v>58</v>
      </c>
      <c r="K85" s="47"/>
      <c r="L85" s="48"/>
      <c r="M85" s="49" t="s">
        <v>215</v>
      </c>
      <c r="N85" s="47" t="s">
        <v>66</v>
      </c>
      <c r="O85" s="61">
        <v>600</v>
      </c>
      <c r="P85" s="51">
        <v>0</v>
      </c>
      <c r="Q85" s="51">
        <f t="shared" si="3"/>
        <v>0</v>
      </c>
      <c r="R85" s="31">
        <v>202310</v>
      </c>
      <c r="S85" s="32" t="s">
        <v>216</v>
      </c>
      <c r="T85" s="33"/>
      <c r="U85" s="32"/>
      <c r="V85" s="33"/>
      <c r="W85" s="67"/>
      <c r="X85" s="67"/>
      <c r="Y85" s="36"/>
      <c r="Z85" s="36"/>
      <c r="AA85" s="36"/>
      <c r="AB85" s="36"/>
      <c r="AC85" s="36"/>
      <c r="AD85" s="36"/>
      <c r="AE85" s="36"/>
      <c r="AF85" s="53" t="s">
        <v>68</v>
      </c>
      <c r="AG85" s="46"/>
      <c r="AH85" s="46"/>
      <c r="AI85" s="77"/>
      <c r="AJ85" s="77"/>
      <c r="AK85" s="77"/>
      <c r="AL85" s="77"/>
      <c r="AM85" s="77"/>
      <c r="AN85" s="42"/>
      <c r="AO85" s="42"/>
      <c r="AP85" s="42"/>
      <c r="AQ85" s="43" t="s">
        <v>194</v>
      </c>
      <c r="AR85" s="42"/>
      <c r="AS85" s="42"/>
    </row>
    <row r="86" spans="1:45" ht="15" customHeight="1">
      <c r="A86" s="65" t="s">
        <v>57</v>
      </c>
      <c r="B86" s="22" t="s">
        <v>83</v>
      </c>
      <c r="C86" s="21" t="s">
        <v>58</v>
      </c>
      <c r="D86" s="22" t="s">
        <v>85</v>
      </c>
      <c r="E86" s="66" t="s">
        <v>112</v>
      </c>
      <c r="F86" s="65" t="s">
        <v>113</v>
      </c>
      <c r="G86" s="26" t="s">
        <v>62</v>
      </c>
      <c r="H86" s="73" t="s">
        <v>189</v>
      </c>
      <c r="I86" s="26" t="s">
        <v>64</v>
      </c>
      <c r="J86" s="46" t="s">
        <v>58</v>
      </c>
      <c r="K86" s="47"/>
      <c r="L86" s="48"/>
      <c r="M86" s="49" t="s">
        <v>215</v>
      </c>
      <c r="N86" s="47" t="s">
        <v>66</v>
      </c>
      <c r="O86" s="61">
        <v>600</v>
      </c>
      <c r="P86" s="51">
        <v>0</v>
      </c>
      <c r="Q86" s="51">
        <f t="shared" si="3"/>
        <v>0</v>
      </c>
      <c r="R86" s="31">
        <v>202310</v>
      </c>
      <c r="S86" s="32" t="s">
        <v>217</v>
      </c>
      <c r="T86" s="33"/>
      <c r="U86" s="32"/>
      <c r="V86" s="33"/>
      <c r="W86" s="67"/>
      <c r="X86" s="67"/>
      <c r="Y86" s="36"/>
      <c r="Z86" s="36"/>
      <c r="AA86" s="36"/>
      <c r="AB86" s="36"/>
      <c r="AC86" s="36"/>
      <c r="AD86" s="36"/>
      <c r="AE86" s="36"/>
      <c r="AF86" s="53" t="s">
        <v>68</v>
      </c>
      <c r="AG86" s="54"/>
      <c r="AH86" s="54"/>
      <c r="AI86" s="55"/>
      <c r="AJ86" s="55"/>
      <c r="AK86" s="55"/>
      <c r="AL86" s="55"/>
      <c r="AM86" s="55"/>
      <c r="AN86" s="42"/>
      <c r="AO86" s="42"/>
      <c r="AP86" s="42"/>
      <c r="AQ86" s="43" t="s">
        <v>194</v>
      </c>
      <c r="AR86" s="42"/>
      <c r="AS86" s="42"/>
    </row>
    <row r="87" spans="1:45" ht="15" customHeight="1">
      <c r="A87" s="65" t="s">
        <v>57</v>
      </c>
      <c r="B87" s="22" t="s">
        <v>83</v>
      </c>
      <c r="C87" s="21" t="s">
        <v>58</v>
      </c>
      <c r="D87" s="22" t="s">
        <v>85</v>
      </c>
      <c r="E87" s="66" t="s">
        <v>112</v>
      </c>
      <c r="F87" s="65" t="s">
        <v>113</v>
      </c>
      <c r="G87" s="26" t="s">
        <v>62</v>
      </c>
      <c r="H87" s="73" t="s">
        <v>189</v>
      </c>
      <c r="I87" s="26" t="s">
        <v>64</v>
      </c>
      <c r="J87" s="46" t="s">
        <v>58</v>
      </c>
      <c r="K87" s="47"/>
      <c r="L87" s="48"/>
      <c r="M87" s="49" t="s">
        <v>215</v>
      </c>
      <c r="N87" s="47" t="s">
        <v>66</v>
      </c>
      <c r="O87" s="61">
        <v>600</v>
      </c>
      <c r="P87" s="51">
        <v>0</v>
      </c>
      <c r="Q87" s="51">
        <f t="shared" si="3"/>
        <v>0</v>
      </c>
      <c r="R87" s="31">
        <v>202310</v>
      </c>
      <c r="S87" s="32" t="s">
        <v>218</v>
      </c>
      <c r="T87" s="33"/>
      <c r="U87" s="32"/>
      <c r="V87" s="33"/>
      <c r="W87" s="67"/>
      <c r="X87" s="67"/>
      <c r="Y87" s="36"/>
      <c r="Z87" s="36"/>
      <c r="AA87" s="36"/>
      <c r="AB87" s="36"/>
      <c r="AC87" s="36"/>
      <c r="AD87" s="36"/>
      <c r="AE87" s="36"/>
      <c r="AF87" s="53" t="s">
        <v>68</v>
      </c>
      <c r="AG87" s="46"/>
      <c r="AH87" s="46"/>
      <c r="AI87" s="77"/>
      <c r="AJ87" s="77"/>
      <c r="AK87" s="77"/>
      <c r="AL87" s="77"/>
      <c r="AM87" s="77"/>
      <c r="AN87" s="42"/>
      <c r="AO87" s="42"/>
      <c r="AP87" s="42"/>
      <c r="AQ87" s="43" t="s">
        <v>194</v>
      </c>
      <c r="AR87" s="42"/>
      <c r="AS87" s="42"/>
    </row>
    <row r="88" spans="1:45" ht="15" customHeight="1">
      <c r="A88" s="65" t="s">
        <v>57</v>
      </c>
      <c r="B88" s="22" t="s">
        <v>83</v>
      </c>
      <c r="C88" s="21" t="s">
        <v>58</v>
      </c>
      <c r="D88" s="22" t="s">
        <v>85</v>
      </c>
      <c r="E88" s="66" t="s">
        <v>112</v>
      </c>
      <c r="F88" s="65" t="s">
        <v>113</v>
      </c>
      <c r="G88" s="26" t="s">
        <v>62</v>
      </c>
      <c r="H88" s="73" t="s">
        <v>189</v>
      </c>
      <c r="I88" s="26" t="s">
        <v>64</v>
      </c>
      <c r="J88" s="46" t="s">
        <v>58</v>
      </c>
      <c r="K88" s="47"/>
      <c r="L88" s="48"/>
      <c r="M88" s="49" t="s">
        <v>215</v>
      </c>
      <c r="N88" s="47" t="s">
        <v>66</v>
      </c>
      <c r="O88" s="61">
        <v>600</v>
      </c>
      <c r="P88" s="51">
        <v>0</v>
      </c>
      <c r="Q88" s="51">
        <f t="shared" si="3"/>
        <v>0</v>
      </c>
      <c r="R88" s="31">
        <v>202310</v>
      </c>
      <c r="S88" s="32" t="s">
        <v>219</v>
      </c>
      <c r="T88" s="33"/>
      <c r="U88" s="32"/>
      <c r="V88" s="33"/>
      <c r="W88" s="67"/>
      <c r="X88" s="67"/>
      <c r="Y88" s="36"/>
      <c r="Z88" s="36"/>
      <c r="AA88" s="36"/>
      <c r="AB88" s="36"/>
      <c r="AC88" s="36"/>
      <c r="AD88" s="36"/>
      <c r="AE88" s="36"/>
      <c r="AF88" s="53" t="s">
        <v>68</v>
      </c>
      <c r="AG88" s="54"/>
      <c r="AH88" s="54"/>
      <c r="AI88" s="55"/>
      <c r="AJ88" s="55"/>
      <c r="AK88" s="55"/>
      <c r="AL88" s="55"/>
      <c r="AM88" s="55"/>
      <c r="AN88" s="42"/>
      <c r="AO88" s="42"/>
      <c r="AP88" s="42"/>
      <c r="AQ88" s="43" t="s">
        <v>194</v>
      </c>
      <c r="AR88" s="42"/>
      <c r="AS88" s="42"/>
    </row>
    <row r="89" spans="1:45" ht="15" customHeight="1">
      <c r="A89" s="65" t="s">
        <v>57</v>
      </c>
      <c r="B89" s="22" t="s">
        <v>83</v>
      </c>
      <c r="C89" s="21" t="s">
        <v>58</v>
      </c>
      <c r="D89" s="22" t="s">
        <v>85</v>
      </c>
      <c r="E89" s="66" t="s">
        <v>112</v>
      </c>
      <c r="F89" s="65" t="s">
        <v>113</v>
      </c>
      <c r="G89" s="26" t="s">
        <v>62</v>
      </c>
      <c r="H89" s="73" t="s">
        <v>189</v>
      </c>
      <c r="I89" s="26" t="s">
        <v>64</v>
      </c>
      <c r="J89" s="46" t="s">
        <v>58</v>
      </c>
      <c r="K89" s="47"/>
      <c r="L89" s="48"/>
      <c r="M89" s="49">
        <v>43711</v>
      </c>
      <c r="N89" s="47" t="s">
        <v>66</v>
      </c>
      <c r="O89" s="61">
        <v>600</v>
      </c>
      <c r="P89" s="51">
        <v>1</v>
      </c>
      <c r="Q89" s="51">
        <f t="shared" si="3"/>
        <v>600</v>
      </c>
      <c r="R89" s="31">
        <v>202310</v>
      </c>
      <c r="S89" s="32" t="s">
        <v>220</v>
      </c>
      <c r="T89" s="33"/>
      <c r="U89" s="32"/>
      <c r="V89" s="33"/>
      <c r="W89" s="67"/>
      <c r="X89" s="67"/>
      <c r="Y89" s="36"/>
      <c r="Z89" s="36"/>
      <c r="AA89" s="36"/>
      <c r="AB89" s="36"/>
      <c r="AC89" s="36"/>
      <c r="AD89" s="36"/>
      <c r="AE89" s="36"/>
      <c r="AF89" s="53" t="s">
        <v>68</v>
      </c>
      <c r="AG89" s="54"/>
      <c r="AH89" s="54"/>
      <c r="AI89" s="55"/>
      <c r="AJ89" s="55"/>
      <c r="AK89" s="55"/>
      <c r="AL89" s="55"/>
      <c r="AM89" s="55"/>
      <c r="AN89" s="42"/>
      <c r="AO89" s="42"/>
      <c r="AP89" s="42"/>
      <c r="AQ89" s="43" t="s">
        <v>194</v>
      </c>
      <c r="AR89" s="42"/>
      <c r="AS89" s="42"/>
    </row>
    <row r="90" spans="1:45" ht="15" customHeight="1">
      <c r="A90" s="65" t="s">
        <v>57</v>
      </c>
      <c r="B90" s="22" t="s">
        <v>83</v>
      </c>
      <c r="C90" s="21" t="s">
        <v>58</v>
      </c>
      <c r="D90" s="22" t="s">
        <v>85</v>
      </c>
      <c r="E90" s="66" t="s">
        <v>112</v>
      </c>
      <c r="F90" s="65" t="s">
        <v>113</v>
      </c>
      <c r="G90" s="26" t="s">
        <v>62</v>
      </c>
      <c r="H90" s="73" t="s">
        <v>189</v>
      </c>
      <c r="I90" s="26" t="s">
        <v>64</v>
      </c>
      <c r="J90" s="46" t="s">
        <v>58</v>
      </c>
      <c r="K90" s="47"/>
      <c r="L90" s="48"/>
      <c r="M90" s="49">
        <v>43784</v>
      </c>
      <c r="N90" s="47" t="s">
        <v>66</v>
      </c>
      <c r="O90" s="61">
        <v>600</v>
      </c>
      <c r="P90" s="51">
        <v>1</v>
      </c>
      <c r="Q90" s="51">
        <f t="shared" si="3"/>
        <v>600</v>
      </c>
      <c r="R90" s="31">
        <v>202310</v>
      </c>
      <c r="S90" s="32" t="s">
        <v>221</v>
      </c>
      <c r="T90" s="33"/>
      <c r="U90" s="32"/>
      <c r="V90" s="33"/>
      <c r="W90" s="67"/>
      <c r="X90" s="67"/>
      <c r="Y90" s="36"/>
      <c r="Z90" s="36"/>
      <c r="AA90" s="36"/>
      <c r="AB90" s="36"/>
      <c r="AC90" s="36"/>
      <c r="AD90" s="36"/>
      <c r="AE90" s="36"/>
      <c r="AF90" s="53" t="s">
        <v>68</v>
      </c>
      <c r="AG90" s="54"/>
      <c r="AH90" s="54"/>
      <c r="AI90" s="55"/>
      <c r="AJ90" s="55"/>
      <c r="AK90" s="55"/>
      <c r="AL90" s="55"/>
      <c r="AM90" s="55"/>
      <c r="AN90" s="42"/>
      <c r="AO90" s="42"/>
      <c r="AP90" s="42"/>
      <c r="AQ90" s="43" t="s">
        <v>194</v>
      </c>
      <c r="AR90" s="42"/>
      <c r="AS90" s="42"/>
    </row>
    <row r="91" spans="1:45" ht="15" customHeight="1">
      <c r="A91" s="65" t="s">
        <v>57</v>
      </c>
      <c r="B91" s="22" t="s">
        <v>83</v>
      </c>
      <c r="C91" s="21" t="s">
        <v>58</v>
      </c>
      <c r="D91" s="22" t="s">
        <v>85</v>
      </c>
      <c r="E91" s="66" t="s">
        <v>112</v>
      </c>
      <c r="F91" s="65" t="s">
        <v>113</v>
      </c>
      <c r="G91" s="26" t="s">
        <v>62</v>
      </c>
      <c r="H91" s="73" t="s">
        <v>189</v>
      </c>
      <c r="I91" s="26" t="s">
        <v>64</v>
      </c>
      <c r="J91" s="46" t="s">
        <v>58</v>
      </c>
      <c r="K91" s="47"/>
      <c r="L91" s="48"/>
      <c r="M91" s="49">
        <v>43784</v>
      </c>
      <c r="N91" s="47" t="s">
        <v>66</v>
      </c>
      <c r="O91" s="61">
        <v>600</v>
      </c>
      <c r="P91" s="51">
        <v>1</v>
      </c>
      <c r="Q91" s="51">
        <f t="shared" si="3"/>
        <v>600</v>
      </c>
      <c r="R91" s="31">
        <v>202310</v>
      </c>
      <c r="S91" s="32" t="s">
        <v>222</v>
      </c>
      <c r="T91" s="33"/>
      <c r="U91" s="32"/>
      <c r="V91" s="33"/>
      <c r="W91" s="67"/>
      <c r="X91" s="67"/>
      <c r="Y91" s="36"/>
      <c r="Z91" s="36"/>
      <c r="AA91" s="36"/>
      <c r="AB91" s="36"/>
      <c r="AC91" s="36"/>
      <c r="AD91" s="36"/>
      <c r="AE91" s="36"/>
      <c r="AF91" s="53" t="s">
        <v>68</v>
      </c>
      <c r="AG91" s="54"/>
      <c r="AH91" s="54"/>
      <c r="AI91" s="55"/>
      <c r="AJ91" s="55"/>
      <c r="AK91" s="55"/>
      <c r="AL91" s="55"/>
      <c r="AM91" s="55"/>
      <c r="AN91" s="42"/>
      <c r="AO91" s="42"/>
      <c r="AP91" s="42"/>
      <c r="AQ91" s="43" t="s">
        <v>194</v>
      </c>
      <c r="AR91" s="42"/>
      <c r="AS91" s="42"/>
    </row>
    <row r="92" spans="1:45" ht="15" customHeight="1">
      <c r="A92" s="65" t="s">
        <v>57</v>
      </c>
      <c r="B92" s="22" t="s">
        <v>83</v>
      </c>
      <c r="C92" s="21" t="s">
        <v>58</v>
      </c>
      <c r="D92" s="22" t="s">
        <v>85</v>
      </c>
      <c r="E92" s="66" t="s">
        <v>112</v>
      </c>
      <c r="F92" s="65" t="s">
        <v>113</v>
      </c>
      <c r="G92" s="26" t="s">
        <v>62</v>
      </c>
      <c r="H92" s="73" t="s">
        <v>189</v>
      </c>
      <c r="I92" s="26" t="s">
        <v>64</v>
      </c>
      <c r="J92" s="46" t="s">
        <v>58</v>
      </c>
      <c r="K92" s="47"/>
      <c r="L92" s="48"/>
      <c r="M92" s="49">
        <v>43825</v>
      </c>
      <c r="N92" s="47" t="s">
        <v>66</v>
      </c>
      <c r="O92" s="61">
        <v>600</v>
      </c>
      <c r="P92" s="51">
        <v>1</v>
      </c>
      <c r="Q92" s="51">
        <f t="shared" si="3"/>
        <v>600</v>
      </c>
      <c r="R92" s="31">
        <v>202310</v>
      </c>
      <c r="S92" s="32" t="s">
        <v>223</v>
      </c>
      <c r="T92" s="33"/>
      <c r="U92" s="32"/>
      <c r="V92" s="33"/>
      <c r="W92" s="67"/>
      <c r="X92" s="67"/>
      <c r="Y92" s="36"/>
      <c r="Z92" s="36"/>
      <c r="AA92" s="36"/>
      <c r="AB92" s="36"/>
      <c r="AC92" s="36"/>
      <c r="AD92" s="36"/>
      <c r="AE92" s="36"/>
      <c r="AF92" s="53" t="s">
        <v>68</v>
      </c>
      <c r="AG92" s="54"/>
      <c r="AH92" s="54"/>
      <c r="AI92" s="55"/>
      <c r="AJ92" s="55"/>
      <c r="AK92" s="55"/>
      <c r="AL92" s="55"/>
      <c r="AM92" s="55"/>
      <c r="AN92" s="42"/>
      <c r="AO92" s="42"/>
      <c r="AP92" s="42"/>
      <c r="AQ92" s="43" t="s">
        <v>194</v>
      </c>
      <c r="AR92" s="42"/>
      <c r="AS92" s="42"/>
    </row>
    <row r="93" spans="1:45" ht="15" customHeight="1">
      <c r="A93" s="65" t="s">
        <v>57</v>
      </c>
      <c r="B93" s="22" t="s">
        <v>83</v>
      </c>
      <c r="C93" s="21" t="s">
        <v>58</v>
      </c>
      <c r="D93" s="22" t="s">
        <v>85</v>
      </c>
      <c r="E93" s="66" t="s">
        <v>112</v>
      </c>
      <c r="F93" s="65" t="s">
        <v>113</v>
      </c>
      <c r="G93" s="26" t="s">
        <v>62</v>
      </c>
      <c r="H93" s="73" t="s">
        <v>189</v>
      </c>
      <c r="I93" s="26" t="s">
        <v>64</v>
      </c>
      <c r="J93" s="46" t="s">
        <v>58</v>
      </c>
      <c r="K93" s="47"/>
      <c r="L93" s="48"/>
      <c r="M93" s="49">
        <v>43825</v>
      </c>
      <c r="N93" s="47" t="s">
        <v>66</v>
      </c>
      <c r="O93" s="61">
        <v>600</v>
      </c>
      <c r="P93" s="51">
        <v>1</v>
      </c>
      <c r="Q93" s="51">
        <f t="shared" si="3"/>
        <v>600</v>
      </c>
      <c r="R93" s="31">
        <v>202310</v>
      </c>
      <c r="S93" s="32" t="s">
        <v>224</v>
      </c>
      <c r="T93" s="33"/>
      <c r="U93" s="32"/>
      <c r="V93" s="33"/>
      <c r="W93" s="67"/>
      <c r="X93" s="67"/>
      <c r="Y93" s="36"/>
      <c r="Z93" s="36"/>
      <c r="AA93" s="36"/>
      <c r="AB93" s="36"/>
      <c r="AC93" s="36"/>
      <c r="AD93" s="36"/>
      <c r="AE93" s="36"/>
      <c r="AF93" s="53" t="s">
        <v>68</v>
      </c>
      <c r="AG93" s="54"/>
      <c r="AH93" s="54"/>
      <c r="AI93" s="55"/>
      <c r="AJ93" s="55"/>
      <c r="AK93" s="55"/>
      <c r="AL93" s="55"/>
      <c r="AM93" s="55"/>
      <c r="AN93" s="42"/>
      <c r="AO93" s="42"/>
      <c r="AP93" s="42"/>
      <c r="AQ93" s="43" t="s">
        <v>194</v>
      </c>
      <c r="AR93" s="42"/>
      <c r="AS93" s="42"/>
    </row>
    <row r="94" spans="1:45" ht="15" customHeight="1">
      <c r="A94" s="65" t="s">
        <v>57</v>
      </c>
      <c r="B94" s="22" t="s">
        <v>83</v>
      </c>
      <c r="C94" s="21" t="s">
        <v>58</v>
      </c>
      <c r="D94" s="22" t="s">
        <v>85</v>
      </c>
      <c r="E94" s="66" t="s">
        <v>112</v>
      </c>
      <c r="F94" s="65" t="s">
        <v>113</v>
      </c>
      <c r="G94" s="26" t="s">
        <v>62</v>
      </c>
      <c r="H94" s="73" t="s">
        <v>189</v>
      </c>
      <c r="I94" s="26" t="s">
        <v>64</v>
      </c>
      <c r="J94" s="46" t="s">
        <v>58</v>
      </c>
      <c r="K94" s="47"/>
      <c r="L94" s="48"/>
      <c r="M94" s="49" t="s">
        <v>225</v>
      </c>
      <c r="N94" s="47" t="s">
        <v>66</v>
      </c>
      <c r="O94" s="61">
        <v>600</v>
      </c>
      <c r="P94" s="51">
        <v>0</v>
      </c>
      <c r="Q94" s="51">
        <f t="shared" si="3"/>
        <v>0</v>
      </c>
      <c r="R94" s="31">
        <v>202310</v>
      </c>
      <c r="S94" s="32" t="s">
        <v>226</v>
      </c>
      <c r="T94" s="33"/>
      <c r="U94" s="32"/>
      <c r="V94" s="33"/>
      <c r="W94" s="67"/>
      <c r="X94" s="67"/>
      <c r="Y94" s="36"/>
      <c r="Z94" s="36"/>
      <c r="AA94" s="36"/>
      <c r="AB94" s="36"/>
      <c r="AC94" s="36"/>
      <c r="AD94" s="36"/>
      <c r="AE94" s="36"/>
      <c r="AF94" s="53" t="s">
        <v>68</v>
      </c>
      <c r="AG94" s="54"/>
      <c r="AH94" s="54"/>
      <c r="AI94" s="55"/>
      <c r="AJ94" s="55"/>
      <c r="AK94" s="55"/>
      <c r="AL94" s="55"/>
      <c r="AM94" s="55"/>
      <c r="AN94" s="42"/>
      <c r="AO94" s="42"/>
      <c r="AP94" s="42"/>
      <c r="AQ94" s="43" t="s">
        <v>194</v>
      </c>
      <c r="AR94" s="42"/>
      <c r="AS94" s="42"/>
    </row>
    <row r="95" spans="1:45" ht="15" customHeight="1">
      <c r="A95" s="65" t="s">
        <v>57</v>
      </c>
      <c r="B95" s="22" t="s">
        <v>83</v>
      </c>
      <c r="C95" s="21" t="s">
        <v>58</v>
      </c>
      <c r="D95" s="22" t="s">
        <v>85</v>
      </c>
      <c r="E95" s="66" t="s">
        <v>112</v>
      </c>
      <c r="F95" s="65" t="s">
        <v>113</v>
      </c>
      <c r="G95" s="26" t="s">
        <v>62</v>
      </c>
      <c r="H95" s="73" t="s">
        <v>189</v>
      </c>
      <c r="I95" s="26" t="s">
        <v>64</v>
      </c>
      <c r="J95" s="46" t="s">
        <v>58</v>
      </c>
      <c r="K95" s="47"/>
      <c r="L95" s="48"/>
      <c r="M95" s="49" t="s">
        <v>225</v>
      </c>
      <c r="N95" s="47" t="s">
        <v>66</v>
      </c>
      <c r="O95" s="61">
        <v>600</v>
      </c>
      <c r="P95" s="51">
        <v>0</v>
      </c>
      <c r="Q95" s="51">
        <f t="shared" si="3"/>
        <v>0</v>
      </c>
      <c r="R95" s="31">
        <v>202310</v>
      </c>
      <c r="S95" s="32" t="s">
        <v>227</v>
      </c>
      <c r="T95" s="33"/>
      <c r="U95" s="32"/>
      <c r="V95" s="33"/>
      <c r="W95" s="67"/>
      <c r="X95" s="67"/>
      <c r="Y95" s="36"/>
      <c r="Z95" s="36"/>
      <c r="AA95" s="36"/>
      <c r="AB95" s="36"/>
      <c r="AC95" s="36"/>
      <c r="AD95" s="36"/>
      <c r="AE95" s="36"/>
      <c r="AF95" s="53" t="s">
        <v>68</v>
      </c>
      <c r="AG95" s="54"/>
      <c r="AH95" s="54"/>
      <c r="AI95" s="55"/>
      <c r="AJ95" s="55"/>
      <c r="AK95" s="55"/>
      <c r="AL95" s="55"/>
      <c r="AM95" s="55"/>
      <c r="AN95" s="42"/>
      <c r="AO95" s="42"/>
      <c r="AP95" s="42"/>
      <c r="AQ95" s="43" t="s">
        <v>194</v>
      </c>
      <c r="AR95" s="42"/>
      <c r="AS95" s="42"/>
    </row>
    <row r="96" spans="1:45" ht="15" customHeight="1">
      <c r="A96" s="65" t="s">
        <v>57</v>
      </c>
      <c r="B96" s="22" t="s">
        <v>83</v>
      </c>
      <c r="C96" s="21" t="s">
        <v>58</v>
      </c>
      <c r="D96" s="22" t="s">
        <v>85</v>
      </c>
      <c r="E96" s="66" t="s">
        <v>112</v>
      </c>
      <c r="F96" s="65" t="s">
        <v>113</v>
      </c>
      <c r="G96" s="26" t="s">
        <v>62</v>
      </c>
      <c r="H96" s="73" t="s">
        <v>189</v>
      </c>
      <c r="I96" s="26" t="s">
        <v>64</v>
      </c>
      <c r="J96" s="46" t="s">
        <v>58</v>
      </c>
      <c r="K96" s="47"/>
      <c r="L96" s="48"/>
      <c r="M96" s="49">
        <v>43894</v>
      </c>
      <c r="N96" s="47" t="s">
        <v>66</v>
      </c>
      <c r="O96" s="61">
        <v>600</v>
      </c>
      <c r="P96" s="51">
        <v>1</v>
      </c>
      <c r="Q96" s="51">
        <f t="shared" si="3"/>
        <v>600</v>
      </c>
      <c r="R96" s="31">
        <v>202310</v>
      </c>
      <c r="S96" s="32" t="s">
        <v>228</v>
      </c>
      <c r="T96" s="33"/>
      <c r="U96" s="32"/>
      <c r="V96" s="33"/>
      <c r="W96" s="67"/>
      <c r="X96" s="67"/>
      <c r="Y96" s="36"/>
      <c r="Z96" s="36"/>
      <c r="AA96" s="36"/>
      <c r="AB96" s="36"/>
      <c r="AC96" s="36"/>
      <c r="AD96" s="36"/>
      <c r="AE96" s="36"/>
      <c r="AF96" s="53" t="s">
        <v>68</v>
      </c>
      <c r="AG96" s="54"/>
      <c r="AH96" s="54"/>
      <c r="AI96" s="55"/>
      <c r="AJ96" s="55"/>
      <c r="AK96" s="55"/>
      <c r="AL96" s="55"/>
      <c r="AM96" s="55"/>
      <c r="AN96" s="42"/>
      <c r="AO96" s="42"/>
      <c r="AP96" s="42"/>
      <c r="AQ96" s="43" t="s">
        <v>194</v>
      </c>
      <c r="AR96" s="42"/>
      <c r="AS96" s="42"/>
    </row>
    <row r="97" spans="1:45" ht="15" customHeight="1">
      <c r="A97" s="65" t="s">
        <v>57</v>
      </c>
      <c r="B97" s="22" t="s">
        <v>83</v>
      </c>
      <c r="C97" s="21" t="s">
        <v>58</v>
      </c>
      <c r="D97" s="22" t="s">
        <v>85</v>
      </c>
      <c r="E97" s="66" t="s">
        <v>112</v>
      </c>
      <c r="F97" s="65" t="s">
        <v>113</v>
      </c>
      <c r="G97" s="26" t="s">
        <v>62</v>
      </c>
      <c r="H97" s="73" t="s">
        <v>189</v>
      </c>
      <c r="I97" s="26" t="s">
        <v>64</v>
      </c>
      <c r="J97" s="46" t="s">
        <v>58</v>
      </c>
      <c r="K97" s="47"/>
      <c r="L97" s="48"/>
      <c r="M97" s="49">
        <v>44368</v>
      </c>
      <c r="N97" s="47" t="s">
        <v>66</v>
      </c>
      <c r="O97" s="61">
        <v>600</v>
      </c>
      <c r="P97" s="51">
        <v>-1</v>
      </c>
      <c r="Q97" s="51">
        <f t="shared" si="3"/>
        <v>-600</v>
      </c>
      <c r="R97" s="31">
        <v>202310</v>
      </c>
      <c r="S97" s="33" t="s">
        <v>229</v>
      </c>
      <c r="T97" s="33"/>
      <c r="U97" s="32"/>
      <c r="V97" s="33"/>
      <c r="W97" s="67"/>
      <c r="X97" s="67"/>
      <c r="Y97" s="36"/>
      <c r="Z97" s="36"/>
      <c r="AA97" s="36"/>
      <c r="AB97" s="36"/>
      <c r="AC97" s="36"/>
      <c r="AD97" s="36"/>
      <c r="AE97" s="36"/>
      <c r="AF97" s="53" t="s">
        <v>68</v>
      </c>
      <c r="AG97" s="54"/>
      <c r="AH97" s="54"/>
      <c r="AI97" s="55"/>
      <c r="AJ97" s="55"/>
      <c r="AK97" s="55"/>
      <c r="AL97" s="55"/>
      <c r="AM97" s="55"/>
      <c r="AN97" s="42"/>
      <c r="AO97" s="42"/>
      <c r="AP97" s="42"/>
      <c r="AQ97" s="43" t="s">
        <v>194</v>
      </c>
      <c r="AR97" s="42"/>
      <c r="AS97" s="42"/>
    </row>
    <row r="98" spans="1:45" ht="15" customHeight="1">
      <c r="A98" s="65" t="s">
        <v>57</v>
      </c>
      <c r="B98" s="22" t="s">
        <v>83</v>
      </c>
      <c r="C98" s="21" t="s">
        <v>58</v>
      </c>
      <c r="D98" s="22" t="s">
        <v>85</v>
      </c>
      <c r="E98" s="66" t="s">
        <v>112</v>
      </c>
      <c r="F98" s="65" t="s">
        <v>113</v>
      </c>
      <c r="G98" s="26" t="s">
        <v>62</v>
      </c>
      <c r="H98" s="73" t="s">
        <v>189</v>
      </c>
      <c r="I98" s="26" t="s">
        <v>64</v>
      </c>
      <c r="J98" s="46" t="s">
        <v>230</v>
      </c>
      <c r="K98" s="47"/>
      <c r="L98" s="48"/>
      <c r="M98" s="49">
        <v>43935</v>
      </c>
      <c r="N98" s="47" t="s">
        <v>66</v>
      </c>
      <c r="O98" s="61">
        <v>600</v>
      </c>
      <c r="P98" s="51">
        <v>1</v>
      </c>
      <c r="Q98" s="51">
        <f t="shared" si="3"/>
        <v>600</v>
      </c>
      <c r="R98" s="31">
        <v>202310</v>
      </c>
      <c r="S98" s="32" t="s">
        <v>123</v>
      </c>
      <c r="T98" s="33"/>
      <c r="U98" s="32"/>
      <c r="V98" s="33"/>
      <c r="W98" s="67"/>
      <c r="X98" s="67"/>
      <c r="Y98" s="36"/>
      <c r="Z98" s="36"/>
      <c r="AA98" s="36"/>
      <c r="AB98" s="36"/>
      <c r="AC98" s="36"/>
      <c r="AD98" s="36"/>
      <c r="AE98" s="36"/>
      <c r="AF98" s="53" t="s">
        <v>68</v>
      </c>
      <c r="AG98" s="54"/>
      <c r="AH98" s="54"/>
      <c r="AI98" s="55"/>
      <c r="AJ98" s="55"/>
      <c r="AK98" s="55"/>
      <c r="AL98" s="55"/>
      <c r="AM98" s="55"/>
      <c r="AN98" s="42"/>
      <c r="AO98" s="42"/>
      <c r="AP98" s="42"/>
      <c r="AQ98" s="43" t="s">
        <v>194</v>
      </c>
      <c r="AR98" s="42"/>
      <c r="AS98" s="42"/>
    </row>
    <row r="99" spans="1:45" ht="15" customHeight="1">
      <c r="A99" s="65" t="s">
        <v>57</v>
      </c>
      <c r="B99" s="22" t="s">
        <v>83</v>
      </c>
      <c r="C99" s="21" t="s">
        <v>58</v>
      </c>
      <c r="D99" s="22" t="s">
        <v>85</v>
      </c>
      <c r="E99" s="66" t="s">
        <v>112</v>
      </c>
      <c r="F99" s="65" t="s">
        <v>113</v>
      </c>
      <c r="G99" s="26" t="s">
        <v>62</v>
      </c>
      <c r="H99" s="73" t="s">
        <v>189</v>
      </c>
      <c r="I99" s="26" t="s">
        <v>64</v>
      </c>
      <c r="J99" s="46" t="s">
        <v>231</v>
      </c>
      <c r="K99" s="47"/>
      <c r="L99" s="48"/>
      <c r="M99" s="49">
        <v>43952</v>
      </c>
      <c r="N99" s="47" t="s">
        <v>66</v>
      </c>
      <c r="O99" s="61">
        <v>600</v>
      </c>
      <c r="P99" s="51">
        <v>1</v>
      </c>
      <c r="Q99" s="51">
        <f t="shared" si="3"/>
        <v>600</v>
      </c>
      <c r="R99" s="31">
        <v>202310</v>
      </c>
      <c r="S99" s="32" t="s">
        <v>126</v>
      </c>
      <c r="T99" s="33"/>
      <c r="U99" s="32"/>
      <c r="V99" s="33"/>
      <c r="W99" s="67"/>
      <c r="X99" s="67"/>
      <c r="Y99" s="36"/>
      <c r="Z99" s="36"/>
      <c r="AA99" s="36"/>
      <c r="AB99" s="36"/>
      <c r="AC99" s="36"/>
      <c r="AD99" s="36"/>
      <c r="AE99" s="36"/>
      <c r="AF99" s="53" t="s">
        <v>68</v>
      </c>
      <c r="AG99" s="54"/>
      <c r="AH99" s="54"/>
      <c r="AI99" s="55"/>
      <c r="AJ99" s="55"/>
      <c r="AK99" s="55"/>
      <c r="AL99" s="55"/>
      <c r="AM99" s="55"/>
      <c r="AN99" s="42"/>
      <c r="AO99" s="42"/>
      <c r="AP99" s="42"/>
      <c r="AQ99" s="43" t="s">
        <v>194</v>
      </c>
      <c r="AR99" s="42"/>
      <c r="AS99" s="42"/>
    </row>
    <row r="100" spans="1:45" ht="15" customHeight="1">
      <c r="A100" s="65" t="s">
        <v>57</v>
      </c>
      <c r="B100" s="22" t="s">
        <v>83</v>
      </c>
      <c r="C100" s="21" t="s">
        <v>58</v>
      </c>
      <c r="D100" s="22" t="s">
        <v>85</v>
      </c>
      <c r="E100" s="66" t="s">
        <v>112</v>
      </c>
      <c r="F100" s="65" t="s">
        <v>113</v>
      </c>
      <c r="G100" s="26" t="s">
        <v>62</v>
      </c>
      <c r="H100" s="73" t="s">
        <v>189</v>
      </c>
      <c r="I100" s="26" t="s">
        <v>64</v>
      </c>
      <c r="J100" s="46" t="s">
        <v>232</v>
      </c>
      <c r="K100" s="47"/>
      <c r="L100" s="48"/>
      <c r="M100" s="49">
        <v>43952</v>
      </c>
      <c r="N100" s="47" t="s">
        <v>66</v>
      </c>
      <c r="O100" s="61">
        <v>600</v>
      </c>
      <c r="P100" s="51">
        <v>1</v>
      </c>
      <c r="Q100" s="51">
        <f t="shared" si="3"/>
        <v>600</v>
      </c>
      <c r="R100" s="31">
        <v>202310</v>
      </c>
      <c r="S100" s="32" t="s">
        <v>129</v>
      </c>
      <c r="T100" s="33"/>
      <c r="U100" s="32"/>
      <c r="V100" s="33"/>
      <c r="W100" s="67"/>
      <c r="X100" s="67"/>
      <c r="Y100" s="36"/>
      <c r="Z100" s="36"/>
      <c r="AA100" s="36"/>
      <c r="AB100" s="36"/>
      <c r="AC100" s="36"/>
      <c r="AD100" s="36"/>
      <c r="AE100" s="36"/>
      <c r="AF100" s="53" t="s">
        <v>68</v>
      </c>
      <c r="AG100" s="54"/>
      <c r="AH100" s="54"/>
      <c r="AI100" s="55"/>
      <c r="AJ100" s="55"/>
      <c r="AK100" s="55"/>
      <c r="AL100" s="55"/>
      <c r="AM100" s="55"/>
      <c r="AN100" s="42"/>
      <c r="AO100" s="42"/>
      <c r="AP100" s="42"/>
      <c r="AQ100" s="43" t="s">
        <v>194</v>
      </c>
      <c r="AR100" s="42"/>
      <c r="AS100" s="42"/>
    </row>
    <row r="101" spans="1:45" ht="15" customHeight="1">
      <c r="A101" s="65" t="s">
        <v>57</v>
      </c>
      <c r="B101" s="22" t="s">
        <v>83</v>
      </c>
      <c r="C101" s="21" t="s">
        <v>58</v>
      </c>
      <c r="D101" s="22" t="s">
        <v>85</v>
      </c>
      <c r="E101" s="66" t="s">
        <v>112</v>
      </c>
      <c r="F101" s="65" t="s">
        <v>113</v>
      </c>
      <c r="G101" s="26" t="s">
        <v>62</v>
      </c>
      <c r="H101" s="73" t="s">
        <v>189</v>
      </c>
      <c r="I101" s="26" t="s">
        <v>64</v>
      </c>
      <c r="J101" s="46" t="s">
        <v>230</v>
      </c>
      <c r="K101" s="47"/>
      <c r="L101" s="48"/>
      <c r="M101" s="49">
        <v>43935</v>
      </c>
      <c r="N101" s="47" t="s">
        <v>66</v>
      </c>
      <c r="O101" s="61">
        <v>600</v>
      </c>
      <c r="P101" s="51">
        <v>1</v>
      </c>
      <c r="Q101" s="51">
        <f t="shared" si="3"/>
        <v>600</v>
      </c>
      <c r="R101" s="31">
        <v>202310</v>
      </c>
      <c r="S101" s="32" t="s">
        <v>131</v>
      </c>
      <c r="T101" s="33"/>
      <c r="U101" s="32"/>
      <c r="V101" s="33"/>
      <c r="W101" s="67"/>
      <c r="X101" s="67"/>
      <c r="Y101" s="36"/>
      <c r="Z101" s="36"/>
      <c r="AA101" s="36"/>
      <c r="AB101" s="36"/>
      <c r="AC101" s="36"/>
      <c r="AD101" s="36"/>
      <c r="AE101" s="36"/>
      <c r="AF101" s="53" t="s">
        <v>68</v>
      </c>
      <c r="AG101" s="46"/>
      <c r="AH101" s="46"/>
      <c r="AI101" s="77"/>
      <c r="AJ101" s="77"/>
      <c r="AK101" s="77"/>
      <c r="AL101" s="77"/>
      <c r="AM101" s="77"/>
      <c r="AN101" s="42"/>
      <c r="AO101" s="42"/>
      <c r="AP101" s="42"/>
      <c r="AQ101" s="43" t="s">
        <v>194</v>
      </c>
      <c r="AR101" s="42"/>
      <c r="AS101" s="42"/>
    </row>
    <row r="102" spans="1:45" ht="15" customHeight="1">
      <c r="A102" s="65" t="s">
        <v>57</v>
      </c>
      <c r="B102" s="22" t="s">
        <v>83</v>
      </c>
      <c r="C102" s="21" t="s">
        <v>58</v>
      </c>
      <c r="D102" s="22" t="s">
        <v>85</v>
      </c>
      <c r="E102" s="66" t="s">
        <v>112</v>
      </c>
      <c r="F102" s="65" t="s">
        <v>113</v>
      </c>
      <c r="G102" s="26" t="s">
        <v>62</v>
      </c>
      <c r="H102" s="73" t="s">
        <v>189</v>
      </c>
      <c r="I102" s="26" t="s">
        <v>64</v>
      </c>
      <c r="J102" s="46" t="s">
        <v>230</v>
      </c>
      <c r="K102" s="47"/>
      <c r="L102" s="48"/>
      <c r="M102" s="49">
        <v>43935</v>
      </c>
      <c r="N102" s="47" t="s">
        <v>66</v>
      </c>
      <c r="O102" s="61">
        <v>600</v>
      </c>
      <c r="P102" s="51">
        <v>1</v>
      </c>
      <c r="Q102" s="51">
        <f t="shared" si="3"/>
        <v>600</v>
      </c>
      <c r="R102" s="31">
        <v>202310</v>
      </c>
      <c r="S102" s="32" t="s">
        <v>132</v>
      </c>
      <c r="T102" s="33"/>
      <c r="U102" s="32"/>
      <c r="V102" s="33"/>
      <c r="W102" s="67"/>
      <c r="X102" s="67"/>
      <c r="Y102" s="36"/>
      <c r="Z102" s="36"/>
      <c r="AA102" s="36"/>
      <c r="AB102" s="36"/>
      <c r="AC102" s="36"/>
      <c r="AD102" s="36"/>
      <c r="AE102" s="36"/>
      <c r="AF102" s="53" t="s">
        <v>68</v>
      </c>
      <c r="AG102" s="46"/>
      <c r="AH102" s="46"/>
      <c r="AI102" s="77"/>
      <c r="AJ102" s="77"/>
      <c r="AK102" s="77"/>
      <c r="AL102" s="77"/>
      <c r="AM102" s="77"/>
      <c r="AN102" s="42"/>
      <c r="AO102" s="42"/>
      <c r="AP102" s="42"/>
      <c r="AQ102" s="43" t="s">
        <v>194</v>
      </c>
      <c r="AR102" s="42"/>
      <c r="AS102" s="42"/>
    </row>
    <row r="103" spans="1:45" ht="15" customHeight="1">
      <c r="A103" s="65" t="s">
        <v>57</v>
      </c>
      <c r="B103" s="22" t="s">
        <v>83</v>
      </c>
      <c r="C103" s="21" t="s">
        <v>58</v>
      </c>
      <c r="D103" s="22" t="s">
        <v>85</v>
      </c>
      <c r="E103" s="66" t="s">
        <v>112</v>
      </c>
      <c r="F103" s="65" t="s">
        <v>113</v>
      </c>
      <c r="G103" s="26" t="s">
        <v>62</v>
      </c>
      <c r="H103" s="73" t="s">
        <v>189</v>
      </c>
      <c r="I103" s="26" t="s">
        <v>64</v>
      </c>
      <c r="J103" s="46" t="s">
        <v>231</v>
      </c>
      <c r="K103" s="47"/>
      <c r="L103" s="48"/>
      <c r="M103" s="49">
        <v>43952</v>
      </c>
      <c r="N103" s="47" t="s">
        <v>66</v>
      </c>
      <c r="O103" s="61">
        <v>600</v>
      </c>
      <c r="P103" s="51">
        <v>1</v>
      </c>
      <c r="Q103" s="51">
        <f t="shared" si="3"/>
        <v>600</v>
      </c>
      <c r="R103" s="31">
        <v>202310</v>
      </c>
      <c r="S103" s="32" t="s">
        <v>133</v>
      </c>
      <c r="T103" s="33"/>
      <c r="U103" s="32"/>
      <c r="V103" s="33"/>
      <c r="W103" s="67"/>
      <c r="X103" s="67"/>
      <c r="Y103" s="36"/>
      <c r="Z103" s="36"/>
      <c r="AA103" s="36"/>
      <c r="AB103" s="36"/>
      <c r="AC103" s="36"/>
      <c r="AD103" s="36"/>
      <c r="AE103" s="36"/>
      <c r="AF103" s="53" t="s">
        <v>68</v>
      </c>
      <c r="AG103" s="54"/>
      <c r="AH103" s="54"/>
      <c r="AI103" s="55"/>
      <c r="AJ103" s="55"/>
      <c r="AK103" s="55"/>
      <c r="AL103" s="55"/>
      <c r="AM103" s="55"/>
      <c r="AN103" s="42"/>
      <c r="AO103" s="42"/>
      <c r="AP103" s="42"/>
      <c r="AQ103" s="43" t="s">
        <v>194</v>
      </c>
      <c r="AR103" s="42"/>
      <c r="AS103" s="42"/>
    </row>
    <row r="104" spans="1:45" ht="15" customHeight="1">
      <c r="A104" s="65" t="s">
        <v>57</v>
      </c>
      <c r="B104" s="22" t="s">
        <v>83</v>
      </c>
      <c r="C104" s="21" t="s">
        <v>58</v>
      </c>
      <c r="D104" s="22" t="s">
        <v>85</v>
      </c>
      <c r="E104" s="66" t="s">
        <v>112</v>
      </c>
      <c r="F104" s="65" t="s">
        <v>113</v>
      </c>
      <c r="G104" s="26" t="s">
        <v>62</v>
      </c>
      <c r="H104" s="73" t="s">
        <v>189</v>
      </c>
      <c r="I104" s="26" t="s">
        <v>64</v>
      </c>
      <c r="J104" s="46" t="s">
        <v>231</v>
      </c>
      <c r="K104" s="47"/>
      <c r="L104" s="48"/>
      <c r="M104" s="49">
        <v>44127</v>
      </c>
      <c r="N104" s="47" t="s">
        <v>66</v>
      </c>
      <c r="O104" s="61">
        <v>600</v>
      </c>
      <c r="P104" s="51">
        <v>-1</v>
      </c>
      <c r="Q104" s="51">
        <f t="shared" si="3"/>
        <v>-600</v>
      </c>
      <c r="R104" s="31">
        <v>202310</v>
      </c>
      <c r="S104" s="33" t="s">
        <v>233</v>
      </c>
      <c r="T104" s="33"/>
      <c r="U104" s="32"/>
      <c r="V104" s="33"/>
      <c r="W104" s="67"/>
      <c r="X104" s="67"/>
      <c r="Y104" s="36"/>
      <c r="Z104" s="36"/>
      <c r="AA104" s="36"/>
      <c r="AB104" s="36"/>
      <c r="AC104" s="36"/>
      <c r="AD104" s="36"/>
      <c r="AE104" s="36"/>
      <c r="AF104" s="53" t="s">
        <v>68</v>
      </c>
      <c r="AG104" s="54"/>
      <c r="AH104" s="54"/>
      <c r="AI104" s="55"/>
      <c r="AJ104" s="55"/>
      <c r="AK104" s="55"/>
      <c r="AL104" s="55"/>
      <c r="AM104" s="55"/>
      <c r="AN104" s="42"/>
      <c r="AO104" s="42"/>
      <c r="AP104" s="42"/>
      <c r="AQ104" s="43" t="s">
        <v>194</v>
      </c>
      <c r="AR104" s="42"/>
      <c r="AS104" s="42"/>
    </row>
    <row r="105" spans="1:45" ht="15" customHeight="1">
      <c r="A105" s="65" t="s">
        <v>57</v>
      </c>
      <c r="B105" s="22" t="s">
        <v>83</v>
      </c>
      <c r="C105" s="21" t="s">
        <v>58</v>
      </c>
      <c r="D105" s="22" t="s">
        <v>85</v>
      </c>
      <c r="E105" s="66" t="s">
        <v>112</v>
      </c>
      <c r="F105" s="65" t="s">
        <v>113</v>
      </c>
      <c r="G105" s="26" t="s">
        <v>62</v>
      </c>
      <c r="H105" s="73" t="s">
        <v>189</v>
      </c>
      <c r="I105" s="26" t="s">
        <v>64</v>
      </c>
      <c r="J105" s="46" t="s">
        <v>231</v>
      </c>
      <c r="K105" s="47"/>
      <c r="L105" s="48"/>
      <c r="M105" s="49">
        <v>43952</v>
      </c>
      <c r="N105" s="47" t="s">
        <v>66</v>
      </c>
      <c r="O105" s="61">
        <v>600</v>
      </c>
      <c r="P105" s="51">
        <v>1</v>
      </c>
      <c r="Q105" s="51">
        <f t="shared" si="3"/>
        <v>600</v>
      </c>
      <c r="R105" s="31">
        <v>202310</v>
      </c>
      <c r="S105" s="32" t="s">
        <v>172</v>
      </c>
      <c r="T105" s="33"/>
      <c r="U105" s="32"/>
      <c r="V105" s="33"/>
      <c r="W105" s="67"/>
      <c r="X105" s="67"/>
      <c r="Y105" s="36"/>
      <c r="Z105" s="36"/>
      <c r="AA105" s="36"/>
      <c r="AB105" s="36"/>
      <c r="AC105" s="36"/>
      <c r="AD105" s="36"/>
      <c r="AE105" s="36"/>
      <c r="AF105" s="53" t="s">
        <v>68</v>
      </c>
      <c r="AG105" s="54"/>
      <c r="AH105" s="54"/>
      <c r="AI105" s="55"/>
      <c r="AJ105" s="55"/>
      <c r="AK105" s="55"/>
      <c r="AL105" s="55"/>
      <c r="AM105" s="55"/>
      <c r="AN105" s="42"/>
      <c r="AO105" s="42"/>
      <c r="AP105" s="42"/>
      <c r="AQ105" s="43" t="s">
        <v>194</v>
      </c>
      <c r="AR105" s="42"/>
      <c r="AS105" s="42"/>
    </row>
    <row r="106" spans="1:45" ht="15" customHeight="1">
      <c r="A106" s="65" t="s">
        <v>57</v>
      </c>
      <c r="B106" s="22" t="s">
        <v>83</v>
      </c>
      <c r="C106" s="21" t="s">
        <v>58</v>
      </c>
      <c r="D106" s="22" t="s">
        <v>85</v>
      </c>
      <c r="E106" s="66" t="s">
        <v>112</v>
      </c>
      <c r="F106" s="65" t="s">
        <v>113</v>
      </c>
      <c r="G106" s="26" t="s">
        <v>62</v>
      </c>
      <c r="H106" s="73" t="s">
        <v>189</v>
      </c>
      <c r="I106" s="26" t="s">
        <v>64</v>
      </c>
      <c r="J106" s="46" t="s">
        <v>230</v>
      </c>
      <c r="K106" s="47"/>
      <c r="L106" s="48"/>
      <c r="M106" s="49">
        <v>43935</v>
      </c>
      <c r="N106" s="47" t="s">
        <v>66</v>
      </c>
      <c r="O106" s="61">
        <v>600</v>
      </c>
      <c r="P106" s="51">
        <v>1</v>
      </c>
      <c r="Q106" s="51">
        <f t="shared" si="3"/>
        <v>600</v>
      </c>
      <c r="R106" s="31">
        <v>202310</v>
      </c>
      <c r="S106" s="32" t="s">
        <v>134</v>
      </c>
      <c r="T106" s="33"/>
      <c r="U106" s="32"/>
      <c r="V106" s="33"/>
      <c r="W106" s="67"/>
      <c r="X106" s="67"/>
      <c r="Y106" s="36"/>
      <c r="Z106" s="36"/>
      <c r="AA106" s="36"/>
      <c r="AB106" s="36"/>
      <c r="AC106" s="36"/>
      <c r="AD106" s="36"/>
      <c r="AE106" s="36"/>
      <c r="AF106" s="53" t="s">
        <v>68</v>
      </c>
      <c r="AG106" s="46"/>
      <c r="AH106" s="46"/>
      <c r="AI106" s="77"/>
      <c r="AJ106" s="77"/>
      <c r="AK106" s="77"/>
      <c r="AL106" s="77"/>
      <c r="AM106" s="77"/>
      <c r="AN106" s="42"/>
      <c r="AO106" s="42"/>
      <c r="AP106" s="42"/>
      <c r="AQ106" s="43" t="s">
        <v>194</v>
      </c>
      <c r="AR106" s="42"/>
      <c r="AS106" s="42"/>
    </row>
    <row r="107" spans="1:45" ht="15" customHeight="1">
      <c r="A107" s="65" t="s">
        <v>57</v>
      </c>
      <c r="B107" s="22" t="s">
        <v>83</v>
      </c>
      <c r="C107" s="21" t="s">
        <v>58</v>
      </c>
      <c r="D107" s="22" t="s">
        <v>85</v>
      </c>
      <c r="E107" s="66" t="s">
        <v>112</v>
      </c>
      <c r="F107" s="65" t="s">
        <v>113</v>
      </c>
      <c r="G107" s="26" t="s">
        <v>62</v>
      </c>
      <c r="H107" s="73" t="s">
        <v>189</v>
      </c>
      <c r="I107" s="26" t="s">
        <v>64</v>
      </c>
      <c r="J107" s="46" t="s">
        <v>234</v>
      </c>
      <c r="K107" s="47"/>
      <c r="L107" s="48"/>
      <c r="M107" s="49">
        <v>43935</v>
      </c>
      <c r="N107" s="47" t="s">
        <v>66</v>
      </c>
      <c r="O107" s="61">
        <v>600</v>
      </c>
      <c r="P107" s="51">
        <v>1</v>
      </c>
      <c r="Q107" s="51">
        <f t="shared" si="3"/>
        <v>600</v>
      </c>
      <c r="R107" s="31">
        <v>202310</v>
      </c>
      <c r="S107" s="32" t="s">
        <v>136</v>
      </c>
      <c r="T107" s="33"/>
      <c r="U107" s="32"/>
      <c r="V107" s="33"/>
      <c r="W107" s="67"/>
      <c r="X107" s="67"/>
      <c r="Y107" s="36"/>
      <c r="Z107" s="36"/>
      <c r="AA107" s="36"/>
      <c r="AB107" s="36"/>
      <c r="AC107" s="36"/>
      <c r="AD107" s="36"/>
      <c r="AE107" s="36"/>
      <c r="AF107" s="53" t="s">
        <v>68</v>
      </c>
      <c r="AG107" s="46"/>
      <c r="AH107" s="46"/>
      <c r="AI107" s="77"/>
      <c r="AJ107" s="77"/>
      <c r="AK107" s="77"/>
      <c r="AL107" s="77"/>
      <c r="AM107" s="77"/>
      <c r="AN107" s="42"/>
      <c r="AO107" s="42"/>
      <c r="AP107" s="42"/>
      <c r="AQ107" s="43" t="s">
        <v>194</v>
      </c>
      <c r="AR107" s="42"/>
      <c r="AS107" s="42"/>
    </row>
    <row r="108" spans="1:45" ht="15" customHeight="1">
      <c r="A108" s="65" t="s">
        <v>57</v>
      </c>
      <c r="B108" s="22" t="s">
        <v>83</v>
      </c>
      <c r="C108" s="21" t="s">
        <v>58</v>
      </c>
      <c r="D108" s="22" t="s">
        <v>85</v>
      </c>
      <c r="E108" s="66" t="s">
        <v>112</v>
      </c>
      <c r="F108" s="65" t="s">
        <v>113</v>
      </c>
      <c r="G108" s="26" t="s">
        <v>62</v>
      </c>
      <c r="H108" s="73" t="s">
        <v>189</v>
      </c>
      <c r="I108" s="26" t="s">
        <v>64</v>
      </c>
      <c r="J108" s="46" t="s">
        <v>234</v>
      </c>
      <c r="K108" s="47"/>
      <c r="L108" s="48"/>
      <c r="M108" s="49">
        <v>44102</v>
      </c>
      <c r="N108" s="47" t="s">
        <v>66</v>
      </c>
      <c r="O108" s="61">
        <v>600</v>
      </c>
      <c r="P108" s="51">
        <v>-1</v>
      </c>
      <c r="Q108" s="51">
        <f t="shared" si="3"/>
        <v>-600</v>
      </c>
      <c r="R108" s="31">
        <v>202310</v>
      </c>
      <c r="S108" s="33" t="s">
        <v>235</v>
      </c>
      <c r="T108" s="33"/>
      <c r="U108" s="32"/>
      <c r="V108" s="33"/>
      <c r="W108" s="67"/>
      <c r="X108" s="67"/>
      <c r="Y108" s="36"/>
      <c r="Z108" s="36"/>
      <c r="AA108" s="36"/>
      <c r="AB108" s="36"/>
      <c r="AC108" s="36"/>
      <c r="AD108" s="36"/>
      <c r="AE108" s="36"/>
      <c r="AF108" s="53" t="s">
        <v>68</v>
      </c>
      <c r="AG108" s="46"/>
      <c r="AH108" s="46"/>
      <c r="AI108" s="77"/>
      <c r="AJ108" s="77"/>
      <c r="AK108" s="77"/>
      <c r="AL108" s="77"/>
      <c r="AM108" s="77"/>
      <c r="AN108" s="42"/>
      <c r="AO108" s="42"/>
      <c r="AP108" s="42"/>
      <c r="AQ108" s="43" t="s">
        <v>194</v>
      </c>
      <c r="AR108" s="42"/>
      <c r="AS108" s="42"/>
    </row>
    <row r="109" spans="1:45" ht="15" customHeight="1">
      <c r="A109" s="65" t="s">
        <v>57</v>
      </c>
      <c r="B109" s="22" t="s">
        <v>83</v>
      </c>
      <c r="C109" s="21" t="s">
        <v>58</v>
      </c>
      <c r="D109" s="22" t="s">
        <v>85</v>
      </c>
      <c r="E109" s="66" t="s">
        <v>112</v>
      </c>
      <c r="F109" s="65" t="s">
        <v>113</v>
      </c>
      <c r="G109" s="26" t="s">
        <v>62</v>
      </c>
      <c r="H109" s="73" t="s">
        <v>189</v>
      </c>
      <c r="I109" s="26" t="s">
        <v>64</v>
      </c>
      <c r="J109" s="46" t="s">
        <v>236</v>
      </c>
      <c r="K109" s="47"/>
      <c r="L109" s="48"/>
      <c r="M109" s="49">
        <v>43935</v>
      </c>
      <c r="N109" s="47" t="s">
        <v>66</v>
      </c>
      <c r="O109" s="61">
        <v>600</v>
      </c>
      <c r="P109" s="51">
        <v>1</v>
      </c>
      <c r="Q109" s="51">
        <f t="shared" si="3"/>
        <v>600</v>
      </c>
      <c r="R109" s="31">
        <v>202310</v>
      </c>
      <c r="S109" s="32" t="s">
        <v>237</v>
      </c>
      <c r="T109" s="33"/>
      <c r="U109" s="32"/>
      <c r="V109" s="33"/>
      <c r="W109" s="67"/>
      <c r="X109" s="67"/>
      <c r="Y109" s="36"/>
      <c r="Z109" s="36"/>
      <c r="AA109" s="36"/>
      <c r="AB109" s="36"/>
      <c r="AC109" s="36"/>
      <c r="AD109" s="36"/>
      <c r="AE109" s="36"/>
      <c r="AF109" s="53" t="s">
        <v>68</v>
      </c>
      <c r="AG109" s="46"/>
      <c r="AH109" s="46"/>
      <c r="AI109" s="77"/>
      <c r="AJ109" s="77"/>
      <c r="AK109" s="77"/>
      <c r="AL109" s="77"/>
      <c r="AM109" s="77"/>
      <c r="AN109" s="42"/>
      <c r="AO109" s="42"/>
      <c r="AP109" s="42"/>
      <c r="AQ109" s="43" t="s">
        <v>194</v>
      </c>
      <c r="AR109" s="42"/>
      <c r="AS109" s="42"/>
    </row>
    <row r="110" spans="1:45" ht="15" customHeight="1">
      <c r="A110" s="65" t="s">
        <v>57</v>
      </c>
      <c r="B110" s="22" t="s">
        <v>83</v>
      </c>
      <c r="C110" s="21" t="s">
        <v>58</v>
      </c>
      <c r="D110" s="22" t="s">
        <v>85</v>
      </c>
      <c r="E110" s="66" t="s">
        <v>112</v>
      </c>
      <c r="F110" s="65" t="s">
        <v>113</v>
      </c>
      <c r="G110" s="26" t="s">
        <v>62</v>
      </c>
      <c r="H110" s="73" t="s">
        <v>189</v>
      </c>
      <c r="I110" s="26" t="s">
        <v>64</v>
      </c>
      <c r="J110" s="46" t="s">
        <v>236</v>
      </c>
      <c r="K110" s="47"/>
      <c r="L110" s="48"/>
      <c r="M110" s="49">
        <v>44664</v>
      </c>
      <c r="N110" s="47" t="s">
        <v>66</v>
      </c>
      <c r="O110" s="61">
        <v>600</v>
      </c>
      <c r="P110" s="51">
        <v>-1</v>
      </c>
      <c r="Q110" s="51">
        <f t="shared" si="3"/>
        <v>-600</v>
      </c>
      <c r="R110" s="31">
        <v>202310</v>
      </c>
      <c r="S110" s="33" t="s">
        <v>238</v>
      </c>
      <c r="T110" s="33"/>
      <c r="U110" s="32"/>
      <c r="V110" s="33"/>
      <c r="W110" s="67"/>
      <c r="X110" s="67"/>
      <c r="Y110" s="36"/>
      <c r="Z110" s="36"/>
      <c r="AA110" s="36"/>
      <c r="AB110" s="36"/>
      <c r="AC110" s="36"/>
      <c r="AD110" s="36"/>
      <c r="AE110" s="36"/>
      <c r="AF110" s="53" t="s">
        <v>68</v>
      </c>
      <c r="AG110" s="46"/>
      <c r="AH110" s="46"/>
      <c r="AI110" s="77"/>
      <c r="AJ110" s="77"/>
      <c r="AK110" s="77"/>
      <c r="AL110" s="77"/>
      <c r="AM110" s="77"/>
      <c r="AN110" s="42"/>
      <c r="AO110" s="42"/>
      <c r="AP110" s="42"/>
      <c r="AQ110" s="43" t="s">
        <v>194</v>
      </c>
      <c r="AR110" s="42"/>
      <c r="AS110" s="42"/>
    </row>
    <row r="111" spans="1:45" ht="15" customHeight="1">
      <c r="A111" s="65" t="s">
        <v>57</v>
      </c>
      <c r="B111" s="22" t="s">
        <v>83</v>
      </c>
      <c r="C111" s="21" t="s">
        <v>58</v>
      </c>
      <c r="D111" s="22" t="s">
        <v>85</v>
      </c>
      <c r="E111" s="66" t="s">
        <v>112</v>
      </c>
      <c r="F111" s="65" t="s">
        <v>113</v>
      </c>
      <c r="G111" s="26" t="s">
        <v>62</v>
      </c>
      <c r="H111" s="73" t="s">
        <v>189</v>
      </c>
      <c r="I111" s="26" t="s">
        <v>64</v>
      </c>
      <c r="J111" s="46" t="s">
        <v>236</v>
      </c>
      <c r="K111" s="47"/>
      <c r="L111" s="48"/>
      <c r="M111" s="49">
        <v>43935</v>
      </c>
      <c r="N111" s="47" t="s">
        <v>66</v>
      </c>
      <c r="O111" s="61">
        <v>600</v>
      </c>
      <c r="P111" s="51">
        <v>1</v>
      </c>
      <c r="Q111" s="51">
        <f t="shared" si="3"/>
        <v>600</v>
      </c>
      <c r="R111" s="31">
        <v>202310</v>
      </c>
      <c r="S111" s="33" t="s">
        <v>139</v>
      </c>
      <c r="T111" s="33"/>
      <c r="U111" s="32"/>
      <c r="V111" s="33"/>
      <c r="W111" s="67"/>
      <c r="X111" s="67"/>
      <c r="Y111" s="36"/>
      <c r="Z111" s="36"/>
      <c r="AA111" s="36"/>
      <c r="AB111" s="36"/>
      <c r="AC111" s="36"/>
      <c r="AD111" s="36"/>
      <c r="AE111" s="36"/>
      <c r="AF111" s="53" t="s">
        <v>68</v>
      </c>
      <c r="AG111" s="46"/>
      <c r="AH111" s="46"/>
      <c r="AI111" s="77"/>
      <c r="AJ111" s="77"/>
      <c r="AK111" s="77"/>
      <c r="AL111" s="77"/>
      <c r="AM111" s="77"/>
      <c r="AN111" s="42"/>
      <c r="AO111" s="42"/>
      <c r="AP111" s="42"/>
      <c r="AQ111" s="43" t="s">
        <v>194</v>
      </c>
      <c r="AR111" s="42"/>
      <c r="AS111" s="42"/>
    </row>
    <row r="112" spans="1:45" ht="15" customHeight="1">
      <c r="A112" s="65" t="s">
        <v>57</v>
      </c>
      <c r="B112" s="22" t="s">
        <v>83</v>
      </c>
      <c r="C112" s="21" t="s">
        <v>58</v>
      </c>
      <c r="D112" s="22" t="s">
        <v>85</v>
      </c>
      <c r="E112" s="66" t="s">
        <v>112</v>
      </c>
      <c r="F112" s="65" t="s">
        <v>113</v>
      </c>
      <c r="G112" s="26" t="s">
        <v>62</v>
      </c>
      <c r="H112" s="73" t="s">
        <v>189</v>
      </c>
      <c r="I112" s="26" t="s">
        <v>64</v>
      </c>
      <c r="J112" s="46" t="s">
        <v>236</v>
      </c>
      <c r="K112" s="47"/>
      <c r="L112" s="48"/>
      <c r="M112" s="49">
        <v>44798</v>
      </c>
      <c r="N112" s="47" t="s">
        <v>66</v>
      </c>
      <c r="O112" s="61">
        <v>600</v>
      </c>
      <c r="P112" s="51">
        <v>-1</v>
      </c>
      <c r="Q112" s="51">
        <f t="shared" si="3"/>
        <v>-600</v>
      </c>
      <c r="R112" s="31">
        <v>202310</v>
      </c>
      <c r="S112" s="78" t="s">
        <v>239</v>
      </c>
      <c r="T112" s="33"/>
      <c r="U112" s="32"/>
      <c r="V112" s="33"/>
      <c r="W112" s="67"/>
      <c r="X112" s="67"/>
      <c r="Y112" s="36"/>
      <c r="Z112" s="36"/>
      <c r="AA112" s="36"/>
      <c r="AB112" s="36"/>
      <c r="AC112" s="36"/>
      <c r="AD112" s="36"/>
      <c r="AE112" s="36"/>
      <c r="AF112" s="53" t="s">
        <v>68</v>
      </c>
      <c r="AG112" s="46"/>
      <c r="AH112" s="46"/>
      <c r="AI112" s="77"/>
      <c r="AJ112" s="77"/>
      <c r="AK112" s="77"/>
      <c r="AL112" s="77"/>
      <c r="AM112" s="77"/>
      <c r="AN112" s="42"/>
      <c r="AO112" s="42"/>
      <c r="AP112" s="42"/>
      <c r="AQ112" s="43" t="s">
        <v>194</v>
      </c>
      <c r="AR112" s="42"/>
      <c r="AS112" s="42"/>
    </row>
    <row r="113" spans="1:45" ht="15" customHeight="1">
      <c r="A113" s="65" t="s">
        <v>57</v>
      </c>
      <c r="B113" s="22" t="s">
        <v>83</v>
      </c>
      <c r="C113" s="21" t="s">
        <v>58</v>
      </c>
      <c r="D113" s="22" t="s">
        <v>85</v>
      </c>
      <c r="E113" s="66" t="s">
        <v>112</v>
      </c>
      <c r="F113" s="65" t="s">
        <v>113</v>
      </c>
      <c r="G113" s="26" t="s">
        <v>62</v>
      </c>
      <c r="H113" s="73" t="s">
        <v>189</v>
      </c>
      <c r="I113" s="26" t="s">
        <v>64</v>
      </c>
      <c r="J113" s="46" t="s">
        <v>232</v>
      </c>
      <c r="K113" s="47"/>
      <c r="L113" s="48"/>
      <c r="M113" s="49">
        <v>44116</v>
      </c>
      <c r="N113" s="47" t="s">
        <v>66</v>
      </c>
      <c r="O113" s="61">
        <v>600</v>
      </c>
      <c r="P113" s="51">
        <v>1</v>
      </c>
      <c r="Q113" s="51">
        <f t="shared" si="3"/>
        <v>600</v>
      </c>
      <c r="R113" s="31">
        <v>202310</v>
      </c>
      <c r="S113" s="32" t="s">
        <v>140</v>
      </c>
      <c r="T113" s="33"/>
      <c r="U113" s="32"/>
      <c r="V113" s="33"/>
      <c r="W113" s="67"/>
      <c r="X113" s="67"/>
      <c r="Y113" s="36"/>
      <c r="Z113" s="36"/>
      <c r="AA113" s="36"/>
      <c r="AB113" s="36"/>
      <c r="AC113" s="36"/>
      <c r="AD113" s="36"/>
      <c r="AE113" s="36"/>
      <c r="AF113" s="53" t="s">
        <v>68</v>
      </c>
      <c r="AG113" s="46"/>
      <c r="AH113" s="46"/>
      <c r="AI113" s="77"/>
      <c r="AJ113" s="77"/>
      <c r="AK113" s="77"/>
      <c r="AL113" s="77"/>
      <c r="AM113" s="77"/>
      <c r="AN113" s="42"/>
      <c r="AO113" s="42"/>
      <c r="AP113" s="42"/>
      <c r="AQ113" s="43" t="s">
        <v>194</v>
      </c>
      <c r="AR113" s="42"/>
      <c r="AS113" s="42"/>
    </row>
    <row r="114" spans="1:45" ht="15" customHeight="1">
      <c r="A114" s="65" t="s">
        <v>57</v>
      </c>
      <c r="B114" s="22" t="s">
        <v>83</v>
      </c>
      <c r="C114" s="21" t="s">
        <v>58</v>
      </c>
      <c r="D114" s="22" t="s">
        <v>85</v>
      </c>
      <c r="E114" s="66" t="s">
        <v>112</v>
      </c>
      <c r="F114" s="65" t="s">
        <v>113</v>
      </c>
      <c r="G114" s="26" t="s">
        <v>62</v>
      </c>
      <c r="H114" s="73" t="s">
        <v>189</v>
      </c>
      <c r="I114" s="26" t="s">
        <v>64</v>
      </c>
      <c r="J114" s="46" t="s">
        <v>232</v>
      </c>
      <c r="K114" s="47"/>
      <c r="L114" s="48"/>
      <c r="M114" s="49">
        <v>44116</v>
      </c>
      <c r="N114" s="47" t="s">
        <v>66</v>
      </c>
      <c r="O114" s="61">
        <v>600</v>
      </c>
      <c r="P114" s="51">
        <v>-1</v>
      </c>
      <c r="Q114" s="51">
        <f t="shared" si="3"/>
        <v>-600</v>
      </c>
      <c r="R114" s="31">
        <v>202310</v>
      </c>
      <c r="S114" s="33" t="s">
        <v>240</v>
      </c>
      <c r="T114" s="33"/>
      <c r="U114" s="32"/>
      <c r="V114" s="33"/>
      <c r="W114" s="67"/>
      <c r="X114" s="67"/>
      <c r="Y114" s="36"/>
      <c r="Z114" s="36"/>
      <c r="AA114" s="36"/>
      <c r="AB114" s="36"/>
      <c r="AC114" s="36"/>
      <c r="AD114" s="36"/>
      <c r="AE114" s="36"/>
      <c r="AF114" s="53" t="s">
        <v>68</v>
      </c>
      <c r="AG114" s="46"/>
      <c r="AH114" s="46"/>
      <c r="AI114" s="77"/>
      <c r="AJ114" s="77"/>
      <c r="AK114" s="77"/>
      <c r="AL114" s="77"/>
      <c r="AM114" s="77"/>
      <c r="AN114" s="42"/>
      <c r="AO114" s="42"/>
      <c r="AP114" s="42"/>
      <c r="AQ114" s="43" t="s">
        <v>194</v>
      </c>
      <c r="AR114" s="42"/>
      <c r="AS114" s="42"/>
    </row>
    <row r="115" spans="1:45" ht="15" customHeight="1">
      <c r="A115" s="65" t="s">
        <v>57</v>
      </c>
      <c r="B115" s="22" t="s">
        <v>83</v>
      </c>
      <c r="C115" s="21" t="s">
        <v>58</v>
      </c>
      <c r="D115" s="22" t="s">
        <v>85</v>
      </c>
      <c r="E115" s="66" t="s">
        <v>112</v>
      </c>
      <c r="F115" s="65" t="s">
        <v>113</v>
      </c>
      <c r="G115" s="26" t="s">
        <v>62</v>
      </c>
      <c r="H115" s="73" t="s">
        <v>189</v>
      </c>
      <c r="I115" s="26" t="s">
        <v>64</v>
      </c>
      <c r="J115" s="46" t="s">
        <v>241</v>
      </c>
      <c r="K115" s="47"/>
      <c r="L115" s="48"/>
      <c r="M115" s="49">
        <v>43935</v>
      </c>
      <c r="N115" s="47" t="s">
        <v>66</v>
      </c>
      <c r="O115" s="61">
        <v>600</v>
      </c>
      <c r="P115" s="51">
        <v>1</v>
      </c>
      <c r="Q115" s="51">
        <f t="shared" si="3"/>
        <v>600</v>
      </c>
      <c r="R115" s="31">
        <v>202310</v>
      </c>
      <c r="S115" s="32" t="s">
        <v>143</v>
      </c>
      <c r="T115" s="33"/>
      <c r="U115" s="32"/>
      <c r="V115" s="33"/>
      <c r="W115" s="67"/>
      <c r="X115" s="67"/>
      <c r="Y115" s="36"/>
      <c r="Z115" s="36"/>
      <c r="AA115" s="36"/>
      <c r="AB115" s="36"/>
      <c r="AC115" s="36"/>
      <c r="AD115" s="36"/>
      <c r="AE115" s="36"/>
      <c r="AF115" s="53" t="s">
        <v>68</v>
      </c>
      <c r="AG115" s="46"/>
      <c r="AH115" s="46"/>
      <c r="AI115" s="77"/>
      <c r="AJ115" s="77"/>
      <c r="AK115" s="77"/>
      <c r="AL115" s="77"/>
      <c r="AM115" s="77"/>
      <c r="AN115" s="42"/>
      <c r="AO115" s="42"/>
      <c r="AP115" s="42"/>
      <c r="AQ115" s="43" t="s">
        <v>194</v>
      </c>
      <c r="AR115" s="42"/>
      <c r="AS115" s="42"/>
    </row>
    <row r="116" spans="1:45" ht="15" customHeight="1">
      <c r="A116" s="65" t="s">
        <v>57</v>
      </c>
      <c r="B116" s="22" t="s">
        <v>83</v>
      </c>
      <c r="C116" s="21" t="s">
        <v>58</v>
      </c>
      <c r="D116" s="22" t="s">
        <v>85</v>
      </c>
      <c r="E116" s="66" t="s">
        <v>112</v>
      </c>
      <c r="F116" s="65" t="s">
        <v>113</v>
      </c>
      <c r="G116" s="26" t="s">
        <v>62</v>
      </c>
      <c r="H116" s="73" t="s">
        <v>189</v>
      </c>
      <c r="I116" s="26" t="s">
        <v>64</v>
      </c>
      <c r="J116" s="46" t="s">
        <v>242</v>
      </c>
      <c r="K116" s="47"/>
      <c r="L116" s="48"/>
      <c r="M116" s="49">
        <v>43952</v>
      </c>
      <c r="N116" s="47" t="s">
        <v>66</v>
      </c>
      <c r="O116" s="61">
        <v>600</v>
      </c>
      <c r="P116" s="51">
        <v>1</v>
      </c>
      <c r="Q116" s="51">
        <f t="shared" si="3"/>
        <v>600</v>
      </c>
      <c r="R116" s="31">
        <v>202310</v>
      </c>
      <c r="S116" s="32" t="s">
        <v>145</v>
      </c>
      <c r="T116" s="33"/>
      <c r="U116" s="32"/>
      <c r="V116" s="33"/>
      <c r="W116" s="67"/>
      <c r="X116" s="67"/>
      <c r="Y116" s="36"/>
      <c r="Z116" s="36"/>
      <c r="AA116" s="36"/>
      <c r="AB116" s="36"/>
      <c r="AC116" s="36"/>
      <c r="AD116" s="36"/>
      <c r="AE116" s="36"/>
      <c r="AF116" s="53" t="s">
        <v>68</v>
      </c>
      <c r="AG116" s="46"/>
      <c r="AH116" s="46"/>
      <c r="AI116" s="77"/>
      <c r="AJ116" s="77"/>
      <c r="AK116" s="77"/>
      <c r="AL116" s="77"/>
      <c r="AM116" s="77"/>
      <c r="AN116" s="42"/>
      <c r="AO116" s="42"/>
      <c r="AP116" s="42"/>
      <c r="AQ116" s="43" t="s">
        <v>194</v>
      </c>
      <c r="AR116" s="42"/>
      <c r="AS116" s="42"/>
    </row>
    <row r="117" spans="1:45" ht="15" customHeight="1">
      <c r="A117" s="65" t="s">
        <v>57</v>
      </c>
      <c r="B117" s="22" t="s">
        <v>83</v>
      </c>
      <c r="C117" s="21" t="s">
        <v>58</v>
      </c>
      <c r="D117" s="22" t="s">
        <v>85</v>
      </c>
      <c r="E117" s="66" t="s">
        <v>112</v>
      </c>
      <c r="F117" s="65" t="s">
        <v>113</v>
      </c>
      <c r="G117" s="26" t="s">
        <v>62</v>
      </c>
      <c r="H117" s="73" t="s">
        <v>189</v>
      </c>
      <c r="I117" s="26" t="s">
        <v>64</v>
      </c>
      <c r="J117" s="46" t="s">
        <v>242</v>
      </c>
      <c r="K117" s="47"/>
      <c r="L117" s="48"/>
      <c r="M117" s="49">
        <v>44127</v>
      </c>
      <c r="N117" s="47" t="s">
        <v>66</v>
      </c>
      <c r="O117" s="61">
        <v>600</v>
      </c>
      <c r="P117" s="51">
        <v>-1</v>
      </c>
      <c r="Q117" s="51">
        <f t="shared" si="3"/>
        <v>-600</v>
      </c>
      <c r="R117" s="31">
        <v>202310</v>
      </c>
      <c r="S117" s="33" t="s">
        <v>243</v>
      </c>
      <c r="T117" s="33"/>
      <c r="U117" s="32"/>
      <c r="V117" s="33"/>
      <c r="W117" s="67"/>
      <c r="X117" s="67"/>
      <c r="Y117" s="36"/>
      <c r="Z117" s="36"/>
      <c r="AA117" s="36"/>
      <c r="AB117" s="36"/>
      <c r="AC117" s="36"/>
      <c r="AD117" s="36"/>
      <c r="AE117" s="36"/>
      <c r="AF117" s="53" t="s">
        <v>68</v>
      </c>
      <c r="AG117" s="46"/>
      <c r="AH117" s="46"/>
      <c r="AI117" s="77"/>
      <c r="AJ117" s="77"/>
      <c r="AK117" s="77"/>
      <c r="AL117" s="77"/>
      <c r="AM117" s="77"/>
      <c r="AN117" s="42"/>
      <c r="AO117" s="42"/>
      <c r="AP117" s="42"/>
      <c r="AQ117" s="43" t="s">
        <v>194</v>
      </c>
      <c r="AR117" s="42"/>
      <c r="AS117" s="42"/>
    </row>
    <row r="118" spans="1:45" ht="15" customHeight="1">
      <c r="A118" s="65" t="s">
        <v>57</v>
      </c>
      <c r="B118" s="22" t="s">
        <v>83</v>
      </c>
      <c r="C118" s="21" t="s">
        <v>58</v>
      </c>
      <c r="D118" s="22" t="s">
        <v>85</v>
      </c>
      <c r="E118" s="66" t="s">
        <v>112</v>
      </c>
      <c r="F118" s="65" t="s">
        <v>113</v>
      </c>
      <c r="G118" s="26" t="s">
        <v>62</v>
      </c>
      <c r="H118" s="73" t="s">
        <v>189</v>
      </c>
      <c r="I118" s="26" t="s">
        <v>64</v>
      </c>
      <c r="J118" s="46" t="s">
        <v>244</v>
      </c>
      <c r="K118" s="47"/>
      <c r="L118" s="48"/>
      <c r="M118" s="49">
        <v>43952</v>
      </c>
      <c r="N118" s="47" t="s">
        <v>66</v>
      </c>
      <c r="O118" s="61">
        <v>600</v>
      </c>
      <c r="P118" s="51">
        <v>0</v>
      </c>
      <c r="Q118" s="51">
        <f t="shared" si="3"/>
        <v>0</v>
      </c>
      <c r="R118" s="31">
        <v>202310</v>
      </c>
      <c r="S118" s="32" t="s">
        <v>245</v>
      </c>
      <c r="T118" s="33"/>
      <c r="U118" s="32"/>
      <c r="V118" s="33"/>
      <c r="W118" s="67"/>
      <c r="X118" s="67"/>
      <c r="Y118" s="36"/>
      <c r="Z118" s="36"/>
      <c r="AA118" s="36"/>
      <c r="AB118" s="36"/>
      <c r="AC118" s="36"/>
      <c r="AD118" s="36"/>
      <c r="AE118" s="36"/>
      <c r="AF118" s="53" t="s">
        <v>68</v>
      </c>
      <c r="AG118" s="46"/>
      <c r="AH118" s="46"/>
      <c r="AI118" s="77"/>
      <c r="AJ118" s="77"/>
      <c r="AK118" s="77"/>
      <c r="AL118" s="77"/>
      <c r="AM118" s="77"/>
      <c r="AN118" s="42"/>
      <c r="AO118" s="42"/>
      <c r="AP118" s="42"/>
      <c r="AQ118" s="43" t="s">
        <v>194</v>
      </c>
      <c r="AR118" s="42"/>
      <c r="AS118" s="42"/>
    </row>
    <row r="119" spans="1:45" ht="15" customHeight="1">
      <c r="A119" s="65" t="s">
        <v>57</v>
      </c>
      <c r="B119" s="22" t="s">
        <v>83</v>
      </c>
      <c r="C119" s="21" t="s">
        <v>58</v>
      </c>
      <c r="D119" s="22" t="s">
        <v>85</v>
      </c>
      <c r="E119" s="66" t="s">
        <v>112</v>
      </c>
      <c r="F119" s="65" t="s">
        <v>113</v>
      </c>
      <c r="G119" s="26" t="s">
        <v>62</v>
      </c>
      <c r="H119" s="73" t="s">
        <v>189</v>
      </c>
      <c r="I119" s="26" t="s">
        <v>64</v>
      </c>
      <c r="J119" s="46" t="s">
        <v>246</v>
      </c>
      <c r="K119" s="47"/>
      <c r="L119" s="48"/>
      <c r="M119" s="49">
        <v>43952</v>
      </c>
      <c r="N119" s="47" t="s">
        <v>66</v>
      </c>
      <c r="O119" s="61">
        <v>600</v>
      </c>
      <c r="P119" s="51">
        <v>1</v>
      </c>
      <c r="Q119" s="51">
        <f t="shared" si="3"/>
        <v>600</v>
      </c>
      <c r="R119" s="31">
        <v>202310</v>
      </c>
      <c r="S119" s="32" t="s">
        <v>147</v>
      </c>
      <c r="T119" s="33"/>
      <c r="U119" s="32"/>
      <c r="V119" s="33"/>
      <c r="W119" s="67"/>
      <c r="X119" s="67"/>
      <c r="Y119" s="36"/>
      <c r="Z119" s="36"/>
      <c r="AA119" s="36"/>
      <c r="AB119" s="36"/>
      <c r="AC119" s="36"/>
      <c r="AD119" s="36"/>
      <c r="AE119" s="36"/>
      <c r="AF119" s="53" t="s">
        <v>68</v>
      </c>
      <c r="AG119" s="54"/>
      <c r="AH119" s="54"/>
      <c r="AI119" s="55"/>
      <c r="AJ119" s="55"/>
      <c r="AK119" s="55"/>
      <c r="AL119" s="55"/>
      <c r="AM119" s="55"/>
      <c r="AN119" s="42"/>
      <c r="AO119" s="42"/>
      <c r="AP119" s="42"/>
      <c r="AQ119" s="43" t="s">
        <v>194</v>
      </c>
      <c r="AR119" s="42"/>
      <c r="AS119" s="42"/>
    </row>
    <row r="120" spans="1:45" ht="15" customHeight="1">
      <c r="A120" s="65" t="s">
        <v>57</v>
      </c>
      <c r="B120" s="22" t="s">
        <v>83</v>
      </c>
      <c r="C120" s="21" t="s">
        <v>58</v>
      </c>
      <c r="D120" s="22" t="s">
        <v>85</v>
      </c>
      <c r="E120" s="66" t="s">
        <v>112</v>
      </c>
      <c r="F120" s="65" t="s">
        <v>113</v>
      </c>
      <c r="G120" s="26" t="s">
        <v>62</v>
      </c>
      <c r="H120" s="73" t="s">
        <v>189</v>
      </c>
      <c r="I120" s="26" t="s">
        <v>64</v>
      </c>
      <c r="J120" s="46" t="s">
        <v>236</v>
      </c>
      <c r="K120" s="47"/>
      <c r="L120" s="48"/>
      <c r="M120" s="49">
        <v>43958</v>
      </c>
      <c r="N120" s="47" t="s">
        <v>66</v>
      </c>
      <c r="O120" s="61">
        <v>600</v>
      </c>
      <c r="P120" s="51">
        <v>1</v>
      </c>
      <c r="Q120" s="51">
        <f t="shared" si="3"/>
        <v>600</v>
      </c>
      <c r="R120" s="31">
        <v>202310</v>
      </c>
      <c r="S120" s="32" t="s">
        <v>148</v>
      </c>
      <c r="T120" s="33"/>
      <c r="U120" s="32"/>
      <c r="V120" s="33"/>
      <c r="W120" s="67"/>
      <c r="X120" s="67"/>
      <c r="Y120" s="36"/>
      <c r="Z120" s="36"/>
      <c r="AA120" s="36"/>
      <c r="AB120" s="36"/>
      <c r="AC120" s="36"/>
      <c r="AD120" s="36"/>
      <c r="AE120" s="36"/>
      <c r="AF120" s="53" t="s">
        <v>68</v>
      </c>
      <c r="AG120" s="54"/>
      <c r="AH120" s="54"/>
      <c r="AI120" s="55"/>
      <c r="AJ120" s="55"/>
      <c r="AK120" s="55"/>
      <c r="AL120" s="55"/>
      <c r="AM120" s="55"/>
      <c r="AN120" s="42"/>
      <c r="AO120" s="42"/>
      <c r="AP120" s="42"/>
      <c r="AQ120" s="43" t="s">
        <v>194</v>
      </c>
      <c r="AR120" s="42"/>
      <c r="AS120" s="42"/>
    </row>
    <row r="121" spans="1:45" ht="15" customHeight="1">
      <c r="A121" s="65" t="s">
        <v>57</v>
      </c>
      <c r="B121" s="22" t="s">
        <v>83</v>
      </c>
      <c r="C121" s="21" t="s">
        <v>58</v>
      </c>
      <c r="D121" s="22" t="s">
        <v>85</v>
      </c>
      <c r="E121" s="66" t="s">
        <v>112</v>
      </c>
      <c r="F121" s="65" t="s">
        <v>113</v>
      </c>
      <c r="G121" s="26" t="s">
        <v>62</v>
      </c>
      <c r="H121" s="73" t="s">
        <v>189</v>
      </c>
      <c r="I121" s="26" t="s">
        <v>64</v>
      </c>
      <c r="J121" s="46" t="s">
        <v>236</v>
      </c>
      <c r="K121" s="47"/>
      <c r="L121" s="48"/>
      <c r="M121" s="49">
        <v>44644</v>
      </c>
      <c r="N121" s="47" t="s">
        <v>66</v>
      </c>
      <c r="O121" s="61">
        <v>600</v>
      </c>
      <c r="P121" s="51">
        <v>-1</v>
      </c>
      <c r="Q121" s="51">
        <f t="shared" si="3"/>
        <v>-600</v>
      </c>
      <c r="R121" s="31">
        <v>202310</v>
      </c>
      <c r="S121" s="33" t="s">
        <v>247</v>
      </c>
      <c r="T121" s="33"/>
      <c r="U121" s="32"/>
      <c r="V121" s="33"/>
      <c r="W121" s="67"/>
      <c r="X121" s="67"/>
      <c r="Y121" s="36"/>
      <c r="Z121" s="36"/>
      <c r="AA121" s="36"/>
      <c r="AB121" s="36"/>
      <c r="AC121" s="36"/>
      <c r="AD121" s="36"/>
      <c r="AE121" s="36"/>
      <c r="AF121" s="53" t="s">
        <v>68</v>
      </c>
      <c r="AG121" s="54"/>
      <c r="AH121" s="54"/>
      <c r="AI121" s="55"/>
      <c r="AJ121" s="55"/>
      <c r="AK121" s="55"/>
      <c r="AL121" s="55"/>
      <c r="AM121" s="55"/>
      <c r="AN121" s="42"/>
      <c r="AO121" s="42"/>
      <c r="AP121" s="42"/>
      <c r="AQ121" s="43" t="s">
        <v>194</v>
      </c>
      <c r="AR121" s="42"/>
      <c r="AS121" s="42"/>
    </row>
    <row r="122" spans="1:45" ht="15" customHeight="1">
      <c r="A122" s="65" t="s">
        <v>57</v>
      </c>
      <c r="B122" s="22" t="s">
        <v>83</v>
      </c>
      <c r="C122" s="21" t="s">
        <v>58</v>
      </c>
      <c r="D122" s="22" t="s">
        <v>85</v>
      </c>
      <c r="E122" s="66" t="s">
        <v>112</v>
      </c>
      <c r="F122" s="65" t="s">
        <v>113</v>
      </c>
      <c r="G122" s="26" t="s">
        <v>62</v>
      </c>
      <c r="H122" s="73" t="s">
        <v>189</v>
      </c>
      <c r="I122" s="26" t="s">
        <v>64</v>
      </c>
      <c r="J122" s="46" t="s">
        <v>242</v>
      </c>
      <c r="K122" s="47"/>
      <c r="L122" s="48"/>
      <c r="M122" s="49">
        <v>43952</v>
      </c>
      <c r="N122" s="47" t="s">
        <v>66</v>
      </c>
      <c r="O122" s="61">
        <v>600</v>
      </c>
      <c r="P122" s="51">
        <v>1</v>
      </c>
      <c r="Q122" s="51">
        <f t="shared" si="3"/>
        <v>600</v>
      </c>
      <c r="R122" s="31">
        <v>202310</v>
      </c>
      <c r="S122" s="32" t="s">
        <v>149</v>
      </c>
      <c r="T122" s="33"/>
      <c r="U122" s="32"/>
      <c r="V122" s="33"/>
      <c r="W122" s="67"/>
      <c r="X122" s="67"/>
      <c r="Y122" s="36"/>
      <c r="Z122" s="36"/>
      <c r="AA122" s="36"/>
      <c r="AB122" s="36"/>
      <c r="AC122" s="36"/>
      <c r="AD122" s="36"/>
      <c r="AE122" s="36"/>
      <c r="AF122" s="53" t="s">
        <v>68</v>
      </c>
      <c r="AG122" s="54"/>
      <c r="AH122" s="54"/>
      <c r="AI122" s="55"/>
      <c r="AJ122" s="55"/>
      <c r="AK122" s="55"/>
      <c r="AL122" s="55"/>
      <c r="AM122" s="55"/>
      <c r="AN122" s="42"/>
      <c r="AO122" s="42"/>
      <c r="AP122" s="42"/>
      <c r="AQ122" s="43" t="s">
        <v>194</v>
      </c>
      <c r="AR122" s="42"/>
      <c r="AS122" s="42"/>
    </row>
    <row r="123" spans="1:45" ht="15" customHeight="1">
      <c r="A123" s="65" t="s">
        <v>57</v>
      </c>
      <c r="B123" s="22" t="s">
        <v>83</v>
      </c>
      <c r="C123" s="21" t="s">
        <v>58</v>
      </c>
      <c r="D123" s="22" t="s">
        <v>85</v>
      </c>
      <c r="E123" s="66" t="s">
        <v>112</v>
      </c>
      <c r="F123" s="65" t="s">
        <v>113</v>
      </c>
      <c r="G123" s="26" t="s">
        <v>62</v>
      </c>
      <c r="H123" s="73" t="s">
        <v>189</v>
      </c>
      <c r="I123" s="26" t="s">
        <v>64</v>
      </c>
      <c r="J123" s="46" t="s">
        <v>248</v>
      </c>
      <c r="K123" s="47"/>
      <c r="L123" s="48"/>
      <c r="M123" s="49">
        <v>43952</v>
      </c>
      <c r="N123" s="47" t="s">
        <v>66</v>
      </c>
      <c r="O123" s="61">
        <v>600</v>
      </c>
      <c r="P123" s="51">
        <v>0</v>
      </c>
      <c r="Q123" s="51">
        <f t="shared" si="3"/>
        <v>0</v>
      </c>
      <c r="R123" s="31">
        <v>202310</v>
      </c>
      <c r="S123" s="32" t="s">
        <v>249</v>
      </c>
      <c r="T123" s="33"/>
      <c r="U123" s="32"/>
      <c r="V123" s="33"/>
      <c r="W123" s="67"/>
      <c r="X123" s="67"/>
      <c r="Y123" s="36"/>
      <c r="Z123" s="36"/>
      <c r="AA123" s="36"/>
      <c r="AB123" s="36"/>
      <c r="AC123" s="36"/>
      <c r="AD123" s="36"/>
      <c r="AE123" s="36"/>
      <c r="AF123" s="53" t="s">
        <v>68</v>
      </c>
      <c r="AG123" s="54"/>
      <c r="AH123" s="54"/>
      <c r="AI123" s="55"/>
      <c r="AJ123" s="55"/>
      <c r="AK123" s="55"/>
      <c r="AL123" s="55"/>
      <c r="AM123" s="55"/>
      <c r="AN123" s="42"/>
      <c r="AO123" s="42"/>
      <c r="AP123" s="42"/>
      <c r="AQ123" s="43" t="s">
        <v>194</v>
      </c>
      <c r="AR123" s="42"/>
      <c r="AS123" s="42"/>
    </row>
    <row r="124" spans="1:45" ht="15" customHeight="1">
      <c r="A124" s="65" t="s">
        <v>57</v>
      </c>
      <c r="B124" s="22" t="s">
        <v>83</v>
      </c>
      <c r="C124" s="21" t="s">
        <v>58</v>
      </c>
      <c r="D124" s="22" t="s">
        <v>85</v>
      </c>
      <c r="E124" s="66" t="s">
        <v>112</v>
      </c>
      <c r="F124" s="65" t="s">
        <v>113</v>
      </c>
      <c r="G124" s="26" t="s">
        <v>62</v>
      </c>
      <c r="H124" s="73" t="s">
        <v>189</v>
      </c>
      <c r="I124" s="26" t="s">
        <v>64</v>
      </c>
      <c r="J124" s="46" t="s">
        <v>230</v>
      </c>
      <c r="K124" s="47"/>
      <c r="L124" s="48"/>
      <c r="M124" s="49">
        <v>43958</v>
      </c>
      <c r="N124" s="47" t="s">
        <v>66</v>
      </c>
      <c r="O124" s="61">
        <v>600</v>
      </c>
      <c r="P124" s="51">
        <v>1</v>
      </c>
      <c r="Q124" s="51">
        <f t="shared" si="3"/>
        <v>600</v>
      </c>
      <c r="R124" s="31">
        <v>202310</v>
      </c>
      <c r="S124" s="32" t="s">
        <v>150</v>
      </c>
      <c r="T124" s="33"/>
      <c r="U124" s="32"/>
      <c r="V124" s="33"/>
      <c r="W124" s="67"/>
      <c r="X124" s="67"/>
      <c r="Y124" s="36"/>
      <c r="Z124" s="36"/>
      <c r="AA124" s="36"/>
      <c r="AB124" s="36"/>
      <c r="AC124" s="36"/>
      <c r="AD124" s="36"/>
      <c r="AE124" s="36"/>
      <c r="AF124" s="53" t="s">
        <v>68</v>
      </c>
      <c r="AG124" s="54"/>
      <c r="AH124" s="54"/>
      <c r="AI124" s="55"/>
      <c r="AJ124" s="55"/>
      <c r="AK124" s="55"/>
      <c r="AL124" s="55"/>
      <c r="AM124" s="55"/>
      <c r="AN124" s="42"/>
      <c r="AO124" s="42"/>
      <c r="AP124" s="42"/>
      <c r="AQ124" s="43" t="s">
        <v>194</v>
      </c>
      <c r="AR124" s="42"/>
      <c r="AS124" s="42"/>
    </row>
    <row r="125" spans="1:45" ht="15" customHeight="1">
      <c r="A125" s="65" t="s">
        <v>57</v>
      </c>
      <c r="B125" s="22" t="s">
        <v>83</v>
      </c>
      <c r="C125" s="21" t="s">
        <v>58</v>
      </c>
      <c r="D125" s="22" t="s">
        <v>85</v>
      </c>
      <c r="E125" s="66" t="s">
        <v>112</v>
      </c>
      <c r="F125" s="65" t="s">
        <v>113</v>
      </c>
      <c r="G125" s="26" t="s">
        <v>62</v>
      </c>
      <c r="H125" s="73" t="s">
        <v>189</v>
      </c>
      <c r="I125" s="26" t="s">
        <v>64</v>
      </c>
      <c r="J125" s="46" t="s">
        <v>230</v>
      </c>
      <c r="K125" s="47"/>
      <c r="L125" s="48"/>
      <c r="M125" s="49">
        <v>44127</v>
      </c>
      <c r="N125" s="47" t="s">
        <v>66</v>
      </c>
      <c r="O125" s="61">
        <v>600</v>
      </c>
      <c r="P125" s="51">
        <v>-1</v>
      </c>
      <c r="Q125" s="51">
        <f t="shared" si="3"/>
        <v>-600</v>
      </c>
      <c r="R125" s="31">
        <v>202310</v>
      </c>
      <c r="S125" s="33" t="s">
        <v>250</v>
      </c>
      <c r="T125" s="33"/>
      <c r="U125" s="32"/>
      <c r="V125" s="33"/>
      <c r="W125" s="67"/>
      <c r="X125" s="67"/>
      <c r="Y125" s="36"/>
      <c r="Z125" s="36"/>
      <c r="AA125" s="36"/>
      <c r="AB125" s="36"/>
      <c r="AC125" s="36"/>
      <c r="AD125" s="36"/>
      <c r="AE125" s="36"/>
      <c r="AF125" s="53" t="s">
        <v>68</v>
      </c>
      <c r="AG125" s="54"/>
      <c r="AH125" s="54"/>
      <c r="AI125" s="55"/>
      <c r="AJ125" s="55"/>
      <c r="AK125" s="55"/>
      <c r="AL125" s="55"/>
      <c r="AM125" s="55"/>
      <c r="AN125" s="42"/>
      <c r="AO125" s="42"/>
      <c r="AP125" s="42"/>
      <c r="AQ125" s="43" t="s">
        <v>194</v>
      </c>
      <c r="AR125" s="42"/>
      <c r="AS125" s="42"/>
    </row>
    <row r="126" spans="1:45" ht="15" customHeight="1">
      <c r="A126" s="65" t="s">
        <v>57</v>
      </c>
      <c r="B126" s="22" t="s">
        <v>83</v>
      </c>
      <c r="C126" s="21" t="s">
        <v>58</v>
      </c>
      <c r="D126" s="22" t="s">
        <v>85</v>
      </c>
      <c r="E126" s="66" t="s">
        <v>112</v>
      </c>
      <c r="F126" s="65" t="s">
        <v>113</v>
      </c>
      <c r="G126" s="26" t="s">
        <v>62</v>
      </c>
      <c r="H126" s="73" t="s">
        <v>189</v>
      </c>
      <c r="I126" s="26" t="s">
        <v>64</v>
      </c>
      <c r="J126" s="46" t="s">
        <v>242</v>
      </c>
      <c r="K126" s="47"/>
      <c r="L126" s="48"/>
      <c r="M126" s="49">
        <v>43952</v>
      </c>
      <c r="N126" s="47" t="s">
        <v>66</v>
      </c>
      <c r="O126" s="61">
        <v>600</v>
      </c>
      <c r="P126" s="51">
        <v>1</v>
      </c>
      <c r="Q126" s="51">
        <f t="shared" si="3"/>
        <v>600</v>
      </c>
      <c r="R126" s="31">
        <v>202310</v>
      </c>
      <c r="S126" s="32" t="s">
        <v>151</v>
      </c>
      <c r="T126" s="33"/>
      <c r="U126" s="32"/>
      <c r="V126" s="33"/>
      <c r="W126" s="67"/>
      <c r="X126" s="67"/>
      <c r="Y126" s="36"/>
      <c r="Z126" s="36"/>
      <c r="AA126" s="36"/>
      <c r="AB126" s="36"/>
      <c r="AC126" s="36"/>
      <c r="AD126" s="36"/>
      <c r="AE126" s="36"/>
      <c r="AF126" s="53" t="s">
        <v>68</v>
      </c>
      <c r="AG126" s="42"/>
      <c r="AH126" s="42"/>
      <c r="AI126" s="43"/>
      <c r="AJ126" s="43"/>
      <c r="AK126" s="43"/>
      <c r="AL126" s="43"/>
      <c r="AM126" s="43"/>
      <c r="AN126" s="42"/>
      <c r="AO126" s="42"/>
      <c r="AP126" s="42"/>
      <c r="AQ126" s="43" t="s">
        <v>194</v>
      </c>
      <c r="AR126" s="42"/>
      <c r="AS126" s="42"/>
    </row>
    <row r="127" spans="1:45" ht="15" customHeight="1">
      <c r="A127" s="65" t="s">
        <v>57</v>
      </c>
      <c r="B127" s="22" t="s">
        <v>83</v>
      </c>
      <c r="C127" s="21" t="s">
        <v>58</v>
      </c>
      <c r="D127" s="22" t="s">
        <v>85</v>
      </c>
      <c r="E127" s="66" t="s">
        <v>112</v>
      </c>
      <c r="F127" s="65" t="s">
        <v>113</v>
      </c>
      <c r="G127" s="26" t="s">
        <v>62</v>
      </c>
      <c r="H127" s="73" t="s">
        <v>189</v>
      </c>
      <c r="I127" s="26" t="s">
        <v>64</v>
      </c>
      <c r="J127" s="46" t="s">
        <v>236</v>
      </c>
      <c r="K127" s="47"/>
      <c r="L127" s="48"/>
      <c r="M127" s="49">
        <v>43958</v>
      </c>
      <c r="N127" s="47" t="s">
        <v>66</v>
      </c>
      <c r="O127" s="61">
        <v>600</v>
      </c>
      <c r="P127" s="51">
        <v>1</v>
      </c>
      <c r="Q127" s="51">
        <f t="shared" si="3"/>
        <v>600</v>
      </c>
      <c r="R127" s="31">
        <v>202310</v>
      </c>
      <c r="S127" s="32" t="s">
        <v>153</v>
      </c>
      <c r="T127" s="33"/>
      <c r="U127" s="32"/>
      <c r="V127" s="33"/>
      <c r="W127" s="67"/>
      <c r="X127" s="67"/>
      <c r="Y127" s="36"/>
      <c r="Z127" s="36"/>
      <c r="AA127" s="36"/>
      <c r="AB127" s="36"/>
      <c r="AC127" s="36"/>
      <c r="AD127" s="36"/>
      <c r="AE127" s="36"/>
      <c r="AF127" s="53" t="s">
        <v>68</v>
      </c>
      <c r="AG127" s="42"/>
      <c r="AH127" s="42"/>
      <c r="AI127" s="43"/>
      <c r="AJ127" s="43"/>
      <c r="AK127" s="43"/>
      <c r="AL127" s="43"/>
      <c r="AM127" s="43"/>
      <c r="AN127" s="42"/>
      <c r="AO127" s="42"/>
      <c r="AP127" s="42"/>
      <c r="AQ127" s="43" t="s">
        <v>194</v>
      </c>
      <c r="AR127" s="42"/>
      <c r="AS127" s="42"/>
    </row>
    <row r="128" spans="1:45" ht="15" customHeight="1">
      <c r="A128" s="65" t="s">
        <v>57</v>
      </c>
      <c r="B128" s="22" t="s">
        <v>83</v>
      </c>
      <c r="C128" s="21" t="s">
        <v>58</v>
      </c>
      <c r="D128" s="22" t="s">
        <v>85</v>
      </c>
      <c r="E128" s="66" t="s">
        <v>112</v>
      </c>
      <c r="F128" s="65" t="s">
        <v>113</v>
      </c>
      <c r="G128" s="26" t="s">
        <v>62</v>
      </c>
      <c r="H128" s="73" t="s">
        <v>189</v>
      </c>
      <c r="I128" s="26" t="s">
        <v>64</v>
      </c>
      <c r="J128" s="46" t="s">
        <v>234</v>
      </c>
      <c r="K128" s="47"/>
      <c r="L128" s="48"/>
      <c r="M128" s="49">
        <v>43958</v>
      </c>
      <c r="N128" s="47" t="s">
        <v>66</v>
      </c>
      <c r="O128" s="61">
        <v>600</v>
      </c>
      <c r="P128" s="51">
        <v>1</v>
      </c>
      <c r="Q128" s="51">
        <f t="shared" si="3"/>
        <v>600</v>
      </c>
      <c r="R128" s="31">
        <v>202310</v>
      </c>
      <c r="S128" s="32" t="s">
        <v>155</v>
      </c>
      <c r="T128" s="33"/>
      <c r="U128" s="32"/>
      <c r="V128" s="33"/>
      <c r="W128" s="67"/>
      <c r="X128" s="67"/>
      <c r="Y128" s="36"/>
      <c r="Z128" s="36"/>
      <c r="AA128" s="36"/>
      <c r="AB128" s="36"/>
      <c r="AC128" s="36"/>
      <c r="AD128" s="36"/>
      <c r="AE128" s="36"/>
      <c r="AF128" s="53" t="s">
        <v>68</v>
      </c>
      <c r="AG128" s="42"/>
      <c r="AH128" s="42"/>
      <c r="AI128" s="43"/>
      <c r="AJ128" s="43"/>
      <c r="AK128" s="43"/>
      <c r="AL128" s="43"/>
      <c r="AM128" s="43"/>
      <c r="AN128" s="42"/>
      <c r="AO128" s="42"/>
      <c r="AP128" s="42"/>
      <c r="AQ128" s="43" t="s">
        <v>194</v>
      </c>
      <c r="AR128" s="42"/>
      <c r="AS128" s="42"/>
    </row>
    <row r="129" spans="1:45" ht="15" customHeight="1">
      <c r="A129" s="65" t="s">
        <v>57</v>
      </c>
      <c r="B129" s="22" t="s">
        <v>83</v>
      </c>
      <c r="C129" s="21" t="s">
        <v>58</v>
      </c>
      <c r="D129" s="22" t="s">
        <v>85</v>
      </c>
      <c r="E129" s="66" t="s">
        <v>112</v>
      </c>
      <c r="F129" s="65" t="s">
        <v>113</v>
      </c>
      <c r="G129" s="26" t="s">
        <v>62</v>
      </c>
      <c r="H129" s="73" t="s">
        <v>189</v>
      </c>
      <c r="I129" s="26" t="s">
        <v>64</v>
      </c>
      <c r="J129" s="46" t="s">
        <v>236</v>
      </c>
      <c r="K129" s="47"/>
      <c r="L129" s="48"/>
      <c r="M129" s="49">
        <v>43958</v>
      </c>
      <c r="N129" s="47" t="s">
        <v>66</v>
      </c>
      <c r="O129" s="61">
        <v>600</v>
      </c>
      <c r="P129" s="51">
        <v>1</v>
      </c>
      <c r="Q129" s="51">
        <f t="shared" si="3"/>
        <v>600</v>
      </c>
      <c r="R129" s="31">
        <v>202310</v>
      </c>
      <c r="S129" s="32" t="s">
        <v>156</v>
      </c>
      <c r="T129" s="33"/>
      <c r="U129" s="32"/>
      <c r="V129" s="33"/>
      <c r="W129" s="67"/>
      <c r="X129" s="67"/>
      <c r="Y129" s="36"/>
      <c r="Z129" s="36"/>
      <c r="AA129" s="36"/>
      <c r="AB129" s="36"/>
      <c r="AC129" s="36"/>
      <c r="AD129" s="36"/>
      <c r="AE129" s="36"/>
      <c r="AF129" s="53" t="s">
        <v>68</v>
      </c>
      <c r="AG129" s="42"/>
      <c r="AH129" s="42"/>
      <c r="AI129" s="43"/>
      <c r="AJ129" s="43"/>
      <c r="AK129" s="43"/>
      <c r="AL129" s="43"/>
      <c r="AM129" s="43"/>
      <c r="AN129" s="42"/>
      <c r="AO129" s="42"/>
      <c r="AP129" s="42"/>
      <c r="AQ129" s="43" t="s">
        <v>194</v>
      </c>
      <c r="AR129" s="42"/>
      <c r="AS129" s="42"/>
    </row>
    <row r="130" spans="1:45" ht="15" customHeight="1">
      <c r="A130" s="65" t="s">
        <v>57</v>
      </c>
      <c r="B130" s="22" t="s">
        <v>83</v>
      </c>
      <c r="C130" s="21" t="s">
        <v>58</v>
      </c>
      <c r="D130" s="22" t="s">
        <v>85</v>
      </c>
      <c r="E130" s="66" t="s">
        <v>112</v>
      </c>
      <c r="F130" s="65" t="s">
        <v>113</v>
      </c>
      <c r="G130" s="26" t="s">
        <v>62</v>
      </c>
      <c r="H130" s="73" t="s">
        <v>189</v>
      </c>
      <c r="I130" s="26" t="s">
        <v>64</v>
      </c>
      <c r="J130" s="46" t="s">
        <v>251</v>
      </c>
      <c r="K130" s="47"/>
      <c r="L130" s="48"/>
      <c r="M130" s="49">
        <v>43958</v>
      </c>
      <c r="N130" s="47" t="s">
        <v>66</v>
      </c>
      <c r="O130" s="61">
        <v>600</v>
      </c>
      <c r="P130" s="51">
        <v>1</v>
      </c>
      <c r="Q130" s="51">
        <f t="shared" si="3"/>
        <v>600</v>
      </c>
      <c r="R130" s="31">
        <v>202310</v>
      </c>
      <c r="S130" s="32" t="s">
        <v>159</v>
      </c>
      <c r="T130" s="33"/>
      <c r="U130" s="32"/>
      <c r="V130" s="33"/>
      <c r="W130" s="67"/>
      <c r="X130" s="67"/>
      <c r="Y130" s="36"/>
      <c r="Z130" s="36"/>
      <c r="AA130" s="36"/>
      <c r="AB130" s="36"/>
      <c r="AC130" s="36"/>
      <c r="AD130" s="36"/>
      <c r="AE130" s="36"/>
      <c r="AF130" s="53" t="s">
        <v>68</v>
      </c>
      <c r="AG130" s="42"/>
      <c r="AH130" s="42"/>
      <c r="AI130" s="43"/>
      <c r="AJ130" s="43"/>
      <c r="AK130" s="43"/>
      <c r="AL130" s="43"/>
      <c r="AM130" s="43"/>
      <c r="AN130" s="42"/>
      <c r="AO130" s="42"/>
      <c r="AP130" s="42"/>
      <c r="AQ130" s="43" t="s">
        <v>194</v>
      </c>
      <c r="AR130" s="42"/>
      <c r="AS130" s="42"/>
    </row>
    <row r="131" spans="1:45" ht="15" customHeight="1">
      <c r="A131" s="65" t="s">
        <v>57</v>
      </c>
      <c r="B131" s="22" t="s">
        <v>83</v>
      </c>
      <c r="C131" s="21" t="s">
        <v>58</v>
      </c>
      <c r="D131" s="22" t="s">
        <v>85</v>
      </c>
      <c r="E131" s="66" t="s">
        <v>112</v>
      </c>
      <c r="F131" s="65" t="s">
        <v>113</v>
      </c>
      <c r="G131" s="26" t="s">
        <v>62</v>
      </c>
      <c r="H131" s="73" t="s">
        <v>189</v>
      </c>
      <c r="I131" s="26" t="s">
        <v>64</v>
      </c>
      <c r="J131" s="46" t="s">
        <v>230</v>
      </c>
      <c r="K131" s="47"/>
      <c r="L131" s="48"/>
      <c r="M131" s="49">
        <v>43958</v>
      </c>
      <c r="N131" s="47" t="s">
        <v>66</v>
      </c>
      <c r="O131" s="61">
        <v>600</v>
      </c>
      <c r="P131" s="51">
        <v>1</v>
      </c>
      <c r="Q131" s="51">
        <f t="shared" si="3"/>
        <v>600</v>
      </c>
      <c r="R131" s="31">
        <v>202310</v>
      </c>
      <c r="S131" s="32" t="s">
        <v>160</v>
      </c>
      <c r="T131" s="33"/>
      <c r="U131" s="32"/>
      <c r="V131" s="33"/>
      <c r="W131" s="67"/>
      <c r="X131" s="67"/>
      <c r="Y131" s="36"/>
      <c r="Z131" s="36"/>
      <c r="AA131" s="36"/>
      <c r="AB131" s="36"/>
      <c r="AC131" s="36"/>
      <c r="AD131" s="36"/>
      <c r="AE131" s="36"/>
      <c r="AF131" s="53" t="s">
        <v>68</v>
      </c>
      <c r="AG131" s="42"/>
      <c r="AH131" s="42"/>
      <c r="AI131" s="43"/>
      <c r="AJ131" s="43"/>
      <c r="AK131" s="43"/>
      <c r="AL131" s="43"/>
      <c r="AM131" s="43"/>
      <c r="AN131" s="42"/>
      <c r="AO131" s="42"/>
      <c r="AP131" s="42"/>
      <c r="AQ131" s="43" t="s">
        <v>194</v>
      </c>
      <c r="AR131" s="42"/>
      <c r="AS131" s="42"/>
    </row>
    <row r="132" spans="1:45" ht="15" customHeight="1">
      <c r="A132" s="65" t="s">
        <v>57</v>
      </c>
      <c r="B132" s="22" t="s">
        <v>83</v>
      </c>
      <c r="C132" s="21" t="s">
        <v>58</v>
      </c>
      <c r="D132" s="22" t="s">
        <v>85</v>
      </c>
      <c r="E132" s="66" t="s">
        <v>112</v>
      </c>
      <c r="F132" s="65" t="s">
        <v>113</v>
      </c>
      <c r="G132" s="26" t="s">
        <v>62</v>
      </c>
      <c r="H132" s="73" t="s">
        <v>189</v>
      </c>
      <c r="I132" s="26" t="s">
        <v>64</v>
      </c>
      <c r="J132" s="46" t="s">
        <v>251</v>
      </c>
      <c r="K132" s="47"/>
      <c r="L132" s="48"/>
      <c r="M132" s="49">
        <v>43958</v>
      </c>
      <c r="N132" s="47" t="s">
        <v>66</v>
      </c>
      <c r="O132" s="61">
        <v>600</v>
      </c>
      <c r="P132" s="51">
        <v>1</v>
      </c>
      <c r="Q132" s="51">
        <f t="shared" ref="Q132:Q161" si="4">ROUND(O132*P132,2)</f>
        <v>600</v>
      </c>
      <c r="R132" s="31">
        <v>202310</v>
      </c>
      <c r="S132" s="32" t="s">
        <v>161</v>
      </c>
      <c r="T132" s="33"/>
      <c r="U132" s="32"/>
      <c r="V132" s="33"/>
      <c r="W132" s="67"/>
      <c r="X132" s="67"/>
      <c r="Y132" s="36"/>
      <c r="Z132" s="36"/>
      <c r="AA132" s="36"/>
      <c r="AB132" s="36"/>
      <c r="AC132" s="36"/>
      <c r="AD132" s="36"/>
      <c r="AE132" s="36"/>
      <c r="AF132" s="53" t="s">
        <v>68</v>
      </c>
      <c r="AG132" s="42"/>
      <c r="AH132" s="42"/>
      <c r="AI132" s="43"/>
      <c r="AJ132" s="43"/>
      <c r="AK132" s="43"/>
      <c r="AL132" s="43"/>
      <c r="AM132" s="43"/>
      <c r="AN132" s="42"/>
      <c r="AO132" s="42"/>
      <c r="AP132" s="42"/>
      <c r="AQ132" s="43" t="s">
        <v>194</v>
      </c>
      <c r="AR132" s="42"/>
      <c r="AS132" s="42"/>
    </row>
    <row r="133" spans="1:45" ht="15" customHeight="1">
      <c r="A133" s="65" t="s">
        <v>57</v>
      </c>
      <c r="B133" s="22" t="s">
        <v>83</v>
      </c>
      <c r="C133" s="21" t="s">
        <v>58</v>
      </c>
      <c r="D133" s="22" t="s">
        <v>85</v>
      </c>
      <c r="E133" s="66" t="s">
        <v>112</v>
      </c>
      <c r="F133" s="65" t="s">
        <v>113</v>
      </c>
      <c r="G133" s="26" t="s">
        <v>62</v>
      </c>
      <c r="H133" s="73" t="s">
        <v>189</v>
      </c>
      <c r="I133" s="26" t="s">
        <v>64</v>
      </c>
      <c r="J133" s="46" t="s">
        <v>252</v>
      </c>
      <c r="K133" s="47"/>
      <c r="L133" s="48"/>
      <c r="M133" s="49">
        <v>43952</v>
      </c>
      <c r="N133" s="47" t="s">
        <v>66</v>
      </c>
      <c r="O133" s="61">
        <v>600</v>
      </c>
      <c r="P133" s="51">
        <v>1</v>
      </c>
      <c r="Q133" s="51">
        <f t="shared" si="4"/>
        <v>600</v>
      </c>
      <c r="R133" s="31">
        <v>202310</v>
      </c>
      <c r="S133" s="64" t="s">
        <v>253</v>
      </c>
      <c r="T133" s="33"/>
      <c r="U133" s="32"/>
      <c r="V133" s="33"/>
      <c r="W133" s="67"/>
      <c r="X133" s="67"/>
      <c r="Y133" s="36"/>
      <c r="Z133" s="36"/>
      <c r="AA133" s="36"/>
      <c r="AB133" s="36"/>
      <c r="AC133" s="36"/>
      <c r="AD133" s="36"/>
      <c r="AE133" s="36"/>
      <c r="AF133" s="53" t="s">
        <v>68</v>
      </c>
      <c r="AG133" s="42"/>
      <c r="AH133" s="42"/>
      <c r="AI133" s="43"/>
      <c r="AJ133" s="43"/>
      <c r="AK133" s="43"/>
      <c r="AL133" s="43"/>
      <c r="AM133" s="43"/>
      <c r="AN133" s="42"/>
      <c r="AO133" s="42"/>
      <c r="AP133" s="42"/>
      <c r="AQ133" s="43" t="s">
        <v>194</v>
      </c>
      <c r="AR133" s="42"/>
      <c r="AS133" s="42"/>
    </row>
    <row r="134" spans="1:45" ht="15" customHeight="1">
      <c r="A134" s="65" t="s">
        <v>57</v>
      </c>
      <c r="B134" s="22" t="s">
        <v>83</v>
      </c>
      <c r="C134" s="21" t="s">
        <v>58</v>
      </c>
      <c r="D134" s="22" t="s">
        <v>85</v>
      </c>
      <c r="E134" s="66" t="s">
        <v>112</v>
      </c>
      <c r="F134" s="65" t="s">
        <v>113</v>
      </c>
      <c r="G134" s="26" t="s">
        <v>62</v>
      </c>
      <c r="H134" s="73" t="s">
        <v>189</v>
      </c>
      <c r="I134" s="26" t="s">
        <v>64</v>
      </c>
      <c r="J134" s="46" t="s">
        <v>252</v>
      </c>
      <c r="K134" s="47"/>
      <c r="L134" s="48"/>
      <c r="M134" s="49">
        <v>44868</v>
      </c>
      <c r="N134" s="47" t="s">
        <v>66</v>
      </c>
      <c r="O134" s="61">
        <v>600</v>
      </c>
      <c r="P134" s="51">
        <v>-1</v>
      </c>
      <c r="Q134" s="51">
        <f t="shared" si="4"/>
        <v>-600</v>
      </c>
      <c r="R134" s="31">
        <v>202310</v>
      </c>
      <c r="S134" s="64" t="s">
        <v>254</v>
      </c>
      <c r="T134" s="33"/>
      <c r="U134" s="32"/>
      <c r="V134" s="33"/>
      <c r="W134" s="67"/>
      <c r="X134" s="67"/>
      <c r="Y134" s="36"/>
      <c r="Z134" s="36"/>
      <c r="AA134" s="36"/>
      <c r="AB134" s="36"/>
      <c r="AC134" s="36"/>
      <c r="AD134" s="36"/>
      <c r="AE134" s="36"/>
      <c r="AF134" s="53" t="s">
        <v>68</v>
      </c>
      <c r="AG134" s="42"/>
      <c r="AH134" s="42"/>
      <c r="AI134" s="43"/>
      <c r="AJ134" s="43"/>
      <c r="AK134" s="43"/>
      <c r="AL134" s="43"/>
      <c r="AM134" s="43"/>
      <c r="AN134" s="42"/>
      <c r="AO134" s="42"/>
      <c r="AP134" s="42"/>
      <c r="AQ134" s="43" t="s">
        <v>194</v>
      </c>
      <c r="AR134" s="42"/>
      <c r="AS134" s="42"/>
    </row>
    <row r="135" spans="1:45" ht="15" customHeight="1">
      <c r="A135" s="65" t="s">
        <v>57</v>
      </c>
      <c r="B135" s="22" t="s">
        <v>83</v>
      </c>
      <c r="C135" s="21" t="s">
        <v>58</v>
      </c>
      <c r="D135" s="22" t="s">
        <v>85</v>
      </c>
      <c r="E135" s="66" t="s">
        <v>112</v>
      </c>
      <c r="F135" s="65" t="s">
        <v>113</v>
      </c>
      <c r="G135" s="26" t="s">
        <v>62</v>
      </c>
      <c r="H135" s="73" t="s">
        <v>189</v>
      </c>
      <c r="I135" s="26" t="s">
        <v>64</v>
      </c>
      <c r="J135" s="46" t="s">
        <v>242</v>
      </c>
      <c r="K135" s="47"/>
      <c r="L135" s="48"/>
      <c r="M135" s="49">
        <v>43952</v>
      </c>
      <c r="N135" s="47" t="s">
        <v>66</v>
      </c>
      <c r="O135" s="61">
        <v>600</v>
      </c>
      <c r="P135" s="51">
        <v>1</v>
      </c>
      <c r="Q135" s="51">
        <f t="shared" si="4"/>
        <v>600</v>
      </c>
      <c r="R135" s="31">
        <v>202310</v>
      </c>
      <c r="S135" s="64" t="s">
        <v>255</v>
      </c>
      <c r="T135" s="33"/>
      <c r="U135" s="32"/>
      <c r="V135" s="33"/>
      <c r="W135" s="67"/>
      <c r="X135" s="67"/>
      <c r="Y135" s="36"/>
      <c r="Z135" s="36"/>
      <c r="AA135" s="36"/>
      <c r="AB135" s="36"/>
      <c r="AC135" s="36"/>
      <c r="AD135" s="36"/>
      <c r="AE135" s="36"/>
      <c r="AF135" s="53" t="s">
        <v>68</v>
      </c>
      <c r="AG135" s="42"/>
      <c r="AH135" s="42"/>
      <c r="AI135" s="43"/>
      <c r="AJ135" s="43"/>
      <c r="AK135" s="43"/>
      <c r="AL135" s="43"/>
      <c r="AM135" s="43"/>
      <c r="AN135" s="42"/>
      <c r="AO135" s="42"/>
      <c r="AP135" s="42"/>
      <c r="AQ135" s="43" t="s">
        <v>194</v>
      </c>
      <c r="AR135" s="42"/>
      <c r="AS135" s="42"/>
    </row>
    <row r="136" spans="1:45" ht="15" customHeight="1">
      <c r="A136" s="65" t="s">
        <v>57</v>
      </c>
      <c r="B136" s="22" t="s">
        <v>83</v>
      </c>
      <c r="C136" s="21" t="s">
        <v>58</v>
      </c>
      <c r="D136" s="22" t="s">
        <v>85</v>
      </c>
      <c r="E136" s="66" t="s">
        <v>112</v>
      </c>
      <c r="F136" s="65" t="s">
        <v>113</v>
      </c>
      <c r="G136" s="26" t="s">
        <v>62</v>
      </c>
      <c r="H136" s="73" t="s">
        <v>189</v>
      </c>
      <c r="I136" s="26" t="s">
        <v>64</v>
      </c>
      <c r="J136" s="46" t="s">
        <v>242</v>
      </c>
      <c r="K136" s="47"/>
      <c r="L136" s="48"/>
      <c r="M136" s="49">
        <v>44798</v>
      </c>
      <c r="N136" s="47" t="s">
        <v>66</v>
      </c>
      <c r="O136" s="61">
        <v>600</v>
      </c>
      <c r="P136" s="51">
        <v>-1</v>
      </c>
      <c r="Q136" s="51">
        <f t="shared" si="4"/>
        <v>-600</v>
      </c>
      <c r="R136" s="31">
        <v>202310</v>
      </c>
      <c r="S136" s="78" t="s">
        <v>256</v>
      </c>
      <c r="T136" s="33"/>
      <c r="U136" s="32"/>
      <c r="V136" s="33"/>
      <c r="W136" s="67"/>
      <c r="X136" s="67"/>
      <c r="Y136" s="36"/>
      <c r="Z136" s="36"/>
      <c r="AA136" s="36"/>
      <c r="AB136" s="36"/>
      <c r="AC136" s="36"/>
      <c r="AD136" s="36"/>
      <c r="AE136" s="36"/>
      <c r="AF136" s="53" t="s">
        <v>68</v>
      </c>
      <c r="AG136" s="42"/>
      <c r="AH136" s="42"/>
      <c r="AI136" s="43"/>
      <c r="AJ136" s="43"/>
      <c r="AK136" s="43"/>
      <c r="AL136" s="43"/>
      <c r="AM136" s="43"/>
      <c r="AN136" s="42"/>
      <c r="AO136" s="42"/>
      <c r="AP136" s="42"/>
      <c r="AQ136" s="43" t="s">
        <v>194</v>
      </c>
      <c r="AR136" s="42"/>
      <c r="AS136" s="42"/>
    </row>
    <row r="137" spans="1:45" ht="15" customHeight="1">
      <c r="A137" s="65" t="s">
        <v>57</v>
      </c>
      <c r="B137" s="22" t="s">
        <v>83</v>
      </c>
      <c r="C137" s="21" t="s">
        <v>58</v>
      </c>
      <c r="D137" s="22" t="s">
        <v>85</v>
      </c>
      <c r="E137" s="66" t="s">
        <v>112</v>
      </c>
      <c r="F137" s="65" t="s">
        <v>113</v>
      </c>
      <c r="G137" s="26" t="s">
        <v>62</v>
      </c>
      <c r="H137" s="73" t="s">
        <v>189</v>
      </c>
      <c r="I137" s="26" t="s">
        <v>64</v>
      </c>
      <c r="J137" s="46" t="s">
        <v>45</v>
      </c>
      <c r="K137" s="47"/>
      <c r="L137" s="48"/>
      <c r="M137" s="49">
        <v>44015</v>
      </c>
      <c r="N137" s="47" t="s">
        <v>66</v>
      </c>
      <c r="O137" s="61">
        <v>600</v>
      </c>
      <c r="P137" s="51">
        <v>2</v>
      </c>
      <c r="Q137" s="51">
        <f t="shared" si="4"/>
        <v>1200</v>
      </c>
      <c r="R137" s="31">
        <v>202310</v>
      </c>
      <c r="S137" s="32" t="s">
        <v>257</v>
      </c>
      <c r="T137" s="33"/>
      <c r="U137" s="32"/>
      <c r="V137" s="33"/>
      <c r="W137" s="67"/>
      <c r="X137" s="67"/>
      <c r="Y137" s="36"/>
      <c r="Z137" s="36"/>
      <c r="AA137" s="36"/>
      <c r="AB137" s="36"/>
      <c r="AC137" s="36"/>
      <c r="AD137" s="36"/>
      <c r="AE137" s="36"/>
      <c r="AF137" s="53" t="s">
        <v>68</v>
      </c>
      <c r="AG137" s="42"/>
      <c r="AH137" s="42"/>
      <c r="AI137" s="43"/>
      <c r="AJ137" s="43"/>
      <c r="AK137" s="43"/>
      <c r="AL137" s="43"/>
      <c r="AM137" s="43"/>
      <c r="AN137" s="42"/>
      <c r="AO137" s="42"/>
      <c r="AP137" s="42"/>
      <c r="AQ137" s="43" t="s">
        <v>194</v>
      </c>
      <c r="AR137" s="42"/>
      <c r="AS137" s="42"/>
    </row>
    <row r="138" spans="1:45" ht="15" customHeight="1">
      <c r="A138" s="65" t="s">
        <v>57</v>
      </c>
      <c r="B138" s="22" t="s">
        <v>83</v>
      </c>
      <c r="C138" s="21" t="s">
        <v>58</v>
      </c>
      <c r="D138" s="22" t="s">
        <v>85</v>
      </c>
      <c r="E138" s="66" t="s">
        <v>112</v>
      </c>
      <c r="F138" s="65" t="s">
        <v>113</v>
      </c>
      <c r="G138" s="26" t="s">
        <v>62</v>
      </c>
      <c r="H138" s="73" t="s">
        <v>189</v>
      </c>
      <c r="I138" s="26" t="s">
        <v>64</v>
      </c>
      <c r="J138" s="46" t="s">
        <v>258</v>
      </c>
      <c r="K138" s="47"/>
      <c r="L138" s="48"/>
      <c r="M138" s="49">
        <v>43948</v>
      </c>
      <c r="N138" s="47" t="s">
        <v>66</v>
      </c>
      <c r="O138" s="61">
        <v>600</v>
      </c>
      <c r="P138" s="51">
        <v>1</v>
      </c>
      <c r="Q138" s="51">
        <f t="shared" si="4"/>
        <v>600</v>
      </c>
      <c r="R138" s="31">
        <v>202310</v>
      </c>
      <c r="S138" s="32" t="s">
        <v>259</v>
      </c>
      <c r="T138" s="33"/>
      <c r="U138" s="32"/>
      <c r="V138" s="33"/>
      <c r="W138" s="67"/>
      <c r="X138" s="67"/>
      <c r="Y138" s="36"/>
      <c r="Z138" s="36"/>
      <c r="AA138" s="36"/>
      <c r="AB138" s="36"/>
      <c r="AC138" s="36"/>
      <c r="AD138" s="36"/>
      <c r="AE138" s="36"/>
      <c r="AF138" s="53" t="s">
        <v>68</v>
      </c>
      <c r="AG138" s="42"/>
      <c r="AH138" s="42"/>
      <c r="AI138" s="43"/>
      <c r="AJ138" s="43"/>
      <c r="AK138" s="43"/>
      <c r="AL138" s="43"/>
      <c r="AM138" s="43"/>
      <c r="AN138" s="42"/>
      <c r="AO138" s="42"/>
      <c r="AP138" s="42"/>
      <c r="AQ138" s="43" t="s">
        <v>194</v>
      </c>
      <c r="AR138" s="42"/>
      <c r="AS138" s="42"/>
    </row>
    <row r="139" spans="1:45" ht="15" customHeight="1">
      <c r="A139" s="65" t="s">
        <v>57</v>
      </c>
      <c r="B139" s="22" t="s">
        <v>83</v>
      </c>
      <c r="C139" s="21" t="s">
        <v>58</v>
      </c>
      <c r="D139" s="22" t="s">
        <v>85</v>
      </c>
      <c r="E139" s="66" t="s">
        <v>112</v>
      </c>
      <c r="F139" s="65" t="s">
        <v>113</v>
      </c>
      <c r="G139" s="26" t="s">
        <v>62</v>
      </c>
      <c r="H139" s="73" t="s">
        <v>189</v>
      </c>
      <c r="I139" s="26" t="s">
        <v>64</v>
      </c>
      <c r="J139" s="46" t="s">
        <v>260</v>
      </c>
      <c r="K139" s="47"/>
      <c r="L139" s="48"/>
      <c r="M139" s="49">
        <v>43966</v>
      </c>
      <c r="N139" s="47" t="s">
        <v>66</v>
      </c>
      <c r="O139" s="61">
        <v>600</v>
      </c>
      <c r="P139" s="51">
        <v>1</v>
      </c>
      <c r="Q139" s="51">
        <f t="shared" si="4"/>
        <v>600</v>
      </c>
      <c r="R139" s="31">
        <v>202310</v>
      </c>
      <c r="S139" s="32" t="s">
        <v>261</v>
      </c>
      <c r="T139" s="33"/>
      <c r="U139" s="32"/>
      <c r="V139" s="33"/>
      <c r="W139" s="67"/>
      <c r="X139" s="67"/>
      <c r="Y139" s="36"/>
      <c r="Z139" s="36"/>
      <c r="AA139" s="36"/>
      <c r="AB139" s="36"/>
      <c r="AC139" s="36"/>
      <c r="AD139" s="36"/>
      <c r="AE139" s="36"/>
      <c r="AF139" s="53" t="s">
        <v>68</v>
      </c>
      <c r="AG139" s="42"/>
      <c r="AH139" s="42"/>
      <c r="AI139" s="43"/>
      <c r="AJ139" s="43"/>
      <c r="AK139" s="43"/>
      <c r="AL139" s="43"/>
      <c r="AM139" s="43"/>
      <c r="AN139" s="42"/>
      <c r="AO139" s="42"/>
      <c r="AP139" s="42"/>
      <c r="AQ139" s="43" t="s">
        <v>194</v>
      </c>
      <c r="AR139" s="42"/>
      <c r="AS139" s="42"/>
    </row>
    <row r="140" spans="1:45" ht="15" customHeight="1">
      <c r="A140" s="65" t="s">
        <v>57</v>
      </c>
      <c r="B140" s="22" t="s">
        <v>83</v>
      </c>
      <c r="C140" s="21" t="s">
        <v>58</v>
      </c>
      <c r="D140" s="22" t="s">
        <v>85</v>
      </c>
      <c r="E140" s="66" t="s">
        <v>112</v>
      </c>
      <c r="F140" s="65" t="s">
        <v>113</v>
      </c>
      <c r="G140" s="26" t="s">
        <v>62</v>
      </c>
      <c r="H140" s="73" t="s">
        <v>189</v>
      </c>
      <c r="I140" s="26" t="s">
        <v>64</v>
      </c>
      <c r="J140" s="46" t="s">
        <v>262</v>
      </c>
      <c r="K140" s="47"/>
      <c r="L140" s="48"/>
      <c r="M140" s="49">
        <v>43991</v>
      </c>
      <c r="N140" s="47" t="s">
        <v>66</v>
      </c>
      <c r="O140" s="61">
        <v>600</v>
      </c>
      <c r="P140" s="51">
        <v>1</v>
      </c>
      <c r="Q140" s="51">
        <f t="shared" si="4"/>
        <v>600</v>
      </c>
      <c r="R140" s="31">
        <v>202310</v>
      </c>
      <c r="S140" s="32" t="s">
        <v>263</v>
      </c>
      <c r="T140" s="33"/>
      <c r="U140" s="32"/>
      <c r="V140" s="33"/>
      <c r="W140" s="67"/>
      <c r="X140" s="67"/>
      <c r="Y140" s="36"/>
      <c r="Z140" s="36"/>
      <c r="AA140" s="36"/>
      <c r="AB140" s="36"/>
      <c r="AC140" s="36"/>
      <c r="AD140" s="36"/>
      <c r="AE140" s="36"/>
      <c r="AF140" s="53" t="s">
        <v>68</v>
      </c>
      <c r="AG140" s="42"/>
      <c r="AH140" s="42"/>
      <c r="AI140" s="43"/>
      <c r="AJ140" s="43"/>
      <c r="AK140" s="43"/>
      <c r="AL140" s="43"/>
      <c r="AM140" s="43"/>
      <c r="AN140" s="42"/>
      <c r="AO140" s="42"/>
      <c r="AP140" s="42"/>
      <c r="AQ140" s="43" t="s">
        <v>194</v>
      </c>
      <c r="AR140" s="42"/>
      <c r="AS140" s="42"/>
    </row>
    <row r="141" spans="1:45" ht="15" customHeight="1">
      <c r="A141" s="65" t="s">
        <v>57</v>
      </c>
      <c r="B141" s="22" t="s">
        <v>83</v>
      </c>
      <c r="C141" s="21" t="s">
        <v>58</v>
      </c>
      <c r="D141" s="22" t="s">
        <v>85</v>
      </c>
      <c r="E141" s="66" t="s">
        <v>112</v>
      </c>
      <c r="F141" s="65" t="s">
        <v>113</v>
      </c>
      <c r="G141" s="26" t="s">
        <v>62</v>
      </c>
      <c r="H141" s="73" t="s">
        <v>189</v>
      </c>
      <c r="I141" s="26" t="s">
        <v>64</v>
      </c>
      <c r="J141" s="46" t="s">
        <v>248</v>
      </c>
      <c r="K141" s="47"/>
      <c r="L141" s="48"/>
      <c r="M141" s="49">
        <v>44075</v>
      </c>
      <c r="N141" s="47" t="s">
        <v>66</v>
      </c>
      <c r="O141" s="61">
        <v>600</v>
      </c>
      <c r="P141" s="51">
        <v>1</v>
      </c>
      <c r="Q141" s="51">
        <f t="shared" si="4"/>
        <v>600</v>
      </c>
      <c r="R141" s="31">
        <v>202310</v>
      </c>
      <c r="S141" s="32" t="s">
        <v>264</v>
      </c>
      <c r="T141" s="33"/>
      <c r="U141" s="32"/>
      <c r="V141" s="33"/>
      <c r="W141" s="67"/>
      <c r="X141" s="67"/>
      <c r="Y141" s="36"/>
      <c r="Z141" s="36"/>
      <c r="AA141" s="36"/>
      <c r="AB141" s="36"/>
      <c r="AC141" s="36"/>
      <c r="AD141" s="36"/>
      <c r="AE141" s="36"/>
      <c r="AF141" s="53" t="s">
        <v>68</v>
      </c>
      <c r="AG141" s="42"/>
      <c r="AH141" s="42"/>
      <c r="AI141" s="43"/>
      <c r="AJ141" s="43"/>
      <c r="AK141" s="43"/>
      <c r="AL141" s="43"/>
      <c r="AM141" s="43"/>
      <c r="AN141" s="42"/>
      <c r="AO141" s="42"/>
      <c r="AP141" s="42"/>
      <c r="AQ141" s="43" t="s">
        <v>194</v>
      </c>
      <c r="AR141" s="42"/>
      <c r="AS141" s="42"/>
    </row>
    <row r="142" spans="1:45" ht="15" customHeight="1">
      <c r="A142" s="65" t="s">
        <v>57</v>
      </c>
      <c r="B142" s="22" t="s">
        <v>83</v>
      </c>
      <c r="C142" s="21" t="s">
        <v>58</v>
      </c>
      <c r="D142" s="22" t="s">
        <v>85</v>
      </c>
      <c r="E142" s="66" t="s">
        <v>112</v>
      </c>
      <c r="F142" s="65" t="s">
        <v>113</v>
      </c>
      <c r="G142" s="26" t="s">
        <v>62</v>
      </c>
      <c r="H142" s="73" t="s">
        <v>189</v>
      </c>
      <c r="I142" s="26" t="s">
        <v>64</v>
      </c>
      <c r="J142" s="46" t="s">
        <v>244</v>
      </c>
      <c r="K142" s="47"/>
      <c r="L142" s="48"/>
      <c r="M142" s="49">
        <v>44075</v>
      </c>
      <c r="N142" s="47" t="s">
        <v>66</v>
      </c>
      <c r="O142" s="61">
        <v>600</v>
      </c>
      <c r="P142" s="51">
        <v>1</v>
      </c>
      <c r="Q142" s="51">
        <f t="shared" si="4"/>
        <v>600</v>
      </c>
      <c r="R142" s="31">
        <v>202310</v>
      </c>
      <c r="S142" s="32" t="s">
        <v>265</v>
      </c>
      <c r="T142" s="33"/>
      <c r="U142" s="32"/>
      <c r="V142" s="33"/>
      <c r="W142" s="67"/>
      <c r="X142" s="67"/>
      <c r="Y142" s="36"/>
      <c r="Z142" s="36"/>
      <c r="AA142" s="36"/>
      <c r="AB142" s="36"/>
      <c r="AC142" s="36"/>
      <c r="AD142" s="36"/>
      <c r="AE142" s="36"/>
      <c r="AF142" s="53" t="s">
        <v>68</v>
      </c>
      <c r="AG142" s="42"/>
      <c r="AH142" s="42"/>
      <c r="AI142" s="43"/>
      <c r="AJ142" s="43"/>
      <c r="AK142" s="43"/>
      <c r="AL142" s="43"/>
      <c r="AM142" s="43"/>
      <c r="AN142" s="42"/>
      <c r="AO142" s="42"/>
      <c r="AP142" s="42"/>
      <c r="AQ142" s="43" t="s">
        <v>194</v>
      </c>
      <c r="AR142" s="42"/>
      <c r="AS142" s="42"/>
    </row>
    <row r="143" spans="1:45" ht="15" customHeight="1">
      <c r="A143" s="65" t="s">
        <v>57</v>
      </c>
      <c r="B143" s="22" t="s">
        <v>83</v>
      </c>
      <c r="C143" s="21" t="s">
        <v>58</v>
      </c>
      <c r="D143" s="22" t="s">
        <v>85</v>
      </c>
      <c r="E143" s="66" t="s">
        <v>112</v>
      </c>
      <c r="F143" s="65" t="s">
        <v>113</v>
      </c>
      <c r="G143" s="26" t="s">
        <v>62</v>
      </c>
      <c r="H143" s="73" t="s">
        <v>189</v>
      </c>
      <c r="I143" s="26" t="s">
        <v>64</v>
      </c>
      <c r="J143" s="46" t="s">
        <v>244</v>
      </c>
      <c r="K143" s="47"/>
      <c r="L143" s="48"/>
      <c r="M143" s="49">
        <v>44127</v>
      </c>
      <c r="N143" s="47" t="s">
        <v>66</v>
      </c>
      <c r="O143" s="61">
        <v>600</v>
      </c>
      <c r="P143" s="51">
        <v>-1</v>
      </c>
      <c r="Q143" s="51">
        <f t="shared" si="4"/>
        <v>-600</v>
      </c>
      <c r="R143" s="31">
        <v>202310</v>
      </c>
      <c r="S143" s="33" t="s">
        <v>266</v>
      </c>
      <c r="T143" s="33"/>
      <c r="U143" s="32"/>
      <c r="V143" s="33"/>
      <c r="W143" s="67"/>
      <c r="X143" s="67"/>
      <c r="Y143" s="36"/>
      <c r="Z143" s="36"/>
      <c r="AA143" s="36"/>
      <c r="AB143" s="36"/>
      <c r="AC143" s="36"/>
      <c r="AD143" s="36"/>
      <c r="AE143" s="36"/>
      <c r="AF143" s="53" t="s">
        <v>68</v>
      </c>
      <c r="AG143" s="42"/>
      <c r="AH143" s="42"/>
      <c r="AI143" s="43"/>
      <c r="AJ143" s="43"/>
      <c r="AK143" s="43"/>
      <c r="AL143" s="43"/>
      <c r="AM143" s="43"/>
      <c r="AN143" s="42"/>
      <c r="AO143" s="42"/>
      <c r="AP143" s="42"/>
      <c r="AQ143" s="43" t="s">
        <v>194</v>
      </c>
      <c r="AR143" s="42"/>
      <c r="AS143" s="42"/>
    </row>
    <row r="144" spans="1:45" ht="15" customHeight="1">
      <c r="A144" s="65" t="s">
        <v>57</v>
      </c>
      <c r="B144" s="22" t="s">
        <v>83</v>
      </c>
      <c r="C144" s="21" t="s">
        <v>58</v>
      </c>
      <c r="D144" s="22" t="s">
        <v>85</v>
      </c>
      <c r="E144" s="66" t="s">
        <v>112</v>
      </c>
      <c r="F144" s="65" t="s">
        <v>113</v>
      </c>
      <c r="G144" s="26" t="s">
        <v>62</v>
      </c>
      <c r="H144" s="73" t="s">
        <v>189</v>
      </c>
      <c r="I144" s="26" t="s">
        <v>64</v>
      </c>
      <c r="J144" s="46" t="s">
        <v>258</v>
      </c>
      <c r="K144" s="47"/>
      <c r="L144" s="48"/>
      <c r="M144" s="49">
        <v>44127</v>
      </c>
      <c r="N144" s="47" t="s">
        <v>66</v>
      </c>
      <c r="O144" s="61">
        <v>600</v>
      </c>
      <c r="P144" s="51">
        <v>1</v>
      </c>
      <c r="Q144" s="51">
        <f t="shared" si="4"/>
        <v>600</v>
      </c>
      <c r="R144" s="31">
        <v>202310</v>
      </c>
      <c r="S144" s="32" t="s">
        <v>267</v>
      </c>
      <c r="T144" s="33"/>
      <c r="U144" s="32"/>
      <c r="V144" s="33"/>
      <c r="W144" s="67"/>
      <c r="X144" s="67"/>
      <c r="Y144" s="36"/>
      <c r="Z144" s="36"/>
      <c r="AA144" s="36"/>
      <c r="AB144" s="36"/>
      <c r="AC144" s="36"/>
      <c r="AD144" s="36"/>
      <c r="AE144" s="36"/>
      <c r="AF144" s="53" t="s">
        <v>68</v>
      </c>
      <c r="AG144" s="42"/>
      <c r="AH144" s="42"/>
      <c r="AI144" s="43"/>
      <c r="AJ144" s="43"/>
      <c r="AK144" s="43"/>
      <c r="AL144" s="43"/>
      <c r="AM144" s="43"/>
      <c r="AN144" s="42"/>
      <c r="AO144" s="42"/>
      <c r="AP144" s="42"/>
      <c r="AQ144" s="43" t="s">
        <v>194</v>
      </c>
      <c r="AR144" s="42"/>
      <c r="AS144" s="42"/>
    </row>
    <row r="145" spans="1:45" ht="15" customHeight="1">
      <c r="A145" s="65" t="s">
        <v>57</v>
      </c>
      <c r="B145" s="22" t="s">
        <v>83</v>
      </c>
      <c r="C145" s="21" t="s">
        <v>58</v>
      </c>
      <c r="D145" s="22" t="s">
        <v>85</v>
      </c>
      <c r="E145" s="66" t="s">
        <v>112</v>
      </c>
      <c r="F145" s="65" t="s">
        <v>113</v>
      </c>
      <c r="G145" s="26" t="s">
        <v>62</v>
      </c>
      <c r="H145" s="73" t="s">
        <v>189</v>
      </c>
      <c r="I145" s="26" t="s">
        <v>64</v>
      </c>
      <c r="J145" s="46" t="s">
        <v>260</v>
      </c>
      <c r="K145" s="47"/>
      <c r="L145" s="48"/>
      <c r="M145" s="49">
        <v>44253</v>
      </c>
      <c r="N145" s="47" t="s">
        <v>66</v>
      </c>
      <c r="O145" s="61">
        <v>600</v>
      </c>
      <c r="P145" s="51">
        <v>1</v>
      </c>
      <c r="Q145" s="51">
        <f t="shared" si="4"/>
        <v>600</v>
      </c>
      <c r="R145" s="31">
        <v>202310</v>
      </c>
      <c r="S145" s="32" t="s">
        <v>268</v>
      </c>
      <c r="T145" s="33"/>
      <c r="U145" s="32"/>
      <c r="V145" s="33"/>
      <c r="W145" s="67"/>
      <c r="X145" s="67"/>
      <c r="Y145" s="36"/>
      <c r="Z145" s="36"/>
      <c r="AA145" s="36"/>
      <c r="AB145" s="36"/>
      <c r="AC145" s="36"/>
      <c r="AD145" s="36"/>
      <c r="AE145" s="36"/>
      <c r="AF145" s="53" t="s">
        <v>68</v>
      </c>
      <c r="AG145" s="42"/>
      <c r="AH145" s="42"/>
      <c r="AI145" s="43"/>
      <c r="AJ145" s="43"/>
      <c r="AK145" s="43"/>
      <c r="AL145" s="43"/>
      <c r="AM145" s="43"/>
      <c r="AN145" s="42"/>
      <c r="AO145" s="42"/>
      <c r="AP145" s="42"/>
      <c r="AQ145" s="43" t="s">
        <v>194</v>
      </c>
      <c r="AR145" s="42"/>
      <c r="AS145" s="42"/>
    </row>
    <row r="146" spans="1:45" ht="15" customHeight="1">
      <c r="A146" s="65" t="s">
        <v>57</v>
      </c>
      <c r="B146" s="22" t="s">
        <v>83</v>
      </c>
      <c r="C146" s="21" t="s">
        <v>58</v>
      </c>
      <c r="D146" s="22" t="s">
        <v>85</v>
      </c>
      <c r="E146" s="66" t="s">
        <v>112</v>
      </c>
      <c r="F146" s="65" t="s">
        <v>113</v>
      </c>
      <c r="G146" s="26" t="s">
        <v>62</v>
      </c>
      <c r="H146" s="73" t="s">
        <v>189</v>
      </c>
      <c r="I146" s="26" t="s">
        <v>64</v>
      </c>
      <c r="J146" s="46" t="s">
        <v>258</v>
      </c>
      <c r="K146" s="47"/>
      <c r="L146" s="48"/>
      <c r="M146" s="49">
        <v>44439</v>
      </c>
      <c r="N146" s="47" t="s">
        <v>66</v>
      </c>
      <c r="O146" s="61">
        <v>600</v>
      </c>
      <c r="P146" s="51">
        <v>1</v>
      </c>
      <c r="Q146" s="51">
        <f t="shared" si="4"/>
        <v>600</v>
      </c>
      <c r="R146" s="31">
        <v>202310</v>
      </c>
      <c r="S146" s="32" t="s">
        <v>269</v>
      </c>
      <c r="T146" s="33"/>
      <c r="U146" s="32"/>
      <c r="V146" s="33"/>
      <c r="W146" s="67"/>
      <c r="X146" s="67"/>
      <c r="Y146" s="36"/>
      <c r="Z146" s="36"/>
      <c r="AA146" s="36"/>
      <c r="AB146" s="36"/>
      <c r="AC146" s="36"/>
      <c r="AD146" s="36"/>
      <c r="AE146" s="36"/>
      <c r="AF146" s="53" t="s">
        <v>68</v>
      </c>
      <c r="AG146" s="42"/>
      <c r="AH146" s="42"/>
      <c r="AI146" s="43"/>
      <c r="AJ146" s="43"/>
      <c r="AK146" s="43"/>
      <c r="AL146" s="43"/>
      <c r="AM146" s="43"/>
      <c r="AN146" s="42"/>
      <c r="AO146" s="42"/>
      <c r="AP146" s="42"/>
      <c r="AQ146" s="43" t="s">
        <v>194</v>
      </c>
      <c r="AR146" s="42"/>
      <c r="AS146" s="42"/>
    </row>
    <row r="147" spans="1:45" ht="15" customHeight="1">
      <c r="A147" s="65" t="s">
        <v>57</v>
      </c>
      <c r="B147" s="22" t="s">
        <v>83</v>
      </c>
      <c r="C147" s="21" t="s">
        <v>58</v>
      </c>
      <c r="D147" s="22" t="s">
        <v>85</v>
      </c>
      <c r="E147" s="66" t="s">
        <v>112</v>
      </c>
      <c r="F147" s="65" t="s">
        <v>113</v>
      </c>
      <c r="G147" s="26" t="s">
        <v>62</v>
      </c>
      <c r="H147" s="73" t="s">
        <v>189</v>
      </c>
      <c r="I147" s="26" t="s">
        <v>64</v>
      </c>
      <c r="J147" s="46" t="s">
        <v>258</v>
      </c>
      <c r="K147" s="47"/>
      <c r="L147" s="48"/>
      <c r="M147" s="49">
        <v>44487</v>
      </c>
      <c r="N147" s="47" t="s">
        <v>66</v>
      </c>
      <c r="O147" s="61">
        <v>600</v>
      </c>
      <c r="P147" s="51">
        <v>1</v>
      </c>
      <c r="Q147" s="51">
        <f t="shared" si="4"/>
        <v>600</v>
      </c>
      <c r="R147" s="31">
        <v>202310</v>
      </c>
      <c r="S147" s="32" t="s">
        <v>270</v>
      </c>
      <c r="T147" s="33"/>
      <c r="U147" s="32"/>
      <c r="V147" s="33"/>
      <c r="W147" s="67"/>
      <c r="X147" s="67"/>
      <c r="Y147" s="36"/>
      <c r="Z147" s="36"/>
      <c r="AA147" s="36"/>
      <c r="AB147" s="36"/>
      <c r="AC147" s="36"/>
      <c r="AD147" s="36"/>
      <c r="AE147" s="36"/>
      <c r="AF147" s="53" t="s">
        <v>68</v>
      </c>
      <c r="AG147" s="42"/>
      <c r="AH147" s="42"/>
      <c r="AI147" s="43"/>
      <c r="AJ147" s="43"/>
      <c r="AK147" s="43"/>
      <c r="AL147" s="43"/>
      <c r="AM147" s="43"/>
      <c r="AN147" s="42"/>
      <c r="AO147" s="42"/>
      <c r="AP147" s="42"/>
      <c r="AQ147" s="43" t="s">
        <v>194</v>
      </c>
      <c r="AR147" s="42"/>
      <c r="AS147" s="42"/>
    </row>
    <row r="148" spans="1:45" ht="15" customHeight="1">
      <c r="A148" s="65" t="s">
        <v>57</v>
      </c>
      <c r="B148" s="22" t="s">
        <v>83</v>
      </c>
      <c r="C148" s="21" t="s">
        <v>58</v>
      </c>
      <c r="D148" s="22" t="s">
        <v>85</v>
      </c>
      <c r="E148" s="66" t="s">
        <v>112</v>
      </c>
      <c r="F148" s="65" t="s">
        <v>113</v>
      </c>
      <c r="G148" s="26" t="s">
        <v>62</v>
      </c>
      <c r="H148" s="73" t="s">
        <v>189</v>
      </c>
      <c r="I148" s="26" t="s">
        <v>64</v>
      </c>
      <c r="J148" s="46" t="s">
        <v>258</v>
      </c>
      <c r="K148" s="47"/>
      <c r="L148" s="48"/>
      <c r="M148" s="49">
        <v>44487</v>
      </c>
      <c r="N148" s="47" t="s">
        <v>66</v>
      </c>
      <c r="O148" s="61">
        <v>600</v>
      </c>
      <c r="P148" s="51">
        <v>1</v>
      </c>
      <c r="Q148" s="51">
        <f t="shared" si="4"/>
        <v>600</v>
      </c>
      <c r="R148" s="31">
        <v>202310</v>
      </c>
      <c r="S148" s="32" t="s">
        <v>271</v>
      </c>
      <c r="T148" s="33"/>
      <c r="U148" s="32"/>
      <c r="V148" s="33"/>
      <c r="W148" s="67"/>
      <c r="X148" s="67"/>
      <c r="Y148" s="36"/>
      <c r="Z148" s="36"/>
      <c r="AA148" s="36"/>
      <c r="AB148" s="36"/>
      <c r="AC148" s="36"/>
      <c r="AD148" s="36"/>
      <c r="AE148" s="36"/>
      <c r="AF148" s="53" t="s">
        <v>68</v>
      </c>
      <c r="AG148" s="42"/>
      <c r="AH148" s="42"/>
      <c r="AI148" s="43"/>
      <c r="AJ148" s="43"/>
      <c r="AK148" s="43"/>
      <c r="AL148" s="43"/>
      <c r="AM148" s="43"/>
      <c r="AN148" s="42"/>
      <c r="AO148" s="42"/>
      <c r="AP148" s="42"/>
      <c r="AQ148" s="43" t="s">
        <v>194</v>
      </c>
      <c r="AR148" s="42"/>
      <c r="AS148" s="42"/>
    </row>
    <row r="149" spans="1:45" ht="15" customHeight="1">
      <c r="A149" s="65" t="s">
        <v>57</v>
      </c>
      <c r="B149" s="22" t="s">
        <v>83</v>
      </c>
      <c r="C149" s="21" t="s">
        <v>58</v>
      </c>
      <c r="D149" s="22" t="s">
        <v>85</v>
      </c>
      <c r="E149" s="66" t="s">
        <v>112</v>
      </c>
      <c r="F149" s="65" t="s">
        <v>113</v>
      </c>
      <c r="G149" s="26" t="s">
        <v>62</v>
      </c>
      <c r="H149" s="73" t="s">
        <v>189</v>
      </c>
      <c r="I149" s="26" t="s">
        <v>64</v>
      </c>
      <c r="J149" s="46" t="s">
        <v>258</v>
      </c>
      <c r="K149" s="47"/>
      <c r="L149" s="48"/>
      <c r="M149" s="49">
        <v>44648</v>
      </c>
      <c r="N149" s="47" t="s">
        <v>66</v>
      </c>
      <c r="O149" s="61">
        <v>600</v>
      </c>
      <c r="P149" s="51">
        <v>1</v>
      </c>
      <c r="Q149" s="51">
        <f t="shared" si="4"/>
        <v>600</v>
      </c>
      <c r="R149" s="31">
        <v>202310</v>
      </c>
      <c r="S149" s="32" t="s">
        <v>272</v>
      </c>
      <c r="T149" s="33"/>
      <c r="U149" s="32"/>
      <c r="V149" s="33"/>
      <c r="W149" s="67"/>
      <c r="X149" s="67"/>
      <c r="Y149" s="36"/>
      <c r="Z149" s="36"/>
      <c r="AA149" s="36"/>
      <c r="AB149" s="36"/>
      <c r="AC149" s="36"/>
      <c r="AD149" s="36"/>
      <c r="AE149" s="36"/>
      <c r="AF149" s="53" t="s">
        <v>68</v>
      </c>
      <c r="AG149" s="42"/>
      <c r="AH149" s="42"/>
      <c r="AI149" s="43"/>
      <c r="AJ149" s="43"/>
      <c r="AK149" s="43"/>
      <c r="AL149" s="43"/>
      <c r="AM149" s="43"/>
      <c r="AN149" s="42"/>
      <c r="AO149" s="42"/>
      <c r="AP149" s="42"/>
      <c r="AQ149" s="43" t="s">
        <v>194</v>
      </c>
      <c r="AR149" s="42"/>
      <c r="AS149" s="42"/>
    </row>
    <row r="150" spans="1:45" ht="15" customHeight="1">
      <c r="A150" s="65" t="s">
        <v>57</v>
      </c>
      <c r="B150" s="22" t="s">
        <v>83</v>
      </c>
      <c r="C150" s="21" t="s">
        <v>58</v>
      </c>
      <c r="D150" s="22" t="s">
        <v>85</v>
      </c>
      <c r="E150" s="66" t="s">
        <v>112</v>
      </c>
      <c r="F150" s="65" t="s">
        <v>113</v>
      </c>
      <c r="G150" s="26" t="s">
        <v>62</v>
      </c>
      <c r="H150" s="73" t="s">
        <v>189</v>
      </c>
      <c r="I150" s="26" t="s">
        <v>64</v>
      </c>
      <c r="J150" s="46" t="s">
        <v>258</v>
      </c>
      <c r="K150" s="47"/>
      <c r="L150" s="48"/>
      <c r="M150" s="49">
        <v>44658</v>
      </c>
      <c r="N150" s="47" t="s">
        <v>66</v>
      </c>
      <c r="O150" s="61">
        <v>600</v>
      </c>
      <c r="P150" s="51">
        <v>1</v>
      </c>
      <c r="Q150" s="51">
        <f t="shared" si="4"/>
        <v>600</v>
      </c>
      <c r="R150" s="31">
        <v>202310</v>
      </c>
      <c r="S150" s="32" t="s">
        <v>273</v>
      </c>
      <c r="T150" s="33"/>
      <c r="U150" s="32"/>
      <c r="V150" s="33"/>
      <c r="W150" s="67"/>
      <c r="X150" s="67"/>
      <c r="Y150" s="36"/>
      <c r="Z150" s="36"/>
      <c r="AA150" s="36"/>
      <c r="AB150" s="36"/>
      <c r="AC150" s="36"/>
      <c r="AD150" s="36"/>
      <c r="AE150" s="36"/>
      <c r="AF150" s="53" t="s">
        <v>68</v>
      </c>
      <c r="AG150" s="42"/>
      <c r="AH150" s="42"/>
      <c r="AI150" s="43"/>
      <c r="AJ150" s="43"/>
      <c r="AK150" s="43"/>
      <c r="AL150" s="43"/>
      <c r="AM150" s="43"/>
      <c r="AN150" s="42"/>
      <c r="AO150" s="42"/>
      <c r="AP150" s="42"/>
      <c r="AQ150" s="43" t="s">
        <v>194</v>
      </c>
      <c r="AR150" s="42"/>
      <c r="AS150" s="42"/>
    </row>
    <row r="151" spans="1:45" ht="15" customHeight="1">
      <c r="A151" s="65" t="s">
        <v>57</v>
      </c>
      <c r="B151" s="22" t="s">
        <v>83</v>
      </c>
      <c r="C151" s="21" t="s">
        <v>58</v>
      </c>
      <c r="D151" s="22" t="s">
        <v>85</v>
      </c>
      <c r="E151" s="66" t="s">
        <v>112</v>
      </c>
      <c r="F151" s="65" t="s">
        <v>113</v>
      </c>
      <c r="G151" s="26" t="s">
        <v>62</v>
      </c>
      <c r="H151" s="73" t="s">
        <v>189</v>
      </c>
      <c r="I151" s="26" t="s">
        <v>64</v>
      </c>
      <c r="J151" s="46" t="s">
        <v>258</v>
      </c>
      <c r="K151" s="47"/>
      <c r="L151" s="48"/>
      <c r="M151" s="49">
        <v>44677</v>
      </c>
      <c r="N151" s="47" t="s">
        <v>66</v>
      </c>
      <c r="O151" s="61">
        <v>600</v>
      </c>
      <c r="P151" s="51">
        <v>1</v>
      </c>
      <c r="Q151" s="51">
        <f t="shared" si="4"/>
        <v>600</v>
      </c>
      <c r="R151" s="31">
        <v>202310</v>
      </c>
      <c r="S151" s="32" t="s">
        <v>274</v>
      </c>
      <c r="T151" s="33"/>
      <c r="U151" s="32"/>
      <c r="V151" s="33"/>
      <c r="W151" s="67"/>
      <c r="X151" s="67"/>
      <c r="Y151" s="36"/>
      <c r="Z151" s="36"/>
      <c r="AA151" s="36"/>
      <c r="AB151" s="36"/>
      <c r="AC151" s="36"/>
      <c r="AD151" s="36"/>
      <c r="AE151" s="36"/>
      <c r="AF151" s="53" t="s">
        <v>68</v>
      </c>
      <c r="AG151" s="42"/>
      <c r="AH151" s="42"/>
      <c r="AI151" s="43"/>
      <c r="AJ151" s="43"/>
      <c r="AK151" s="43"/>
      <c r="AL151" s="43"/>
      <c r="AM151" s="43"/>
      <c r="AN151" s="42"/>
      <c r="AO151" s="42"/>
      <c r="AP151" s="42"/>
      <c r="AQ151" s="43" t="s">
        <v>194</v>
      </c>
      <c r="AR151" s="42"/>
      <c r="AS151" s="42"/>
    </row>
    <row r="152" spans="1:45" ht="15" customHeight="1">
      <c r="A152" s="65" t="s">
        <v>57</v>
      </c>
      <c r="B152" s="22" t="s">
        <v>83</v>
      </c>
      <c r="C152" s="21" t="s">
        <v>58</v>
      </c>
      <c r="D152" s="22" t="s">
        <v>85</v>
      </c>
      <c r="E152" s="66" t="s">
        <v>112</v>
      </c>
      <c r="F152" s="65" t="s">
        <v>113</v>
      </c>
      <c r="G152" s="26" t="s">
        <v>62</v>
      </c>
      <c r="H152" s="73" t="s">
        <v>189</v>
      </c>
      <c r="I152" s="26" t="s">
        <v>64</v>
      </c>
      <c r="J152" s="46" t="s">
        <v>258</v>
      </c>
      <c r="K152" s="47"/>
      <c r="L152" s="48"/>
      <c r="M152" s="49">
        <v>44676</v>
      </c>
      <c r="N152" s="47" t="s">
        <v>66</v>
      </c>
      <c r="O152" s="61">
        <v>600</v>
      </c>
      <c r="P152" s="51">
        <v>1</v>
      </c>
      <c r="Q152" s="51">
        <f t="shared" si="4"/>
        <v>600</v>
      </c>
      <c r="R152" s="31">
        <v>202310</v>
      </c>
      <c r="S152" s="64" t="s">
        <v>275</v>
      </c>
      <c r="T152" s="33"/>
      <c r="U152" s="32"/>
      <c r="V152" s="33"/>
      <c r="W152" s="67"/>
      <c r="X152" s="67"/>
      <c r="Y152" s="36"/>
      <c r="Z152" s="36"/>
      <c r="AA152" s="36"/>
      <c r="AB152" s="36"/>
      <c r="AC152" s="36"/>
      <c r="AD152" s="36"/>
      <c r="AE152" s="36"/>
      <c r="AF152" s="53" t="s">
        <v>68</v>
      </c>
      <c r="AG152" s="42"/>
      <c r="AH152" s="42"/>
      <c r="AI152" s="43"/>
      <c r="AJ152" s="43"/>
      <c r="AK152" s="43"/>
      <c r="AL152" s="43"/>
      <c r="AM152" s="43"/>
      <c r="AN152" s="42"/>
      <c r="AO152" s="42"/>
      <c r="AP152" s="42"/>
      <c r="AQ152" s="43" t="s">
        <v>194</v>
      </c>
      <c r="AR152" s="42"/>
      <c r="AS152" s="42"/>
    </row>
    <row r="153" spans="1:45" ht="15" customHeight="1">
      <c r="A153" s="65" t="s">
        <v>57</v>
      </c>
      <c r="B153" s="22" t="s">
        <v>83</v>
      </c>
      <c r="C153" s="21" t="s">
        <v>58</v>
      </c>
      <c r="D153" s="22" t="s">
        <v>85</v>
      </c>
      <c r="E153" s="66" t="s">
        <v>112</v>
      </c>
      <c r="F153" s="65" t="s">
        <v>113</v>
      </c>
      <c r="G153" s="26" t="s">
        <v>62</v>
      </c>
      <c r="H153" s="73" t="s">
        <v>189</v>
      </c>
      <c r="I153" s="26" t="s">
        <v>64</v>
      </c>
      <c r="J153" s="46" t="s">
        <v>260</v>
      </c>
      <c r="K153" s="47"/>
      <c r="L153" s="48"/>
      <c r="M153" s="49">
        <v>44764</v>
      </c>
      <c r="N153" s="47" t="s">
        <v>66</v>
      </c>
      <c r="O153" s="61">
        <v>600</v>
      </c>
      <c r="P153" s="51">
        <v>1</v>
      </c>
      <c r="Q153" s="51">
        <f t="shared" si="4"/>
        <v>600</v>
      </c>
      <c r="R153" s="31">
        <v>202310</v>
      </c>
      <c r="S153" s="32" t="s">
        <v>276</v>
      </c>
      <c r="T153" s="33"/>
      <c r="U153" s="32"/>
      <c r="V153" s="33"/>
      <c r="W153" s="67"/>
      <c r="X153" s="67"/>
      <c r="Y153" s="36"/>
      <c r="Z153" s="36"/>
      <c r="AA153" s="36"/>
      <c r="AB153" s="36"/>
      <c r="AC153" s="36"/>
      <c r="AD153" s="36"/>
      <c r="AE153" s="36"/>
      <c r="AF153" s="53" t="s">
        <v>68</v>
      </c>
      <c r="AG153" s="42"/>
      <c r="AH153" s="42"/>
      <c r="AI153" s="43"/>
      <c r="AJ153" s="43"/>
      <c r="AK153" s="43"/>
      <c r="AL153" s="43"/>
      <c r="AM153" s="43"/>
      <c r="AN153" s="42"/>
      <c r="AO153" s="42"/>
      <c r="AP153" s="42"/>
      <c r="AQ153" s="43" t="s">
        <v>194</v>
      </c>
      <c r="AR153" s="42"/>
      <c r="AS153" s="42"/>
    </row>
    <row r="154" spans="1:45" ht="15" customHeight="1">
      <c r="A154" s="65" t="s">
        <v>57</v>
      </c>
      <c r="B154" s="22" t="s">
        <v>83</v>
      </c>
      <c r="C154" s="21" t="s">
        <v>58</v>
      </c>
      <c r="D154" s="22" t="s">
        <v>85</v>
      </c>
      <c r="E154" s="66" t="s">
        <v>112</v>
      </c>
      <c r="F154" s="65" t="s">
        <v>113</v>
      </c>
      <c r="G154" s="26" t="s">
        <v>62</v>
      </c>
      <c r="H154" s="73" t="s">
        <v>189</v>
      </c>
      <c r="I154" s="26" t="s">
        <v>64</v>
      </c>
      <c r="J154" s="46" t="s">
        <v>258</v>
      </c>
      <c r="K154" s="47"/>
      <c r="L154" s="48"/>
      <c r="M154" s="49">
        <v>44775</v>
      </c>
      <c r="N154" s="47" t="s">
        <v>66</v>
      </c>
      <c r="O154" s="61">
        <v>600</v>
      </c>
      <c r="P154" s="51">
        <v>1</v>
      </c>
      <c r="Q154" s="51">
        <f t="shared" si="4"/>
        <v>600</v>
      </c>
      <c r="R154" s="31">
        <v>202310</v>
      </c>
      <c r="S154" s="32" t="s">
        <v>277</v>
      </c>
      <c r="T154" s="33"/>
      <c r="U154" s="32"/>
      <c r="V154" s="33"/>
      <c r="W154" s="67"/>
      <c r="X154" s="67"/>
      <c r="Y154" s="36"/>
      <c r="Z154" s="36"/>
      <c r="AA154" s="36"/>
      <c r="AB154" s="36"/>
      <c r="AC154" s="36"/>
      <c r="AD154" s="36"/>
      <c r="AE154" s="36"/>
      <c r="AF154" s="53" t="s">
        <v>68</v>
      </c>
      <c r="AG154" s="42"/>
      <c r="AH154" s="42"/>
      <c r="AI154" s="43"/>
      <c r="AJ154" s="43"/>
      <c r="AK154" s="43"/>
      <c r="AL154" s="43"/>
      <c r="AM154" s="43"/>
      <c r="AN154" s="42"/>
      <c r="AO154" s="42"/>
      <c r="AP154" s="42"/>
      <c r="AQ154" s="43" t="s">
        <v>194</v>
      </c>
      <c r="AR154" s="42"/>
      <c r="AS154" s="42"/>
    </row>
    <row r="155" spans="1:45" ht="15" customHeight="1">
      <c r="A155" s="65" t="s">
        <v>57</v>
      </c>
      <c r="B155" s="22" t="s">
        <v>83</v>
      </c>
      <c r="C155" s="21" t="s">
        <v>58</v>
      </c>
      <c r="D155" s="22" t="s">
        <v>85</v>
      </c>
      <c r="E155" s="66" t="s">
        <v>112</v>
      </c>
      <c r="F155" s="65" t="s">
        <v>113</v>
      </c>
      <c r="G155" s="26" t="s">
        <v>62</v>
      </c>
      <c r="H155" s="73" t="s">
        <v>189</v>
      </c>
      <c r="I155" s="26" t="s">
        <v>64</v>
      </c>
      <c r="J155" s="46" t="s">
        <v>260</v>
      </c>
      <c r="K155" s="47"/>
      <c r="L155" s="48"/>
      <c r="M155" s="49">
        <v>45061</v>
      </c>
      <c r="N155" s="47" t="s">
        <v>66</v>
      </c>
      <c r="O155" s="61">
        <v>600</v>
      </c>
      <c r="P155" s="51">
        <v>1</v>
      </c>
      <c r="Q155" s="51">
        <f t="shared" si="4"/>
        <v>600</v>
      </c>
      <c r="R155" s="31">
        <v>202310</v>
      </c>
      <c r="S155" s="32" t="s">
        <v>278</v>
      </c>
      <c r="T155" s="33"/>
      <c r="U155" s="32"/>
      <c r="V155" s="33"/>
      <c r="W155" s="67"/>
      <c r="X155" s="67"/>
      <c r="Y155" s="36"/>
      <c r="Z155" s="36"/>
      <c r="AA155" s="36"/>
      <c r="AB155" s="36"/>
      <c r="AC155" s="36"/>
      <c r="AD155" s="36"/>
      <c r="AE155" s="36"/>
      <c r="AF155" s="53" t="s">
        <v>68</v>
      </c>
      <c r="AG155" s="42"/>
      <c r="AH155" s="42"/>
      <c r="AI155" s="43"/>
      <c r="AJ155" s="43"/>
      <c r="AK155" s="43"/>
      <c r="AL155" s="43"/>
      <c r="AM155" s="43"/>
      <c r="AN155" s="42"/>
      <c r="AO155" s="42"/>
      <c r="AP155" s="42"/>
      <c r="AQ155" s="43" t="s">
        <v>194</v>
      </c>
      <c r="AR155" s="42"/>
      <c r="AS155" s="42"/>
    </row>
    <row r="156" spans="1:45" ht="15" customHeight="1">
      <c r="A156" s="65" t="s">
        <v>57</v>
      </c>
      <c r="B156" s="22" t="s">
        <v>83</v>
      </c>
      <c r="C156" s="21" t="s">
        <v>58</v>
      </c>
      <c r="D156" s="22" t="s">
        <v>85</v>
      </c>
      <c r="E156" s="66" t="s">
        <v>112</v>
      </c>
      <c r="F156" s="65" t="s">
        <v>113</v>
      </c>
      <c r="G156" s="26" t="s">
        <v>62</v>
      </c>
      <c r="H156" s="73" t="s">
        <v>189</v>
      </c>
      <c r="I156" s="26" t="s">
        <v>64</v>
      </c>
      <c r="J156" s="46" t="s">
        <v>258</v>
      </c>
      <c r="K156" s="47"/>
      <c r="L156" s="48"/>
      <c r="M156" s="49">
        <v>45084</v>
      </c>
      <c r="N156" s="47" t="s">
        <v>66</v>
      </c>
      <c r="O156" s="61">
        <v>600</v>
      </c>
      <c r="P156" s="51">
        <v>1</v>
      </c>
      <c r="Q156" s="51">
        <f>ROUND(O156*P156,2)</f>
        <v>600</v>
      </c>
      <c r="R156" s="31">
        <v>202310</v>
      </c>
      <c r="S156" s="64" t="s">
        <v>279</v>
      </c>
      <c r="T156" s="33"/>
      <c r="U156" s="32"/>
      <c r="V156" s="33"/>
      <c r="W156" s="67"/>
      <c r="X156" s="67"/>
      <c r="Y156" s="36"/>
      <c r="Z156" s="36"/>
      <c r="AA156" s="36"/>
      <c r="AB156" s="36"/>
      <c r="AC156" s="36"/>
      <c r="AD156" s="36"/>
      <c r="AE156" s="36"/>
      <c r="AF156" s="53" t="s">
        <v>68</v>
      </c>
      <c r="AG156" s="42"/>
      <c r="AH156" s="42"/>
      <c r="AI156" s="43"/>
      <c r="AJ156" s="43"/>
      <c r="AK156" s="43"/>
      <c r="AL156" s="43"/>
      <c r="AM156" s="43"/>
      <c r="AN156" s="42"/>
      <c r="AO156" s="42"/>
      <c r="AP156" s="42"/>
      <c r="AQ156" s="43" t="s">
        <v>194</v>
      </c>
      <c r="AR156" s="42"/>
      <c r="AS156" s="42"/>
    </row>
    <row r="157" spans="1:45" ht="15" customHeight="1">
      <c r="A157" s="65" t="s">
        <v>57</v>
      </c>
      <c r="B157" s="22" t="s">
        <v>83</v>
      </c>
      <c r="C157" s="21" t="s">
        <v>58</v>
      </c>
      <c r="D157" s="22" t="s">
        <v>85</v>
      </c>
      <c r="E157" s="66" t="s">
        <v>112</v>
      </c>
      <c r="F157" s="65" t="s">
        <v>113</v>
      </c>
      <c r="G157" s="26" t="s">
        <v>62</v>
      </c>
      <c r="H157" s="73" t="s">
        <v>189</v>
      </c>
      <c r="I157" s="26" t="s">
        <v>64</v>
      </c>
      <c r="J157" s="46" t="s">
        <v>258</v>
      </c>
      <c r="K157" s="47"/>
      <c r="L157" s="48"/>
      <c r="M157" s="49">
        <v>45097</v>
      </c>
      <c r="N157" s="47" t="s">
        <v>66</v>
      </c>
      <c r="O157" s="61">
        <v>600</v>
      </c>
      <c r="P157" s="51">
        <v>1</v>
      </c>
      <c r="Q157" s="51">
        <f>ROUND(O157*P157,2)</f>
        <v>600</v>
      </c>
      <c r="R157" s="31">
        <v>202310</v>
      </c>
      <c r="S157" s="64" t="s">
        <v>280</v>
      </c>
      <c r="T157" s="33"/>
      <c r="U157" s="32"/>
      <c r="V157" s="33"/>
      <c r="W157" s="67"/>
      <c r="X157" s="67"/>
      <c r="Y157" s="36"/>
      <c r="Z157" s="36"/>
      <c r="AA157" s="36"/>
      <c r="AB157" s="36"/>
      <c r="AC157" s="36"/>
      <c r="AD157" s="36"/>
      <c r="AE157" s="36"/>
      <c r="AF157" s="53" t="s">
        <v>68</v>
      </c>
      <c r="AG157" s="42"/>
      <c r="AH157" s="42"/>
      <c r="AI157" s="43"/>
      <c r="AJ157" s="43"/>
      <c r="AK157" s="43"/>
      <c r="AL157" s="43"/>
      <c r="AM157" s="43"/>
      <c r="AN157" s="42"/>
      <c r="AO157" s="42"/>
      <c r="AP157" s="42"/>
      <c r="AQ157" s="43" t="s">
        <v>194</v>
      </c>
      <c r="AR157" s="42"/>
      <c r="AS157" s="42"/>
    </row>
    <row r="158" spans="1:45" ht="15" customHeight="1">
      <c r="A158" s="65" t="s">
        <v>57</v>
      </c>
      <c r="B158" s="22" t="s">
        <v>83</v>
      </c>
      <c r="C158" s="21" t="s">
        <v>58</v>
      </c>
      <c r="D158" s="22" t="s">
        <v>85</v>
      </c>
      <c r="E158" s="66" t="s">
        <v>112</v>
      </c>
      <c r="F158" s="65" t="s">
        <v>113</v>
      </c>
      <c r="G158" s="26" t="s">
        <v>62</v>
      </c>
      <c r="H158" s="73" t="s">
        <v>189</v>
      </c>
      <c r="I158" s="26" t="s">
        <v>64</v>
      </c>
      <c r="J158" s="46" t="s">
        <v>260</v>
      </c>
      <c r="K158" s="47"/>
      <c r="L158" s="48"/>
      <c r="M158" s="49">
        <v>45128</v>
      </c>
      <c r="N158" s="47" t="s">
        <v>66</v>
      </c>
      <c r="O158" s="61">
        <v>600</v>
      </c>
      <c r="P158" s="51">
        <v>1</v>
      </c>
      <c r="Q158" s="30">
        <f t="shared" ref="Q158:Q159" si="5">ROUND(O158*P158,2)</f>
        <v>600</v>
      </c>
      <c r="R158" s="31">
        <v>202310</v>
      </c>
      <c r="S158" s="64" t="s">
        <v>281</v>
      </c>
      <c r="T158" s="33"/>
      <c r="U158" s="32"/>
      <c r="V158" s="33"/>
      <c r="W158" s="67"/>
      <c r="X158" s="67"/>
      <c r="Y158" s="36"/>
      <c r="Z158" s="36"/>
      <c r="AA158" s="36"/>
      <c r="AB158" s="36"/>
      <c r="AC158" s="36"/>
      <c r="AD158" s="36"/>
      <c r="AE158" s="36"/>
      <c r="AF158" s="53" t="s">
        <v>68</v>
      </c>
      <c r="AG158" s="42"/>
      <c r="AH158" s="42"/>
      <c r="AI158" s="43"/>
      <c r="AJ158" s="43"/>
      <c r="AK158" s="43"/>
      <c r="AL158" s="43"/>
      <c r="AM158" s="43"/>
      <c r="AN158" s="42"/>
      <c r="AO158" s="42"/>
      <c r="AP158" s="42"/>
      <c r="AQ158" s="43"/>
      <c r="AR158" s="42"/>
      <c r="AS158" s="42"/>
    </row>
    <row r="159" spans="1:45" ht="15" customHeight="1">
      <c r="A159" s="65" t="s">
        <v>57</v>
      </c>
      <c r="B159" s="22" t="s">
        <v>83</v>
      </c>
      <c r="C159" s="21" t="s">
        <v>58</v>
      </c>
      <c r="D159" s="22" t="s">
        <v>85</v>
      </c>
      <c r="E159" s="66" t="s">
        <v>112</v>
      </c>
      <c r="F159" s="65" t="s">
        <v>113</v>
      </c>
      <c r="G159" s="26" t="s">
        <v>62</v>
      </c>
      <c r="H159" s="73" t="s">
        <v>189</v>
      </c>
      <c r="I159" s="26" t="s">
        <v>64</v>
      </c>
      <c r="J159" s="46" t="s">
        <v>258</v>
      </c>
      <c r="K159" s="47"/>
      <c r="L159" s="48"/>
      <c r="M159" s="49">
        <v>45128</v>
      </c>
      <c r="N159" s="47" t="s">
        <v>66</v>
      </c>
      <c r="O159" s="61">
        <v>600</v>
      </c>
      <c r="P159" s="51">
        <v>1</v>
      </c>
      <c r="Q159" s="30">
        <f t="shared" si="5"/>
        <v>600</v>
      </c>
      <c r="R159" s="31">
        <v>202310</v>
      </c>
      <c r="S159" s="32" t="s">
        <v>282</v>
      </c>
      <c r="T159" s="33"/>
      <c r="U159" s="32"/>
      <c r="V159" s="33"/>
      <c r="W159" s="67"/>
      <c r="X159" s="67"/>
      <c r="Y159" s="36"/>
      <c r="Z159" s="36"/>
      <c r="AA159" s="36"/>
      <c r="AB159" s="36"/>
      <c r="AC159" s="36"/>
      <c r="AD159" s="36"/>
      <c r="AE159" s="36"/>
      <c r="AF159" s="53" t="s">
        <v>68</v>
      </c>
      <c r="AG159" s="42"/>
      <c r="AH159" s="42"/>
      <c r="AI159" s="43"/>
      <c r="AJ159" s="43"/>
      <c r="AK159" s="43"/>
      <c r="AL159" s="43"/>
      <c r="AM159" s="43"/>
      <c r="AN159" s="42"/>
      <c r="AO159" s="42"/>
      <c r="AP159" s="42"/>
      <c r="AQ159" s="43"/>
      <c r="AR159" s="42"/>
      <c r="AS159" s="42"/>
    </row>
    <row r="160" spans="1:45" ht="15" customHeight="1">
      <c r="A160" s="20" t="s">
        <v>57</v>
      </c>
      <c r="B160" s="21" t="s">
        <v>83</v>
      </c>
      <c r="C160" s="20" t="s">
        <v>58</v>
      </c>
      <c r="D160" s="22" t="s">
        <v>85</v>
      </c>
      <c r="E160" s="58" t="s">
        <v>112</v>
      </c>
      <c r="F160" s="56" t="s">
        <v>113</v>
      </c>
      <c r="G160" s="47" t="s">
        <v>77</v>
      </c>
      <c r="H160" s="45" t="s">
        <v>189</v>
      </c>
      <c r="I160" s="24" t="s">
        <v>174</v>
      </c>
      <c r="J160" s="47" t="s">
        <v>283</v>
      </c>
      <c r="K160" s="47"/>
      <c r="L160" s="48" t="s">
        <v>176</v>
      </c>
      <c r="M160" s="49">
        <v>45010</v>
      </c>
      <c r="N160" s="47" t="s">
        <v>177</v>
      </c>
      <c r="O160" s="50">
        <v>6900</v>
      </c>
      <c r="P160" s="50">
        <v>144</v>
      </c>
      <c r="Q160" s="51">
        <f t="shared" si="4"/>
        <v>993600</v>
      </c>
      <c r="R160" s="69">
        <v>202310</v>
      </c>
      <c r="S160" s="42" t="s">
        <v>284</v>
      </c>
      <c r="T160" s="32"/>
      <c r="U160" s="32"/>
      <c r="V160" s="46"/>
      <c r="W160" s="52"/>
      <c r="X160" s="52"/>
      <c r="Y160" s="36"/>
      <c r="Z160" s="36"/>
      <c r="AA160" s="36"/>
      <c r="AB160" s="36"/>
      <c r="AC160" s="36"/>
      <c r="AD160" s="36"/>
      <c r="AE160" s="36"/>
      <c r="AF160" s="53" t="s">
        <v>68</v>
      </c>
      <c r="AG160" s="42"/>
      <c r="AH160" s="43"/>
      <c r="AI160" s="43"/>
      <c r="AJ160" s="43"/>
      <c r="AK160" s="43"/>
      <c r="AL160" s="43"/>
      <c r="AM160" s="43"/>
      <c r="AN160" s="42"/>
      <c r="AO160" s="42"/>
      <c r="AP160" s="42"/>
      <c r="AQ160" s="43"/>
      <c r="AR160" s="42"/>
      <c r="AS160" s="42"/>
    </row>
    <row r="161" spans="1:45" ht="15" customHeight="1">
      <c r="A161" s="20" t="s">
        <v>57</v>
      </c>
      <c r="B161" s="21" t="s">
        <v>83</v>
      </c>
      <c r="C161" s="20" t="s">
        <v>58</v>
      </c>
      <c r="D161" s="22" t="s">
        <v>85</v>
      </c>
      <c r="E161" s="58" t="s">
        <v>112</v>
      </c>
      <c r="F161" s="56" t="s">
        <v>113</v>
      </c>
      <c r="G161" s="47" t="s">
        <v>77</v>
      </c>
      <c r="H161" s="45" t="s">
        <v>189</v>
      </c>
      <c r="I161" s="24" t="s">
        <v>174</v>
      </c>
      <c r="J161" s="47" t="s">
        <v>283</v>
      </c>
      <c r="K161" s="47"/>
      <c r="L161" s="48" t="s">
        <v>176</v>
      </c>
      <c r="M161" s="49">
        <v>45010</v>
      </c>
      <c r="N161" s="47" t="s">
        <v>182</v>
      </c>
      <c r="O161" s="50">
        <v>13000</v>
      </c>
      <c r="P161" s="50">
        <v>10</v>
      </c>
      <c r="Q161" s="51">
        <f t="shared" si="4"/>
        <v>130000</v>
      </c>
      <c r="R161" s="69">
        <v>202310</v>
      </c>
      <c r="S161" s="42" t="s">
        <v>285</v>
      </c>
      <c r="T161" s="32"/>
      <c r="U161" s="32"/>
      <c r="V161" s="46"/>
      <c r="W161" s="52"/>
      <c r="X161" s="52"/>
      <c r="Y161" s="36"/>
      <c r="Z161" s="36"/>
      <c r="AA161" s="36"/>
      <c r="AB161" s="36"/>
      <c r="AC161" s="36"/>
      <c r="AD161" s="36"/>
      <c r="AE161" s="36"/>
      <c r="AF161" s="53" t="s">
        <v>68</v>
      </c>
      <c r="AG161" s="42"/>
      <c r="AH161" s="43"/>
      <c r="AI161" s="43"/>
      <c r="AJ161" s="43"/>
      <c r="AK161" s="43"/>
      <c r="AL161" s="43"/>
      <c r="AM161" s="43"/>
      <c r="AN161" s="42"/>
      <c r="AO161" s="42"/>
      <c r="AP161" s="42"/>
      <c r="AQ161" s="43"/>
      <c r="AR161" s="42"/>
      <c r="AS161" s="42"/>
    </row>
    <row r="162" spans="1:45" ht="15" customHeight="1">
      <c r="A162" s="20" t="s">
        <v>57</v>
      </c>
      <c r="B162" s="22" t="s">
        <v>83</v>
      </c>
      <c r="C162" s="22" t="s">
        <v>58</v>
      </c>
      <c r="D162" s="22" t="s">
        <v>85</v>
      </c>
      <c r="E162" s="23" t="s">
        <v>286</v>
      </c>
      <c r="F162" s="20" t="s">
        <v>287</v>
      </c>
      <c r="G162" s="26" t="s">
        <v>77</v>
      </c>
      <c r="H162" s="45" t="s">
        <v>288</v>
      </c>
      <c r="I162" s="26" t="s">
        <v>78</v>
      </c>
      <c r="J162" s="46" t="s">
        <v>58</v>
      </c>
      <c r="K162" s="47"/>
      <c r="L162" s="48" t="s">
        <v>289</v>
      </c>
      <c r="M162" s="49">
        <v>43346</v>
      </c>
      <c r="N162" s="47" t="s">
        <v>290</v>
      </c>
      <c r="O162" s="50">
        <v>5195</v>
      </c>
      <c r="P162" s="51">
        <v>24</v>
      </c>
      <c r="Q162" s="51">
        <f t="shared" ref="Q162:Q168" si="6">O162*P162</f>
        <v>124680</v>
      </c>
      <c r="R162" s="31">
        <v>202310</v>
      </c>
      <c r="S162" s="32"/>
      <c r="T162" s="32"/>
      <c r="U162" s="79"/>
      <c r="V162" s="32"/>
      <c r="W162" s="42"/>
      <c r="X162" s="42"/>
      <c r="Y162" s="36"/>
      <c r="Z162" s="36"/>
      <c r="AA162" s="36"/>
      <c r="AB162" s="36"/>
      <c r="AC162" s="36"/>
      <c r="AD162" s="36"/>
      <c r="AE162" s="36"/>
      <c r="AF162" s="53" t="s">
        <v>68</v>
      </c>
      <c r="AG162" s="42"/>
      <c r="AH162" s="42"/>
      <c r="AI162" s="43"/>
      <c r="AJ162" s="43"/>
      <c r="AK162" s="43"/>
      <c r="AL162" s="43"/>
      <c r="AM162" s="43"/>
      <c r="AN162" s="42"/>
      <c r="AO162" s="42"/>
      <c r="AP162" s="42"/>
      <c r="AQ162" s="43" t="s">
        <v>92</v>
      </c>
      <c r="AR162" s="42"/>
      <c r="AS162" s="42"/>
    </row>
    <row r="163" spans="1:45" ht="15" customHeight="1">
      <c r="A163" s="20" t="s">
        <v>57</v>
      </c>
      <c r="B163" s="22" t="s">
        <v>83</v>
      </c>
      <c r="C163" s="22" t="s">
        <v>58</v>
      </c>
      <c r="D163" s="22" t="s">
        <v>85</v>
      </c>
      <c r="E163" s="23" t="s">
        <v>286</v>
      </c>
      <c r="F163" s="20" t="s">
        <v>287</v>
      </c>
      <c r="G163" s="26" t="s">
        <v>77</v>
      </c>
      <c r="H163" s="45" t="s">
        <v>288</v>
      </c>
      <c r="I163" s="26" t="s">
        <v>78</v>
      </c>
      <c r="J163" s="46" t="s">
        <v>58</v>
      </c>
      <c r="K163" s="47"/>
      <c r="L163" s="48" t="s">
        <v>289</v>
      </c>
      <c r="M163" s="49">
        <v>43346</v>
      </c>
      <c r="N163" s="47" t="s">
        <v>177</v>
      </c>
      <c r="O163" s="50">
        <v>7422</v>
      </c>
      <c r="P163" s="51">
        <v>6</v>
      </c>
      <c r="Q163" s="51">
        <f t="shared" si="6"/>
        <v>44532</v>
      </c>
      <c r="R163" s="31">
        <v>202310</v>
      </c>
      <c r="S163" s="32"/>
      <c r="T163" s="32"/>
      <c r="U163" s="79"/>
      <c r="V163" s="32"/>
      <c r="W163" s="42"/>
      <c r="X163" s="42"/>
      <c r="Y163" s="36"/>
      <c r="Z163" s="36"/>
      <c r="AA163" s="36"/>
      <c r="AB163" s="36"/>
      <c r="AC163" s="36"/>
      <c r="AD163" s="36"/>
      <c r="AE163" s="36"/>
      <c r="AF163" s="53" t="s">
        <v>68</v>
      </c>
      <c r="AG163" s="42"/>
      <c r="AH163" s="42"/>
      <c r="AI163" s="43"/>
      <c r="AJ163" s="43"/>
      <c r="AK163" s="43"/>
      <c r="AL163" s="43"/>
      <c r="AM163" s="43"/>
      <c r="AN163" s="42"/>
      <c r="AO163" s="42"/>
      <c r="AP163" s="42"/>
      <c r="AQ163" s="43" t="s">
        <v>92</v>
      </c>
      <c r="AR163" s="42"/>
      <c r="AS163" s="42"/>
    </row>
    <row r="164" spans="1:45" ht="15" customHeight="1">
      <c r="A164" s="20" t="s">
        <v>57</v>
      </c>
      <c r="B164" s="22" t="s">
        <v>83</v>
      </c>
      <c r="C164" s="22" t="s">
        <v>58</v>
      </c>
      <c r="D164" s="22" t="s">
        <v>85</v>
      </c>
      <c r="E164" s="23" t="s">
        <v>286</v>
      </c>
      <c r="F164" s="20" t="s">
        <v>287</v>
      </c>
      <c r="G164" s="26" t="s">
        <v>77</v>
      </c>
      <c r="H164" s="45" t="s">
        <v>288</v>
      </c>
      <c r="I164" s="26" t="s">
        <v>78</v>
      </c>
      <c r="J164" s="46" t="s">
        <v>58</v>
      </c>
      <c r="K164" s="47"/>
      <c r="L164" s="48" t="s">
        <v>289</v>
      </c>
      <c r="M164" s="49">
        <v>43346</v>
      </c>
      <c r="N164" s="47" t="s">
        <v>291</v>
      </c>
      <c r="O164" s="50">
        <v>11132</v>
      </c>
      <c r="P164" s="51">
        <v>6</v>
      </c>
      <c r="Q164" s="51">
        <f t="shared" si="6"/>
        <v>66792</v>
      </c>
      <c r="R164" s="31">
        <v>202310</v>
      </c>
      <c r="S164" s="32"/>
      <c r="T164" s="32"/>
      <c r="U164" s="79"/>
      <c r="V164" s="32"/>
      <c r="W164" s="42"/>
      <c r="X164" s="42"/>
      <c r="Y164" s="36"/>
      <c r="Z164" s="36"/>
      <c r="AA164" s="36"/>
      <c r="AB164" s="36"/>
      <c r="AC164" s="36"/>
      <c r="AD164" s="36"/>
      <c r="AE164" s="36"/>
      <c r="AF164" s="53" t="s">
        <v>68</v>
      </c>
      <c r="AG164" s="42"/>
      <c r="AH164" s="42"/>
      <c r="AI164" s="43"/>
      <c r="AJ164" s="43"/>
      <c r="AK164" s="43"/>
      <c r="AL164" s="43"/>
      <c r="AM164" s="43"/>
      <c r="AN164" s="42"/>
      <c r="AO164" s="42"/>
      <c r="AP164" s="42"/>
      <c r="AQ164" s="43" t="s">
        <v>92</v>
      </c>
      <c r="AR164" s="42"/>
      <c r="AS164" s="42"/>
    </row>
    <row r="165" spans="1:45" ht="15" customHeight="1">
      <c r="A165" s="20" t="s">
        <v>57</v>
      </c>
      <c r="B165" s="22" t="s">
        <v>83</v>
      </c>
      <c r="C165" s="22" t="s">
        <v>58</v>
      </c>
      <c r="D165" s="22" t="s">
        <v>85</v>
      </c>
      <c r="E165" s="23" t="s">
        <v>286</v>
      </c>
      <c r="F165" s="20" t="s">
        <v>287</v>
      </c>
      <c r="G165" s="26" t="s">
        <v>77</v>
      </c>
      <c r="H165" s="45" t="s">
        <v>288</v>
      </c>
      <c r="I165" s="26" t="s">
        <v>78</v>
      </c>
      <c r="J165" s="46" t="s">
        <v>58</v>
      </c>
      <c r="K165" s="47"/>
      <c r="L165" s="48" t="s">
        <v>289</v>
      </c>
      <c r="M165" s="49">
        <v>43346</v>
      </c>
      <c r="N165" s="47" t="s">
        <v>182</v>
      </c>
      <c r="O165" s="50">
        <v>14842</v>
      </c>
      <c r="P165" s="51">
        <v>2</v>
      </c>
      <c r="Q165" s="51">
        <f t="shared" si="6"/>
        <v>29684</v>
      </c>
      <c r="R165" s="31">
        <v>202310</v>
      </c>
      <c r="S165" s="32"/>
      <c r="T165" s="32"/>
      <c r="U165" s="79"/>
      <c r="V165" s="32"/>
      <c r="W165" s="42"/>
      <c r="X165" s="42"/>
      <c r="Y165" s="36"/>
      <c r="Z165" s="36"/>
      <c r="AA165" s="36"/>
      <c r="AB165" s="36"/>
      <c r="AC165" s="36"/>
      <c r="AD165" s="36"/>
      <c r="AE165" s="36"/>
      <c r="AF165" s="53" t="s">
        <v>68</v>
      </c>
      <c r="AG165" s="42"/>
      <c r="AH165" s="42"/>
      <c r="AI165" s="43"/>
      <c r="AJ165" s="43"/>
      <c r="AK165" s="43"/>
      <c r="AL165" s="43"/>
      <c r="AM165" s="43"/>
      <c r="AN165" s="42"/>
      <c r="AO165" s="42"/>
      <c r="AP165" s="42"/>
      <c r="AQ165" s="43" t="s">
        <v>92</v>
      </c>
      <c r="AR165" s="42"/>
      <c r="AS165" s="42"/>
    </row>
    <row r="166" spans="1:45" ht="15" customHeight="1">
      <c r="A166" s="20" t="s">
        <v>57</v>
      </c>
      <c r="B166" s="22" t="s">
        <v>83</v>
      </c>
      <c r="C166" s="22" t="s">
        <v>58</v>
      </c>
      <c r="D166" s="22" t="s">
        <v>85</v>
      </c>
      <c r="E166" s="23" t="s">
        <v>286</v>
      </c>
      <c r="F166" s="20" t="s">
        <v>287</v>
      </c>
      <c r="G166" s="26" t="s">
        <v>77</v>
      </c>
      <c r="H166" s="45" t="s">
        <v>288</v>
      </c>
      <c r="I166" s="26" t="s">
        <v>78</v>
      </c>
      <c r="J166" s="46" t="s">
        <v>58</v>
      </c>
      <c r="K166" s="47"/>
      <c r="L166" s="48" t="s">
        <v>289</v>
      </c>
      <c r="M166" s="49">
        <v>43689</v>
      </c>
      <c r="N166" s="47" t="s">
        <v>290</v>
      </c>
      <c r="O166" s="50">
        <v>5195</v>
      </c>
      <c r="P166" s="51">
        <v>5</v>
      </c>
      <c r="Q166" s="51">
        <f t="shared" si="6"/>
        <v>25975</v>
      </c>
      <c r="R166" s="31">
        <v>202310</v>
      </c>
      <c r="S166" s="32"/>
      <c r="T166" s="32"/>
      <c r="U166" s="79"/>
      <c r="V166" s="32"/>
      <c r="W166" s="42"/>
      <c r="X166" s="42"/>
      <c r="Y166" s="36"/>
      <c r="Z166" s="36"/>
      <c r="AA166" s="36"/>
      <c r="AB166" s="36"/>
      <c r="AC166" s="36"/>
      <c r="AD166" s="36"/>
      <c r="AE166" s="36"/>
      <c r="AF166" s="53" t="s">
        <v>68</v>
      </c>
      <c r="AG166" s="42"/>
      <c r="AH166" s="42"/>
      <c r="AI166" s="43"/>
      <c r="AJ166" s="43"/>
      <c r="AK166" s="43"/>
      <c r="AL166" s="43"/>
      <c r="AM166" s="43"/>
      <c r="AN166" s="42"/>
      <c r="AO166" s="42"/>
      <c r="AP166" s="42"/>
      <c r="AQ166" s="43" t="s">
        <v>92</v>
      </c>
      <c r="AR166" s="42"/>
      <c r="AS166" s="42"/>
    </row>
    <row r="167" spans="1:45" ht="15" customHeight="1">
      <c r="A167" s="20" t="s">
        <v>57</v>
      </c>
      <c r="B167" s="22" t="s">
        <v>83</v>
      </c>
      <c r="C167" s="22" t="s">
        <v>58</v>
      </c>
      <c r="D167" s="22" t="s">
        <v>85</v>
      </c>
      <c r="E167" s="23" t="s">
        <v>286</v>
      </c>
      <c r="F167" s="20" t="s">
        <v>287</v>
      </c>
      <c r="G167" s="26" t="s">
        <v>77</v>
      </c>
      <c r="H167" s="45" t="s">
        <v>288</v>
      </c>
      <c r="I167" s="26" t="s">
        <v>78</v>
      </c>
      <c r="J167" s="46" t="s">
        <v>58</v>
      </c>
      <c r="K167" s="47"/>
      <c r="L167" s="48" t="s">
        <v>289</v>
      </c>
      <c r="M167" s="49">
        <v>43914</v>
      </c>
      <c r="N167" s="47" t="s">
        <v>290</v>
      </c>
      <c r="O167" s="50">
        <v>5195</v>
      </c>
      <c r="P167" s="51">
        <v>10</v>
      </c>
      <c r="Q167" s="51">
        <f t="shared" si="6"/>
        <v>51950</v>
      </c>
      <c r="R167" s="31">
        <v>202310</v>
      </c>
      <c r="S167" s="32"/>
      <c r="T167" s="32"/>
      <c r="U167" s="79"/>
      <c r="V167" s="32"/>
      <c r="W167" s="42"/>
      <c r="X167" s="42"/>
      <c r="Y167" s="36"/>
      <c r="Z167" s="36"/>
      <c r="AA167" s="36"/>
      <c r="AB167" s="36"/>
      <c r="AC167" s="36"/>
      <c r="AD167" s="36"/>
      <c r="AE167" s="36"/>
      <c r="AF167" s="53" t="s">
        <v>68</v>
      </c>
      <c r="AG167" s="42"/>
      <c r="AH167" s="42"/>
      <c r="AI167" s="43"/>
      <c r="AJ167" s="43"/>
      <c r="AK167" s="43"/>
      <c r="AL167" s="43"/>
      <c r="AM167" s="43"/>
      <c r="AN167" s="42"/>
      <c r="AO167" s="42"/>
      <c r="AP167" s="42"/>
      <c r="AQ167" s="43" t="s">
        <v>92</v>
      </c>
      <c r="AR167" s="42"/>
      <c r="AS167" s="42"/>
    </row>
    <row r="168" spans="1:45" ht="15" customHeight="1">
      <c r="A168" s="20" t="s">
        <v>57</v>
      </c>
      <c r="B168" s="22" t="s">
        <v>83</v>
      </c>
      <c r="C168" s="22" t="s">
        <v>58</v>
      </c>
      <c r="D168" s="22" t="s">
        <v>85</v>
      </c>
      <c r="E168" s="23" t="s">
        <v>286</v>
      </c>
      <c r="F168" s="20" t="s">
        <v>287</v>
      </c>
      <c r="G168" s="26" t="s">
        <v>77</v>
      </c>
      <c r="H168" s="45" t="s">
        <v>288</v>
      </c>
      <c r="I168" s="26" t="s">
        <v>78</v>
      </c>
      <c r="J168" s="46" t="s">
        <v>58</v>
      </c>
      <c r="K168" s="47"/>
      <c r="L168" s="48" t="s">
        <v>289</v>
      </c>
      <c r="M168" s="49">
        <v>43938</v>
      </c>
      <c r="N168" s="47" t="s">
        <v>290</v>
      </c>
      <c r="O168" s="50">
        <v>5195</v>
      </c>
      <c r="P168" s="51">
        <v>1</v>
      </c>
      <c r="Q168" s="51">
        <f t="shared" si="6"/>
        <v>5195</v>
      </c>
      <c r="R168" s="31">
        <v>202310</v>
      </c>
      <c r="S168" s="32"/>
      <c r="T168" s="32"/>
      <c r="U168" s="79"/>
      <c r="V168" s="32"/>
      <c r="W168" s="42"/>
      <c r="X168" s="42"/>
      <c r="Y168" s="36"/>
      <c r="Z168" s="36"/>
      <c r="AA168" s="36"/>
      <c r="AB168" s="36"/>
      <c r="AC168" s="36"/>
      <c r="AD168" s="36"/>
      <c r="AE168" s="36"/>
      <c r="AF168" s="53" t="s">
        <v>68</v>
      </c>
      <c r="AG168" s="42"/>
      <c r="AH168" s="42"/>
      <c r="AI168" s="43"/>
      <c r="AJ168" s="43"/>
      <c r="AK168" s="43"/>
      <c r="AL168" s="43"/>
      <c r="AM168" s="43"/>
      <c r="AN168" s="42"/>
      <c r="AO168" s="42"/>
      <c r="AP168" s="42"/>
      <c r="AQ168" s="43" t="s">
        <v>92</v>
      </c>
      <c r="AR168" s="42"/>
      <c r="AS168" s="42"/>
    </row>
    <row r="169" spans="1:45" ht="15" customHeight="1">
      <c r="A169" s="20" t="s">
        <v>57</v>
      </c>
      <c r="B169" s="22" t="s">
        <v>83</v>
      </c>
      <c r="C169" s="22" t="s">
        <v>58</v>
      </c>
      <c r="D169" s="22" t="s">
        <v>85</v>
      </c>
      <c r="E169" s="23" t="s">
        <v>286</v>
      </c>
      <c r="F169" s="20" t="s">
        <v>287</v>
      </c>
      <c r="G169" s="26" t="s">
        <v>77</v>
      </c>
      <c r="H169" s="45" t="s">
        <v>288</v>
      </c>
      <c r="I169" s="26" t="s">
        <v>78</v>
      </c>
      <c r="J169" s="46" t="s">
        <v>58</v>
      </c>
      <c r="K169" s="47"/>
      <c r="L169" s="48" t="s">
        <v>289</v>
      </c>
      <c r="M169" s="49">
        <v>44410</v>
      </c>
      <c r="N169" s="47" t="s">
        <v>290</v>
      </c>
      <c r="O169" s="50">
        <v>5195</v>
      </c>
      <c r="P169" s="51">
        <v>3</v>
      </c>
      <c r="Q169" s="51">
        <f>ROUND(O169*P169,2)</f>
        <v>15585</v>
      </c>
      <c r="R169" s="31">
        <v>202310</v>
      </c>
      <c r="S169" s="32" t="s">
        <v>292</v>
      </c>
      <c r="T169" s="32"/>
      <c r="U169" s="79"/>
      <c r="V169" s="32"/>
      <c r="W169" s="42"/>
      <c r="X169" s="42"/>
      <c r="Y169" s="36"/>
      <c r="Z169" s="36"/>
      <c r="AA169" s="36"/>
      <c r="AB169" s="36"/>
      <c r="AC169" s="36"/>
      <c r="AD169" s="36"/>
      <c r="AE169" s="36"/>
      <c r="AF169" s="53" t="s">
        <v>68</v>
      </c>
      <c r="AG169" s="42"/>
      <c r="AH169" s="42"/>
      <c r="AI169" s="43"/>
      <c r="AJ169" s="43"/>
      <c r="AK169" s="43"/>
      <c r="AL169" s="43"/>
      <c r="AM169" s="43"/>
      <c r="AN169" s="42"/>
      <c r="AO169" s="42"/>
      <c r="AP169" s="42"/>
      <c r="AQ169" s="43" t="s">
        <v>92</v>
      </c>
      <c r="AR169" s="42"/>
      <c r="AS169" s="42"/>
    </row>
    <row r="170" spans="1:45" ht="15" customHeight="1">
      <c r="A170" s="20" t="s">
        <v>57</v>
      </c>
      <c r="B170" s="22" t="s">
        <v>83</v>
      </c>
      <c r="C170" s="22" t="s">
        <v>58</v>
      </c>
      <c r="D170" s="22" t="s">
        <v>85</v>
      </c>
      <c r="E170" s="23" t="s">
        <v>286</v>
      </c>
      <c r="F170" s="20" t="s">
        <v>287</v>
      </c>
      <c r="G170" s="26" t="s">
        <v>77</v>
      </c>
      <c r="H170" s="45" t="s">
        <v>288</v>
      </c>
      <c r="I170" s="26" t="s">
        <v>78</v>
      </c>
      <c r="J170" s="46" t="s">
        <v>58</v>
      </c>
      <c r="K170" s="47"/>
      <c r="L170" s="48" t="s">
        <v>289</v>
      </c>
      <c r="M170" s="49">
        <v>44494</v>
      </c>
      <c r="N170" s="47" t="s">
        <v>290</v>
      </c>
      <c r="O170" s="50">
        <v>5195</v>
      </c>
      <c r="P170" s="51">
        <v>3</v>
      </c>
      <c r="Q170" s="51">
        <f>ROUND(O170*P170,2)</f>
        <v>15585</v>
      </c>
      <c r="R170" s="31">
        <v>202310</v>
      </c>
      <c r="S170" s="32" t="s">
        <v>293</v>
      </c>
      <c r="T170" s="32"/>
      <c r="U170" s="79"/>
      <c r="V170" s="32"/>
      <c r="W170" s="42"/>
      <c r="X170" s="42"/>
      <c r="Y170" s="36"/>
      <c r="Z170" s="36"/>
      <c r="AA170" s="36"/>
      <c r="AB170" s="36"/>
      <c r="AC170" s="36"/>
      <c r="AD170" s="36"/>
      <c r="AE170" s="36"/>
      <c r="AF170" s="53" t="s">
        <v>68</v>
      </c>
      <c r="AG170" s="42"/>
      <c r="AH170" s="42"/>
      <c r="AI170" s="43"/>
      <c r="AJ170" s="43"/>
      <c r="AK170" s="43"/>
      <c r="AL170" s="43"/>
      <c r="AM170" s="43"/>
      <c r="AN170" s="42"/>
      <c r="AO170" s="42"/>
      <c r="AP170" s="42"/>
      <c r="AQ170" s="43" t="s">
        <v>92</v>
      </c>
      <c r="AR170" s="42"/>
      <c r="AS170" s="42"/>
    </row>
    <row r="171" spans="1:45" ht="15" customHeight="1">
      <c r="A171" s="20" t="s">
        <v>57</v>
      </c>
      <c r="B171" s="22" t="s">
        <v>83</v>
      </c>
      <c r="C171" s="22" t="s">
        <v>58</v>
      </c>
      <c r="D171" s="22" t="s">
        <v>85</v>
      </c>
      <c r="E171" s="23" t="s">
        <v>286</v>
      </c>
      <c r="F171" s="20" t="s">
        <v>287</v>
      </c>
      <c r="G171" s="26" t="s">
        <v>77</v>
      </c>
      <c r="H171" s="45" t="s">
        <v>288</v>
      </c>
      <c r="I171" s="26" t="s">
        <v>78</v>
      </c>
      <c r="J171" s="46" t="s">
        <v>58</v>
      </c>
      <c r="K171" s="47"/>
      <c r="L171" s="48" t="s">
        <v>289</v>
      </c>
      <c r="M171" s="49">
        <v>44537</v>
      </c>
      <c r="N171" s="47" t="s">
        <v>290</v>
      </c>
      <c r="O171" s="50">
        <v>5195</v>
      </c>
      <c r="P171" s="51">
        <v>3</v>
      </c>
      <c r="Q171" s="51">
        <f>ROUND(O171*P171,2)</f>
        <v>15585</v>
      </c>
      <c r="R171" s="31">
        <v>202310</v>
      </c>
      <c r="S171" s="32" t="s">
        <v>294</v>
      </c>
      <c r="T171" s="32"/>
      <c r="U171" s="79" t="s">
        <v>295</v>
      </c>
      <c r="V171" s="32"/>
      <c r="W171" s="42"/>
      <c r="X171" s="42"/>
      <c r="Y171" s="36"/>
      <c r="Z171" s="36"/>
      <c r="AA171" s="36"/>
      <c r="AB171" s="36"/>
      <c r="AC171" s="36"/>
      <c r="AD171" s="36"/>
      <c r="AE171" s="36"/>
      <c r="AF171" s="53" t="s">
        <v>68</v>
      </c>
      <c r="AG171" s="42"/>
      <c r="AH171" s="42"/>
      <c r="AI171" s="43"/>
      <c r="AJ171" s="43"/>
      <c r="AK171" s="43"/>
      <c r="AL171" s="43"/>
      <c r="AM171" s="43"/>
      <c r="AN171" s="42"/>
      <c r="AO171" s="42"/>
      <c r="AP171" s="42"/>
      <c r="AQ171" s="43" t="s">
        <v>92</v>
      </c>
      <c r="AR171" s="42"/>
      <c r="AS171" s="42"/>
    </row>
    <row r="172" spans="1:45" ht="15" customHeight="1">
      <c r="A172" s="20" t="s">
        <v>57</v>
      </c>
      <c r="B172" s="22" t="s">
        <v>83</v>
      </c>
      <c r="C172" s="22" t="s">
        <v>58</v>
      </c>
      <c r="D172" s="22" t="s">
        <v>85</v>
      </c>
      <c r="E172" s="23" t="s">
        <v>286</v>
      </c>
      <c r="F172" s="20" t="s">
        <v>287</v>
      </c>
      <c r="G172" s="26" t="s">
        <v>77</v>
      </c>
      <c r="H172" s="45" t="s">
        <v>288</v>
      </c>
      <c r="I172" s="26" t="s">
        <v>78</v>
      </c>
      <c r="J172" s="46" t="s">
        <v>58</v>
      </c>
      <c r="K172" s="47"/>
      <c r="L172" s="48" t="s">
        <v>289</v>
      </c>
      <c r="M172" s="49">
        <v>44861</v>
      </c>
      <c r="N172" s="47" t="s">
        <v>290</v>
      </c>
      <c r="O172" s="50">
        <v>5195</v>
      </c>
      <c r="P172" s="51">
        <v>3</v>
      </c>
      <c r="Q172" s="51">
        <f>ROUND(O172*P172,2)</f>
        <v>15585</v>
      </c>
      <c r="R172" s="31">
        <v>202310</v>
      </c>
      <c r="S172" s="32" t="s">
        <v>296</v>
      </c>
      <c r="T172" s="32"/>
      <c r="U172" s="79"/>
      <c r="V172" s="32"/>
      <c r="W172" s="42"/>
      <c r="X172" s="42"/>
      <c r="Y172" s="36"/>
      <c r="Z172" s="36"/>
      <c r="AA172" s="36"/>
      <c r="AB172" s="36"/>
      <c r="AC172" s="36"/>
      <c r="AD172" s="36"/>
      <c r="AE172" s="36"/>
      <c r="AF172" s="53" t="s">
        <v>68</v>
      </c>
      <c r="AG172" s="42"/>
      <c r="AH172" s="42"/>
      <c r="AI172" s="43"/>
      <c r="AJ172" s="43"/>
      <c r="AK172" s="43"/>
      <c r="AL172" s="43"/>
      <c r="AM172" s="43"/>
      <c r="AN172" s="42"/>
      <c r="AO172" s="42"/>
      <c r="AP172" s="42"/>
      <c r="AQ172" s="43" t="s">
        <v>92</v>
      </c>
      <c r="AR172" s="42"/>
      <c r="AS172" s="42"/>
    </row>
    <row r="173" spans="1:45" ht="15" customHeight="1">
      <c r="A173" s="20" t="s">
        <v>57</v>
      </c>
      <c r="B173" s="22" t="s">
        <v>83</v>
      </c>
      <c r="C173" s="22" t="s">
        <v>58</v>
      </c>
      <c r="D173" s="22" t="s">
        <v>85</v>
      </c>
      <c r="E173" s="23" t="s">
        <v>286</v>
      </c>
      <c r="F173" s="20" t="s">
        <v>287</v>
      </c>
      <c r="G173" s="26" t="s">
        <v>297</v>
      </c>
      <c r="H173" s="45" t="s">
        <v>288</v>
      </c>
      <c r="I173" s="26" t="s">
        <v>298</v>
      </c>
      <c r="J173" s="46" t="s">
        <v>58</v>
      </c>
      <c r="K173" s="47"/>
      <c r="L173" s="48"/>
      <c r="M173" s="49">
        <v>43556</v>
      </c>
      <c r="N173" s="47" t="s">
        <v>298</v>
      </c>
      <c r="O173" s="50">
        <v>1984</v>
      </c>
      <c r="P173" s="51">
        <f>72-66</f>
        <v>6</v>
      </c>
      <c r="Q173" s="51">
        <f>ROUND(O173*P173,2)</f>
        <v>11904</v>
      </c>
      <c r="R173" s="31">
        <v>202310</v>
      </c>
      <c r="S173" s="32" t="s">
        <v>299</v>
      </c>
      <c r="T173" s="32"/>
      <c r="U173" s="79" t="s">
        <v>300</v>
      </c>
      <c r="V173" s="32"/>
      <c r="W173" s="42"/>
      <c r="X173" s="42"/>
      <c r="Y173" s="36"/>
      <c r="Z173" s="36"/>
      <c r="AA173" s="36"/>
      <c r="AB173" s="36"/>
      <c r="AC173" s="36"/>
      <c r="AD173" s="36"/>
      <c r="AE173" s="36"/>
      <c r="AF173" s="53" t="s">
        <v>68</v>
      </c>
      <c r="AG173" s="42"/>
      <c r="AH173" s="42"/>
      <c r="AI173" s="43"/>
      <c r="AJ173" s="43"/>
      <c r="AK173" s="43"/>
      <c r="AL173" s="43"/>
      <c r="AM173" s="43"/>
      <c r="AN173" s="42"/>
      <c r="AO173" s="42"/>
      <c r="AP173" s="42"/>
      <c r="AQ173" s="43" t="s">
        <v>92</v>
      </c>
      <c r="AR173" s="42"/>
      <c r="AS173" s="42"/>
    </row>
    <row r="174" spans="1:45" ht="15" customHeight="1">
      <c r="A174" s="20" t="s">
        <v>57</v>
      </c>
      <c r="B174" s="22" t="s">
        <v>83</v>
      </c>
      <c r="C174" s="22" t="s">
        <v>58</v>
      </c>
      <c r="D174" s="22" t="s">
        <v>85</v>
      </c>
      <c r="E174" s="23" t="s">
        <v>286</v>
      </c>
      <c r="F174" s="20" t="s">
        <v>287</v>
      </c>
      <c r="G174" s="26" t="s">
        <v>297</v>
      </c>
      <c r="H174" s="45" t="s">
        <v>301</v>
      </c>
      <c r="I174" s="26" t="s">
        <v>302</v>
      </c>
      <c r="J174" s="46" t="s">
        <v>58</v>
      </c>
      <c r="K174" s="47"/>
      <c r="L174" s="48"/>
      <c r="M174" s="49">
        <v>43539</v>
      </c>
      <c r="N174" s="47"/>
      <c r="O174" s="50">
        <v>416</v>
      </c>
      <c r="P174" s="51">
        <v>1</v>
      </c>
      <c r="Q174" s="51">
        <f>O174*P174</f>
        <v>416</v>
      </c>
      <c r="R174" s="31">
        <v>202310</v>
      </c>
      <c r="S174" s="32" t="s">
        <v>303</v>
      </c>
      <c r="T174" s="32" t="s">
        <v>304</v>
      </c>
      <c r="U174" s="79"/>
      <c r="V174" s="32"/>
      <c r="W174" s="42"/>
      <c r="X174" s="42"/>
      <c r="Y174" s="36"/>
      <c r="Z174" s="36"/>
      <c r="AA174" s="36"/>
      <c r="AB174" s="36"/>
      <c r="AC174" s="36"/>
      <c r="AD174" s="36"/>
      <c r="AE174" s="36"/>
      <c r="AF174" s="53" t="s">
        <v>68</v>
      </c>
      <c r="AG174" s="42"/>
      <c r="AH174" s="42"/>
      <c r="AI174" s="43"/>
      <c r="AJ174" s="43"/>
      <c r="AK174" s="43"/>
      <c r="AL174" s="43"/>
      <c r="AM174" s="43"/>
      <c r="AN174" s="42"/>
      <c r="AO174" s="42"/>
      <c r="AP174" s="42"/>
      <c r="AQ174" s="43" t="s">
        <v>92</v>
      </c>
      <c r="AR174" s="42"/>
      <c r="AS174" s="42"/>
    </row>
    <row r="175" spans="1:45" ht="15" customHeight="1">
      <c r="A175" s="20" t="s">
        <v>57</v>
      </c>
      <c r="B175" s="22" t="s">
        <v>83</v>
      </c>
      <c r="C175" s="22" t="s">
        <v>58</v>
      </c>
      <c r="D175" s="22" t="s">
        <v>85</v>
      </c>
      <c r="E175" s="23" t="s">
        <v>286</v>
      </c>
      <c r="F175" s="20" t="s">
        <v>287</v>
      </c>
      <c r="G175" s="26" t="s">
        <v>297</v>
      </c>
      <c r="H175" s="45" t="s">
        <v>301</v>
      </c>
      <c r="I175" s="26" t="s">
        <v>302</v>
      </c>
      <c r="J175" s="46" t="s">
        <v>58</v>
      </c>
      <c r="K175" s="47"/>
      <c r="L175" s="48"/>
      <c r="M175" s="49">
        <v>43600</v>
      </c>
      <c r="N175" s="47"/>
      <c r="O175" s="50">
        <v>416</v>
      </c>
      <c r="P175" s="51">
        <v>2</v>
      </c>
      <c r="Q175" s="51">
        <f>O175*P175</f>
        <v>832</v>
      </c>
      <c r="R175" s="31">
        <v>202310</v>
      </c>
      <c r="S175" s="32" t="s">
        <v>305</v>
      </c>
      <c r="T175" s="32" t="s">
        <v>304</v>
      </c>
      <c r="U175" s="79"/>
      <c r="V175" s="32"/>
      <c r="W175" s="42"/>
      <c r="X175" s="42"/>
      <c r="Y175" s="36"/>
      <c r="Z175" s="36"/>
      <c r="AA175" s="36"/>
      <c r="AB175" s="36"/>
      <c r="AC175" s="36"/>
      <c r="AD175" s="36"/>
      <c r="AE175" s="36"/>
      <c r="AF175" s="53" t="s">
        <v>68</v>
      </c>
      <c r="AG175" s="42"/>
      <c r="AH175" s="42"/>
      <c r="AI175" s="43"/>
      <c r="AJ175" s="43"/>
      <c r="AK175" s="43"/>
      <c r="AL175" s="43"/>
      <c r="AM175" s="43"/>
      <c r="AN175" s="42"/>
      <c r="AO175" s="42"/>
      <c r="AP175" s="42"/>
      <c r="AQ175" s="43" t="s">
        <v>92</v>
      </c>
      <c r="AR175" s="42"/>
      <c r="AS175" s="42"/>
    </row>
    <row r="176" spans="1:45" ht="15" customHeight="1">
      <c r="A176" s="20" t="s">
        <v>57</v>
      </c>
      <c r="B176" s="22" t="s">
        <v>83</v>
      </c>
      <c r="C176" s="22" t="s">
        <v>58</v>
      </c>
      <c r="D176" s="22" t="s">
        <v>85</v>
      </c>
      <c r="E176" s="23" t="s">
        <v>286</v>
      </c>
      <c r="F176" s="20" t="s">
        <v>287</v>
      </c>
      <c r="G176" s="26" t="s">
        <v>297</v>
      </c>
      <c r="H176" s="45" t="s">
        <v>301</v>
      </c>
      <c r="I176" s="26" t="s">
        <v>302</v>
      </c>
      <c r="J176" s="46" t="s">
        <v>58</v>
      </c>
      <c r="K176" s="47"/>
      <c r="L176" s="48"/>
      <c r="M176" s="49">
        <v>43663</v>
      </c>
      <c r="N176" s="47"/>
      <c r="O176" s="50">
        <v>416</v>
      </c>
      <c r="P176" s="51">
        <v>1</v>
      </c>
      <c r="Q176" s="51">
        <f t="shared" ref="Q176:Q181" si="7">ROUND(O176*P176,2)</f>
        <v>416</v>
      </c>
      <c r="R176" s="31">
        <v>202310</v>
      </c>
      <c r="S176" s="32" t="s">
        <v>306</v>
      </c>
      <c r="T176" s="32" t="s">
        <v>304</v>
      </c>
      <c r="U176" s="79"/>
      <c r="V176" s="32"/>
      <c r="W176" s="42"/>
      <c r="X176" s="42"/>
      <c r="Y176" s="36"/>
      <c r="Z176" s="36"/>
      <c r="AA176" s="36"/>
      <c r="AB176" s="36"/>
      <c r="AC176" s="36"/>
      <c r="AD176" s="36"/>
      <c r="AE176" s="36"/>
      <c r="AF176" s="53" t="s">
        <v>68</v>
      </c>
      <c r="AG176" s="42"/>
      <c r="AH176" s="42"/>
      <c r="AI176" s="43"/>
      <c r="AJ176" s="43"/>
      <c r="AK176" s="43"/>
      <c r="AL176" s="43"/>
      <c r="AM176" s="43"/>
      <c r="AN176" s="42"/>
      <c r="AO176" s="42"/>
      <c r="AP176" s="42"/>
      <c r="AQ176" s="43" t="s">
        <v>92</v>
      </c>
      <c r="AR176" s="42"/>
      <c r="AS176" s="42"/>
    </row>
    <row r="177" spans="1:45" ht="15" customHeight="1">
      <c r="A177" s="20" t="s">
        <v>57</v>
      </c>
      <c r="B177" s="22" t="s">
        <v>83</v>
      </c>
      <c r="C177" s="22" t="s">
        <v>58</v>
      </c>
      <c r="D177" s="22" t="s">
        <v>85</v>
      </c>
      <c r="E177" s="23" t="s">
        <v>286</v>
      </c>
      <c r="F177" s="20" t="s">
        <v>287</v>
      </c>
      <c r="G177" s="26" t="s">
        <v>297</v>
      </c>
      <c r="H177" s="45" t="s">
        <v>301</v>
      </c>
      <c r="I177" s="26" t="s">
        <v>302</v>
      </c>
      <c r="J177" s="46" t="s">
        <v>58</v>
      </c>
      <c r="K177" s="47"/>
      <c r="L177" s="48"/>
      <c r="M177" s="49">
        <v>43704</v>
      </c>
      <c r="N177" s="47"/>
      <c r="O177" s="50">
        <v>416</v>
      </c>
      <c r="P177" s="51">
        <v>4</v>
      </c>
      <c r="Q177" s="51">
        <f t="shared" si="7"/>
        <v>1664</v>
      </c>
      <c r="R177" s="31">
        <v>202310</v>
      </c>
      <c r="S177" s="32" t="s">
        <v>307</v>
      </c>
      <c r="T177" s="32" t="s">
        <v>304</v>
      </c>
      <c r="U177" s="79"/>
      <c r="V177" s="32"/>
      <c r="W177" s="42"/>
      <c r="X177" s="42"/>
      <c r="Y177" s="36"/>
      <c r="Z177" s="36"/>
      <c r="AA177" s="36"/>
      <c r="AB177" s="36"/>
      <c r="AC177" s="36"/>
      <c r="AD177" s="36"/>
      <c r="AE177" s="36"/>
      <c r="AF177" s="53" t="s">
        <v>68</v>
      </c>
      <c r="AG177" s="42"/>
      <c r="AH177" s="42"/>
      <c r="AI177" s="43"/>
      <c r="AJ177" s="43"/>
      <c r="AK177" s="43"/>
      <c r="AL177" s="43"/>
      <c r="AM177" s="43"/>
      <c r="AN177" s="42"/>
      <c r="AO177" s="42"/>
      <c r="AP177" s="42"/>
      <c r="AQ177" s="43" t="s">
        <v>92</v>
      </c>
      <c r="AR177" s="42"/>
      <c r="AS177" s="42"/>
    </row>
    <row r="178" spans="1:45" ht="15" customHeight="1">
      <c r="A178" s="20" t="s">
        <v>57</v>
      </c>
      <c r="B178" s="22" t="s">
        <v>83</v>
      </c>
      <c r="C178" s="22" t="s">
        <v>58</v>
      </c>
      <c r="D178" s="22" t="s">
        <v>85</v>
      </c>
      <c r="E178" s="23" t="s">
        <v>286</v>
      </c>
      <c r="F178" s="20" t="s">
        <v>287</v>
      </c>
      <c r="G178" s="26" t="s">
        <v>297</v>
      </c>
      <c r="H178" s="45" t="s">
        <v>301</v>
      </c>
      <c r="I178" s="26" t="s">
        <v>302</v>
      </c>
      <c r="J178" s="46" t="s">
        <v>58</v>
      </c>
      <c r="K178" s="47"/>
      <c r="L178" s="48"/>
      <c r="M178" s="49">
        <v>44651</v>
      </c>
      <c r="N178" s="47"/>
      <c r="O178" s="50">
        <v>416</v>
      </c>
      <c r="P178" s="51">
        <v>-1</v>
      </c>
      <c r="Q178" s="51">
        <f t="shared" si="7"/>
        <v>-416</v>
      </c>
      <c r="R178" s="31">
        <v>202310</v>
      </c>
      <c r="S178" s="32" t="s">
        <v>308</v>
      </c>
      <c r="T178" s="32" t="s">
        <v>304</v>
      </c>
      <c r="U178" s="79"/>
      <c r="V178" s="32"/>
      <c r="W178" s="42"/>
      <c r="X178" s="42"/>
      <c r="Y178" s="36"/>
      <c r="Z178" s="36"/>
      <c r="AA178" s="36"/>
      <c r="AB178" s="36"/>
      <c r="AC178" s="36"/>
      <c r="AD178" s="36"/>
      <c r="AE178" s="36"/>
      <c r="AF178" s="53" t="s">
        <v>68</v>
      </c>
      <c r="AG178" s="42"/>
      <c r="AH178" s="42"/>
      <c r="AI178" s="43"/>
      <c r="AJ178" s="43"/>
      <c r="AK178" s="43"/>
      <c r="AL178" s="43"/>
      <c r="AM178" s="43"/>
      <c r="AN178" s="42"/>
      <c r="AO178" s="42"/>
      <c r="AP178" s="42"/>
      <c r="AQ178" s="43" t="s">
        <v>92</v>
      </c>
      <c r="AR178" s="42"/>
      <c r="AS178" s="42"/>
    </row>
    <row r="179" spans="1:45" ht="15" customHeight="1">
      <c r="A179" s="20" t="s">
        <v>57</v>
      </c>
      <c r="B179" s="22" t="s">
        <v>83</v>
      </c>
      <c r="C179" s="22" t="s">
        <v>58</v>
      </c>
      <c r="D179" s="22" t="s">
        <v>85</v>
      </c>
      <c r="E179" s="23" t="s">
        <v>286</v>
      </c>
      <c r="F179" s="20" t="s">
        <v>287</v>
      </c>
      <c r="G179" s="26" t="s">
        <v>297</v>
      </c>
      <c r="H179" s="45" t="s">
        <v>301</v>
      </c>
      <c r="I179" s="26" t="s">
        <v>302</v>
      </c>
      <c r="J179" s="46" t="s">
        <v>58</v>
      </c>
      <c r="K179" s="47"/>
      <c r="L179" s="48"/>
      <c r="M179" s="49">
        <v>43704</v>
      </c>
      <c r="N179" s="47"/>
      <c r="O179" s="50">
        <v>416</v>
      </c>
      <c r="P179" s="51">
        <v>1</v>
      </c>
      <c r="Q179" s="51">
        <f t="shared" si="7"/>
        <v>416</v>
      </c>
      <c r="R179" s="31">
        <v>202310</v>
      </c>
      <c r="S179" s="32" t="s">
        <v>309</v>
      </c>
      <c r="T179" s="32" t="s">
        <v>304</v>
      </c>
      <c r="U179" s="79"/>
      <c r="V179" s="32"/>
      <c r="W179" s="42"/>
      <c r="X179" s="42"/>
      <c r="Y179" s="36"/>
      <c r="Z179" s="36"/>
      <c r="AA179" s="36"/>
      <c r="AB179" s="36"/>
      <c r="AC179" s="36"/>
      <c r="AD179" s="36"/>
      <c r="AE179" s="36"/>
      <c r="AF179" s="53" t="s">
        <v>68</v>
      </c>
      <c r="AG179" s="42"/>
      <c r="AH179" s="42"/>
      <c r="AI179" s="43"/>
      <c r="AJ179" s="43"/>
      <c r="AK179" s="43"/>
      <c r="AL179" s="43"/>
      <c r="AM179" s="43"/>
      <c r="AN179" s="42"/>
      <c r="AO179" s="42"/>
      <c r="AP179" s="42"/>
      <c r="AQ179" s="43" t="s">
        <v>92</v>
      </c>
      <c r="AR179" s="42"/>
      <c r="AS179" s="42"/>
    </row>
    <row r="180" spans="1:45" ht="15" customHeight="1">
      <c r="A180" s="20" t="s">
        <v>57</v>
      </c>
      <c r="B180" s="22" t="s">
        <v>83</v>
      </c>
      <c r="C180" s="22" t="s">
        <v>58</v>
      </c>
      <c r="D180" s="22" t="s">
        <v>85</v>
      </c>
      <c r="E180" s="23" t="s">
        <v>286</v>
      </c>
      <c r="F180" s="20" t="s">
        <v>287</v>
      </c>
      <c r="G180" s="26" t="s">
        <v>297</v>
      </c>
      <c r="H180" s="45" t="s">
        <v>301</v>
      </c>
      <c r="I180" s="26" t="s">
        <v>302</v>
      </c>
      <c r="J180" s="46" t="s">
        <v>58</v>
      </c>
      <c r="K180" s="47"/>
      <c r="L180" s="48"/>
      <c r="M180" s="49">
        <v>44135</v>
      </c>
      <c r="N180" s="47"/>
      <c r="O180" s="50">
        <v>416</v>
      </c>
      <c r="P180" s="51">
        <v>-1</v>
      </c>
      <c r="Q180" s="51">
        <f t="shared" si="7"/>
        <v>-416</v>
      </c>
      <c r="R180" s="31">
        <v>202310</v>
      </c>
      <c r="S180" s="32" t="s">
        <v>310</v>
      </c>
      <c r="T180" s="32" t="s">
        <v>304</v>
      </c>
      <c r="U180" s="79"/>
      <c r="V180" s="32"/>
      <c r="W180" s="42"/>
      <c r="X180" s="42"/>
      <c r="Y180" s="36"/>
      <c r="Z180" s="36"/>
      <c r="AA180" s="36"/>
      <c r="AB180" s="36"/>
      <c r="AC180" s="36"/>
      <c r="AD180" s="36"/>
      <c r="AE180" s="36"/>
      <c r="AF180" s="53" t="s">
        <v>68</v>
      </c>
      <c r="AG180" s="42"/>
      <c r="AH180" s="42"/>
      <c r="AI180" s="43"/>
      <c r="AJ180" s="43"/>
      <c r="AK180" s="43"/>
      <c r="AL180" s="43"/>
      <c r="AM180" s="43"/>
      <c r="AN180" s="42"/>
      <c r="AO180" s="42"/>
      <c r="AP180" s="42"/>
      <c r="AQ180" s="43" t="s">
        <v>92</v>
      </c>
      <c r="AR180" s="42"/>
      <c r="AS180" s="42"/>
    </row>
    <row r="181" spans="1:45" ht="15" customHeight="1">
      <c r="A181" s="20" t="s">
        <v>57</v>
      </c>
      <c r="B181" s="22" t="s">
        <v>83</v>
      </c>
      <c r="C181" s="22" t="s">
        <v>58</v>
      </c>
      <c r="D181" s="22" t="s">
        <v>85</v>
      </c>
      <c r="E181" s="23" t="s">
        <v>286</v>
      </c>
      <c r="F181" s="20" t="s">
        <v>287</v>
      </c>
      <c r="G181" s="26" t="s">
        <v>297</v>
      </c>
      <c r="H181" s="45" t="s">
        <v>301</v>
      </c>
      <c r="I181" s="26" t="s">
        <v>302</v>
      </c>
      <c r="J181" s="46" t="s">
        <v>58</v>
      </c>
      <c r="K181" s="47"/>
      <c r="L181" s="48"/>
      <c r="M181" s="49">
        <v>43704</v>
      </c>
      <c r="N181" s="47"/>
      <c r="O181" s="50">
        <v>416</v>
      </c>
      <c r="P181" s="51">
        <v>1</v>
      </c>
      <c r="Q181" s="51">
        <f t="shared" si="7"/>
        <v>416</v>
      </c>
      <c r="R181" s="31">
        <v>202310</v>
      </c>
      <c r="S181" s="32" t="s">
        <v>311</v>
      </c>
      <c r="T181" s="32" t="s">
        <v>304</v>
      </c>
      <c r="U181" s="79"/>
      <c r="V181" s="32"/>
      <c r="W181" s="42"/>
      <c r="X181" s="42"/>
      <c r="Y181" s="36"/>
      <c r="Z181" s="36"/>
      <c r="AA181" s="36"/>
      <c r="AB181" s="36"/>
      <c r="AC181" s="36"/>
      <c r="AD181" s="36"/>
      <c r="AE181" s="36"/>
      <c r="AF181" s="53" t="s">
        <v>68</v>
      </c>
      <c r="AG181" s="42"/>
      <c r="AH181" s="42"/>
      <c r="AI181" s="43"/>
      <c r="AJ181" s="43"/>
      <c r="AK181" s="43"/>
      <c r="AL181" s="43"/>
      <c r="AM181" s="43"/>
      <c r="AN181" s="42"/>
      <c r="AO181" s="42"/>
      <c r="AP181" s="42"/>
      <c r="AQ181" s="43" t="s">
        <v>92</v>
      </c>
      <c r="AR181" s="42"/>
      <c r="AS181" s="42"/>
    </row>
    <row r="182" spans="1:45" ht="15" customHeight="1">
      <c r="A182" s="20" t="s">
        <v>57</v>
      </c>
      <c r="B182" s="22" t="s">
        <v>83</v>
      </c>
      <c r="C182" s="22" t="s">
        <v>58</v>
      </c>
      <c r="D182" s="22" t="s">
        <v>85</v>
      </c>
      <c r="E182" s="23" t="s">
        <v>286</v>
      </c>
      <c r="F182" s="20" t="s">
        <v>287</v>
      </c>
      <c r="G182" s="26" t="s">
        <v>297</v>
      </c>
      <c r="H182" s="45" t="s">
        <v>301</v>
      </c>
      <c r="I182" s="26" t="s">
        <v>302</v>
      </c>
      <c r="J182" s="46" t="s">
        <v>58</v>
      </c>
      <c r="K182" s="47"/>
      <c r="L182" s="48"/>
      <c r="M182" s="49">
        <v>43726</v>
      </c>
      <c r="N182" s="47"/>
      <c r="O182" s="50">
        <v>416</v>
      </c>
      <c r="P182" s="51">
        <v>1</v>
      </c>
      <c r="Q182" s="51">
        <f t="shared" ref="Q182:Q189" si="8">O182*P182</f>
        <v>416</v>
      </c>
      <c r="R182" s="31">
        <v>202310</v>
      </c>
      <c r="S182" s="32" t="s">
        <v>312</v>
      </c>
      <c r="T182" s="32" t="s">
        <v>304</v>
      </c>
      <c r="U182" s="79"/>
      <c r="V182" s="32"/>
      <c r="W182" s="42"/>
      <c r="X182" s="42"/>
      <c r="Y182" s="36"/>
      <c r="Z182" s="36"/>
      <c r="AA182" s="36"/>
      <c r="AB182" s="36"/>
      <c r="AC182" s="36"/>
      <c r="AD182" s="36"/>
      <c r="AE182" s="36"/>
      <c r="AF182" s="53" t="s">
        <v>68</v>
      </c>
      <c r="AG182" s="42"/>
      <c r="AH182" s="42"/>
      <c r="AI182" s="43"/>
      <c r="AJ182" s="43"/>
      <c r="AK182" s="43"/>
      <c r="AL182" s="43"/>
      <c r="AM182" s="43"/>
      <c r="AN182" s="42"/>
      <c r="AO182" s="42"/>
      <c r="AP182" s="42"/>
      <c r="AQ182" s="43" t="s">
        <v>92</v>
      </c>
      <c r="AR182" s="42"/>
      <c r="AS182" s="42"/>
    </row>
    <row r="183" spans="1:45" ht="15" customHeight="1">
      <c r="A183" s="20" t="s">
        <v>57</v>
      </c>
      <c r="B183" s="22" t="s">
        <v>83</v>
      </c>
      <c r="C183" s="22" t="s">
        <v>58</v>
      </c>
      <c r="D183" s="22" t="s">
        <v>85</v>
      </c>
      <c r="E183" s="23" t="s">
        <v>286</v>
      </c>
      <c r="F183" s="20" t="s">
        <v>287</v>
      </c>
      <c r="G183" s="26" t="s">
        <v>297</v>
      </c>
      <c r="H183" s="45" t="s">
        <v>301</v>
      </c>
      <c r="I183" s="26" t="s">
        <v>302</v>
      </c>
      <c r="J183" s="46" t="s">
        <v>58</v>
      </c>
      <c r="K183" s="47"/>
      <c r="L183" s="48"/>
      <c r="M183" s="49">
        <v>43747</v>
      </c>
      <c r="N183" s="47"/>
      <c r="O183" s="50">
        <v>416</v>
      </c>
      <c r="P183" s="51">
        <v>1</v>
      </c>
      <c r="Q183" s="51">
        <f t="shared" si="8"/>
        <v>416</v>
      </c>
      <c r="R183" s="31">
        <v>202310</v>
      </c>
      <c r="S183" s="32" t="s">
        <v>313</v>
      </c>
      <c r="T183" s="32" t="s">
        <v>304</v>
      </c>
      <c r="U183" s="79"/>
      <c r="V183" s="32"/>
      <c r="W183" s="42"/>
      <c r="X183" s="42"/>
      <c r="Y183" s="36"/>
      <c r="Z183" s="36"/>
      <c r="AA183" s="36"/>
      <c r="AB183" s="36"/>
      <c r="AC183" s="36"/>
      <c r="AD183" s="36"/>
      <c r="AE183" s="36"/>
      <c r="AF183" s="53" t="s">
        <v>68</v>
      </c>
      <c r="AG183" s="42"/>
      <c r="AH183" s="42"/>
      <c r="AI183" s="43"/>
      <c r="AJ183" s="43"/>
      <c r="AK183" s="43"/>
      <c r="AL183" s="43"/>
      <c r="AM183" s="43"/>
      <c r="AN183" s="42"/>
      <c r="AO183" s="42"/>
      <c r="AP183" s="42"/>
      <c r="AQ183" s="43" t="s">
        <v>92</v>
      </c>
      <c r="AR183" s="42"/>
      <c r="AS183" s="42"/>
    </row>
    <row r="184" spans="1:45" ht="15" customHeight="1">
      <c r="A184" s="20" t="s">
        <v>57</v>
      </c>
      <c r="B184" s="22" t="s">
        <v>83</v>
      </c>
      <c r="C184" s="22" t="s">
        <v>58</v>
      </c>
      <c r="D184" s="22" t="s">
        <v>85</v>
      </c>
      <c r="E184" s="23" t="s">
        <v>286</v>
      </c>
      <c r="F184" s="20" t="s">
        <v>287</v>
      </c>
      <c r="G184" s="26" t="s">
        <v>297</v>
      </c>
      <c r="H184" s="45" t="s">
        <v>301</v>
      </c>
      <c r="I184" s="26" t="s">
        <v>302</v>
      </c>
      <c r="J184" s="46" t="s">
        <v>58</v>
      </c>
      <c r="K184" s="47"/>
      <c r="L184" s="48"/>
      <c r="M184" s="49">
        <v>43748</v>
      </c>
      <c r="N184" s="47"/>
      <c r="O184" s="50">
        <v>416</v>
      </c>
      <c r="P184" s="51">
        <v>1</v>
      </c>
      <c r="Q184" s="51">
        <f t="shared" si="8"/>
        <v>416</v>
      </c>
      <c r="R184" s="31">
        <v>202310</v>
      </c>
      <c r="S184" s="32" t="s">
        <v>314</v>
      </c>
      <c r="T184" s="32" t="s">
        <v>304</v>
      </c>
      <c r="U184" s="79"/>
      <c r="V184" s="32"/>
      <c r="W184" s="42"/>
      <c r="X184" s="42"/>
      <c r="Y184" s="36"/>
      <c r="Z184" s="36"/>
      <c r="AA184" s="36"/>
      <c r="AB184" s="36"/>
      <c r="AC184" s="36"/>
      <c r="AD184" s="36"/>
      <c r="AE184" s="36"/>
      <c r="AF184" s="53" t="s">
        <v>68</v>
      </c>
      <c r="AG184" s="42"/>
      <c r="AH184" s="42"/>
      <c r="AI184" s="43"/>
      <c r="AJ184" s="43"/>
      <c r="AK184" s="43"/>
      <c r="AL184" s="43"/>
      <c r="AM184" s="43"/>
      <c r="AN184" s="42"/>
      <c r="AO184" s="42"/>
      <c r="AP184" s="42"/>
      <c r="AQ184" s="43" t="s">
        <v>92</v>
      </c>
      <c r="AR184" s="42"/>
      <c r="AS184" s="42"/>
    </row>
    <row r="185" spans="1:45" ht="15" customHeight="1">
      <c r="A185" s="20" t="s">
        <v>57</v>
      </c>
      <c r="B185" s="22" t="s">
        <v>83</v>
      </c>
      <c r="C185" s="22" t="s">
        <v>58</v>
      </c>
      <c r="D185" s="22" t="s">
        <v>85</v>
      </c>
      <c r="E185" s="23" t="s">
        <v>286</v>
      </c>
      <c r="F185" s="20" t="s">
        <v>287</v>
      </c>
      <c r="G185" s="26" t="s">
        <v>297</v>
      </c>
      <c r="H185" s="45" t="s">
        <v>301</v>
      </c>
      <c r="I185" s="26" t="s">
        <v>302</v>
      </c>
      <c r="J185" s="46" t="s">
        <v>58</v>
      </c>
      <c r="K185" s="47"/>
      <c r="L185" s="48"/>
      <c r="M185" s="49">
        <v>43770</v>
      </c>
      <c r="N185" s="47"/>
      <c r="O185" s="50">
        <v>416</v>
      </c>
      <c r="P185" s="51">
        <v>4</v>
      </c>
      <c r="Q185" s="51">
        <f t="shared" si="8"/>
        <v>1664</v>
      </c>
      <c r="R185" s="31">
        <v>202310</v>
      </c>
      <c r="S185" s="32" t="s">
        <v>315</v>
      </c>
      <c r="T185" s="32" t="s">
        <v>304</v>
      </c>
      <c r="U185" s="79"/>
      <c r="V185" s="32"/>
      <c r="W185" s="42"/>
      <c r="X185" s="42"/>
      <c r="Y185" s="36"/>
      <c r="Z185" s="36"/>
      <c r="AA185" s="36"/>
      <c r="AB185" s="36"/>
      <c r="AC185" s="36"/>
      <c r="AD185" s="36"/>
      <c r="AE185" s="36"/>
      <c r="AF185" s="53" t="s">
        <v>68</v>
      </c>
      <c r="AG185" s="42"/>
      <c r="AH185" s="42"/>
      <c r="AI185" s="43"/>
      <c r="AJ185" s="43"/>
      <c r="AK185" s="43"/>
      <c r="AL185" s="43"/>
      <c r="AM185" s="43"/>
      <c r="AN185" s="42"/>
      <c r="AO185" s="42"/>
      <c r="AP185" s="42"/>
      <c r="AQ185" s="43" t="s">
        <v>92</v>
      </c>
      <c r="AR185" s="42"/>
      <c r="AS185" s="42"/>
    </row>
    <row r="186" spans="1:45" ht="15" customHeight="1">
      <c r="A186" s="20" t="s">
        <v>57</v>
      </c>
      <c r="B186" s="22" t="s">
        <v>83</v>
      </c>
      <c r="C186" s="22" t="s">
        <v>58</v>
      </c>
      <c r="D186" s="22" t="s">
        <v>85</v>
      </c>
      <c r="E186" s="23" t="s">
        <v>286</v>
      </c>
      <c r="F186" s="20" t="s">
        <v>287</v>
      </c>
      <c r="G186" s="26" t="s">
        <v>297</v>
      </c>
      <c r="H186" s="45" t="s">
        <v>301</v>
      </c>
      <c r="I186" s="26" t="s">
        <v>302</v>
      </c>
      <c r="J186" s="46" t="s">
        <v>58</v>
      </c>
      <c r="K186" s="47"/>
      <c r="L186" s="48"/>
      <c r="M186" s="49">
        <v>44001</v>
      </c>
      <c r="N186" s="47"/>
      <c r="O186" s="50">
        <v>416</v>
      </c>
      <c r="P186" s="51">
        <v>1</v>
      </c>
      <c r="Q186" s="51">
        <f t="shared" si="8"/>
        <v>416</v>
      </c>
      <c r="R186" s="31">
        <v>202310</v>
      </c>
      <c r="S186" s="32" t="s">
        <v>316</v>
      </c>
      <c r="T186" s="32" t="s">
        <v>304</v>
      </c>
      <c r="U186" s="79"/>
      <c r="V186" s="32"/>
      <c r="W186" s="42"/>
      <c r="X186" s="42"/>
      <c r="Y186" s="36"/>
      <c r="Z186" s="36"/>
      <c r="AA186" s="36"/>
      <c r="AB186" s="36"/>
      <c r="AC186" s="36"/>
      <c r="AD186" s="36"/>
      <c r="AE186" s="36"/>
      <c r="AF186" s="53" t="s">
        <v>68</v>
      </c>
      <c r="AG186" s="42"/>
      <c r="AH186" s="42"/>
      <c r="AI186" s="43"/>
      <c r="AJ186" s="43"/>
      <c r="AK186" s="43"/>
      <c r="AL186" s="43"/>
      <c r="AM186" s="43"/>
      <c r="AN186" s="42"/>
      <c r="AO186" s="42"/>
      <c r="AP186" s="42"/>
      <c r="AQ186" s="43" t="s">
        <v>92</v>
      </c>
      <c r="AR186" s="42"/>
      <c r="AS186" s="42"/>
    </row>
    <row r="187" spans="1:45" ht="15" customHeight="1">
      <c r="A187" s="20" t="s">
        <v>57</v>
      </c>
      <c r="B187" s="22" t="s">
        <v>83</v>
      </c>
      <c r="C187" s="22" t="s">
        <v>58</v>
      </c>
      <c r="D187" s="22" t="s">
        <v>85</v>
      </c>
      <c r="E187" s="23" t="s">
        <v>286</v>
      </c>
      <c r="F187" s="20" t="s">
        <v>287</v>
      </c>
      <c r="G187" s="26" t="s">
        <v>297</v>
      </c>
      <c r="H187" s="45" t="s">
        <v>301</v>
      </c>
      <c r="I187" s="26" t="s">
        <v>302</v>
      </c>
      <c r="J187" s="46" t="s">
        <v>58</v>
      </c>
      <c r="K187" s="47"/>
      <c r="L187" s="48"/>
      <c r="M187" s="49">
        <v>44069</v>
      </c>
      <c r="N187" s="47"/>
      <c r="O187" s="50">
        <v>416</v>
      </c>
      <c r="P187" s="51">
        <v>2</v>
      </c>
      <c r="Q187" s="51">
        <f t="shared" si="8"/>
        <v>832</v>
      </c>
      <c r="R187" s="31">
        <v>202310</v>
      </c>
      <c r="S187" s="32" t="s">
        <v>317</v>
      </c>
      <c r="T187" s="32" t="s">
        <v>304</v>
      </c>
      <c r="U187" s="79"/>
      <c r="V187" s="32"/>
      <c r="W187" s="42"/>
      <c r="X187" s="42"/>
      <c r="Y187" s="36"/>
      <c r="Z187" s="36"/>
      <c r="AA187" s="36"/>
      <c r="AB187" s="36"/>
      <c r="AC187" s="36"/>
      <c r="AD187" s="36"/>
      <c r="AE187" s="36"/>
      <c r="AF187" s="53" t="s">
        <v>68</v>
      </c>
      <c r="AG187" s="42"/>
      <c r="AH187" s="42"/>
      <c r="AI187" s="43"/>
      <c r="AJ187" s="43"/>
      <c r="AK187" s="43"/>
      <c r="AL187" s="43"/>
      <c r="AM187" s="43"/>
      <c r="AN187" s="42"/>
      <c r="AO187" s="42"/>
      <c r="AP187" s="42"/>
      <c r="AQ187" s="43" t="s">
        <v>92</v>
      </c>
      <c r="AR187" s="42"/>
      <c r="AS187" s="42"/>
    </row>
    <row r="188" spans="1:45" ht="15" customHeight="1">
      <c r="A188" s="20" t="s">
        <v>57</v>
      </c>
      <c r="B188" s="22" t="s">
        <v>83</v>
      </c>
      <c r="C188" s="22" t="s">
        <v>58</v>
      </c>
      <c r="D188" s="22" t="s">
        <v>85</v>
      </c>
      <c r="E188" s="23" t="s">
        <v>286</v>
      </c>
      <c r="F188" s="20" t="s">
        <v>287</v>
      </c>
      <c r="G188" s="26" t="s">
        <v>297</v>
      </c>
      <c r="H188" s="45" t="s">
        <v>301</v>
      </c>
      <c r="I188" s="26" t="s">
        <v>302</v>
      </c>
      <c r="J188" s="46" t="s">
        <v>58</v>
      </c>
      <c r="K188" s="47"/>
      <c r="L188" s="48"/>
      <c r="M188" s="49">
        <v>44410</v>
      </c>
      <c r="N188" s="47"/>
      <c r="O188" s="50">
        <v>416</v>
      </c>
      <c r="P188" s="51">
        <v>1</v>
      </c>
      <c r="Q188" s="51">
        <f t="shared" si="8"/>
        <v>416</v>
      </c>
      <c r="R188" s="31">
        <v>202310</v>
      </c>
      <c r="S188" s="32" t="s">
        <v>318</v>
      </c>
      <c r="T188" s="32" t="s">
        <v>304</v>
      </c>
      <c r="U188" s="79"/>
      <c r="V188" s="32"/>
      <c r="W188" s="42"/>
      <c r="X188" s="42"/>
      <c r="Y188" s="36"/>
      <c r="Z188" s="36"/>
      <c r="AA188" s="36"/>
      <c r="AB188" s="36"/>
      <c r="AC188" s="36"/>
      <c r="AD188" s="36"/>
      <c r="AE188" s="36"/>
      <c r="AF188" s="53" t="s">
        <v>68</v>
      </c>
      <c r="AG188" s="42"/>
      <c r="AH188" s="42"/>
      <c r="AI188" s="43"/>
      <c r="AJ188" s="43"/>
      <c r="AK188" s="43"/>
      <c r="AL188" s="43"/>
      <c r="AM188" s="43"/>
      <c r="AN188" s="42"/>
      <c r="AO188" s="42"/>
      <c r="AP188" s="42"/>
      <c r="AQ188" s="43" t="s">
        <v>92</v>
      </c>
      <c r="AR188" s="42"/>
      <c r="AS188" s="42"/>
    </row>
    <row r="189" spans="1:45" ht="15" customHeight="1">
      <c r="A189" s="20" t="s">
        <v>57</v>
      </c>
      <c r="B189" s="22" t="s">
        <v>83</v>
      </c>
      <c r="C189" s="22" t="s">
        <v>58</v>
      </c>
      <c r="D189" s="22" t="s">
        <v>85</v>
      </c>
      <c r="E189" s="23" t="s">
        <v>286</v>
      </c>
      <c r="F189" s="20" t="s">
        <v>287</v>
      </c>
      <c r="G189" s="26" t="s">
        <v>297</v>
      </c>
      <c r="H189" s="45" t="s">
        <v>301</v>
      </c>
      <c r="I189" s="26" t="s">
        <v>302</v>
      </c>
      <c r="J189" s="46" t="s">
        <v>58</v>
      </c>
      <c r="K189" s="47"/>
      <c r="L189" s="48"/>
      <c r="M189" s="49">
        <v>44682</v>
      </c>
      <c r="N189" s="47"/>
      <c r="O189" s="50">
        <v>416</v>
      </c>
      <c r="P189" s="51">
        <v>1</v>
      </c>
      <c r="Q189" s="51">
        <f t="shared" si="8"/>
        <v>416</v>
      </c>
      <c r="R189" s="31">
        <v>202310</v>
      </c>
      <c r="S189" s="32" t="s">
        <v>319</v>
      </c>
      <c r="T189" s="32" t="s">
        <v>304</v>
      </c>
      <c r="U189" s="79"/>
      <c r="V189" s="32"/>
      <c r="W189" s="42"/>
      <c r="X189" s="42"/>
      <c r="Y189" s="36"/>
      <c r="Z189" s="36"/>
      <c r="AA189" s="36"/>
      <c r="AB189" s="36"/>
      <c r="AC189" s="36"/>
      <c r="AD189" s="36"/>
      <c r="AE189" s="36"/>
      <c r="AF189" s="53" t="s">
        <v>68</v>
      </c>
      <c r="AG189" s="42"/>
      <c r="AH189" s="42"/>
      <c r="AI189" s="43"/>
      <c r="AJ189" s="43"/>
      <c r="AK189" s="43"/>
      <c r="AL189" s="43"/>
      <c r="AM189" s="43"/>
      <c r="AN189" s="42"/>
      <c r="AO189" s="42"/>
      <c r="AP189" s="42"/>
      <c r="AQ189" s="43" t="s">
        <v>92</v>
      </c>
      <c r="AR189" s="42"/>
      <c r="AS189" s="42"/>
    </row>
    <row r="190" spans="1:45" ht="15" customHeight="1">
      <c r="A190" s="20" t="s">
        <v>57</v>
      </c>
      <c r="B190" s="22" t="s">
        <v>83</v>
      </c>
      <c r="C190" s="22" t="s">
        <v>58</v>
      </c>
      <c r="D190" s="22" t="s">
        <v>85</v>
      </c>
      <c r="E190" s="23" t="s">
        <v>286</v>
      </c>
      <c r="F190" s="20" t="s">
        <v>287</v>
      </c>
      <c r="G190" s="26" t="s">
        <v>297</v>
      </c>
      <c r="H190" s="45" t="s">
        <v>301</v>
      </c>
      <c r="I190" s="26" t="s">
        <v>302</v>
      </c>
      <c r="J190" s="46" t="s">
        <v>58</v>
      </c>
      <c r="K190" s="47"/>
      <c r="L190" s="48"/>
      <c r="M190" s="49">
        <v>44735</v>
      </c>
      <c r="N190" s="47"/>
      <c r="O190" s="50">
        <v>416</v>
      </c>
      <c r="P190" s="51">
        <v>2</v>
      </c>
      <c r="Q190" s="51">
        <f t="shared" ref="Q190:Q258" si="9">ROUND(O190*P190,2)</f>
        <v>832</v>
      </c>
      <c r="R190" s="31">
        <v>202310</v>
      </c>
      <c r="S190" s="32" t="s">
        <v>320</v>
      </c>
      <c r="T190" s="32" t="s">
        <v>304</v>
      </c>
      <c r="U190" s="79"/>
      <c r="V190" s="32"/>
      <c r="W190" s="42"/>
      <c r="X190" s="42"/>
      <c r="Y190" s="36"/>
      <c r="Z190" s="36"/>
      <c r="AA190" s="36"/>
      <c r="AB190" s="36"/>
      <c r="AC190" s="36"/>
      <c r="AD190" s="36"/>
      <c r="AE190" s="36"/>
      <c r="AF190" s="53" t="s">
        <v>68</v>
      </c>
      <c r="AG190" s="42"/>
      <c r="AH190" s="42"/>
      <c r="AI190" s="43"/>
      <c r="AJ190" s="43"/>
      <c r="AK190" s="43"/>
      <c r="AL190" s="43"/>
      <c r="AM190" s="43"/>
      <c r="AN190" s="42"/>
      <c r="AO190" s="42"/>
      <c r="AP190" s="42"/>
      <c r="AQ190" s="43" t="s">
        <v>92</v>
      </c>
      <c r="AR190" s="42"/>
      <c r="AS190" s="42"/>
    </row>
    <row r="191" spans="1:45" ht="15" customHeight="1">
      <c r="A191" s="20" t="s">
        <v>57</v>
      </c>
      <c r="B191" s="22" t="s">
        <v>83</v>
      </c>
      <c r="C191" s="22" t="s">
        <v>58</v>
      </c>
      <c r="D191" s="22" t="s">
        <v>85</v>
      </c>
      <c r="E191" s="23" t="s">
        <v>286</v>
      </c>
      <c r="F191" s="20" t="s">
        <v>287</v>
      </c>
      <c r="G191" s="26" t="s">
        <v>297</v>
      </c>
      <c r="H191" s="45" t="s">
        <v>301</v>
      </c>
      <c r="I191" s="26" t="s">
        <v>302</v>
      </c>
      <c r="J191" s="46" t="s">
        <v>58</v>
      </c>
      <c r="K191" s="47"/>
      <c r="L191" s="48"/>
      <c r="M191" s="49">
        <v>44763</v>
      </c>
      <c r="N191" s="47"/>
      <c r="O191" s="50">
        <v>416</v>
      </c>
      <c r="P191" s="51">
        <v>1</v>
      </c>
      <c r="Q191" s="51">
        <f t="shared" si="9"/>
        <v>416</v>
      </c>
      <c r="R191" s="31">
        <v>202310</v>
      </c>
      <c r="S191" s="32" t="s">
        <v>321</v>
      </c>
      <c r="T191" s="32" t="s">
        <v>304</v>
      </c>
      <c r="U191" s="79"/>
      <c r="V191" s="32"/>
      <c r="W191" s="42"/>
      <c r="X191" s="42"/>
      <c r="Y191" s="36"/>
      <c r="Z191" s="36"/>
      <c r="AA191" s="36"/>
      <c r="AB191" s="36"/>
      <c r="AC191" s="36"/>
      <c r="AD191" s="36"/>
      <c r="AE191" s="36"/>
      <c r="AF191" s="53" t="s">
        <v>68</v>
      </c>
      <c r="AG191" s="42"/>
      <c r="AH191" s="42"/>
      <c r="AI191" s="43"/>
      <c r="AJ191" s="43"/>
      <c r="AK191" s="43"/>
      <c r="AL191" s="43"/>
      <c r="AM191" s="43"/>
      <c r="AN191" s="42"/>
      <c r="AO191" s="42"/>
      <c r="AP191" s="42"/>
      <c r="AQ191" s="43" t="s">
        <v>92</v>
      </c>
      <c r="AR191" s="42"/>
      <c r="AS191" s="42"/>
    </row>
    <row r="192" spans="1:45" ht="15" customHeight="1">
      <c r="A192" s="21" t="s">
        <v>57</v>
      </c>
      <c r="B192" s="21" t="s">
        <v>83</v>
      </c>
      <c r="C192" s="65" t="s">
        <v>58</v>
      </c>
      <c r="D192" s="22" t="s">
        <v>85</v>
      </c>
      <c r="E192" s="80" t="s">
        <v>286</v>
      </c>
      <c r="F192" s="21" t="s">
        <v>287</v>
      </c>
      <c r="G192" s="26" t="s">
        <v>297</v>
      </c>
      <c r="H192" s="45" t="s">
        <v>301</v>
      </c>
      <c r="I192" s="26" t="s">
        <v>302</v>
      </c>
      <c r="J192" s="21" t="s">
        <v>58</v>
      </c>
      <c r="K192" s="81"/>
      <c r="L192" s="48"/>
      <c r="M192" s="49">
        <v>44818</v>
      </c>
      <c r="N192" s="49"/>
      <c r="O192" s="50">
        <v>416</v>
      </c>
      <c r="P192" s="61">
        <v>1</v>
      </c>
      <c r="Q192" s="51">
        <f t="shared" si="9"/>
        <v>416</v>
      </c>
      <c r="R192" s="31">
        <v>202310</v>
      </c>
      <c r="S192" s="80" t="s">
        <v>322</v>
      </c>
      <c r="T192" s="32" t="s">
        <v>304</v>
      </c>
      <c r="U192" s="79"/>
      <c r="V192" s="80"/>
      <c r="W192" s="67"/>
      <c r="X192" s="67"/>
      <c r="Y192" s="36"/>
      <c r="Z192" s="36"/>
      <c r="AA192" s="36"/>
      <c r="AB192" s="36"/>
      <c r="AC192" s="36"/>
      <c r="AD192" s="36"/>
      <c r="AE192" s="36"/>
      <c r="AF192" s="53" t="s">
        <v>68</v>
      </c>
      <c r="AG192" s="42"/>
      <c r="AH192" s="42"/>
      <c r="AI192" s="43"/>
      <c r="AJ192" s="43"/>
      <c r="AK192" s="43"/>
      <c r="AL192" s="43"/>
      <c r="AM192" s="43"/>
      <c r="AN192" s="42"/>
      <c r="AO192" s="42"/>
      <c r="AP192" s="42"/>
      <c r="AQ192" s="43" t="s">
        <v>92</v>
      </c>
      <c r="AR192" s="42"/>
      <c r="AS192" s="42"/>
    </row>
    <row r="193" spans="1:45" ht="15" customHeight="1">
      <c r="A193" s="21" t="s">
        <v>57</v>
      </c>
      <c r="B193" s="21" t="s">
        <v>83</v>
      </c>
      <c r="C193" s="65" t="s">
        <v>58</v>
      </c>
      <c r="D193" s="22" t="s">
        <v>85</v>
      </c>
      <c r="E193" s="80" t="s">
        <v>286</v>
      </c>
      <c r="F193" s="21" t="s">
        <v>287</v>
      </c>
      <c r="G193" s="26" t="s">
        <v>297</v>
      </c>
      <c r="H193" s="45" t="s">
        <v>301</v>
      </c>
      <c r="I193" s="26" t="s">
        <v>302</v>
      </c>
      <c r="J193" s="21" t="s">
        <v>58</v>
      </c>
      <c r="K193" s="81"/>
      <c r="L193" s="48"/>
      <c r="M193" s="49">
        <v>45125</v>
      </c>
      <c r="N193" s="49"/>
      <c r="O193" s="50">
        <v>500</v>
      </c>
      <c r="P193" s="61">
        <v>1</v>
      </c>
      <c r="Q193" s="30">
        <f t="shared" si="9"/>
        <v>500</v>
      </c>
      <c r="R193" s="31">
        <v>202310</v>
      </c>
      <c r="S193" s="80" t="s">
        <v>323</v>
      </c>
      <c r="T193" s="32" t="s">
        <v>324</v>
      </c>
      <c r="U193" s="79"/>
      <c r="V193" s="80"/>
      <c r="W193" s="67"/>
      <c r="X193" s="67"/>
      <c r="Y193" s="36"/>
      <c r="Z193" s="36"/>
      <c r="AA193" s="36"/>
      <c r="AB193" s="36"/>
      <c r="AC193" s="36"/>
      <c r="AD193" s="36"/>
      <c r="AE193" s="36"/>
      <c r="AF193" s="53" t="s">
        <v>68</v>
      </c>
      <c r="AG193" s="42"/>
      <c r="AH193" s="42"/>
      <c r="AI193" s="43"/>
      <c r="AJ193" s="43"/>
      <c r="AK193" s="43"/>
      <c r="AL193" s="43"/>
      <c r="AM193" s="43"/>
      <c r="AN193" s="42"/>
      <c r="AO193" s="42"/>
      <c r="AP193" s="42"/>
      <c r="AQ193" s="43" t="s">
        <v>92</v>
      </c>
      <c r="AR193" s="42"/>
      <c r="AS193" s="42"/>
    </row>
    <row r="194" spans="1:45" ht="15" customHeight="1">
      <c r="A194" s="21" t="s">
        <v>57</v>
      </c>
      <c r="B194" s="21" t="s">
        <v>83</v>
      </c>
      <c r="C194" s="65" t="s">
        <v>58</v>
      </c>
      <c r="D194" s="22" t="s">
        <v>85</v>
      </c>
      <c r="E194" s="80" t="s">
        <v>286</v>
      </c>
      <c r="F194" s="21" t="s">
        <v>287</v>
      </c>
      <c r="G194" s="26" t="s">
        <v>297</v>
      </c>
      <c r="H194" s="45" t="s">
        <v>301</v>
      </c>
      <c r="I194" s="26" t="s">
        <v>302</v>
      </c>
      <c r="J194" s="21" t="s">
        <v>58</v>
      </c>
      <c r="K194" s="81"/>
      <c r="L194" s="48"/>
      <c r="M194" s="49">
        <v>45132</v>
      </c>
      <c r="N194" s="49"/>
      <c r="O194" s="50">
        <v>500</v>
      </c>
      <c r="P194" s="61">
        <v>1</v>
      </c>
      <c r="Q194" s="30">
        <f t="shared" si="9"/>
        <v>500</v>
      </c>
      <c r="R194" s="31">
        <v>202310</v>
      </c>
      <c r="S194" s="80" t="s">
        <v>325</v>
      </c>
      <c r="T194" s="32" t="s">
        <v>324</v>
      </c>
      <c r="U194" s="79"/>
      <c r="V194" s="80"/>
      <c r="W194" s="67"/>
      <c r="X194" s="67"/>
      <c r="Y194" s="36"/>
      <c r="Z194" s="36"/>
      <c r="AA194" s="36"/>
      <c r="AB194" s="36"/>
      <c r="AC194" s="36"/>
      <c r="AD194" s="36"/>
      <c r="AE194" s="36"/>
      <c r="AF194" s="53" t="s">
        <v>68</v>
      </c>
      <c r="AG194" s="42"/>
      <c r="AH194" s="42"/>
      <c r="AI194" s="43"/>
      <c r="AJ194" s="43"/>
      <c r="AK194" s="43"/>
      <c r="AL194" s="43"/>
      <c r="AM194" s="43"/>
      <c r="AN194" s="42"/>
      <c r="AO194" s="42"/>
      <c r="AP194" s="42"/>
      <c r="AQ194" s="43" t="s">
        <v>92</v>
      </c>
      <c r="AR194" s="42"/>
      <c r="AS194" s="42"/>
    </row>
    <row r="195" spans="1:45" ht="15" customHeight="1">
      <c r="A195" s="20" t="s">
        <v>57</v>
      </c>
      <c r="B195" s="22" t="s">
        <v>83</v>
      </c>
      <c r="C195" s="22" t="s">
        <v>58</v>
      </c>
      <c r="D195" s="22" t="s">
        <v>85</v>
      </c>
      <c r="E195" s="23" t="s">
        <v>286</v>
      </c>
      <c r="F195" s="20" t="s">
        <v>287</v>
      </c>
      <c r="G195" s="26" t="s">
        <v>77</v>
      </c>
      <c r="H195" s="45" t="s">
        <v>326</v>
      </c>
      <c r="I195" s="26" t="s">
        <v>78</v>
      </c>
      <c r="J195" s="46" t="s">
        <v>327</v>
      </c>
      <c r="K195" s="47"/>
      <c r="L195" s="48" t="s">
        <v>289</v>
      </c>
      <c r="M195" s="49">
        <v>45070</v>
      </c>
      <c r="N195" s="47" t="s">
        <v>177</v>
      </c>
      <c r="O195" s="50">
        <v>7422</v>
      </c>
      <c r="P195" s="51">
        <v>26</v>
      </c>
      <c r="Q195" s="51">
        <f t="shared" si="9"/>
        <v>192972</v>
      </c>
      <c r="R195" s="31">
        <v>202310</v>
      </c>
      <c r="S195" s="32" t="s">
        <v>328</v>
      </c>
      <c r="T195" s="32"/>
      <c r="U195" s="32"/>
      <c r="V195" s="32"/>
      <c r="W195" s="42"/>
      <c r="X195" s="42"/>
      <c r="Y195" s="36">
        <v>45066</v>
      </c>
      <c r="Z195" s="36">
        <v>45431</v>
      </c>
      <c r="AA195" s="36"/>
      <c r="AB195" s="36"/>
      <c r="AC195" s="36"/>
      <c r="AD195" s="36"/>
      <c r="AE195" s="36"/>
      <c r="AF195" s="53" t="s">
        <v>68</v>
      </c>
      <c r="AG195" s="42"/>
      <c r="AH195" s="42"/>
      <c r="AI195" s="43"/>
      <c r="AJ195" s="43"/>
      <c r="AK195" s="43"/>
      <c r="AL195" s="43"/>
      <c r="AM195" s="43"/>
      <c r="AN195" s="42"/>
      <c r="AO195" s="42"/>
      <c r="AP195" s="42"/>
      <c r="AQ195" s="43" t="s">
        <v>92</v>
      </c>
      <c r="AR195" s="42"/>
      <c r="AS195" s="42"/>
    </row>
    <row r="196" spans="1:45" ht="15" customHeight="1">
      <c r="A196" s="20" t="s">
        <v>57</v>
      </c>
      <c r="B196" s="22" t="s">
        <v>83</v>
      </c>
      <c r="C196" s="22" t="s">
        <v>58</v>
      </c>
      <c r="D196" s="22" t="s">
        <v>85</v>
      </c>
      <c r="E196" s="23" t="s">
        <v>286</v>
      </c>
      <c r="F196" s="20" t="s">
        <v>287</v>
      </c>
      <c r="G196" s="26" t="s">
        <v>77</v>
      </c>
      <c r="H196" s="45" t="s">
        <v>326</v>
      </c>
      <c r="I196" s="26" t="s">
        <v>298</v>
      </c>
      <c r="J196" s="46" t="s">
        <v>327</v>
      </c>
      <c r="K196" s="47"/>
      <c r="L196" s="48" t="s">
        <v>289</v>
      </c>
      <c r="M196" s="49"/>
      <c r="N196" s="47"/>
      <c r="O196" s="50">
        <v>1984</v>
      </c>
      <c r="P196" s="51">
        <v>0</v>
      </c>
      <c r="Q196" s="51">
        <f t="shared" si="9"/>
        <v>0</v>
      </c>
      <c r="R196" s="31">
        <v>202310</v>
      </c>
      <c r="S196" s="32" t="s">
        <v>329</v>
      </c>
      <c r="T196" s="32"/>
      <c r="U196" s="32" t="s">
        <v>330</v>
      </c>
      <c r="V196" s="32"/>
      <c r="W196" s="42"/>
      <c r="X196" s="42"/>
      <c r="Y196" s="36">
        <v>45066</v>
      </c>
      <c r="Z196" s="36">
        <v>45431</v>
      </c>
      <c r="AA196" s="36"/>
      <c r="AB196" s="36"/>
      <c r="AC196" s="36"/>
      <c r="AD196" s="36"/>
      <c r="AE196" s="36"/>
      <c r="AF196" s="53" t="s">
        <v>68</v>
      </c>
      <c r="AG196" s="42"/>
      <c r="AH196" s="42"/>
      <c r="AI196" s="43"/>
      <c r="AJ196" s="43"/>
      <c r="AK196" s="43"/>
      <c r="AL196" s="43"/>
      <c r="AM196" s="43"/>
      <c r="AN196" s="42"/>
      <c r="AO196" s="42"/>
      <c r="AP196" s="42"/>
      <c r="AQ196" s="43" t="s">
        <v>92</v>
      </c>
      <c r="AR196" s="42"/>
      <c r="AS196" s="42"/>
    </row>
    <row r="197" spans="1:45" s="100" customFormat="1" ht="15" customHeight="1">
      <c r="A197" s="82" t="s">
        <v>57</v>
      </c>
      <c r="B197" s="83" t="s">
        <v>83</v>
      </c>
      <c r="C197" s="83" t="s">
        <v>58</v>
      </c>
      <c r="D197" s="83" t="s">
        <v>85</v>
      </c>
      <c r="E197" s="84" t="s">
        <v>286</v>
      </c>
      <c r="F197" s="82" t="s">
        <v>287</v>
      </c>
      <c r="G197" s="85" t="s">
        <v>297</v>
      </c>
      <c r="H197" s="86" t="s">
        <v>331</v>
      </c>
      <c r="I197" s="85" t="s">
        <v>332</v>
      </c>
      <c r="J197" s="87" t="s">
        <v>58</v>
      </c>
      <c r="K197" s="88"/>
      <c r="L197" s="89"/>
      <c r="M197" s="90"/>
      <c r="N197" s="88"/>
      <c r="O197" s="91">
        <v>216240</v>
      </c>
      <c r="P197" s="92">
        <v>1</v>
      </c>
      <c r="Q197" s="92">
        <f t="shared" ref="Q197" si="10">O197*P197</f>
        <v>216240</v>
      </c>
      <c r="R197" s="93">
        <v>202310</v>
      </c>
      <c r="S197" s="94" t="s">
        <v>333</v>
      </c>
      <c r="T197" s="94" t="s">
        <v>334</v>
      </c>
      <c r="U197" s="95"/>
      <c r="V197" s="94"/>
      <c r="W197" s="96"/>
      <c r="X197" s="96"/>
      <c r="Y197" s="97">
        <v>45078</v>
      </c>
      <c r="Z197" s="97">
        <v>45443</v>
      </c>
      <c r="AA197" s="97"/>
      <c r="AB197" s="97"/>
      <c r="AC197" s="97"/>
      <c r="AD197" s="97"/>
      <c r="AE197" s="97"/>
      <c r="AF197" s="98" t="s">
        <v>68</v>
      </c>
      <c r="AG197" s="96"/>
      <c r="AH197" s="96"/>
      <c r="AI197" s="99"/>
      <c r="AJ197" s="99"/>
      <c r="AK197" s="99"/>
      <c r="AL197" s="99"/>
      <c r="AM197" s="99"/>
      <c r="AN197" s="96"/>
      <c r="AO197" s="96"/>
      <c r="AP197" s="96"/>
      <c r="AQ197" s="99" t="s">
        <v>92</v>
      </c>
      <c r="AR197" s="96"/>
      <c r="AS197" s="96"/>
    </row>
    <row r="198" spans="1:45" ht="15" customHeight="1">
      <c r="A198" s="65" t="s">
        <v>57</v>
      </c>
      <c r="B198" s="21" t="s">
        <v>46</v>
      </c>
      <c r="C198" s="21" t="s">
        <v>188</v>
      </c>
      <c r="D198" s="22" t="s">
        <v>59</v>
      </c>
      <c r="E198" s="66" t="s">
        <v>335</v>
      </c>
      <c r="F198" s="65" t="s">
        <v>336</v>
      </c>
      <c r="G198" s="26" t="s">
        <v>77</v>
      </c>
      <c r="H198" s="45" t="s">
        <v>337</v>
      </c>
      <c r="I198" s="26" t="s">
        <v>78</v>
      </c>
      <c r="J198" s="46" t="s">
        <v>338</v>
      </c>
      <c r="K198" s="47"/>
      <c r="L198" s="48" t="s">
        <v>339</v>
      </c>
      <c r="M198" s="49" t="s">
        <v>340</v>
      </c>
      <c r="N198" s="47" t="s">
        <v>341</v>
      </c>
      <c r="O198" s="61">
        <v>27200</v>
      </c>
      <c r="P198" s="61">
        <v>1</v>
      </c>
      <c r="Q198" s="51">
        <f t="shared" si="9"/>
        <v>27200</v>
      </c>
      <c r="R198" s="31">
        <v>202310</v>
      </c>
      <c r="S198" s="32" t="s">
        <v>342</v>
      </c>
      <c r="T198" s="33"/>
      <c r="U198" s="32"/>
      <c r="V198" s="33"/>
      <c r="W198" s="67"/>
      <c r="X198" s="67"/>
      <c r="Y198" s="36"/>
      <c r="Z198" s="36"/>
      <c r="AA198" s="36"/>
      <c r="AB198" s="36"/>
      <c r="AC198" s="36"/>
      <c r="AD198" s="36"/>
      <c r="AE198" s="36"/>
      <c r="AF198" s="53" t="s">
        <v>68</v>
      </c>
      <c r="AG198" s="42"/>
      <c r="AH198" s="42"/>
      <c r="AI198" s="43"/>
      <c r="AJ198" s="43"/>
      <c r="AK198" s="43"/>
      <c r="AL198" s="43"/>
      <c r="AM198" s="43"/>
      <c r="AN198" s="42"/>
      <c r="AO198" s="42"/>
      <c r="AP198" s="42"/>
      <c r="AQ198" s="43"/>
      <c r="AR198" s="42"/>
      <c r="AS198" s="42"/>
    </row>
    <row r="199" spans="1:45" ht="15" customHeight="1">
      <c r="A199" s="65" t="s">
        <v>57</v>
      </c>
      <c r="B199" s="21" t="s">
        <v>46</v>
      </c>
      <c r="C199" s="21" t="s">
        <v>188</v>
      </c>
      <c r="D199" s="22" t="s">
        <v>59</v>
      </c>
      <c r="E199" s="66" t="s">
        <v>335</v>
      </c>
      <c r="F199" s="65" t="s">
        <v>336</v>
      </c>
      <c r="G199" s="26" t="s">
        <v>77</v>
      </c>
      <c r="H199" s="45" t="s">
        <v>337</v>
      </c>
      <c r="I199" s="26" t="s">
        <v>78</v>
      </c>
      <c r="J199" s="46" t="s">
        <v>338</v>
      </c>
      <c r="K199" s="47"/>
      <c r="L199" s="48" t="s">
        <v>339</v>
      </c>
      <c r="M199" s="49">
        <v>43258</v>
      </c>
      <c r="N199" s="47" t="s">
        <v>343</v>
      </c>
      <c r="O199" s="61">
        <v>10200</v>
      </c>
      <c r="P199" s="61">
        <v>2</v>
      </c>
      <c r="Q199" s="51">
        <f t="shared" si="9"/>
        <v>20400</v>
      </c>
      <c r="R199" s="31">
        <v>202310</v>
      </c>
      <c r="S199" s="32" t="s">
        <v>344</v>
      </c>
      <c r="T199" s="33"/>
      <c r="U199" s="32"/>
      <c r="V199" s="33"/>
      <c r="W199" s="67"/>
      <c r="X199" s="67"/>
      <c r="Y199" s="36"/>
      <c r="Z199" s="36"/>
      <c r="AA199" s="36"/>
      <c r="AB199" s="36"/>
      <c r="AC199" s="36"/>
      <c r="AD199" s="36"/>
      <c r="AE199" s="36"/>
      <c r="AF199" s="53" t="s">
        <v>68</v>
      </c>
      <c r="AG199" s="42"/>
      <c r="AH199" s="42"/>
      <c r="AI199" s="43"/>
      <c r="AJ199" s="43"/>
      <c r="AK199" s="43"/>
      <c r="AL199" s="43"/>
      <c r="AM199" s="43"/>
      <c r="AN199" s="42"/>
      <c r="AO199" s="42"/>
      <c r="AP199" s="42"/>
      <c r="AQ199" s="43"/>
      <c r="AR199" s="42"/>
      <c r="AS199" s="42"/>
    </row>
    <row r="200" spans="1:45" ht="15" customHeight="1">
      <c r="A200" s="65" t="s">
        <v>57</v>
      </c>
      <c r="B200" s="21" t="s">
        <v>46</v>
      </c>
      <c r="C200" s="21" t="s">
        <v>188</v>
      </c>
      <c r="D200" s="22" t="s">
        <v>59</v>
      </c>
      <c r="E200" s="66" t="s">
        <v>335</v>
      </c>
      <c r="F200" s="65" t="s">
        <v>336</v>
      </c>
      <c r="G200" s="26" t="s">
        <v>77</v>
      </c>
      <c r="H200" s="45" t="s">
        <v>337</v>
      </c>
      <c r="I200" s="26" t="s">
        <v>78</v>
      </c>
      <c r="J200" s="46" t="s">
        <v>338</v>
      </c>
      <c r="K200" s="47"/>
      <c r="L200" s="48" t="s">
        <v>339</v>
      </c>
      <c r="M200" s="49" t="s">
        <v>345</v>
      </c>
      <c r="N200" s="47" t="s">
        <v>346</v>
      </c>
      <c r="O200" s="61">
        <v>13600</v>
      </c>
      <c r="P200" s="61">
        <v>2</v>
      </c>
      <c r="Q200" s="51">
        <f t="shared" si="9"/>
        <v>27200</v>
      </c>
      <c r="R200" s="31">
        <v>202310</v>
      </c>
      <c r="S200" s="32" t="s">
        <v>347</v>
      </c>
      <c r="T200" s="33"/>
      <c r="U200" s="32"/>
      <c r="V200" s="33"/>
      <c r="W200" s="67"/>
      <c r="X200" s="67"/>
      <c r="Y200" s="36"/>
      <c r="Z200" s="36"/>
      <c r="AA200" s="36"/>
      <c r="AB200" s="36"/>
      <c r="AC200" s="36"/>
      <c r="AD200" s="36"/>
      <c r="AE200" s="36"/>
      <c r="AF200" s="53" t="s">
        <v>68</v>
      </c>
      <c r="AG200" s="42"/>
      <c r="AH200" s="42"/>
      <c r="AI200" s="43"/>
      <c r="AJ200" s="43"/>
      <c r="AK200" s="43"/>
      <c r="AL200" s="43"/>
      <c r="AM200" s="43"/>
      <c r="AN200" s="42"/>
      <c r="AO200" s="42"/>
      <c r="AP200" s="42"/>
      <c r="AQ200" s="43"/>
      <c r="AR200" s="42"/>
      <c r="AS200" s="42"/>
    </row>
    <row r="201" spans="1:45" ht="15" customHeight="1">
      <c r="A201" s="65" t="s">
        <v>57</v>
      </c>
      <c r="B201" s="21" t="s">
        <v>46</v>
      </c>
      <c r="C201" s="21" t="s">
        <v>188</v>
      </c>
      <c r="D201" s="22" t="s">
        <v>59</v>
      </c>
      <c r="E201" s="66" t="s">
        <v>335</v>
      </c>
      <c r="F201" s="65" t="s">
        <v>336</v>
      </c>
      <c r="G201" s="26" t="s">
        <v>77</v>
      </c>
      <c r="H201" s="45" t="s">
        <v>337</v>
      </c>
      <c r="I201" s="26" t="s">
        <v>78</v>
      </c>
      <c r="J201" s="46" t="s">
        <v>338</v>
      </c>
      <c r="K201" s="47"/>
      <c r="L201" s="48" t="s">
        <v>339</v>
      </c>
      <c r="M201" s="49" t="s">
        <v>340</v>
      </c>
      <c r="N201" s="47" t="s">
        <v>90</v>
      </c>
      <c r="O201" s="61">
        <v>5100</v>
      </c>
      <c r="P201" s="61">
        <v>1</v>
      </c>
      <c r="Q201" s="51">
        <f t="shared" si="9"/>
        <v>5100</v>
      </c>
      <c r="R201" s="31">
        <v>202310</v>
      </c>
      <c r="S201" s="32"/>
      <c r="T201" s="33"/>
      <c r="U201" s="32"/>
      <c r="V201" s="33"/>
      <c r="W201" s="67"/>
      <c r="X201" s="67"/>
      <c r="Y201" s="36"/>
      <c r="Z201" s="36"/>
      <c r="AA201" s="36"/>
      <c r="AB201" s="36"/>
      <c r="AC201" s="36"/>
      <c r="AD201" s="36"/>
      <c r="AE201" s="36"/>
      <c r="AF201" s="53" t="s">
        <v>68</v>
      </c>
      <c r="AG201" s="42"/>
      <c r="AH201" s="42"/>
      <c r="AI201" s="43"/>
      <c r="AJ201" s="43"/>
      <c r="AK201" s="43"/>
      <c r="AL201" s="43"/>
      <c r="AM201" s="43"/>
      <c r="AN201" s="42"/>
      <c r="AO201" s="42"/>
      <c r="AP201" s="42"/>
      <c r="AQ201" s="43"/>
      <c r="AR201" s="42"/>
      <c r="AS201" s="42"/>
    </row>
    <row r="202" spans="1:45" ht="15" customHeight="1">
      <c r="A202" s="65" t="s">
        <v>57</v>
      </c>
      <c r="B202" s="21" t="s">
        <v>46</v>
      </c>
      <c r="C202" s="21" t="s">
        <v>188</v>
      </c>
      <c r="D202" s="22" t="s">
        <v>59</v>
      </c>
      <c r="E202" s="66" t="s">
        <v>335</v>
      </c>
      <c r="F202" s="65" t="s">
        <v>336</v>
      </c>
      <c r="G202" s="26" t="s">
        <v>77</v>
      </c>
      <c r="H202" s="45" t="s">
        <v>337</v>
      </c>
      <c r="I202" s="26" t="s">
        <v>78</v>
      </c>
      <c r="J202" s="46" t="s">
        <v>338</v>
      </c>
      <c r="K202" s="47"/>
      <c r="L202" s="48" t="s">
        <v>339</v>
      </c>
      <c r="M202" s="49">
        <v>41991</v>
      </c>
      <c r="N202" s="47" t="s">
        <v>348</v>
      </c>
      <c r="O202" s="61">
        <v>15300</v>
      </c>
      <c r="P202" s="61">
        <v>3</v>
      </c>
      <c r="Q202" s="51">
        <f t="shared" si="9"/>
        <v>45900</v>
      </c>
      <c r="R202" s="31">
        <v>202310</v>
      </c>
      <c r="S202" s="32" t="s">
        <v>349</v>
      </c>
      <c r="T202" s="33"/>
      <c r="U202" s="32"/>
      <c r="V202" s="33"/>
      <c r="W202" s="67"/>
      <c r="X202" s="67"/>
      <c r="Y202" s="36"/>
      <c r="Z202" s="36"/>
      <c r="AA202" s="36"/>
      <c r="AB202" s="36"/>
      <c r="AC202" s="36"/>
      <c r="AD202" s="36"/>
      <c r="AE202" s="36"/>
      <c r="AF202" s="53" t="s">
        <v>68</v>
      </c>
      <c r="AG202" s="42"/>
      <c r="AH202" s="42"/>
      <c r="AI202" s="43"/>
      <c r="AJ202" s="43"/>
      <c r="AK202" s="43"/>
      <c r="AL202" s="43"/>
      <c r="AM202" s="43"/>
      <c r="AN202" s="42"/>
      <c r="AO202" s="42"/>
      <c r="AP202" s="42"/>
      <c r="AQ202" s="43"/>
      <c r="AR202" s="42"/>
      <c r="AS202" s="42"/>
    </row>
    <row r="203" spans="1:45" ht="15" customHeight="1">
      <c r="A203" s="65" t="s">
        <v>57</v>
      </c>
      <c r="B203" s="21" t="s">
        <v>46</v>
      </c>
      <c r="C203" s="21" t="s">
        <v>188</v>
      </c>
      <c r="D203" s="22" t="s">
        <v>59</v>
      </c>
      <c r="E203" s="66" t="s">
        <v>335</v>
      </c>
      <c r="F203" s="65" t="s">
        <v>336</v>
      </c>
      <c r="G203" s="26" t="s">
        <v>77</v>
      </c>
      <c r="H203" s="45" t="s">
        <v>337</v>
      </c>
      <c r="I203" s="26" t="s">
        <v>78</v>
      </c>
      <c r="J203" s="46" t="s">
        <v>338</v>
      </c>
      <c r="K203" s="47"/>
      <c r="L203" s="48" t="s">
        <v>339</v>
      </c>
      <c r="M203" s="49">
        <v>41642</v>
      </c>
      <c r="N203" s="47" t="s">
        <v>350</v>
      </c>
      <c r="O203" s="61">
        <v>35700</v>
      </c>
      <c r="P203" s="61">
        <v>2</v>
      </c>
      <c r="Q203" s="51">
        <f t="shared" si="9"/>
        <v>71400</v>
      </c>
      <c r="R203" s="31">
        <v>202310</v>
      </c>
      <c r="S203" s="32" t="s">
        <v>351</v>
      </c>
      <c r="T203" s="33"/>
      <c r="U203" s="32"/>
      <c r="V203" s="33"/>
      <c r="W203" s="67"/>
      <c r="X203" s="67"/>
      <c r="Y203" s="36"/>
      <c r="Z203" s="36"/>
      <c r="AA203" s="36"/>
      <c r="AB203" s="36"/>
      <c r="AC203" s="36"/>
      <c r="AD203" s="36"/>
      <c r="AE203" s="36"/>
      <c r="AF203" s="53" t="s">
        <v>68</v>
      </c>
      <c r="AG203" s="42"/>
      <c r="AH203" s="42"/>
      <c r="AI203" s="43"/>
      <c r="AJ203" s="43"/>
      <c r="AK203" s="43"/>
      <c r="AL203" s="43"/>
      <c r="AM203" s="43"/>
      <c r="AN203" s="42"/>
      <c r="AO203" s="42"/>
      <c r="AP203" s="42"/>
      <c r="AQ203" s="43"/>
      <c r="AR203" s="42"/>
      <c r="AS203" s="42"/>
    </row>
    <row r="204" spans="1:45" ht="15" customHeight="1">
      <c r="A204" s="65" t="s">
        <v>57</v>
      </c>
      <c r="B204" s="21" t="s">
        <v>46</v>
      </c>
      <c r="C204" s="21" t="s">
        <v>188</v>
      </c>
      <c r="D204" s="22" t="s">
        <v>59</v>
      </c>
      <c r="E204" s="66" t="s">
        <v>335</v>
      </c>
      <c r="F204" s="65" t="s">
        <v>336</v>
      </c>
      <c r="G204" s="26" t="s">
        <v>77</v>
      </c>
      <c r="H204" s="45" t="s">
        <v>337</v>
      </c>
      <c r="I204" s="26" t="s">
        <v>78</v>
      </c>
      <c r="J204" s="46" t="s">
        <v>338</v>
      </c>
      <c r="K204" s="47"/>
      <c r="L204" s="48" t="s">
        <v>339</v>
      </c>
      <c r="M204" s="49" t="s">
        <v>340</v>
      </c>
      <c r="N204" s="47" t="s">
        <v>343</v>
      </c>
      <c r="O204" s="61">
        <v>10200</v>
      </c>
      <c r="P204" s="61">
        <v>8</v>
      </c>
      <c r="Q204" s="51">
        <f t="shared" si="9"/>
        <v>81600</v>
      </c>
      <c r="R204" s="31">
        <v>202310</v>
      </c>
      <c r="S204" s="32" t="s">
        <v>352</v>
      </c>
      <c r="T204" s="33"/>
      <c r="U204" s="32"/>
      <c r="V204" s="33"/>
      <c r="W204" s="67"/>
      <c r="X204" s="67"/>
      <c r="Y204" s="36"/>
      <c r="Z204" s="36"/>
      <c r="AA204" s="36"/>
      <c r="AB204" s="36"/>
      <c r="AC204" s="36"/>
      <c r="AD204" s="36"/>
      <c r="AE204" s="36"/>
      <c r="AF204" s="53" t="s">
        <v>68</v>
      </c>
      <c r="AG204" s="42"/>
      <c r="AH204" s="42"/>
      <c r="AI204" s="43"/>
      <c r="AJ204" s="43"/>
      <c r="AK204" s="43"/>
      <c r="AL204" s="43"/>
      <c r="AM204" s="43"/>
      <c r="AN204" s="42"/>
      <c r="AO204" s="42"/>
      <c r="AP204" s="42"/>
      <c r="AQ204" s="43"/>
      <c r="AR204" s="42"/>
      <c r="AS204" s="42"/>
    </row>
    <row r="205" spans="1:45" ht="15" customHeight="1">
      <c r="A205" s="65" t="s">
        <v>57</v>
      </c>
      <c r="B205" s="21" t="s">
        <v>46</v>
      </c>
      <c r="C205" s="21" t="s">
        <v>188</v>
      </c>
      <c r="D205" s="22" t="s">
        <v>59</v>
      </c>
      <c r="E205" s="66" t="s">
        <v>335</v>
      </c>
      <c r="F205" s="65" t="s">
        <v>336</v>
      </c>
      <c r="G205" s="26" t="s">
        <v>77</v>
      </c>
      <c r="H205" s="45" t="s">
        <v>337</v>
      </c>
      <c r="I205" s="26" t="s">
        <v>78</v>
      </c>
      <c r="J205" s="46" t="s">
        <v>338</v>
      </c>
      <c r="K205" s="47"/>
      <c r="L205" s="48" t="s">
        <v>339</v>
      </c>
      <c r="M205" s="49" t="s">
        <v>340</v>
      </c>
      <c r="N205" s="47" t="s">
        <v>90</v>
      </c>
      <c r="O205" s="61">
        <v>5100</v>
      </c>
      <c r="P205" s="61">
        <v>6</v>
      </c>
      <c r="Q205" s="51">
        <f t="shared" si="9"/>
        <v>30600</v>
      </c>
      <c r="R205" s="31">
        <v>202310</v>
      </c>
      <c r="S205" s="32"/>
      <c r="T205" s="33"/>
      <c r="U205" s="32"/>
      <c r="V205" s="33"/>
      <c r="W205" s="67"/>
      <c r="X205" s="67"/>
      <c r="Y205" s="36"/>
      <c r="Z205" s="36"/>
      <c r="AA205" s="36"/>
      <c r="AB205" s="36"/>
      <c r="AC205" s="36"/>
      <c r="AD205" s="36"/>
      <c r="AE205" s="36"/>
      <c r="AF205" s="53" t="s">
        <v>68</v>
      </c>
      <c r="AG205" s="42"/>
      <c r="AH205" s="42"/>
      <c r="AI205" s="43"/>
      <c r="AJ205" s="43"/>
      <c r="AK205" s="43"/>
      <c r="AL205" s="43"/>
      <c r="AM205" s="43"/>
      <c r="AN205" s="42"/>
      <c r="AO205" s="42"/>
      <c r="AP205" s="42"/>
      <c r="AQ205" s="43"/>
      <c r="AR205" s="42"/>
      <c r="AS205" s="42"/>
    </row>
    <row r="206" spans="1:45" ht="15" customHeight="1">
      <c r="A206" s="65" t="s">
        <v>57</v>
      </c>
      <c r="B206" s="21" t="s">
        <v>46</v>
      </c>
      <c r="C206" s="21" t="s">
        <v>188</v>
      </c>
      <c r="D206" s="22" t="s">
        <v>59</v>
      </c>
      <c r="E206" s="66" t="s">
        <v>335</v>
      </c>
      <c r="F206" s="65" t="s">
        <v>336</v>
      </c>
      <c r="G206" s="26" t="s">
        <v>77</v>
      </c>
      <c r="H206" s="45" t="s">
        <v>337</v>
      </c>
      <c r="I206" s="26" t="s">
        <v>353</v>
      </c>
      <c r="J206" s="46" t="s">
        <v>338</v>
      </c>
      <c r="K206" s="47"/>
      <c r="L206" s="48" t="s">
        <v>339</v>
      </c>
      <c r="M206" s="49"/>
      <c r="N206" s="47" t="s">
        <v>348</v>
      </c>
      <c r="O206" s="61">
        <v>15300</v>
      </c>
      <c r="P206" s="61">
        <v>1</v>
      </c>
      <c r="Q206" s="51">
        <f t="shared" si="9"/>
        <v>15300</v>
      </c>
      <c r="R206" s="31">
        <v>202310</v>
      </c>
      <c r="S206" s="32" t="s">
        <v>354</v>
      </c>
      <c r="T206" s="33"/>
      <c r="U206" s="32"/>
      <c r="V206" s="33"/>
      <c r="W206" s="67"/>
      <c r="X206" s="67"/>
      <c r="Y206" s="36"/>
      <c r="Z206" s="36"/>
      <c r="AA206" s="36"/>
      <c r="AB206" s="36"/>
      <c r="AC206" s="36"/>
      <c r="AD206" s="36"/>
      <c r="AE206" s="36"/>
      <c r="AF206" s="53" t="s">
        <v>68</v>
      </c>
      <c r="AG206" s="42"/>
      <c r="AH206" s="42"/>
      <c r="AI206" s="43"/>
      <c r="AJ206" s="43"/>
      <c r="AK206" s="43"/>
      <c r="AL206" s="43"/>
      <c r="AM206" s="43"/>
      <c r="AN206" s="42"/>
      <c r="AO206" s="42"/>
      <c r="AP206" s="42"/>
      <c r="AQ206" s="43"/>
      <c r="AR206" s="42"/>
      <c r="AS206" s="42"/>
    </row>
    <row r="207" spans="1:45" ht="15" customHeight="1">
      <c r="A207" s="65" t="s">
        <v>57</v>
      </c>
      <c r="B207" s="21" t="s">
        <v>46</v>
      </c>
      <c r="C207" s="21" t="s">
        <v>188</v>
      </c>
      <c r="D207" s="22" t="s">
        <v>59</v>
      </c>
      <c r="E207" s="66" t="s">
        <v>335</v>
      </c>
      <c r="F207" s="65" t="s">
        <v>336</v>
      </c>
      <c r="G207" s="26" t="s">
        <v>77</v>
      </c>
      <c r="H207" s="45" t="s">
        <v>337</v>
      </c>
      <c r="I207" s="26" t="s">
        <v>353</v>
      </c>
      <c r="J207" s="46" t="s">
        <v>338</v>
      </c>
      <c r="K207" s="47"/>
      <c r="L207" s="48" t="s">
        <v>339</v>
      </c>
      <c r="M207" s="49">
        <v>43717</v>
      </c>
      <c r="N207" s="47" t="s">
        <v>182</v>
      </c>
      <c r="O207" s="61">
        <v>14960.000000000002</v>
      </c>
      <c r="P207" s="61">
        <v>2</v>
      </c>
      <c r="Q207" s="51">
        <f t="shared" si="9"/>
        <v>29920</v>
      </c>
      <c r="R207" s="31">
        <v>202310</v>
      </c>
      <c r="S207" s="32" t="s">
        <v>355</v>
      </c>
      <c r="T207" s="33"/>
      <c r="U207" s="32"/>
      <c r="V207" s="33"/>
      <c r="W207" s="67"/>
      <c r="X207" s="67"/>
      <c r="Y207" s="36"/>
      <c r="Z207" s="36"/>
      <c r="AA207" s="36"/>
      <c r="AB207" s="36"/>
      <c r="AC207" s="36"/>
      <c r="AD207" s="36"/>
      <c r="AE207" s="36"/>
      <c r="AF207" s="53" t="s">
        <v>68</v>
      </c>
      <c r="AG207" s="42"/>
      <c r="AH207" s="42"/>
      <c r="AI207" s="43"/>
      <c r="AJ207" s="43"/>
      <c r="AK207" s="43"/>
      <c r="AL207" s="43"/>
      <c r="AM207" s="43"/>
      <c r="AN207" s="42"/>
      <c r="AO207" s="42"/>
      <c r="AP207" s="42"/>
      <c r="AQ207" s="43"/>
      <c r="AR207" s="42"/>
      <c r="AS207" s="42"/>
    </row>
    <row r="208" spans="1:45" ht="15" customHeight="1">
      <c r="A208" s="65" t="s">
        <v>57</v>
      </c>
      <c r="B208" s="21" t="s">
        <v>46</v>
      </c>
      <c r="C208" s="21" t="s">
        <v>188</v>
      </c>
      <c r="D208" s="22" t="s">
        <v>59</v>
      </c>
      <c r="E208" s="66" t="s">
        <v>335</v>
      </c>
      <c r="F208" s="65" t="s">
        <v>336</v>
      </c>
      <c r="G208" s="26" t="s">
        <v>77</v>
      </c>
      <c r="H208" s="45" t="s">
        <v>337</v>
      </c>
      <c r="I208" s="26" t="s">
        <v>353</v>
      </c>
      <c r="J208" s="46" t="s">
        <v>338</v>
      </c>
      <c r="K208" s="47"/>
      <c r="L208" s="48" t="s">
        <v>339</v>
      </c>
      <c r="M208" s="49">
        <v>44022</v>
      </c>
      <c r="N208" s="47" t="s">
        <v>356</v>
      </c>
      <c r="O208" s="61">
        <v>23375</v>
      </c>
      <c r="P208" s="61">
        <v>1</v>
      </c>
      <c r="Q208" s="51">
        <f t="shared" si="9"/>
        <v>23375</v>
      </c>
      <c r="R208" s="31">
        <v>202310</v>
      </c>
      <c r="S208" s="32" t="s">
        <v>357</v>
      </c>
      <c r="T208" s="33"/>
      <c r="U208" s="32"/>
      <c r="V208" s="33"/>
      <c r="W208" s="67"/>
      <c r="X208" s="67"/>
      <c r="Y208" s="36"/>
      <c r="Z208" s="36"/>
      <c r="AA208" s="36"/>
      <c r="AB208" s="36"/>
      <c r="AC208" s="36"/>
      <c r="AD208" s="36"/>
      <c r="AE208" s="36"/>
      <c r="AF208" s="53" t="s">
        <v>68</v>
      </c>
      <c r="AG208" s="42"/>
      <c r="AH208" s="42"/>
      <c r="AI208" s="43"/>
      <c r="AJ208" s="43"/>
      <c r="AK208" s="43"/>
      <c r="AL208" s="43"/>
      <c r="AM208" s="43"/>
      <c r="AN208" s="42"/>
      <c r="AO208" s="42"/>
      <c r="AP208" s="42"/>
      <c r="AQ208" s="43"/>
      <c r="AR208" s="42"/>
      <c r="AS208" s="42"/>
    </row>
    <row r="209" spans="1:45" ht="15" customHeight="1">
      <c r="A209" s="65" t="s">
        <v>57</v>
      </c>
      <c r="B209" s="21" t="s">
        <v>46</v>
      </c>
      <c r="C209" s="21" t="s">
        <v>188</v>
      </c>
      <c r="D209" s="22" t="s">
        <v>59</v>
      </c>
      <c r="E209" s="66" t="s">
        <v>335</v>
      </c>
      <c r="F209" s="65" t="s">
        <v>336</v>
      </c>
      <c r="G209" s="26" t="s">
        <v>77</v>
      </c>
      <c r="H209" s="45" t="s">
        <v>337</v>
      </c>
      <c r="I209" s="26" t="s">
        <v>353</v>
      </c>
      <c r="J209" s="46" t="s">
        <v>338</v>
      </c>
      <c r="K209" s="47"/>
      <c r="L209" s="48" t="s">
        <v>339</v>
      </c>
      <c r="M209" s="49">
        <v>44077</v>
      </c>
      <c r="N209" s="47" t="s">
        <v>182</v>
      </c>
      <c r="O209" s="61">
        <v>14960.000000000002</v>
      </c>
      <c r="P209" s="61">
        <v>4</v>
      </c>
      <c r="Q209" s="51">
        <f t="shared" si="9"/>
        <v>59840</v>
      </c>
      <c r="R209" s="31">
        <v>202310</v>
      </c>
      <c r="S209" s="32" t="s">
        <v>358</v>
      </c>
      <c r="T209" s="33"/>
      <c r="U209" s="32"/>
      <c r="V209" s="33"/>
      <c r="W209" s="67"/>
      <c r="X209" s="67"/>
      <c r="Y209" s="36"/>
      <c r="Z209" s="36"/>
      <c r="AA209" s="36"/>
      <c r="AB209" s="36"/>
      <c r="AC209" s="36"/>
      <c r="AD209" s="36"/>
      <c r="AE209" s="36"/>
      <c r="AF209" s="53" t="s">
        <v>68</v>
      </c>
      <c r="AG209" s="42"/>
      <c r="AH209" s="42"/>
      <c r="AI209" s="43"/>
      <c r="AJ209" s="43"/>
      <c r="AK209" s="43"/>
      <c r="AL209" s="43"/>
      <c r="AM209" s="43"/>
      <c r="AN209" s="42"/>
      <c r="AO209" s="42"/>
      <c r="AP209" s="42"/>
      <c r="AQ209" s="43"/>
      <c r="AR209" s="42"/>
      <c r="AS209" s="42"/>
    </row>
    <row r="210" spans="1:45" ht="15" customHeight="1">
      <c r="A210" s="65" t="s">
        <v>57</v>
      </c>
      <c r="B210" s="21" t="s">
        <v>46</v>
      </c>
      <c r="C210" s="21" t="s">
        <v>188</v>
      </c>
      <c r="D210" s="22" t="s">
        <v>59</v>
      </c>
      <c r="E210" s="66" t="s">
        <v>335</v>
      </c>
      <c r="F210" s="65" t="s">
        <v>336</v>
      </c>
      <c r="G210" s="26" t="s">
        <v>77</v>
      </c>
      <c r="H210" s="45" t="s">
        <v>337</v>
      </c>
      <c r="I210" s="26" t="s">
        <v>353</v>
      </c>
      <c r="J210" s="46" t="s">
        <v>338</v>
      </c>
      <c r="K210" s="47"/>
      <c r="L210" s="48" t="s">
        <v>339</v>
      </c>
      <c r="M210" s="49">
        <v>44180</v>
      </c>
      <c r="N210" s="47" t="s">
        <v>356</v>
      </c>
      <c r="O210" s="61">
        <v>23375</v>
      </c>
      <c r="P210" s="61">
        <v>1</v>
      </c>
      <c r="Q210" s="51">
        <f t="shared" si="9"/>
        <v>23375</v>
      </c>
      <c r="R210" s="31">
        <v>202310</v>
      </c>
      <c r="S210" s="32" t="s">
        <v>359</v>
      </c>
      <c r="T210" s="33"/>
      <c r="U210" s="32"/>
      <c r="V210" s="33"/>
      <c r="W210" s="67"/>
      <c r="X210" s="67"/>
      <c r="Y210" s="36"/>
      <c r="Z210" s="36"/>
      <c r="AA210" s="36"/>
      <c r="AB210" s="36"/>
      <c r="AC210" s="36"/>
      <c r="AD210" s="36"/>
      <c r="AE210" s="36"/>
      <c r="AF210" s="53" t="s">
        <v>68</v>
      </c>
      <c r="AG210" s="42"/>
      <c r="AH210" s="42"/>
      <c r="AI210" s="43"/>
      <c r="AJ210" s="43"/>
      <c r="AK210" s="43"/>
      <c r="AL210" s="43"/>
      <c r="AM210" s="43"/>
      <c r="AN210" s="42"/>
      <c r="AO210" s="42"/>
      <c r="AP210" s="42"/>
      <c r="AQ210" s="43"/>
      <c r="AR210" s="42"/>
      <c r="AS210" s="42"/>
    </row>
    <row r="211" spans="1:45" ht="15" customHeight="1">
      <c r="A211" s="65" t="s">
        <v>57</v>
      </c>
      <c r="B211" s="21" t="s">
        <v>46</v>
      </c>
      <c r="C211" s="21" t="s">
        <v>188</v>
      </c>
      <c r="D211" s="22" t="s">
        <v>59</v>
      </c>
      <c r="E211" s="66" t="s">
        <v>335</v>
      </c>
      <c r="F211" s="65" t="s">
        <v>336</v>
      </c>
      <c r="G211" s="26" t="s">
        <v>77</v>
      </c>
      <c r="H211" s="45" t="s">
        <v>337</v>
      </c>
      <c r="I211" s="26" t="s">
        <v>353</v>
      </c>
      <c r="J211" s="46" t="s">
        <v>338</v>
      </c>
      <c r="K211" s="47"/>
      <c r="L211" s="48" t="s">
        <v>339</v>
      </c>
      <c r="M211" s="49">
        <v>44286</v>
      </c>
      <c r="N211" s="47" t="s">
        <v>182</v>
      </c>
      <c r="O211" s="61">
        <v>14960.000000000002</v>
      </c>
      <c r="P211" s="61">
        <v>1</v>
      </c>
      <c r="Q211" s="51">
        <f t="shared" si="9"/>
        <v>14960</v>
      </c>
      <c r="R211" s="31">
        <v>202310</v>
      </c>
      <c r="S211" s="32" t="s">
        <v>360</v>
      </c>
      <c r="T211" s="33"/>
      <c r="U211" s="32"/>
      <c r="V211" s="33"/>
      <c r="W211" s="67"/>
      <c r="X211" s="67"/>
      <c r="Y211" s="36"/>
      <c r="Z211" s="36"/>
      <c r="AA211" s="36"/>
      <c r="AB211" s="36"/>
      <c r="AC211" s="36"/>
      <c r="AD211" s="36"/>
      <c r="AE211" s="36"/>
      <c r="AF211" s="53" t="s">
        <v>68</v>
      </c>
      <c r="AG211" s="42"/>
      <c r="AH211" s="42"/>
      <c r="AI211" s="43"/>
      <c r="AJ211" s="43"/>
      <c r="AK211" s="43"/>
      <c r="AL211" s="43"/>
      <c r="AM211" s="43"/>
      <c r="AN211" s="42"/>
      <c r="AO211" s="42"/>
      <c r="AP211" s="42"/>
      <c r="AQ211" s="43"/>
      <c r="AR211" s="42"/>
      <c r="AS211" s="42"/>
    </row>
    <row r="212" spans="1:45" ht="15" customHeight="1">
      <c r="A212" s="65" t="s">
        <v>57</v>
      </c>
      <c r="B212" s="21" t="s">
        <v>46</v>
      </c>
      <c r="C212" s="21" t="s">
        <v>188</v>
      </c>
      <c r="D212" s="22" t="s">
        <v>59</v>
      </c>
      <c r="E212" s="66" t="s">
        <v>335</v>
      </c>
      <c r="F212" s="65" t="s">
        <v>336</v>
      </c>
      <c r="G212" s="26" t="s">
        <v>77</v>
      </c>
      <c r="H212" s="45" t="s">
        <v>337</v>
      </c>
      <c r="I212" s="26" t="s">
        <v>353</v>
      </c>
      <c r="J212" s="46" t="s">
        <v>338</v>
      </c>
      <c r="K212" s="47"/>
      <c r="L212" s="48" t="s">
        <v>339</v>
      </c>
      <c r="M212" s="49">
        <v>44421</v>
      </c>
      <c r="N212" s="47" t="s">
        <v>341</v>
      </c>
      <c r="O212" s="61">
        <v>27200</v>
      </c>
      <c r="P212" s="61">
        <v>-1</v>
      </c>
      <c r="Q212" s="51">
        <f t="shared" si="9"/>
        <v>-27200</v>
      </c>
      <c r="R212" s="31">
        <v>202310</v>
      </c>
      <c r="S212" s="32" t="s">
        <v>342</v>
      </c>
      <c r="T212" s="33"/>
      <c r="U212" s="32"/>
      <c r="V212" s="33"/>
      <c r="W212" s="67"/>
      <c r="X212" s="67"/>
      <c r="Y212" s="36"/>
      <c r="Z212" s="36"/>
      <c r="AA212" s="36"/>
      <c r="AB212" s="36"/>
      <c r="AC212" s="36"/>
      <c r="AD212" s="36"/>
      <c r="AE212" s="36"/>
      <c r="AF212" s="53" t="s">
        <v>68</v>
      </c>
      <c r="AG212" s="42"/>
      <c r="AH212" s="42"/>
      <c r="AI212" s="43"/>
      <c r="AJ212" s="43"/>
      <c r="AK212" s="43"/>
      <c r="AL212" s="43"/>
      <c r="AM212" s="43"/>
      <c r="AN212" s="42"/>
      <c r="AO212" s="42"/>
      <c r="AP212" s="42"/>
      <c r="AQ212" s="43"/>
      <c r="AR212" s="42"/>
      <c r="AS212" s="42"/>
    </row>
    <row r="213" spans="1:45" ht="15" customHeight="1">
      <c r="A213" s="65" t="s">
        <v>57</v>
      </c>
      <c r="B213" s="21" t="s">
        <v>46</v>
      </c>
      <c r="C213" s="21" t="s">
        <v>188</v>
      </c>
      <c r="D213" s="22" t="s">
        <v>59</v>
      </c>
      <c r="E213" s="66" t="s">
        <v>335</v>
      </c>
      <c r="F213" s="65" t="s">
        <v>336</v>
      </c>
      <c r="G213" s="26" t="s">
        <v>77</v>
      </c>
      <c r="H213" s="45" t="s">
        <v>337</v>
      </c>
      <c r="I213" s="26" t="s">
        <v>78</v>
      </c>
      <c r="J213" s="46" t="s">
        <v>338</v>
      </c>
      <c r="K213" s="47"/>
      <c r="L213" s="48" t="s">
        <v>339</v>
      </c>
      <c r="M213" s="49">
        <v>44421</v>
      </c>
      <c r="N213" s="47" t="s">
        <v>343</v>
      </c>
      <c r="O213" s="61">
        <v>10200</v>
      </c>
      <c r="P213" s="61">
        <v>-2</v>
      </c>
      <c r="Q213" s="51">
        <f t="shared" si="9"/>
        <v>-20400</v>
      </c>
      <c r="R213" s="31">
        <v>202310</v>
      </c>
      <c r="S213" s="32" t="s">
        <v>361</v>
      </c>
      <c r="T213" s="33"/>
      <c r="U213" s="32"/>
      <c r="V213" s="33"/>
      <c r="W213" s="67"/>
      <c r="X213" s="67"/>
      <c r="Y213" s="36"/>
      <c r="Z213" s="36"/>
      <c r="AA213" s="36"/>
      <c r="AB213" s="36"/>
      <c r="AC213" s="36"/>
      <c r="AD213" s="36"/>
      <c r="AE213" s="36"/>
      <c r="AF213" s="53" t="s">
        <v>68</v>
      </c>
      <c r="AG213" s="42"/>
      <c r="AH213" s="42"/>
      <c r="AI213" s="43"/>
      <c r="AJ213" s="43"/>
      <c r="AK213" s="43"/>
      <c r="AL213" s="43"/>
      <c r="AM213" s="43"/>
      <c r="AN213" s="42"/>
      <c r="AO213" s="42"/>
      <c r="AP213" s="42"/>
      <c r="AQ213" s="43"/>
      <c r="AR213" s="42"/>
      <c r="AS213" s="42"/>
    </row>
    <row r="214" spans="1:45" ht="15" customHeight="1">
      <c r="A214" s="65" t="s">
        <v>57</v>
      </c>
      <c r="B214" s="21" t="s">
        <v>46</v>
      </c>
      <c r="C214" s="21" t="s">
        <v>188</v>
      </c>
      <c r="D214" s="22" t="s">
        <v>59</v>
      </c>
      <c r="E214" s="66" t="s">
        <v>335</v>
      </c>
      <c r="F214" s="65" t="s">
        <v>336</v>
      </c>
      <c r="G214" s="26" t="s">
        <v>77</v>
      </c>
      <c r="H214" s="45" t="s">
        <v>337</v>
      </c>
      <c r="I214" s="26" t="s">
        <v>353</v>
      </c>
      <c r="J214" s="46" t="s">
        <v>338</v>
      </c>
      <c r="K214" s="47"/>
      <c r="L214" s="48" t="s">
        <v>339</v>
      </c>
      <c r="M214" s="49">
        <v>44462</v>
      </c>
      <c r="N214" s="47" t="s">
        <v>182</v>
      </c>
      <c r="O214" s="61">
        <v>14960.000000000002</v>
      </c>
      <c r="P214" s="61">
        <v>3</v>
      </c>
      <c r="Q214" s="51">
        <f t="shared" si="9"/>
        <v>44880</v>
      </c>
      <c r="R214" s="31">
        <v>202310</v>
      </c>
      <c r="S214" s="32" t="s">
        <v>362</v>
      </c>
      <c r="T214" s="33"/>
      <c r="U214" s="32"/>
      <c r="V214" s="33"/>
      <c r="W214" s="67"/>
      <c r="X214" s="67"/>
      <c r="Y214" s="36"/>
      <c r="Z214" s="36"/>
      <c r="AA214" s="36"/>
      <c r="AB214" s="36"/>
      <c r="AC214" s="36"/>
      <c r="AD214" s="36"/>
      <c r="AE214" s="36"/>
      <c r="AF214" s="53" t="s">
        <v>68</v>
      </c>
      <c r="AG214" s="42"/>
      <c r="AH214" s="42"/>
      <c r="AI214" s="43"/>
      <c r="AJ214" s="43"/>
      <c r="AK214" s="43"/>
      <c r="AL214" s="43"/>
      <c r="AM214" s="43"/>
      <c r="AN214" s="42"/>
      <c r="AO214" s="42"/>
      <c r="AP214" s="42"/>
      <c r="AQ214" s="43"/>
      <c r="AR214" s="42"/>
      <c r="AS214" s="42"/>
    </row>
    <row r="215" spans="1:45" ht="15" customHeight="1">
      <c r="A215" s="65" t="s">
        <v>57</v>
      </c>
      <c r="B215" s="21" t="s">
        <v>46</v>
      </c>
      <c r="C215" s="21" t="s">
        <v>188</v>
      </c>
      <c r="D215" s="22" t="s">
        <v>59</v>
      </c>
      <c r="E215" s="66" t="s">
        <v>335</v>
      </c>
      <c r="F215" s="65" t="s">
        <v>336</v>
      </c>
      <c r="G215" s="26" t="s">
        <v>77</v>
      </c>
      <c r="H215" s="45" t="s">
        <v>363</v>
      </c>
      <c r="I215" s="26" t="s">
        <v>353</v>
      </c>
      <c r="J215" s="46" t="s">
        <v>338</v>
      </c>
      <c r="K215" s="47"/>
      <c r="L215" s="48" t="s">
        <v>364</v>
      </c>
      <c r="M215" s="49" t="s">
        <v>340</v>
      </c>
      <c r="N215" s="47" t="s">
        <v>177</v>
      </c>
      <c r="O215" s="61">
        <v>6300</v>
      </c>
      <c r="P215" s="61">
        <v>292</v>
      </c>
      <c r="Q215" s="51">
        <f t="shared" si="9"/>
        <v>1839600</v>
      </c>
      <c r="R215" s="31">
        <v>202310</v>
      </c>
      <c r="S215" s="32"/>
      <c r="T215" s="33"/>
      <c r="U215" s="32"/>
      <c r="V215" s="33"/>
      <c r="W215" s="67"/>
      <c r="X215" s="67"/>
      <c r="Y215" s="36">
        <v>44378</v>
      </c>
      <c r="Z215" s="36">
        <v>44592</v>
      </c>
      <c r="AA215" s="36"/>
      <c r="AB215" s="36"/>
      <c r="AC215" s="36"/>
      <c r="AD215" s="36"/>
      <c r="AE215" s="36"/>
      <c r="AF215" s="53" t="s">
        <v>68</v>
      </c>
      <c r="AG215" s="42"/>
      <c r="AH215" s="42"/>
      <c r="AI215" s="43"/>
      <c r="AJ215" s="43"/>
      <c r="AK215" s="43"/>
      <c r="AL215" s="43"/>
      <c r="AM215" s="43"/>
      <c r="AN215" s="42"/>
      <c r="AO215" s="42"/>
      <c r="AP215" s="42"/>
      <c r="AQ215" s="43"/>
      <c r="AR215" s="42"/>
      <c r="AS215" s="42"/>
    </row>
    <row r="216" spans="1:45" ht="15" customHeight="1">
      <c r="A216" s="65" t="s">
        <v>57</v>
      </c>
      <c r="B216" s="21" t="s">
        <v>46</v>
      </c>
      <c r="C216" s="21" t="s">
        <v>188</v>
      </c>
      <c r="D216" s="22" t="s">
        <v>59</v>
      </c>
      <c r="E216" s="66" t="s">
        <v>335</v>
      </c>
      <c r="F216" s="65" t="s">
        <v>336</v>
      </c>
      <c r="G216" s="26" t="s">
        <v>77</v>
      </c>
      <c r="H216" s="45" t="s">
        <v>363</v>
      </c>
      <c r="I216" s="26" t="s">
        <v>353</v>
      </c>
      <c r="J216" s="46" t="s">
        <v>338</v>
      </c>
      <c r="K216" s="47"/>
      <c r="L216" s="48" t="s">
        <v>364</v>
      </c>
      <c r="M216" s="49">
        <v>44582</v>
      </c>
      <c r="N216" s="47" t="s">
        <v>177</v>
      </c>
      <c r="O216" s="61">
        <v>6300</v>
      </c>
      <c r="P216" s="61">
        <v>-292</v>
      </c>
      <c r="Q216" s="51">
        <f t="shared" si="9"/>
        <v>-1839600</v>
      </c>
      <c r="R216" s="31">
        <v>202310</v>
      </c>
      <c r="S216" s="32" t="s">
        <v>365</v>
      </c>
      <c r="T216" s="33"/>
      <c r="U216" s="32"/>
      <c r="V216" s="33"/>
      <c r="W216" s="67"/>
      <c r="X216" s="67"/>
      <c r="Y216" s="36">
        <v>44378</v>
      </c>
      <c r="Z216" s="36">
        <v>44592</v>
      </c>
      <c r="AA216" s="36"/>
      <c r="AB216" s="36"/>
      <c r="AC216" s="36"/>
      <c r="AD216" s="36"/>
      <c r="AE216" s="36"/>
      <c r="AF216" s="53" t="s">
        <v>68</v>
      </c>
      <c r="AG216" s="42"/>
      <c r="AH216" s="42"/>
      <c r="AI216" s="43"/>
      <c r="AJ216" s="43"/>
      <c r="AK216" s="43"/>
      <c r="AL216" s="43"/>
      <c r="AM216" s="43"/>
      <c r="AN216" s="42"/>
      <c r="AO216" s="42"/>
      <c r="AP216" s="42"/>
      <c r="AQ216" s="43"/>
      <c r="AR216" s="42"/>
      <c r="AS216" s="42"/>
    </row>
    <row r="217" spans="1:45" ht="15" customHeight="1">
      <c r="A217" s="65" t="s">
        <v>57</v>
      </c>
      <c r="B217" s="21" t="s">
        <v>46</v>
      </c>
      <c r="C217" s="21" t="s">
        <v>188</v>
      </c>
      <c r="D217" s="22" t="s">
        <v>59</v>
      </c>
      <c r="E217" s="66" t="s">
        <v>335</v>
      </c>
      <c r="F217" s="65" t="s">
        <v>336</v>
      </c>
      <c r="G217" s="26" t="s">
        <v>77</v>
      </c>
      <c r="H217" s="45" t="s">
        <v>363</v>
      </c>
      <c r="I217" s="26" t="s">
        <v>366</v>
      </c>
      <c r="J217" s="46" t="s">
        <v>338</v>
      </c>
      <c r="K217" s="47"/>
      <c r="L217" s="48" t="s">
        <v>364</v>
      </c>
      <c r="M217" s="49"/>
      <c r="N217" s="47"/>
      <c r="O217" s="61">
        <v>315</v>
      </c>
      <c r="P217" s="61">
        <v>0</v>
      </c>
      <c r="Q217" s="51">
        <f t="shared" si="9"/>
        <v>0</v>
      </c>
      <c r="R217" s="31">
        <v>202310</v>
      </c>
      <c r="S217" s="32" t="s">
        <v>367</v>
      </c>
      <c r="T217" s="33"/>
      <c r="U217" s="32"/>
      <c r="V217" s="33"/>
      <c r="W217" s="67"/>
      <c r="X217" s="67"/>
      <c r="Y217" s="36">
        <v>44378</v>
      </c>
      <c r="Z217" s="36">
        <v>44592</v>
      </c>
      <c r="AA217" s="36"/>
      <c r="AB217" s="36"/>
      <c r="AC217" s="36"/>
      <c r="AD217" s="36"/>
      <c r="AE217" s="36"/>
      <c r="AF217" s="53" t="s">
        <v>68</v>
      </c>
      <c r="AG217" s="42"/>
      <c r="AH217" s="42"/>
      <c r="AI217" s="43"/>
      <c r="AJ217" s="43"/>
      <c r="AK217" s="43"/>
      <c r="AL217" s="43"/>
      <c r="AM217" s="43"/>
      <c r="AN217" s="42"/>
      <c r="AO217" s="42"/>
      <c r="AP217" s="42"/>
      <c r="AQ217" s="43"/>
      <c r="AR217" s="42"/>
      <c r="AS217" s="42"/>
    </row>
    <row r="218" spans="1:45" ht="15" customHeight="1">
      <c r="A218" s="65" t="s">
        <v>57</v>
      </c>
      <c r="B218" s="21" t="s">
        <v>46</v>
      </c>
      <c r="C218" s="21" t="s">
        <v>188</v>
      </c>
      <c r="D218" s="22" t="s">
        <v>59</v>
      </c>
      <c r="E218" s="66" t="s">
        <v>335</v>
      </c>
      <c r="F218" s="65" t="s">
        <v>336</v>
      </c>
      <c r="G218" s="26" t="s">
        <v>77</v>
      </c>
      <c r="H218" s="45" t="s">
        <v>368</v>
      </c>
      <c r="I218" s="26" t="s">
        <v>78</v>
      </c>
      <c r="J218" s="46" t="s">
        <v>338</v>
      </c>
      <c r="K218" s="47"/>
      <c r="L218" s="48" t="s">
        <v>364</v>
      </c>
      <c r="M218" s="49">
        <v>44743</v>
      </c>
      <c r="N218" s="47" t="s">
        <v>177</v>
      </c>
      <c r="O218" s="61">
        <v>6300</v>
      </c>
      <c r="P218" s="61">
        <v>4</v>
      </c>
      <c r="Q218" s="51">
        <f t="shared" si="9"/>
        <v>25200</v>
      </c>
      <c r="R218" s="31">
        <v>202310</v>
      </c>
      <c r="S218" s="32" t="s">
        <v>369</v>
      </c>
      <c r="T218" s="33"/>
      <c r="U218" s="32"/>
      <c r="V218" s="33"/>
      <c r="W218" s="67"/>
      <c r="X218" s="67"/>
      <c r="Y218" s="36"/>
      <c r="Z218" s="36"/>
      <c r="AA218" s="36"/>
      <c r="AB218" s="36"/>
      <c r="AC218" s="36"/>
      <c r="AD218" s="36"/>
      <c r="AE218" s="36"/>
      <c r="AF218" s="53" t="s">
        <v>68</v>
      </c>
      <c r="AG218" s="42"/>
      <c r="AH218" s="42"/>
      <c r="AI218" s="43"/>
      <c r="AJ218" s="43"/>
      <c r="AK218" s="43"/>
      <c r="AL218" s="43"/>
      <c r="AM218" s="43"/>
      <c r="AN218" s="42"/>
      <c r="AO218" s="42"/>
      <c r="AP218" s="42"/>
      <c r="AQ218" s="43"/>
      <c r="AR218" s="42"/>
      <c r="AS218" s="42"/>
    </row>
    <row r="219" spans="1:45" ht="15" customHeight="1">
      <c r="A219" s="65" t="s">
        <v>57</v>
      </c>
      <c r="B219" s="21" t="s">
        <v>46</v>
      </c>
      <c r="C219" s="21" t="s">
        <v>188</v>
      </c>
      <c r="D219" s="22" t="s">
        <v>59</v>
      </c>
      <c r="E219" s="66" t="s">
        <v>335</v>
      </c>
      <c r="F219" s="65" t="s">
        <v>336</v>
      </c>
      <c r="G219" s="26" t="s">
        <v>77</v>
      </c>
      <c r="H219" s="45" t="s">
        <v>368</v>
      </c>
      <c r="I219" s="26" t="s">
        <v>78</v>
      </c>
      <c r="J219" s="46" t="s">
        <v>338</v>
      </c>
      <c r="K219" s="47"/>
      <c r="L219" s="48" t="s">
        <v>364</v>
      </c>
      <c r="M219" s="49">
        <v>44776</v>
      </c>
      <c r="N219" s="47" t="s">
        <v>177</v>
      </c>
      <c r="O219" s="61">
        <v>6300</v>
      </c>
      <c r="P219" s="61">
        <v>1</v>
      </c>
      <c r="Q219" s="51">
        <f t="shared" si="9"/>
        <v>6300</v>
      </c>
      <c r="R219" s="31">
        <v>202310</v>
      </c>
      <c r="S219" s="32" t="s">
        <v>370</v>
      </c>
      <c r="T219" s="33"/>
      <c r="U219" s="32"/>
      <c r="V219" s="33"/>
      <c r="W219" s="67"/>
      <c r="X219" s="67"/>
      <c r="Y219" s="36"/>
      <c r="Z219" s="36"/>
      <c r="AA219" s="36"/>
      <c r="AB219" s="36"/>
      <c r="AC219" s="36"/>
      <c r="AD219" s="36"/>
      <c r="AE219" s="36"/>
      <c r="AF219" s="53" t="s">
        <v>68</v>
      </c>
      <c r="AG219" s="42"/>
      <c r="AH219" s="42"/>
      <c r="AI219" s="43"/>
      <c r="AJ219" s="43"/>
      <c r="AK219" s="43"/>
      <c r="AL219" s="43"/>
      <c r="AM219" s="43"/>
      <c r="AN219" s="42"/>
      <c r="AO219" s="42"/>
      <c r="AP219" s="42"/>
      <c r="AQ219" s="43"/>
      <c r="AR219" s="42"/>
      <c r="AS219" s="42"/>
    </row>
    <row r="220" spans="1:45" ht="15" customHeight="1">
      <c r="A220" s="65" t="s">
        <v>57</v>
      </c>
      <c r="B220" s="21" t="s">
        <v>46</v>
      </c>
      <c r="C220" s="21" t="s">
        <v>188</v>
      </c>
      <c r="D220" s="22" t="s">
        <v>59</v>
      </c>
      <c r="E220" s="66" t="s">
        <v>335</v>
      </c>
      <c r="F220" s="65" t="s">
        <v>336</v>
      </c>
      <c r="G220" s="26" t="s">
        <v>77</v>
      </c>
      <c r="H220" s="45" t="s">
        <v>368</v>
      </c>
      <c r="I220" s="26" t="s">
        <v>78</v>
      </c>
      <c r="J220" s="46" t="s">
        <v>338</v>
      </c>
      <c r="K220" s="47"/>
      <c r="L220" s="48" t="s">
        <v>339</v>
      </c>
      <c r="M220" s="49">
        <v>44826</v>
      </c>
      <c r="N220" s="47" t="s">
        <v>177</v>
      </c>
      <c r="O220" s="61">
        <v>6300</v>
      </c>
      <c r="P220" s="61">
        <v>2</v>
      </c>
      <c r="Q220" s="51">
        <f t="shared" si="9"/>
        <v>12600</v>
      </c>
      <c r="R220" s="31">
        <v>202310</v>
      </c>
      <c r="S220" s="32" t="s">
        <v>371</v>
      </c>
      <c r="T220" s="33"/>
      <c r="U220" s="32"/>
      <c r="V220" s="33"/>
      <c r="W220" s="67"/>
      <c r="X220" s="67"/>
      <c r="Y220" s="36"/>
      <c r="Z220" s="36"/>
      <c r="AA220" s="36"/>
      <c r="AB220" s="36"/>
      <c r="AC220" s="36"/>
      <c r="AD220" s="36"/>
      <c r="AE220" s="36"/>
      <c r="AF220" s="53" t="s">
        <v>68</v>
      </c>
      <c r="AG220" s="42"/>
      <c r="AH220" s="42"/>
      <c r="AI220" s="43"/>
      <c r="AJ220" s="43"/>
      <c r="AK220" s="43"/>
      <c r="AL220" s="43"/>
      <c r="AM220" s="43"/>
      <c r="AN220" s="42"/>
      <c r="AO220" s="42"/>
      <c r="AP220" s="42"/>
      <c r="AQ220" s="43"/>
      <c r="AR220" s="42"/>
      <c r="AS220" s="42"/>
    </row>
    <row r="221" spans="1:45" ht="15" customHeight="1">
      <c r="A221" s="65" t="s">
        <v>57</v>
      </c>
      <c r="B221" s="21" t="s">
        <v>46</v>
      </c>
      <c r="C221" s="21" t="s">
        <v>188</v>
      </c>
      <c r="D221" s="22" t="s">
        <v>59</v>
      </c>
      <c r="E221" s="66" t="s">
        <v>372</v>
      </c>
      <c r="F221" s="65" t="s">
        <v>373</v>
      </c>
      <c r="G221" s="26" t="s">
        <v>77</v>
      </c>
      <c r="H221" s="45" t="s">
        <v>374</v>
      </c>
      <c r="I221" s="26" t="s">
        <v>78</v>
      </c>
      <c r="J221" s="46" t="s">
        <v>375</v>
      </c>
      <c r="K221" s="47"/>
      <c r="L221" s="48" t="s">
        <v>376</v>
      </c>
      <c r="M221" s="49">
        <v>44484</v>
      </c>
      <c r="N221" s="47" t="s">
        <v>377</v>
      </c>
      <c r="O221" s="61">
        <v>39570</v>
      </c>
      <c r="P221" s="61">
        <v>2</v>
      </c>
      <c r="Q221" s="51">
        <f t="shared" si="9"/>
        <v>79140</v>
      </c>
      <c r="R221" s="31">
        <v>202310</v>
      </c>
      <c r="S221" s="32" t="s">
        <v>378</v>
      </c>
      <c r="T221" s="33"/>
      <c r="U221" s="32"/>
      <c r="V221" s="33"/>
      <c r="W221" s="67"/>
      <c r="X221" s="67"/>
      <c r="Y221" s="36">
        <v>44454</v>
      </c>
      <c r="Z221" s="36">
        <v>46279</v>
      </c>
      <c r="AA221" s="36"/>
      <c r="AB221" s="36"/>
      <c r="AC221" s="36"/>
      <c r="AD221" s="36"/>
      <c r="AE221" s="36"/>
      <c r="AF221" s="53" t="s">
        <v>68</v>
      </c>
      <c r="AG221" s="42"/>
      <c r="AH221" s="42"/>
      <c r="AI221" s="43"/>
      <c r="AJ221" s="43"/>
      <c r="AK221" s="43"/>
      <c r="AL221" s="43"/>
      <c r="AM221" s="43"/>
      <c r="AN221" s="42"/>
      <c r="AO221" s="42"/>
      <c r="AP221" s="42"/>
      <c r="AQ221" s="43"/>
      <c r="AR221" s="42"/>
      <c r="AS221" s="42"/>
    </row>
    <row r="222" spans="1:45" ht="15" customHeight="1">
      <c r="A222" s="65" t="s">
        <v>57</v>
      </c>
      <c r="B222" s="21" t="s">
        <v>46</v>
      </c>
      <c r="C222" s="21" t="s">
        <v>188</v>
      </c>
      <c r="D222" s="22" t="s">
        <v>59</v>
      </c>
      <c r="E222" s="66" t="s">
        <v>372</v>
      </c>
      <c r="F222" s="65" t="s">
        <v>373</v>
      </c>
      <c r="G222" s="26" t="s">
        <v>77</v>
      </c>
      <c r="H222" s="45" t="s">
        <v>374</v>
      </c>
      <c r="I222" s="26" t="s">
        <v>78</v>
      </c>
      <c r="J222" s="46" t="s">
        <v>375</v>
      </c>
      <c r="K222" s="47"/>
      <c r="L222" s="48" t="s">
        <v>376</v>
      </c>
      <c r="M222" s="49">
        <v>44484</v>
      </c>
      <c r="N222" s="47" t="s">
        <v>177</v>
      </c>
      <c r="O222" s="61">
        <v>5803.6</v>
      </c>
      <c r="P222" s="61">
        <v>2</v>
      </c>
      <c r="Q222" s="51">
        <f t="shared" si="9"/>
        <v>11607.2</v>
      </c>
      <c r="R222" s="31">
        <v>202310</v>
      </c>
      <c r="S222" s="32" t="s">
        <v>379</v>
      </c>
      <c r="T222" s="33"/>
      <c r="U222" s="32"/>
      <c r="V222" s="33"/>
      <c r="W222" s="67"/>
      <c r="X222" s="67"/>
      <c r="Y222" s="36">
        <v>44454</v>
      </c>
      <c r="Z222" s="36">
        <v>46279</v>
      </c>
      <c r="AA222" s="36"/>
      <c r="AB222" s="36"/>
      <c r="AC222" s="36"/>
      <c r="AD222" s="36"/>
      <c r="AE222" s="36"/>
      <c r="AF222" s="53" t="s">
        <v>68</v>
      </c>
      <c r="AG222" s="42"/>
      <c r="AH222" s="42"/>
      <c r="AI222" s="43"/>
      <c r="AJ222" s="43"/>
      <c r="AK222" s="43"/>
      <c r="AL222" s="43"/>
      <c r="AM222" s="43"/>
      <c r="AN222" s="42"/>
      <c r="AO222" s="42"/>
      <c r="AP222" s="42"/>
      <c r="AQ222" s="43"/>
      <c r="AR222" s="42"/>
      <c r="AS222" s="42"/>
    </row>
    <row r="223" spans="1:45" ht="15" customHeight="1">
      <c r="A223" s="65" t="s">
        <v>57</v>
      </c>
      <c r="B223" s="21" t="s">
        <v>46</v>
      </c>
      <c r="C223" s="21" t="s">
        <v>188</v>
      </c>
      <c r="D223" s="22" t="s">
        <v>59</v>
      </c>
      <c r="E223" s="66" t="s">
        <v>372</v>
      </c>
      <c r="F223" s="65" t="s">
        <v>373</v>
      </c>
      <c r="G223" s="26" t="s">
        <v>77</v>
      </c>
      <c r="H223" s="45" t="s">
        <v>374</v>
      </c>
      <c r="I223" s="26" t="s">
        <v>78</v>
      </c>
      <c r="J223" s="46" t="s">
        <v>375</v>
      </c>
      <c r="K223" s="47"/>
      <c r="L223" s="48" t="s">
        <v>376</v>
      </c>
      <c r="M223" s="49">
        <v>44490</v>
      </c>
      <c r="N223" s="47" t="s">
        <v>177</v>
      </c>
      <c r="O223" s="61">
        <v>5803.6</v>
      </c>
      <c r="P223" s="61">
        <v>6</v>
      </c>
      <c r="Q223" s="51">
        <f t="shared" si="9"/>
        <v>34821.599999999999</v>
      </c>
      <c r="R223" s="31">
        <v>202310</v>
      </c>
      <c r="S223" s="32" t="s">
        <v>380</v>
      </c>
      <c r="T223" s="33"/>
      <c r="U223" s="32"/>
      <c r="V223" s="33"/>
      <c r="W223" s="67"/>
      <c r="X223" s="67"/>
      <c r="Y223" s="36">
        <v>44454</v>
      </c>
      <c r="Z223" s="36">
        <v>46279</v>
      </c>
      <c r="AA223" s="36"/>
      <c r="AB223" s="36"/>
      <c r="AC223" s="36"/>
      <c r="AD223" s="36"/>
      <c r="AE223" s="36"/>
      <c r="AF223" s="53" t="s">
        <v>68</v>
      </c>
      <c r="AG223" s="42"/>
      <c r="AH223" s="42"/>
      <c r="AI223" s="43"/>
      <c r="AJ223" s="43"/>
      <c r="AK223" s="43"/>
      <c r="AL223" s="43"/>
      <c r="AM223" s="43"/>
      <c r="AN223" s="42"/>
      <c r="AO223" s="42"/>
      <c r="AP223" s="42"/>
      <c r="AQ223" s="43"/>
      <c r="AR223" s="42"/>
      <c r="AS223" s="42"/>
    </row>
    <row r="224" spans="1:45" ht="15" customHeight="1">
      <c r="A224" s="65" t="s">
        <v>57</v>
      </c>
      <c r="B224" s="21" t="s">
        <v>46</v>
      </c>
      <c r="C224" s="21" t="s">
        <v>188</v>
      </c>
      <c r="D224" s="22" t="s">
        <v>59</v>
      </c>
      <c r="E224" s="66" t="s">
        <v>372</v>
      </c>
      <c r="F224" s="65" t="s">
        <v>373</v>
      </c>
      <c r="G224" s="26" t="s">
        <v>77</v>
      </c>
      <c r="H224" s="45" t="s">
        <v>374</v>
      </c>
      <c r="I224" s="26" t="s">
        <v>78</v>
      </c>
      <c r="J224" s="46" t="s">
        <v>375</v>
      </c>
      <c r="K224" s="47"/>
      <c r="L224" s="48" t="s">
        <v>376</v>
      </c>
      <c r="M224" s="49">
        <v>44490</v>
      </c>
      <c r="N224" s="47" t="s">
        <v>348</v>
      </c>
      <c r="O224" s="61">
        <v>11871</v>
      </c>
      <c r="P224" s="61">
        <v>6</v>
      </c>
      <c r="Q224" s="51">
        <f t="shared" si="9"/>
        <v>71226</v>
      </c>
      <c r="R224" s="31">
        <v>202310</v>
      </c>
      <c r="S224" s="32" t="s">
        <v>381</v>
      </c>
      <c r="T224" s="33"/>
      <c r="U224" s="32"/>
      <c r="V224" s="33"/>
      <c r="W224" s="67"/>
      <c r="X224" s="67"/>
      <c r="Y224" s="36">
        <v>44454</v>
      </c>
      <c r="Z224" s="36">
        <v>46279</v>
      </c>
      <c r="AA224" s="36"/>
      <c r="AB224" s="36"/>
      <c r="AC224" s="36"/>
      <c r="AD224" s="36"/>
      <c r="AE224" s="36"/>
      <c r="AF224" s="53" t="s">
        <v>68</v>
      </c>
      <c r="AG224" s="42"/>
      <c r="AH224" s="42"/>
      <c r="AI224" s="43"/>
      <c r="AJ224" s="43"/>
      <c r="AK224" s="43"/>
      <c r="AL224" s="43"/>
      <c r="AM224" s="43"/>
      <c r="AN224" s="42"/>
      <c r="AO224" s="42"/>
      <c r="AP224" s="42"/>
      <c r="AQ224" s="43"/>
      <c r="AR224" s="42"/>
      <c r="AS224" s="42"/>
    </row>
    <row r="225" spans="1:45" ht="15" customHeight="1">
      <c r="A225" s="65" t="s">
        <v>57</v>
      </c>
      <c r="B225" s="21" t="s">
        <v>46</v>
      </c>
      <c r="C225" s="21" t="s">
        <v>188</v>
      </c>
      <c r="D225" s="22" t="s">
        <v>59</v>
      </c>
      <c r="E225" s="66" t="s">
        <v>372</v>
      </c>
      <c r="F225" s="65" t="s">
        <v>373</v>
      </c>
      <c r="G225" s="26" t="s">
        <v>77</v>
      </c>
      <c r="H225" s="45" t="s">
        <v>374</v>
      </c>
      <c r="I225" s="26" t="s">
        <v>78</v>
      </c>
      <c r="J225" s="46" t="s">
        <v>375</v>
      </c>
      <c r="K225" s="47"/>
      <c r="L225" s="48" t="s">
        <v>376</v>
      </c>
      <c r="M225" s="49">
        <v>44484</v>
      </c>
      <c r="N225" s="47" t="s">
        <v>382</v>
      </c>
      <c r="O225" s="61">
        <v>5280</v>
      </c>
      <c r="P225" s="61">
        <v>2</v>
      </c>
      <c r="Q225" s="51">
        <f t="shared" si="9"/>
        <v>10560</v>
      </c>
      <c r="R225" s="31">
        <v>202310</v>
      </c>
      <c r="S225" s="32" t="s">
        <v>383</v>
      </c>
      <c r="T225" s="33"/>
      <c r="U225" s="32"/>
      <c r="V225" s="33"/>
      <c r="W225" s="67"/>
      <c r="X225" s="67"/>
      <c r="Y225" s="36">
        <v>44454</v>
      </c>
      <c r="Z225" s="36">
        <v>46279</v>
      </c>
      <c r="AA225" s="36"/>
      <c r="AB225" s="36"/>
      <c r="AC225" s="36"/>
      <c r="AD225" s="36"/>
      <c r="AE225" s="36"/>
      <c r="AF225" s="53" t="s">
        <v>68</v>
      </c>
      <c r="AG225" s="42"/>
      <c r="AH225" s="42"/>
      <c r="AI225" s="43"/>
      <c r="AJ225" s="43"/>
      <c r="AK225" s="43"/>
      <c r="AL225" s="43"/>
      <c r="AM225" s="43"/>
      <c r="AN225" s="42"/>
      <c r="AO225" s="42"/>
      <c r="AP225" s="42"/>
      <c r="AQ225" s="43"/>
      <c r="AR225" s="42"/>
      <c r="AS225" s="42"/>
    </row>
    <row r="226" spans="1:45" ht="15" customHeight="1">
      <c r="A226" s="65" t="s">
        <v>57</v>
      </c>
      <c r="B226" s="21" t="s">
        <v>46</v>
      </c>
      <c r="C226" s="21" t="s">
        <v>188</v>
      </c>
      <c r="D226" s="22" t="s">
        <v>59</v>
      </c>
      <c r="E226" s="66" t="s">
        <v>372</v>
      </c>
      <c r="F226" s="65" t="s">
        <v>373</v>
      </c>
      <c r="G226" s="26" t="s">
        <v>77</v>
      </c>
      <c r="H226" s="45" t="s">
        <v>374</v>
      </c>
      <c r="I226" s="26" t="s">
        <v>78</v>
      </c>
      <c r="J226" s="46" t="s">
        <v>375</v>
      </c>
      <c r="K226" s="47"/>
      <c r="L226" s="48" t="s">
        <v>376</v>
      </c>
      <c r="M226" s="49">
        <v>44544</v>
      </c>
      <c r="N226" s="47" t="s">
        <v>177</v>
      </c>
      <c r="O226" s="61">
        <v>5803.6</v>
      </c>
      <c r="P226" s="61">
        <v>1</v>
      </c>
      <c r="Q226" s="51">
        <f t="shared" si="9"/>
        <v>5803.6</v>
      </c>
      <c r="R226" s="31">
        <v>202310</v>
      </c>
      <c r="S226" s="32" t="s">
        <v>384</v>
      </c>
      <c r="T226" s="33"/>
      <c r="U226" s="32"/>
      <c r="V226" s="33"/>
      <c r="W226" s="67"/>
      <c r="X226" s="67"/>
      <c r="Y226" s="36">
        <v>44454</v>
      </c>
      <c r="Z226" s="36">
        <v>46279</v>
      </c>
      <c r="AA226" s="36"/>
      <c r="AB226" s="36"/>
      <c r="AC226" s="36"/>
      <c r="AD226" s="36"/>
      <c r="AE226" s="36"/>
      <c r="AF226" s="53" t="s">
        <v>68</v>
      </c>
      <c r="AG226" s="42"/>
      <c r="AH226" s="42"/>
      <c r="AI226" s="43"/>
      <c r="AJ226" s="43"/>
      <c r="AK226" s="43"/>
      <c r="AL226" s="43"/>
      <c r="AM226" s="43"/>
      <c r="AN226" s="42"/>
      <c r="AO226" s="42"/>
      <c r="AP226" s="42"/>
      <c r="AQ226" s="43"/>
      <c r="AR226" s="42"/>
      <c r="AS226" s="42"/>
    </row>
    <row r="227" spans="1:45" ht="15" customHeight="1">
      <c r="A227" s="65" t="s">
        <v>57</v>
      </c>
      <c r="B227" s="21" t="s">
        <v>46</v>
      </c>
      <c r="C227" s="21" t="s">
        <v>188</v>
      </c>
      <c r="D227" s="22" t="s">
        <v>59</v>
      </c>
      <c r="E227" s="66" t="s">
        <v>372</v>
      </c>
      <c r="F227" s="65" t="s">
        <v>373</v>
      </c>
      <c r="G227" s="26" t="s">
        <v>77</v>
      </c>
      <c r="H227" s="45" t="s">
        <v>374</v>
      </c>
      <c r="I227" s="26" t="s">
        <v>78</v>
      </c>
      <c r="J227" s="46" t="s">
        <v>375</v>
      </c>
      <c r="K227" s="47"/>
      <c r="L227" s="48" t="s">
        <v>376</v>
      </c>
      <c r="M227" s="49">
        <v>44544</v>
      </c>
      <c r="N227" s="47" t="s">
        <v>348</v>
      </c>
      <c r="O227" s="61">
        <v>11871</v>
      </c>
      <c r="P227" s="61">
        <v>2</v>
      </c>
      <c r="Q227" s="51">
        <f t="shared" si="9"/>
        <v>23742</v>
      </c>
      <c r="R227" s="31">
        <v>202310</v>
      </c>
      <c r="S227" s="32" t="s">
        <v>385</v>
      </c>
      <c r="T227" s="33"/>
      <c r="U227" s="32"/>
      <c r="V227" s="33"/>
      <c r="W227" s="67"/>
      <c r="X227" s="67"/>
      <c r="Y227" s="36">
        <v>44454</v>
      </c>
      <c r="Z227" s="36">
        <v>46279</v>
      </c>
      <c r="AA227" s="36"/>
      <c r="AB227" s="36"/>
      <c r="AC227" s="36"/>
      <c r="AD227" s="36"/>
      <c r="AE227" s="36"/>
      <c r="AF227" s="53" t="s">
        <v>68</v>
      </c>
      <c r="AG227" s="42"/>
      <c r="AH227" s="42"/>
      <c r="AI227" s="43"/>
      <c r="AJ227" s="43"/>
      <c r="AK227" s="43"/>
      <c r="AL227" s="43"/>
      <c r="AM227" s="43"/>
      <c r="AN227" s="42"/>
      <c r="AO227" s="42"/>
      <c r="AP227" s="42"/>
      <c r="AQ227" s="43"/>
      <c r="AR227" s="42"/>
      <c r="AS227" s="42"/>
    </row>
    <row r="228" spans="1:45" ht="15" customHeight="1">
      <c r="A228" s="65" t="s">
        <v>57</v>
      </c>
      <c r="B228" s="21" t="s">
        <v>46</v>
      </c>
      <c r="C228" s="21" t="s">
        <v>188</v>
      </c>
      <c r="D228" s="22" t="s">
        <v>59</v>
      </c>
      <c r="E228" s="66" t="s">
        <v>372</v>
      </c>
      <c r="F228" s="65" t="s">
        <v>373</v>
      </c>
      <c r="G228" s="26" t="s">
        <v>77</v>
      </c>
      <c r="H228" s="45" t="s">
        <v>374</v>
      </c>
      <c r="I228" s="26" t="s">
        <v>78</v>
      </c>
      <c r="J228" s="46" t="s">
        <v>375</v>
      </c>
      <c r="K228" s="47"/>
      <c r="L228" s="48" t="s">
        <v>376</v>
      </c>
      <c r="M228" s="49">
        <v>44729</v>
      </c>
      <c r="N228" s="47" t="s">
        <v>177</v>
      </c>
      <c r="O228" s="61">
        <v>5803.6</v>
      </c>
      <c r="P228" s="61">
        <v>4</v>
      </c>
      <c r="Q228" s="51">
        <f t="shared" si="9"/>
        <v>23214.400000000001</v>
      </c>
      <c r="R228" s="31">
        <v>202310</v>
      </c>
      <c r="S228" s="79" t="s">
        <v>386</v>
      </c>
      <c r="T228" s="33"/>
      <c r="U228" s="32"/>
      <c r="V228" s="33"/>
      <c r="W228" s="67"/>
      <c r="X228" s="67"/>
      <c r="Y228" s="36">
        <v>44454</v>
      </c>
      <c r="Z228" s="36">
        <v>46279</v>
      </c>
      <c r="AA228" s="36"/>
      <c r="AB228" s="36"/>
      <c r="AC228" s="36"/>
      <c r="AD228" s="36"/>
      <c r="AE228" s="36"/>
      <c r="AF228" s="53" t="s">
        <v>68</v>
      </c>
      <c r="AG228" s="42"/>
      <c r="AH228" s="42"/>
      <c r="AI228" s="43"/>
      <c r="AJ228" s="43"/>
      <c r="AK228" s="43"/>
      <c r="AL228" s="43"/>
      <c r="AM228" s="43"/>
      <c r="AN228" s="42"/>
      <c r="AO228" s="42"/>
      <c r="AP228" s="42"/>
      <c r="AQ228" s="43"/>
      <c r="AR228" s="42"/>
      <c r="AS228" s="42"/>
    </row>
    <row r="229" spans="1:45" ht="15" customHeight="1">
      <c r="A229" s="65" t="s">
        <v>57</v>
      </c>
      <c r="B229" s="21" t="s">
        <v>46</v>
      </c>
      <c r="C229" s="21" t="s">
        <v>188</v>
      </c>
      <c r="D229" s="22" t="s">
        <v>59</v>
      </c>
      <c r="E229" s="66" t="s">
        <v>372</v>
      </c>
      <c r="F229" s="65" t="s">
        <v>373</v>
      </c>
      <c r="G229" s="26" t="s">
        <v>77</v>
      </c>
      <c r="H229" s="45" t="s">
        <v>374</v>
      </c>
      <c r="I229" s="26" t="s">
        <v>78</v>
      </c>
      <c r="J229" s="46" t="s">
        <v>375</v>
      </c>
      <c r="K229" s="47"/>
      <c r="L229" s="48" t="s">
        <v>376</v>
      </c>
      <c r="M229" s="49">
        <v>44999.4375</v>
      </c>
      <c r="N229" s="47" t="s">
        <v>177</v>
      </c>
      <c r="O229" s="61">
        <v>5803.6</v>
      </c>
      <c r="P229" s="61">
        <v>1</v>
      </c>
      <c r="Q229" s="51">
        <f t="shared" si="9"/>
        <v>5803.6</v>
      </c>
      <c r="R229" s="31">
        <v>202310</v>
      </c>
      <c r="S229" s="79" t="s">
        <v>387</v>
      </c>
      <c r="T229" s="33"/>
      <c r="U229" s="32"/>
      <c r="V229" s="33"/>
      <c r="W229" s="67"/>
      <c r="X229" s="67"/>
      <c r="Y229" s="36">
        <v>44454</v>
      </c>
      <c r="Z229" s="36">
        <v>46279</v>
      </c>
      <c r="AA229" s="36"/>
      <c r="AB229" s="36"/>
      <c r="AC229" s="36"/>
      <c r="AD229" s="36"/>
      <c r="AE229" s="36"/>
      <c r="AF229" s="53" t="s">
        <v>68</v>
      </c>
      <c r="AG229" s="42"/>
      <c r="AH229" s="42"/>
      <c r="AI229" s="43"/>
      <c r="AJ229" s="43"/>
      <c r="AK229" s="43"/>
      <c r="AL229" s="43"/>
      <c r="AM229" s="43"/>
      <c r="AN229" s="42"/>
      <c r="AO229" s="42"/>
      <c r="AP229" s="42"/>
      <c r="AQ229" s="43"/>
      <c r="AR229" s="42"/>
      <c r="AS229" s="42"/>
    </row>
    <row r="230" spans="1:45" ht="15" customHeight="1">
      <c r="A230" s="65" t="s">
        <v>57</v>
      </c>
      <c r="B230" s="21" t="s">
        <v>46</v>
      </c>
      <c r="C230" s="21" t="s">
        <v>188</v>
      </c>
      <c r="D230" s="22" t="s">
        <v>59</v>
      </c>
      <c r="E230" s="66" t="s">
        <v>372</v>
      </c>
      <c r="F230" s="65" t="s">
        <v>373</v>
      </c>
      <c r="G230" s="26" t="s">
        <v>77</v>
      </c>
      <c r="H230" s="45" t="s">
        <v>374</v>
      </c>
      <c r="I230" s="26" t="s">
        <v>78</v>
      </c>
      <c r="J230" s="46" t="s">
        <v>375</v>
      </c>
      <c r="K230" s="47"/>
      <c r="L230" s="48" t="s">
        <v>376</v>
      </c>
      <c r="M230" s="49">
        <v>45033</v>
      </c>
      <c r="N230" s="47" t="s">
        <v>388</v>
      </c>
      <c r="O230" s="61">
        <v>31656</v>
      </c>
      <c r="P230" s="61">
        <v>4</v>
      </c>
      <c r="Q230" s="51">
        <f t="shared" si="9"/>
        <v>126624</v>
      </c>
      <c r="R230" s="31">
        <v>202310</v>
      </c>
      <c r="S230" s="79" t="s">
        <v>389</v>
      </c>
      <c r="T230" s="33"/>
      <c r="U230" s="32"/>
      <c r="V230" s="33"/>
      <c r="W230" s="67"/>
      <c r="X230" s="67"/>
      <c r="Y230" s="36">
        <v>44454</v>
      </c>
      <c r="Z230" s="36">
        <v>46279</v>
      </c>
      <c r="AA230" s="36"/>
      <c r="AB230" s="36"/>
      <c r="AC230" s="36"/>
      <c r="AD230" s="36"/>
      <c r="AE230" s="36"/>
      <c r="AF230" s="53" t="s">
        <v>68</v>
      </c>
      <c r="AG230" s="42"/>
      <c r="AH230" s="42"/>
      <c r="AI230" s="43"/>
      <c r="AJ230" s="43"/>
      <c r="AK230" s="43"/>
      <c r="AL230" s="43"/>
      <c r="AM230" s="43"/>
      <c r="AN230" s="42"/>
      <c r="AO230" s="42"/>
      <c r="AP230" s="42"/>
      <c r="AQ230" s="43"/>
      <c r="AR230" s="42"/>
      <c r="AS230" s="42"/>
    </row>
    <row r="231" spans="1:45" ht="15" customHeight="1">
      <c r="A231" s="65" t="s">
        <v>57</v>
      </c>
      <c r="B231" s="21" t="s">
        <v>46</v>
      </c>
      <c r="C231" s="21" t="s">
        <v>188</v>
      </c>
      <c r="D231" s="22" t="s">
        <v>59</v>
      </c>
      <c r="E231" s="66" t="s">
        <v>372</v>
      </c>
      <c r="F231" s="65" t="s">
        <v>373</v>
      </c>
      <c r="G231" s="26" t="s">
        <v>77</v>
      </c>
      <c r="H231" s="45" t="s">
        <v>374</v>
      </c>
      <c r="I231" s="26" t="s">
        <v>78</v>
      </c>
      <c r="J231" s="46" t="s">
        <v>375</v>
      </c>
      <c r="K231" s="47"/>
      <c r="L231" s="48" t="s">
        <v>376</v>
      </c>
      <c r="M231" s="49">
        <v>45033</v>
      </c>
      <c r="N231" s="47" t="s">
        <v>377</v>
      </c>
      <c r="O231" s="61">
        <v>39570</v>
      </c>
      <c r="P231" s="61">
        <v>2</v>
      </c>
      <c r="Q231" s="51">
        <f t="shared" si="9"/>
        <v>79140</v>
      </c>
      <c r="R231" s="31">
        <v>202310</v>
      </c>
      <c r="S231" s="32" t="s">
        <v>390</v>
      </c>
      <c r="T231" s="33"/>
      <c r="U231" s="32"/>
      <c r="V231" s="33"/>
      <c r="W231" s="67"/>
      <c r="X231" s="67"/>
      <c r="Y231" s="36">
        <v>44454</v>
      </c>
      <c r="Z231" s="36">
        <v>46279</v>
      </c>
      <c r="AA231" s="36"/>
      <c r="AB231" s="36"/>
      <c r="AC231" s="36"/>
      <c r="AD231" s="36"/>
      <c r="AE231" s="36"/>
      <c r="AF231" s="53" t="s">
        <v>68</v>
      </c>
      <c r="AG231" s="42"/>
      <c r="AH231" s="42"/>
      <c r="AI231" s="43"/>
      <c r="AJ231" s="43"/>
      <c r="AK231" s="43"/>
      <c r="AL231" s="43"/>
      <c r="AM231" s="43"/>
      <c r="AN231" s="42"/>
      <c r="AO231" s="42"/>
      <c r="AP231" s="42"/>
      <c r="AQ231" s="43"/>
      <c r="AR231" s="42"/>
      <c r="AS231" s="42"/>
    </row>
    <row r="232" spans="1:45" ht="15" customHeight="1">
      <c r="A232" s="65" t="s">
        <v>57</v>
      </c>
      <c r="B232" s="21" t="s">
        <v>46</v>
      </c>
      <c r="C232" s="21" t="s">
        <v>188</v>
      </c>
      <c r="D232" s="22" t="s">
        <v>59</v>
      </c>
      <c r="E232" s="66" t="s">
        <v>372</v>
      </c>
      <c r="F232" s="65" t="s">
        <v>373</v>
      </c>
      <c r="G232" s="26" t="s">
        <v>77</v>
      </c>
      <c r="H232" s="45" t="s">
        <v>374</v>
      </c>
      <c r="I232" s="26" t="s">
        <v>78</v>
      </c>
      <c r="J232" s="46" t="s">
        <v>375</v>
      </c>
      <c r="K232" s="47"/>
      <c r="L232" s="48" t="s">
        <v>376</v>
      </c>
      <c r="M232" s="49">
        <v>45039</v>
      </c>
      <c r="N232" s="47" t="s">
        <v>177</v>
      </c>
      <c r="O232" s="61">
        <v>5803.6</v>
      </c>
      <c r="P232" s="61">
        <v>6</v>
      </c>
      <c r="Q232" s="51">
        <f t="shared" si="9"/>
        <v>34821.599999999999</v>
      </c>
      <c r="R232" s="31">
        <v>202310</v>
      </c>
      <c r="S232" s="79" t="s">
        <v>391</v>
      </c>
      <c r="T232" s="33"/>
      <c r="U232" s="32"/>
      <c r="V232" s="33"/>
      <c r="W232" s="67"/>
      <c r="X232" s="67"/>
      <c r="Y232" s="36">
        <v>44454</v>
      </c>
      <c r="Z232" s="36">
        <v>46279</v>
      </c>
      <c r="AA232" s="36"/>
      <c r="AB232" s="36"/>
      <c r="AC232" s="36"/>
      <c r="AD232" s="36"/>
      <c r="AE232" s="36"/>
      <c r="AF232" s="53" t="s">
        <v>68</v>
      </c>
      <c r="AG232" s="42"/>
      <c r="AH232" s="42"/>
      <c r="AI232" s="43"/>
      <c r="AJ232" s="43"/>
      <c r="AK232" s="43"/>
      <c r="AL232" s="43"/>
      <c r="AM232" s="43"/>
      <c r="AN232" s="42"/>
      <c r="AO232" s="42"/>
      <c r="AP232" s="42"/>
      <c r="AQ232" s="43"/>
      <c r="AR232" s="42"/>
      <c r="AS232" s="42"/>
    </row>
    <row r="233" spans="1:45" ht="15" customHeight="1">
      <c r="A233" s="65" t="s">
        <v>57</v>
      </c>
      <c r="B233" s="21" t="s">
        <v>46</v>
      </c>
      <c r="C233" s="21" t="s">
        <v>188</v>
      </c>
      <c r="D233" s="22" t="s">
        <v>59</v>
      </c>
      <c r="E233" s="66" t="s">
        <v>372</v>
      </c>
      <c r="F233" s="65" t="s">
        <v>373</v>
      </c>
      <c r="G233" s="26" t="s">
        <v>77</v>
      </c>
      <c r="H233" s="45" t="s">
        <v>374</v>
      </c>
      <c r="I233" s="26" t="s">
        <v>78</v>
      </c>
      <c r="J233" s="46" t="s">
        <v>375</v>
      </c>
      <c r="K233" s="47"/>
      <c r="L233" s="48" t="s">
        <v>376</v>
      </c>
      <c r="M233" s="49">
        <v>45041</v>
      </c>
      <c r="N233" s="47" t="s">
        <v>177</v>
      </c>
      <c r="O233" s="61">
        <v>5803.6</v>
      </c>
      <c r="P233" s="61">
        <v>2</v>
      </c>
      <c r="Q233" s="51">
        <f t="shared" si="9"/>
        <v>11607.2</v>
      </c>
      <c r="R233" s="31">
        <v>202310</v>
      </c>
      <c r="S233" s="79" t="s">
        <v>392</v>
      </c>
      <c r="T233" s="33"/>
      <c r="U233" s="32"/>
      <c r="V233" s="33"/>
      <c r="W233" s="67"/>
      <c r="X233" s="67"/>
      <c r="Y233" s="36">
        <v>44454</v>
      </c>
      <c r="Z233" s="36">
        <v>46279</v>
      </c>
      <c r="AA233" s="36"/>
      <c r="AB233" s="36"/>
      <c r="AC233" s="36"/>
      <c r="AD233" s="36"/>
      <c r="AE233" s="36"/>
      <c r="AF233" s="53" t="s">
        <v>68</v>
      </c>
      <c r="AG233" s="42"/>
      <c r="AH233" s="42"/>
      <c r="AI233" s="43"/>
      <c r="AJ233" s="43"/>
      <c r="AK233" s="43"/>
      <c r="AL233" s="43"/>
      <c r="AM233" s="43"/>
      <c r="AN233" s="42"/>
      <c r="AO233" s="42"/>
      <c r="AP233" s="42"/>
      <c r="AQ233" s="43"/>
      <c r="AR233" s="42"/>
      <c r="AS233" s="42"/>
    </row>
    <row r="234" spans="1:45" ht="15" customHeight="1">
      <c r="A234" s="65" t="s">
        <v>57</v>
      </c>
      <c r="B234" s="21" t="s">
        <v>46</v>
      </c>
      <c r="C234" s="21" t="s">
        <v>188</v>
      </c>
      <c r="D234" s="22" t="s">
        <v>59</v>
      </c>
      <c r="E234" s="66" t="s">
        <v>372</v>
      </c>
      <c r="F234" s="65" t="s">
        <v>373</v>
      </c>
      <c r="G234" s="26" t="s">
        <v>77</v>
      </c>
      <c r="H234" s="45" t="s">
        <v>374</v>
      </c>
      <c r="I234" s="26" t="s">
        <v>78</v>
      </c>
      <c r="J234" s="46" t="s">
        <v>375</v>
      </c>
      <c r="K234" s="47"/>
      <c r="L234" s="48" t="s">
        <v>376</v>
      </c>
      <c r="M234" s="49">
        <v>45078</v>
      </c>
      <c r="N234" s="47" t="s">
        <v>177</v>
      </c>
      <c r="O234" s="61">
        <v>5803.6</v>
      </c>
      <c r="P234" s="61">
        <v>12</v>
      </c>
      <c r="Q234" s="51">
        <f t="shared" si="9"/>
        <v>69643.199999999997</v>
      </c>
      <c r="R234" s="31">
        <v>202310</v>
      </c>
      <c r="S234" s="79" t="s">
        <v>393</v>
      </c>
      <c r="T234" s="33"/>
      <c r="U234" s="32"/>
      <c r="V234" s="33"/>
      <c r="W234" s="67"/>
      <c r="X234" s="67"/>
      <c r="Y234" s="36">
        <v>44454</v>
      </c>
      <c r="Z234" s="36">
        <v>46279</v>
      </c>
      <c r="AA234" s="36"/>
      <c r="AB234" s="36"/>
      <c r="AC234" s="36"/>
      <c r="AD234" s="36"/>
      <c r="AE234" s="36"/>
      <c r="AF234" s="53" t="s">
        <v>68</v>
      </c>
      <c r="AG234" s="42"/>
      <c r="AH234" s="42"/>
      <c r="AI234" s="43"/>
      <c r="AJ234" s="43"/>
      <c r="AK234" s="43"/>
      <c r="AL234" s="43"/>
      <c r="AM234" s="43"/>
      <c r="AN234" s="42"/>
      <c r="AO234" s="42"/>
      <c r="AP234" s="42"/>
      <c r="AQ234" s="43"/>
      <c r="AR234" s="42"/>
      <c r="AS234" s="42"/>
    </row>
    <row r="235" spans="1:45" ht="15" customHeight="1">
      <c r="A235" s="65" t="s">
        <v>57</v>
      </c>
      <c r="B235" s="21" t="s">
        <v>46</v>
      </c>
      <c r="C235" s="21" t="s">
        <v>188</v>
      </c>
      <c r="D235" s="22" t="s">
        <v>59</v>
      </c>
      <c r="E235" s="66" t="s">
        <v>372</v>
      </c>
      <c r="F235" s="65" t="s">
        <v>373</v>
      </c>
      <c r="G235" s="26" t="s">
        <v>77</v>
      </c>
      <c r="H235" s="45" t="s">
        <v>374</v>
      </c>
      <c r="I235" s="26" t="s">
        <v>78</v>
      </c>
      <c r="J235" s="46" t="s">
        <v>375</v>
      </c>
      <c r="K235" s="47"/>
      <c r="L235" s="48" t="s">
        <v>376</v>
      </c>
      <c r="M235" s="49">
        <v>45087</v>
      </c>
      <c r="N235" s="47" t="s">
        <v>177</v>
      </c>
      <c r="O235" s="61">
        <v>5803.6</v>
      </c>
      <c r="P235" s="61">
        <v>6</v>
      </c>
      <c r="Q235" s="51">
        <f t="shared" si="9"/>
        <v>34821.599999999999</v>
      </c>
      <c r="R235" s="31">
        <v>202310</v>
      </c>
      <c r="S235" s="79" t="s">
        <v>394</v>
      </c>
      <c r="T235" s="33"/>
      <c r="U235" s="32"/>
      <c r="V235" s="33"/>
      <c r="W235" s="67"/>
      <c r="X235" s="67"/>
      <c r="Y235" s="36">
        <v>44454</v>
      </c>
      <c r="Z235" s="36">
        <v>46279</v>
      </c>
      <c r="AA235" s="36"/>
      <c r="AB235" s="36"/>
      <c r="AC235" s="36"/>
      <c r="AD235" s="36"/>
      <c r="AE235" s="36"/>
      <c r="AF235" s="53" t="s">
        <v>68</v>
      </c>
      <c r="AG235" s="42"/>
      <c r="AH235" s="42"/>
      <c r="AI235" s="43"/>
      <c r="AJ235" s="43"/>
      <c r="AK235" s="43"/>
      <c r="AL235" s="43"/>
      <c r="AM235" s="43"/>
      <c r="AN235" s="42"/>
      <c r="AO235" s="42"/>
      <c r="AP235" s="42"/>
      <c r="AQ235" s="43"/>
      <c r="AR235" s="42"/>
      <c r="AS235" s="42"/>
    </row>
    <row r="236" spans="1:45" ht="15" customHeight="1">
      <c r="A236" s="65" t="s">
        <v>57</v>
      </c>
      <c r="B236" s="21" t="s">
        <v>46</v>
      </c>
      <c r="C236" s="21" t="s">
        <v>188</v>
      </c>
      <c r="D236" s="22" t="s">
        <v>59</v>
      </c>
      <c r="E236" s="66" t="s">
        <v>372</v>
      </c>
      <c r="F236" s="65" t="s">
        <v>373</v>
      </c>
      <c r="G236" s="26" t="s">
        <v>77</v>
      </c>
      <c r="H236" s="45" t="s">
        <v>374</v>
      </c>
      <c r="I236" s="26" t="s">
        <v>78</v>
      </c>
      <c r="J236" s="46" t="s">
        <v>375</v>
      </c>
      <c r="K236" s="47"/>
      <c r="L236" s="48" t="s">
        <v>376</v>
      </c>
      <c r="M236" s="49">
        <v>45091</v>
      </c>
      <c r="N236" s="47" t="s">
        <v>177</v>
      </c>
      <c r="O236" s="61">
        <v>5803.6</v>
      </c>
      <c r="P236" s="61">
        <v>6</v>
      </c>
      <c r="Q236" s="51">
        <f t="shared" si="9"/>
        <v>34821.599999999999</v>
      </c>
      <c r="R236" s="31">
        <v>202310</v>
      </c>
      <c r="S236" s="79" t="s">
        <v>392</v>
      </c>
      <c r="T236" s="33"/>
      <c r="U236" s="32"/>
      <c r="V236" s="33"/>
      <c r="W236" s="67"/>
      <c r="X236" s="67"/>
      <c r="Y236" s="36">
        <v>44454</v>
      </c>
      <c r="Z236" s="36">
        <v>46279</v>
      </c>
      <c r="AA236" s="36"/>
      <c r="AB236" s="36"/>
      <c r="AC236" s="36"/>
      <c r="AD236" s="36"/>
      <c r="AE236" s="36"/>
      <c r="AF236" s="53" t="s">
        <v>68</v>
      </c>
      <c r="AG236" s="42"/>
      <c r="AH236" s="42"/>
      <c r="AI236" s="43"/>
      <c r="AJ236" s="43"/>
      <c r="AK236" s="43"/>
      <c r="AL236" s="43"/>
      <c r="AM236" s="43"/>
      <c r="AN236" s="42"/>
      <c r="AO236" s="42"/>
      <c r="AP236" s="42"/>
      <c r="AQ236" s="43"/>
      <c r="AR236" s="42"/>
      <c r="AS236" s="42"/>
    </row>
    <row r="237" spans="1:45" ht="15" customHeight="1">
      <c r="A237" s="65" t="s">
        <v>57</v>
      </c>
      <c r="B237" s="21" t="s">
        <v>46</v>
      </c>
      <c r="C237" s="21" t="s">
        <v>188</v>
      </c>
      <c r="D237" s="22" t="s">
        <v>59</v>
      </c>
      <c r="E237" s="66" t="s">
        <v>372</v>
      </c>
      <c r="F237" s="65" t="s">
        <v>373</v>
      </c>
      <c r="G237" s="26" t="s">
        <v>77</v>
      </c>
      <c r="H237" s="45" t="s">
        <v>374</v>
      </c>
      <c r="I237" s="26" t="s">
        <v>78</v>
      </c>
      <c r="J237" s="46" t="s">
        <v>375</v>
      </c>
      <c r="K237" s="47"/>
      <c r="L237" s="48" t="s">
        <v>376</v>
      </c>
      <c r="M237" s="49">
        <v>45103</v>
      </c>
      <c r="N237" s="47" t="s">
        <v>177</v>
      </c>
      <c r="O237" s="61">
        <v>5803.6</v>
      </c>
      <c r="P237" s="61">
        <v>1</v>
      </c>
      <c r="Q237" s="51">
        <f t="shared" si="9"/>
        <v>5803.6</v>
      </c>
      <c r="R237" s="31">
        <v>202310</v>
      </c>
      <c r="S237" s="79" t="s">
        <v>395</v>
      </c>
      <c r="T237" s="33"/>
      <c r="U237" s="32"/>
      <c r="V237" s="33"/>
      <c r="W237" s="67"/>
      <c r="X237" s="67"/>
      <c r="Y237" s="36">
        <v>44454</v>
      </c>
      <c r="Z237" s="36">
        <v>46279</v>
      </c>
      <c r="AA237" s="36"/>
      <c r="AB237" s="36"/>
      <c r="AC237" s="36"/>
      <c r="AD237" s="36"/>
      <c r="AE237" s="36"/>
      <c r="AF237" s="53" t="s">
        <v>68</v>
      </c>
      <c r="AG237" s="42"/>
      <c r="AH237" s="42"/>
      <c r="AI237" s="43"/>
      <c r="AJ237" s="43"/>
      <c r="AK237" s="43"/>
      <c r="AL237" s="43"/>
      <c r="AM237" s="43"/>
      <c r="AN237" s="42"/>
      <c r="AO237" s="42"/>
      <c r="AP237" s="42"/>
      <c r="AQ237" s="43"/>
      <c r="AR237" s="42"/>
      <c r="AS237" s="42"/>
    </row>
    <row r="238" spans="1:45" ht="15" customHeight="1">
      <c r="A238" s="65" t="s">
        <v>57</v>
      </c>
      <c r="B238" s="21" t="s">
        <v>46</v>
      </c>
      <c r="C238" s="21" t="s">
        <v>188</v>
      </c>
      <c r="D238" s="22" t="s">
        <v>59</v>
      </c>
      <c r="E238" s="66" t="s">
        <v>372</v>
      </c>
      <c r="F238" s="65" t="s">
        <v>373</v>
      </c>
      <c r="G238" s="26" t="s">
        <v>77</v>
      </c>
      <c r="H238" s="45" t="s">
        <v>374</v>
      </c>
      <c r="I238" s="26" t="s">
        <v>78</v>
      </c>
      <c r="J238" s="46" t="s">
        <v>375</v>
      </c>
      <c r="K238" s="47"/>
      <c r="L238" s="48" t="s">
        <v>376</v>
      </c>
      <c r="M238" s="49">
        <v>45047</v>
      </c>
      <c r="N238" s="47" t="s">
        <v>382</v>
      </c>
      <c r="O238" s="61">
        <v>5280</v>
      </c>
      <c r="P238" s="61">
        <v>9</v>
      </c>
      <c r="Q238" s="51">
        <f t="shared" si="9"/>
        <v>47520</v>
      </c>
      <c r="R238" s="31">
        <v>202310</v>
      </c>
      <c r="S238" s="32" t="s">
        <v>396</v>
      </c>
      <c r="T238" s="33"/>
      <c r="U238" s="32"/>
      <c r="V238" s="33"/>
      <c r="W238" s="67"/>
      <c r="X238" s="67"/>
      <c r="Y238" s="36">
        <v>44454</v>
      </c>
      <c r="Z238" s="36">
        <v>46279</v>
      </c>
      <c r="AA238" s="36"/>
      <c r="AB238" s="36"/>
      <c r="AC238" s="36"/>
      <c r="AD238" s="36"/>
      <c r="AE238" s="36"/>
      <c r="AF238" s="53" t="s">
        <v>68</v>
      </c>
      <c r="AG238" s="42"/>
      <c r="AH238" s="42"/>
      <c r="AI238" s="43"/>
      <c r="AJ238" s="43"/>
      <c r="AK238" s="43"/>
      <c r="AL238" s="43"/>
      <c r="AM238" s="43"/>
      <c r="AN238" s="42"/>
      <c r="AO238" s="42"/>
      <c r="AP238" s="42"/>
      <c r="AQ238" s="43"/>
      <c r="AR238" s="42"/>
      <c r="AS238" s="42"/>
    </row>
    <row r="239" spans="1:45" ht="15" customHeight="1">
      <c r="A239" s="21" t="s">
        <v>57</v>
      </c>
      <c r="B239" s="21" t="s">
        <v>46</v>
      </c>
      <c r="C239" s="21" t="s">
        <v>188</v>
      </c>
      <c r="D239" s="22" t="s">
        <v>59</v>
      </c>
      <c r="E239" s="80" t="s">
        <v>397</v>
      </c>
      <c r="F239" s="21" t="s">
        <v>398</v>
      </c>
      <c r="G239" s="101" t="s">
        <v>77</v>
      </c>
      <c r="H239" s="25" t="s">
        <v>399</v>
      </c>
      <c r="I239" s="102" t="s">
        <v>78</v>
      </c>
      <c r="J239" s="103" t="s">
        <v>400</v>
      </c>
      <c r="K239" s="104"/>
      <c r="L239" s="48" t="s">
        <v>401</v>
      </c>
      <c r="M239" s="27">
        <v>44877</v>
      </c>
      <c r="N239" s="105" t="s">
        <v>182</v>
      </c>
      <c r="O239" s="106">
        <v>9267.6</v>
      </c>
      <c r="P239" s="106">
        <f>101-4</f>
        <v>97</v>
      </c>
      <c r="Q239" s="51">
        <f t="shared" si="9"/>
        <v>898957.2</v>
      </c>
      <c r="R239" s="31">
        <v>202310</v>
      </c>
      <c r="S239" s="107" t="s">
        <v>402</v>
      </c>
      <c r="T239" s="67"/>
      <c r="U239" s="32"/>
      <c r="V239" s="67"/>
      <c r="W239" s="67"/>
      <c r="X239" s="67"/>
      <c r="Y239" s="36"/>
      <c r="Z239" s="36"/>
      <c r="AA239" s="36"/>
      <c r="AB239" s="36"/>
      <c r="AC239" s="36"/>
      <c r="AD239" s="36"/>
      <c r="AE239" s="36"/>
      <c r="AF239" s="53" t="s">
        <v>68</v>
      </c>
      <c r="AG239" s="42"/>
      <c r="AH239" s="42"/>
      <c r="AI239" s="43"/>
      <c r="AJ239" s="43"/>
      <c r="AK239" s="43"/>
      <c r="AL239" s="43"/>
      <c r="AM239" s="43"/>
      <c r="AN239" s="42"/>
      <c r="AO239" s="42"/>
      <c r="AP239" s="42"/>
      <c r="AQ239" s="43"/>
      <c r="AR239" s="42"/>
      <c r="AS239" s="42"/>
    </row>
    <row r="240" spans="1:45" ht="15" customHeight="1">
      <c r="A240" s="21" t="s">
        <v>57</v>
      </c>
      <c r="B240" s="21" t="s">
        <v>46</v>
      </c>
      <c r="C240" s="21" t="s">
        <v>188</v>
      </c>
      <c r="D240" s="22" t="s">
        <v>59</v>
      </c>
      <c r="E240" s="80" t="s">
        <v>397</v>
      </c>
      <c r="F240" s="21" t="s">
        <v>398</v>
      </c>
      <c r="G240" s="101" t="s">
        <v>77</v>
      </c>
      <c r="H240" s="25" t="s">
        <v>399</v>
      </c>
      <c r="I240" s="102" t="s">
        <v>78</v>
      </c>
      <c r="J240" s="103" t="s">
        <v>403</v>
      </c>
      <c r="K240" s="104"/>
      <c r="L240" s="48" t="s">
        <v>401</v>
      </c>
      <c r="M240" s="27">
        <v>44877</v>
      </c>
      <c r="N240" s="105" t="s">
        <v>404</v>
      </c>
      <c r="O240" s="106">
        <v>4633.8</v>
      </c>
      <c r="P240" s="106">
        <v>4</v>
      </c>
      <c r="Q240" s="51">
        <f t="shared" si="9"/>
        <v>18535.2</v>
      </c>
      <c r="R240" s="31">
        <v>202310</v>
      </c>
      <c r="S240" s="107" t="s">
        <v>405</v>
      </c>
      <c r="T240" s="67"/>
      <c r="U240" s="32"/>
      <c r="V240" s="67"/>
      <c r="W240" s="67"/>
      <c r="X240" s="67"/>
      <c r="Y240" s="36"/>
      <c r="Z240" s="36"/>
      <c r="AA240" s="36"/>
      <c r="AB240" s="36"/>
      <c r="AC240" s="36"/>
      <c r="AD240" s="36"/>
      <c r="AE240" s="36"/>
      <c r="AF240" s="53" t="s">
        <v>68</v>
      </c>
      <c r="AG240" s="42"/>
      <c r="AH240" s="42"/>
      <c r="AI240" s="43"/>
      <c r="AJ240" s="43"/>
      <c r="AK240" s="43"/>
      <c r="AL240" s="43"/>
      <c r="AM240" s="43"/>
      <c r="AN240" s="42"/>
      <c r="AO240" s="42"/>
      <c r="AP240" s="42"/>
      <c r="AQ240" s="43"/>
      <c r="AR240" s="42"/>
      <c r="AS240" s="42"/>
    </row>
    <row r="241" spans="1:45" ht="15" customHeight="1">
      <c r="A241" s="21" t="s">
        <v>57</v>
      </c>
      <c r="B241" s="21" t="s">
        <v>46</v>
      </c>
      <c r="C241" s="21" t="s">
        <v>188</v>
      </c>
      <c r="D241" s="22" t="s">
        <v>59</v>
      </c>
      <c r="E241" s="80" t="s">
        <v>397</v>
      </c>
      <c r="F241" s="21" t="s">
        <v>398</v>
      </c>
      <c r="G241" s="101" t="s">
        <v>77</v>
      </c>
      <c r="H241" s="25" t="s">
        <v>399</v>
      </c>
      <c r="I241" s="102" t="s">
        <v>78</v>
      </c>
      <c r="J241" s="103" t="s">
        <v>400</v>
      </c>
      <c r="K241" s="104"/>
      <c r="L241" s="48" t="s">
        <v>401</v>
      </c>
      <c r="M241" s="27">
        <v>44877</v>
      </c>
      <c r="N241" s="105" t="s">
        <v>388</v>
      </c>
      <c r="O241" s="106">
        <v>25275.26</v>
      </c>
      <c r="P241" s="106">
        <v>2</v>
      </c>
      <c r="Q241" s="51">
        <f t="shared" si="9"/>
        <v>50550.52</v>
      </c>
      <c r="R241" s="31">
        <v>202310</v>
      </c>
      <c r="S241" s="107" t="s">
        <v>406</v>
      </c>
      <c r="T241" s="67"/>
      <c r="U241" s="32"/>
      <c r="V241" s="67"/>
      <c r="W241" s="67"/>
      <c r="X241" s="67"/>
      <c r="Y241" s="36"/>
      <c r="Z241" s="36"/>
      <c r="AA241" s="36"/>
      <c r="AB241" s="36"/>
      <c r="AC241" s="36"/>
      <c r="AD241" s="36"/>
      <c r="AE241" s="36"/>
      <c r="AF241" s="53" t="s">
        <v>68</v>
      </c>
      <c r="AG241" s="42"/>
      <c r="AH241" s="42"/>
      <c r="AI241" s="43"/>
      <c r="AJ241" s="43"/>
      <c r="AK241" s="43"/>
      <c r="AL241" s="43"/>
      <c r="AM241" s="43"/>
      <c r="AN241" s="42"/>
      <c r="AO241" s="42"/>
      <c r="AP241" s="42"/>
      <c r="AQ241" s="43"/>
      <c r="AR241" s="42"/>
      <c r="AS241" s="42"/>
    </row>
    <row r="242" spans="1:45" ht="15" customHeight="1">
      <c r="A242" s="21" t="s">
        <v>57</v>
      </c>
      <c r="B242" s="21" t="s">
        <v>46</v>
      </c>
      <c r="C242" s="21" t="s">
        <v>188</v>
      </c>
      <c r="D242" s="22" t="s">
        <v>59</v>
      </c>
      <c r="E242" s="80" t="s">
        <v>397</v>
      </c>
      <c r="F242" s="21" t="s">
        <v>398</v>
      </c>
      <c r="G242" s="101" t="s">
        <v>77</v>
      </c>
      <c r="H242" s="25" t="s">
        <v>399</v>
      </c>
      <c r="I242" s="102" t="s">
        <v>78</v>
      </c>
      <c r="J242" s="103" t="s">
        <v>400</v>
      </c>
      <c r="K242" s="104"/>
      <c r="L242" s="48" t="s">
        <v>401</v>
      </c>
      <c r="M242" s="27">
        <v>44877</v>
      </c>
      <c r="N242" s="105" t="s">
        <v>377</v>
      </c>
      <c r="O242" s="106">
        <v>31594.080000000002</v>
      </c>
      <c r="P242" s="106">
        <v>4</v>
      </c>
      <c r="Q242" s="51">
        <f t="shared" si="9"/>
        <v>126376.32000000001</v>
      </c>
      <c r="R242" s="31">
        <v>202310</v>
      </c>
      <c r="S242" s="107" t="s">
        <v>407</v>
      </c>
      <c r="T242" s="67"/>
      <c r="U242" s="32"/>
      <c r="V242" s="67"/>
      <c r="W242" s="67"/>
      <c r="X242" s="67"/>
      <c r="Y242" s="36"/>
      <c r="Z242" s="36"/>
      <c r="AA242" s="36"/>
      <c r="AB242" s="36"/>
      <c r="AC242" s="36"/>
      <c r="AD242" s="36"/>
      <c r="AE242" s="36"/>
      <c r="AF242" s="53" t="s">
        <v>68</v>
      </c>
      <c r="AG242" s="42"/>
      <c r="AH242" s="42"/>
      <c r="AI242" s="43"/>
      <c r="AJ242" s="43"/>
      <c r="AK242" s="43"/>
      <c r="AL242" s="43"/>
      <c r="AM242" s="43"/>
      <c r="AN242" s="42"/>
      <c r="AO242" s="42"/>
      <c r="AP242" s="42"/>
      <c r="AQ242" s="43"/>
      <c r="AR242" s="42"/>
      <c r="AS242" s="42"/>
    </row>
    <row r="243" spans="1:45" ht="15" customHeight="1">
      <c r="A243" s="21" t="s">
        <v>57</v>
      </c>
      <c r="B243" s="21" t="s">
        <v>46</v>
      </c>
      <c r="C243" s="21" t="s">
        <v>188</v>
      </c>
      <c r="D243" s="22" t="s">
        <v>59</v>
      </c>
      <c r="E243" s="80" t="s">
        <v>397</v>
      </c>
      <c r="F243" s="21" t="s">
        <v>398</v>
      </c>
      <c r="G243" s="101" t="s">
        <v>77</v>
      </c>
      <c r="H243" s="25" t="s">
        <v>399</v>
      </c>
      <c r="I243" s="102" t="s">
        <v>78</v>
      </c>
      <c r="J243" s="103" t="s">
        <v>400</v>
      </c>
      <c r="K243" s="104"/>
      <c r="L243" s="48" t="s">
        <v>401</v>
      </c>
      <c r="M243" s="27">
        <v>44877</v>
      </c>
      <c r="N243" s="105" t="s">
        <v>182</v>
      </c>
      <c r="O243" s="106">
        <v>9267.6</v>
      </c>
      <c r="P243" s="106">
        <v>4</v>
      </c>
      <c r="Q243" s="51">
        <f t="shared" si="9"/>
        <v>37070.400000000001</v>
      </c>
      <c r="R243" s="31">
        <v>202310</v>
      </c>
      <c r="S243" s="107" t="s">
        <v>408</v>
      </c>
      <c r="T243" s="67"/>
      <c r="U243" s="32"/>
      <c r="V243" s="67"/>
      <c r="W243" s="67"/>
      <c r="X243" s="67"/>
      <c r="Y243" s="36"/>
      <c r="Z243" s="36"/>
      <c r="AA243" s="36"/>
      <c r="AB243" s="36"/>
      <c r="AC243" s="36"/>
      <c r="AD243" s="36"/>
      <c r="AE243" s="36"/>
      <c r="AF243" s="53" t="s">
        <v>68</v>
      </c>
      <c r="AG243" s="42"/>
      <c r="AH243" s="42"/>
      <c r="AI243" s="43"/>
      <c r="AJ243" s="43"/>
      <c r="AK243" s="43"/>
      <c r="AL243" s="43"/>
      <c r="AM243" s="43"/>
      <c r="AN243" s="42"/>
      <c r="AO243" s="42"/>
      <c r="AP243" s="42"/>
      <c r="AQ243" s="43"/>
      <c r="AR243" s="42"/>
      <c r="AS243" s="42"/>
    </row>
    <row r="244" spans="1:45" ht="15" customHeight="1">
      <c r="A244" s="21" t="s">
        <v>57</v>
      </c>
      <c r="B244" s="21" t="s">
        <v>46</v>
      </c>
      <c r="C244" s="21" t="s">
        <v>188</v>
      </c>
      <c r="D244" s="22" t="s">
        <v>59</v>
      </c>
      <c r="E244" s="80" t="s">
        <v>397</v>
      </c>
      <c r="F244" s="21" t="s">
        <v>398</v>
      </c>
      <c r="G244" s="101" t="s">
        <v>77</v>
      </c>
      <c r="H244" s="25" t="s">
        <v>399</v>
      </c>
      <c r="I244" s="102" t="s">
        <v>78</v>
      </c>
      <c r="J244" s="103" t="s">
        <v>400</v>
      </c>
      <c r="K244" s="104"/>
      <c r="L244" s="48" t="s">
        <v>401</v>
      </c>
      <c r="M244" s="27">
        <v>44881</v>
      </c>
      <c r="N244" s="105" t="s">
        <v>182</v>
      </c>
      <c r="O244" s="106">
        <v>9267.6</v>
      </c>
      <c r="P244" s="106">
        <v>-7</v>
      </c>
      <c r="Q244" s="51">
        <f t="shared" si="9"/>
        <v>-64873.2</v>
      </c>
      <c r="R244" s="31">
        <v>202310</v>
      </c>
      <c r="S244" s="107" t="s">
        <v>409</v>
      </c>
      <c r="T244" s="67"/>
      <c r="U244" s="32"/>
      <c r="V244" s="67"/>
      <c r="W244" s="67"/>
      <c r="X244" s="67"/>
      <c r="Y244" s="36"/>
      <c r="Z244" s="36"/>
      <c r="AA244" s="36"/>
      <c r="AB244" s="36"/>
      <c r="AC244" s="36"/>
      <c r="AD244" s="36"/>
      <c r="AE244" s="36"/>
      <c r="AF244" s="53" t="s">
        <v>68</v>
      </c>
      <c r="AG244" s="42"/>
      <c r="AH244" s="42"/>
      <c r="AI244" s="43"/>
      <c r="AJ244" s="43"/>
      <c r="AK244" s="43"/>
      <c r="AL244" s="43"/>
      <c r="AM244" s="43"/>
      <c r="AN244" s="42"/>
      <c r="AO244" s="42"/>
      <c r="AP244" s="42"/>
      <c r="AQ244" s="43"/>
      <c r="AR244" s="42"/>
      <c r="AS244" s="42"/>
    </row>
    <row r="245" spans="1:45" ht="15" customHeight="1">
      <c r="A245" s="21" t="s">
        <v>57</v>
      </c>
      <c r="B245" s="21" t="s">
        <v>46</v>
      </c>
      <c r="C245" s="21" t="s">
        <v>188</v>
      </c>
      <c r="D245" s="22" t="s">
        <v>59</v>
      </c>
      <c r="E245" s="80" t="s">
        <v>397</v>
      </c>
      <c r="F245" s="21" t="s">
        <v>398</v>
      </c>
      <c r="G245" s="101" t="s">
        <v>77</v>
      </c>
      <c r="H245" s="25" t="s">
        <v>399</v>
      </c>
      <c r="I245" s="102" t="s">
        <v>78</v>
      </c>
      <c r="J245" s="103" t="s">
        <v>400</v>
      </c>
      <c r="K245" s="104"/>
      <c r="L245" s="48" t="s">
        <v>401</v>
      </c>
      <c r="M245" s="27">
        <v>44924</v>
      </c>
      <c r="N245" s="105" t="s">
        <v>182</v>
      </c>
      <c r="O245" s="106">
        <v>9267.6</v>
      </c>
      <c r="P245" s="106">
        <v>2</v>
      </c>
      <c r="Q245" s="51">
        <f t="shared" si="9"/>
        <v>18535.2</v>
      </c>
      <c r="R245" s="31">
        <v>202310</v>
      </c>
      <c r="S245" s="107" t="s">
        <v>410</v>
      </c>
      <c r="T245" s="67"/>
      <c r="U245" s="32"/>
      <c r="V245" s="67"/>
      <c r="W245" s="67"/>
      <c r="X245" s="67"/>
      <c r="Y245" s="36"/>
      <c r="Z245" s="36"/>
      <c r="AA245" s="36"/>
      <c r="AB245" s="36"/>
      <c r="AC245" s="36"/>
      <c r="AD245" s="36"/>
      <c r="AE245" s="36"/>
      <c r="AF245" s="53" t="s">
        <v>68</v>
      </c>
      <c r="AG245" s="42"/>
      <c r="AH245" s="42"/>
      <c r="AI245" s="43"/>
      <c r="AJ245" s="43"/>
      <c r="AK245" s="43"/>
      <c r="AL245" s="43"/>
      <c r="AM245" s="43"/>
      <c r="AN245" s="42"/>
      <c r="AO245" s="42"/>
      <c r="AP245" s="42"/>
      <c r="AQ245" s="43"/>
      <c r="AR245" s="42"/>
      <c r="AS245" s="42"/>
    </row>
    <row r="246" spans="1:45" ht="15" customHeight="1">
      <c r="A246" s="21" t="s">
        <v>57</v>
      </c>
      <c r="B246" s="21" t="s">
        <v>46</v>
      </c>
      <c r="C246" s="21" t="s">
        <v>188</v>
      </c>
      <c r="D246" s="22" t="s">
        <v>59</v>
      </c>
      <c r="E246" s="80" t="s">
        <v>397</v>
      </c>
      <c r="F246" s="21" t="s">
        <v>398</v>
      </c>
      <c r="G246" s="101" t="s">
        <v>77</v>
      </c>
      <c r="H246" s="25" t="s">
        <v>399</v>
      </c>
      <c r="I246" s="102" t="s">
        <v>78</v>
      </c>
      <c r="J246" s="103" t="s">
        <v>400</v>
      </c>
      <c r="K246" s="104"/>
      <c r="L246" s="48" t="s">
        <v>401</v>
      </c>
      <c r="M246" s="27">
        <v>44935</v>
      </c>
      <c r="N246" s="105" t="s">
        <v>182</v>
      </c>
      <c r="O246" s="106">
        <v>9267.6</v>
      </c>
      <c r="P246" s="106">
        <v>2</v>
      </c>
      <c r="Q246" s="51">
        <f t="shared" si="9"/>
        <v>18535.2</v>
      </c>
      <c r="R246" s="31">
        <v>202310</v>
      </c>
      <c r="S246" s="107" t="s">
        <v>411</v>
      </c>
      <c r="T246" s="67"/>
      <c r="U246" s="32"/>
      <c r="V246" s="67"/>
      <c r="W246" s="67"/>
      <c r="X246" s="67"/>
      <c r="Y246" s="36"/>
      <c r="Z246" s="36"/>
      <c r="AA246" s="36"/>
      <c r="AB246" s="36"/>
      <c r="AC246" s="36"/>
      <c r="AD246" s="36"/>
      <c r="AE246" s="36"/>
      <c r="AF246" s="53" t="s">
        <v>68</v>
      </c>
      <c r="AG246" s="42"/>
      <c r="AH246" s="42"/>
      <c r="AI246" s="43"/>
      <c r="AJ246" s="43"/>
      <c r="AK246" s="43"/>
      <c r="AL246" s="43"/>
      <c r="AM246" s="43"/>
      <c r="AN246" s="42"/>
      <c r="AO246" s="42"/>
      <c r="AP246" s="42"/>
      <c r="AQ246" s="43"/>
      <c r="AR246" s="42"/>
      <c r="AS246" s="42"/>
    </row>
    <row r="247" spans="1:45" ht="15" customHeight="1">
      <c r="A247" s="21" t="s">
        <v>57</v>
      </c>
      <c r="B247" s="21" t="s">
        <v>46</v>
      </c>
      <c r="C247" s="21" t="s">
        <v>188</v>
      </c>
      <c r="D247" s="22" t="s">
        <v>59</v>
      </c>
      <c r="E247" s="80" t="s">
        <v>397</v>
      </c>
      <c r="F247" s="21" t="s">
        <v>398</v>
      </c>
      <c r="G247" s="101" t="s">
        <v>77</v>
      </c>
      <c r="H247" s="25" t="s">
        <v>399</v>
      </c>
      <c r="I247" s="102" t="s">
        <v>78</v>
      </c>
      <c r="J247" s="103" t="s">
        <v>400</v>
      </c>
      <c r="K247" s="104"/>
      <c r="L247" s="48" t="s">
        <v>401</v>
      </c>
      <c r="M247" s="27">
        <v>44974</v>
      </c>
      <c r="N247" s="105" t="s">
        <v>182</v>
      </c>
      <c r="O247" s="106">
        <v>9267.6</v>
      </c>
      <c r="P247" s="106">
        <v>2</v>
      </c>
      <c r="Q247" s="51">
        <f t="shared" si="9"/>
        <v>18535.2</v>
      </c>
      <c r="R247" s="31">
        <v>202310</v>
      </c>
      <c r="S247" s="107" t="s">
        <v>412</v>
      </c>
      <c r="T247" s="67"/>
      <c r="U247" s="32"/>
      <c r="V247" s="67"/>
      <c r="W247" s="67"/>
      <c r="X247" s="67"/>
      <c r="Y247" s="36"/>
      <c r="Z247" s="36"/>
      <c r="AA247" s="36"/>
      <c r="AB247" s="36"/>
      <c r="AC247" s="36"/>
      <c r="AD247" s="36"/>
      <c r="AE247" s="36"/>
      <c r="AF247" s="53" t="s">
        <v>68</v>
      </c>
      <c r="AG247" s="42"/>
      <c r="AH247" s="42"/>
      <c r="AI247" s="43"/>
      <c r="AJ247" s="43"/>
      <c r="AK247" s="43"/>
      <c r="AL247" s="43"/>
      <c r="AM247" s="43"/>
      <c r="AN247" s="42"/>
      <c r="AO247" s="42"/>
      <c r="AP247" s="42"/>
      <c r="AQ247" s="43"/>
      <c r="AR247" s="42"/>
      <c r="AS247" s="42"/>
    </row>
    <row r="248" spans="1:45" ht="15" customHeight="1">
      <c r="A248" s="21" t="s">
        <v>57</v>
      </c>
      <c r="B248" s="21" t="s">
        <v>46</v>
      </c>
      <c r="C248" s="21" t="s">
        <v>188</v>
      </c>
      <c r="D248" s="22" t="s">
        <v>59</v>
      </c>
      <c r="E248" s="80" t="s">
        <v>397</v>
      </c>
      <c r="F248" s="21" t="s">
        <v>398</v>
      </c>
      <c r="G248" s="101" t="s">
        <v>77</v>
      </c>
      <c r="H248" s="25" t="s">
        <v>399</v>
      </c>
      <c r="I248" s="102" t="s">
        <v>78</v>
      </c>
      <c r="J248" s="103" t="s">
        <v>400</v>
      </c>
      <c r="K248" s="104"/>
      <c r="L248" s="48" t="s">
        <v>401</v>
      </c>
      <c r="M248" s="27">
        <v>44977</v>
      </c>
      <c r="N248" s="105" t="s">
        <v>182</v>
      </c>
      <c r="O248" s="106">
        <v>9267.6</v>
      </c>
      <c r="P248" s="106">
        <v>1</v>
      </c>
      <c r="Q248" s="51">
        <f t="shared" si="9"/>
        <v>9267.6</v>
      </c>
      <c r="R248" s="31">
        <v>202310</v>
      </c>
      <c r="S248" s="107" t="s">
        <v>413</v>
      </c>
      <c r="T248" s="67"/>
      <c r="U248" s="32"/>
      <c r="V248" s="67"/>
      <c r="W248" s="67"/>
      <c r="X248" s="67"/>
      <c r="Y248" s="36"/>
      <c r="Z248" s="36"/>
      <c r="AA248" s="36"/>
      <c r="AB248" s="36"/>
      <c r="AC248" s="36"/>
      <c r="AD248" s="36"/>
      <c r="AE248" s="36"/>
      <c r="AF248" s="53" t="s">
        <v>68</v>
      </c>
      <c r="AG248" s="42"/>
      <c r="AH248" s="42"/>
      <c r="AI248" s="43"/>
      <c r="AJ248" s="43"/>
      <c r="AK248" s="43"/>
      <c r="AL248" s="43"/>
      <c r="AM248" s="43"/>
      <c r="AN248" s="42"/>
      <c r="AO248" s="42"/>
      <c r="AP248" s="42"/>
      <c r="AQ248" s="43"/>
      <c r="AR248" s="42"/>
      <c r="AS248" s="42"/>
    </row>
    <row r="249" spans="1:45" ht="15" customHeight="1">
      <c r="A249" s="21" t="s">
        <v>57</v>
      </c>
      <c r="B249" s="21" t="s">
        <v>46</v>
      </c>
      <c r="C249" s="21" t="s">
        <v>188</v>
      </c>
      <c r="D249" s="22" t="s">
        <v>59</v>
      </c>
      <c r="E249" s="80" t="s">
        <v>397</v>
      </c>
      <c r="F249" s="21" t="s">
        <v>398</v>
      </c>
      <c r="G249" s="101" t="s">
        <v>77</v>
      </c>
      <c r="H249" s="25" t="s">
        <v>399</v>
      </c>
      <c r="I249" s="102" t="s">
        <v>78</v>
      </c>
      <c r="J249" s="103" t="s">
        <v>400</v>
      </c>
      <c r="K249" s="104"/>
      <c r="L249" s="48" t="s">
        <v>401</v>
      </c>
      <c r="M249" s="27">
        <v>44981</v>
      </c>
      <c r="N249" s="105" t="s">
        <v>182</v>
      </c>
      <c r="O249" s="106">
        <v>9267.6</v>
      </c>
      <c r="P249" s="106">
        <v>4</v>
      </c>
      <c r="Q249" s="51">
        <f t="shared" si="9"/>
        <v>37070.400000000001</v>
      </c>
      <c r="R249" s="31">
        <v>202310</v>
      </c>
      <c r="S249" s="107" t="s">
        <v>414</v>
      </c>
      <c r="T249" s="67"/>
      <c r="U249" s="32"/>
      <c r="V249" s="67"/>
      <c r="W249" s="67"/>
      <c r="X249" s="67"/>
      <c r="Y249" s="36"/>
      <c r="Z249" s="36"/>
      <c r="AA249" s="36"/>
      <c r="AB249" s="36"/>
      <c r="AC249" s="36"/>
      <c r="AD249" s="36"/>
      <c r="AE249" s="36"/>
      <c r="AF249" s="53" t="s">
        <v>68</v>
      </c>
      <c r="AG249" s="42"/>
      <c r="AH249" s="42"/>
      <c r="AI249" s="43"/>
      <c r="AJ249" s="43"/>
      <c r="AK249" s="43"/>
      <c r="AL249" s="43"/>
      <c r="AM249" s="43"/>
      <c r="AN249" s="42"/>
      <c r="AO249" s="42"/>
      <c r="AP249" s="42"/>
      <c r="AQ249" s="43"/>
      <c r="AR249" s="42"/>
      <c r="AS249" s="42"/>
    </row>
    <row r="250" spans="1:45" ht="15" customHeight="1">
      <c r="A250" s="21" t="s">
        <v>57</v>
      </c>
      <c r="B250" s="21" t="s">
        <v>46</v>
      </c>
      <c r="C250" s="21" t="s">
        <v>188</v>
      </c>
      <c r="D250" s="22" t="s">
        <v>59</v>
      </c>
      <c r="E250" s="80" t="s">
        <v>397</v>
      </c>
      <c r="F250" s="21" t="s">
        <v>398</v>
      </c>
      <c r="G250" s="101" t="s">
        <v>77</v>
      </c>
      <c r="H250" s="25" t="s">
        <v>399</v>
      </c>
      <c r="I250" s="102" t="s">
        <v>78</v>
      </c>
      <c r="J250" s="103" t="s">
        <v>400</v>
      </c>
      <c r="K250" s="104"/>
      <c r="L250" s="48" t="s">
        <v>401</v>
      </c>
      <c r="M250" s="27">
        <v>44999</v>
      </c>
      <c r="N250" s="105" t="s">
        <v>182</v>
      </c>
      <c r="O250" s="106">
        <v>9267.6</v>
      </c>
      <c r="P250" s="106">
        <v>1</v>
      </c>
      <c r="Q250" s="51">
        <f t="shared" si="9"/>
        <v>9267.6</v>
      </c>
      <c r="R250" s="31">
        <v>202310</v>
      </c>
      <c r="S250" s="107" t="s">
        <v>415</v>
      </c>
      <c r="T250" s="67"/>
      <c r="U250" s="32"/>
      <c r="V250" s="67"/>
      <c r="W250" s="67"/>
      <c r="X250" s="67"/>
      <c r="Y250" s="36"/>
      <c r="Z250" s="36"/>
      <c r="AA250" s="36"/>
      <c r="AB250" s="36"/>
      <c r="AC250" s="36"/>
      <c r="AD250" s="36"/>
      <c r="AE250" s="36"/>
      <c r="AF250" s="53" t="s">
        <v>68</v>
      </c>
      <c r="AG250" s="42"/>
      <c r="AH250" s="42"/>
      <c r="AI250" s="43"/>
      <c r="AJ250" s="43"/>
      <c r="AK250" s="43"/>
      <c r="AL250" s="43"/>
      <c r="AM250" s="43"/>
      <c r="AN250" s="42"/>
      <c r="AO250" s="42"/>
      <c r="AP250" s="42"/>
      <c r="AQ250" s="43"/>
      <c r="AR250" s="42"/>
      <c r="AS250" s="42"/>
    </row>
    <row r="251" spans="1:45" ht="15" customHeight="1">
      <c r="A251" s="21" t="s">
        <v>57</v>
      </c>
      <c r="B251" s="21" t="s">
        <v>46</v>
      </c>
      <c r="C251" s="21" t="s">
        <v>188</v>
      </c>
      <c r="D251" s="22" t="s">
        <v>59</v>
      </c>
      <c r="E251" s="80" t="s">
        <v>397</v>
      </c>
      <c r="F251" s="21" t="s">
        <v>398</v>
      </c>
      <c r="G251" s="101" t="s">
        <v>77</v>
      </c>
      <c r="H251" s="25" t="s">
        <v>399</v>
      </c>
      <c r="I251" s="102" t="s">
        <v>78</v>
      </c>
      <c r="J251" s="103" t="s">
        <v>400</v>
      </c>
      <c r="K251" s="104"/>
      <c r="L251" s="48" t="s">
        <v>401</v>
      </c>
      <c r="M251" s="27">
        <v>45003</v>
      </c>
      <c r="N251" s="105" t="s">
        <v>182</v>
      </c>
      <c r="O251" s="106">
        <v>9267.6</v>
      </c>
      <c r="P251" s="106">
        <v>3</v>
      </c>
      <c r="Q251" s="51">
        <f t="shared" si="9"/>
        <v>27802.799999999999</v>
      </c>
      <c r="R251" s="31">
        <v>202310</v>
      </c>
      <c r="S251" s="107" t="s">
        <v>416</v>
      </c>
      <c r="T251" s="67"/>
      <c r="U251" s="32"/>
      <c r="V251" s="67"/>
      <c r="W251" s="67"/>
      <c r="X251" s="67"/>
      <c r="Y251" s="36"/>
      <c r="Z251" s="36"/>
      <c r="AA251" s="36"/>
      <c r="AB251" s="36"/>
      <c r="AC251" s="36"/>
      <c r="AD251" s="36"/>
      <c r="AE251" s="36"/>
      <c r="AF251" s="53" t="s">
        <v>68</v>
      </c>
      <c r="AG251" s="42"/>
      <c r="AH251" s="42"/>
      <c r="AI251" s="43"/>
      <c r="AJ251" s="43"/>
      <c r="AK251" s="43"/>
      <c r="AL251" s="43"/>
      <c r="AM251" s="43"/>
      <c r="AN251" s="42"/>
      <c r="AO251" s="42"/>
      <c r="AP251" s="42"/>
      <c r="AQ251" s="43"/>
      <c r="AR251" s="42"/>
      <c r="AS251" s="42"/>
    </row>
    <row r="252" spans="1:45" ht="15" customHeight="1">
      <c r="A252" s="21" t="s">
        <v>57</v>
      </c>
      <c r="B252" s="21" t="s">
        <v>46</v>
      </c>
      <c r="C252" s="21" t="s">
        <v>188</v>
      </c>
      <c r="D252" s="22" t="s">
        <v>59</v>
      </c>
      <c r="E252" s="80" t="s">
        <v>397</v>
      </c>
      <c r="F252" s="21" t="s">
        <v>398</v>
      </c>
      <c r="G252" s="101" t="s">
        <v>77</v>
      </c>
      <c r="H252" s="25" t="s">
        <v>399</v>
      </c>
      <c r="I252" s="102" t="s">
        <v>78</v>
      </c>
      <c r="J252" s="103" t="s">
        <v>403</v>
      </c>
      <c r="K252" s="104"/>
      <c r="L252" s="48" t="s">
        <v>401</v>
      </c>
      <c r="M252" s="27">
        <v>45069</v>
      </c>
      <c r="N252" s="105" t="s">
        <v>182</v>
      </c>
      <c r="O252" s="106">
        <v>9267.6</v>
      </c>
      <c r="P252" s="106">
        <v>8</v>
      </c>
      <c r="Q252" s="51">
        <f t="shared" si="9"/>
        <v>74140.800000000003</v>
      </c>
      <c r="R252" s="31">
        <v>202310</v>
      </c>
      <c r="S252" s="107" t="s">
        <v>417</v>
      </c>
      <c r="T252" s="67"/>
      <c r="U252" s="32"/>
      <c r="V252" s="67"/>
      <c r="W252" s="67"/>
      <c r="X252" s="67"/>
      <c r="Y252" s="36"/>
      <c r="Z252" s="36"/>
      <c r="AA252" s="36"/>
      <c r="AB252" s="36"/>
      <c r="AC252" s="36"/>
      <c r="AD252" s="36"/>
      <c r="AE252" s="36"/>
      <c r="AF252" s="53" t="s">
        <v>68</v>
      </c>
      <c r="AG252" s="42"/>
      <c r="AH252" s="42"/>
      <c r="AI252" s="43"/>
      <c r="AJ252" s="43"/>
      <c r="AK252" s="43"/>
      <c r="AL252" s="43"/>
      <c r="AM252" s="43"/>
      <c r="AN252" s="42"/>
      <c r="AO252" s="42"/>
      <c r="AP252" s="42"/>
      <c r="AQ252" s="43"/>
      <c r="AR252" s="42"/>
      <c r="AS252" s="42"/>
    </row>
    <row r="253" spans="1:45" ht="15" customHeight="1">
      <c r="A253" s="21" t="s">
        <v>57</v>
      </c>
      <c r="B253" s="21" t="s">
        <v>46</v>
      </c>
      <c r="C253" s="21" t="s">
        <v>188</v>
      </c>
      <c r="D253" s="22" t="s">
        <v>59</v>
      </c>
      <c r="E253" s="80" t="s">
        <v>397</v>
      </c>
      <c r="F253" s="21" t="s">
        <v>398</v>
      </c>
      <c r="G253" s="101" t="s">
        <v>77</v>
      </c>
      <c r="H253" s="25" t="s">
        <v>399</v>
      </c>
      <c r="I253" s="102" t="s">
        <v>78</v>
      </c>
      <c r="J253" s="103" t="s">
        <v>400</v>
      </c>
      <c r="K253" s="104"/>
      <c r="L253" s="48" t="s">
        <v>401</v>
      </c>
      <c r="M253" s="27">
        <v>45065</v>
      </c>
      <c r="N253" s="105" t="s">
        <v>182</v>
      </c>
      <c r="O253" s="106">
        <v>9267.6</v>
      </c>
      <c r="P253" s="106">
        <v>2</v>
      </c>
      <c r="Q253" s="51">
        <f t="shared" si="9"/>
        <v>18535.2</v>
      </c>
      <c r="R253" s="31">
        <v>202310</v>
      </c>
      <c r="S253" s="107" t="s">
        <v>418</v>
      </c>
      <c r="T253" s="67"/>
      <c r="U253" s="32"/>
      <c r="V253" s="67"/>
      <c r="W253" s="67"/>
      <c r="X253" s="67"/>
      <c r="Y253" s="36"/>
      <c r="Z253" s="36"/>
      <c r="AA253" s="36"/>
      <c r="AB253" s="36"/>
      <c r="AC253" s="36"/>
      <c r="AD253" s="36"/>
      <c r="AE253" s="36"/>
      <c r="AF253" s="53" t="s">
        <v>68</v>
      </c>
      <c r="AG253" s="42"/>
      <c r="AH253" s="42"/>
      <c r="AI253" s="43"/>
      <c r="AJ253" s="43"/>
      <c r="AK253" s="43"/>
      <c r="AL253" s="43"/>
      <c r="AM253" s="43"/>
      <c r="AN253" s="42"/>
      <c r="AO253" s="42"/>
      <c r="AP253" s="42"/>
      <c r="AQ253" s="43"/>
      <c r="AR253" s="42"/>
      <c r="AS253" s="42"/>
    </row>
    <row r="254" spans="1:45" ht="15" customHeight="1">
      <c r="A254" s="21" t="s">
        <v>57</v>
      </c>
      <c r="B254" s="21" t="s">
        <v>46</v>
      </c>
      <c r="C254" s="21" t="s">
        <v>188</v>
      </c>
      <c r="D254" s="22" t="s">
        <v>59</v>
      </c>
      <c r="E254" s="80" t="s">
        <v>397</v>
      </c>
      <c r="F254" s="21" t="s">
        <v>398</v>
      </c>
      <c r="G254" s="101" t="s">
        <v>77</v>
      </c>
      <c r="H254" s="25" t="s">
        <v>399</v>
      </c>
      <c r="I254" s="102" t="s">
        <v>78</v>
      </c>
      <c r="J254" s="103" t="s">
        <v>400</v>
      </c>
      <c r="K254" s="104"/>
      <c r="L254" s="48" t="s">
        <v>401</v>
      </c>
      <c r="M254" s="27">
        <v>45069</v>
      </c>
      <c r="N254" s="105" t="s">
        <v>182</v>
      </c>
      <c r="O254" s="106">
        <v>9267.6</v>
      </c>
      <c r="P254" s="106">
        <v>25</v>
      </c>
      <c r="Q254" s="51">
        <f t="shared" si="9"/>
        <v>231690</v>
      </c>
      <c r="R254" s="31">
        <v>202310</v>
      </c>
      <c r="S254" s="107" t="s">
        <v>419</v>
      </c>
      <c r="T254" s="67"/>
      <c r="U254" s="32"/>
      <c r="V254" s="67"/>
      <c r="W254" s="67"/>
      <c r="X254" s="67"/>
      <c r="Y254" s="36"/>
      <c r="Z254" s="36"/>
      <c r="AA254" s="36"/>
      <c r="AB254" s="36"/>
      <c r="AC254" s="36"/>
      <c r="AD254" s="36"/>
      <c r="AE254" s="36"/>
      <c r="AF254" s="53" t="s">
        <v>68</v>
      </c>
      <c r="AG254" s="42"/>
      <c r="AH254" s="42"/>
      <c r="AI254" s="43"/>
      <c r="AJ254" s="43"/>
      <c r="AK254" s="43"/>
      <c r="AL254" s="43"/>
      <c r="AM254" s="43"/>
      <c r="AN254" s="42"/>
      <c r="AO254" s="42"/>
      <c r="AP254" s="42"/>
      <c r="AQ254" s="43"/>
      <c r="AR254" s="42"/>
      <c r="AS254" s="42"/>
    </row>
    <row r="255" spans="1:45" ht="15" customHeight="1">
      <c r="A255" s="21" t="s">
        <v>57</v>
      </c>
      <c r="B255" s="21" t="s">
        <v>46</v>
      </c>
      <c r="C255" s="21" t="s">
        <v>188</v>
      </c>
      <c r="D255" s="22" t="s">
        <v>59</v>
      </c>
      <c r="E255" s="80" t="s">
        <v>397</v>
      </c>
      <c r="F255" s="21" t="s">
        <v>398</v>
      </c>
      <c r="G255" s="101" t="s">
        <v>77</v>
      </c>
      <c r="H255" s="25" t="s">
        <v>399</v>
      </c>
      <c r="I255" s="102" t="s">
        <v>78</v>
      </c>
      <c r="J255" s="103" t="s">
        <v>400</v>
      </c>
      <c r="K255" s="104"/>
      <c r="L255" s="48" t="s">
        <v>401</v>
      </c>
      <c r="M255" s="27">
        <v>45070</v>
      </c>
      <c r="N255" s="105" t="s">
        <v>182</v>
      </c>
      <c r="O255" s="106">
        <v>9267.6</v>
      </c>
      <c r="P255" s="106">
        <v>4</v>
      </c>
      <c r="Q255" s="51">
        <f t="shared" si="9"/>
        <v>37070.400000000001</v>
      </c>
      <c r="R255" s="31">
        <v>202310</v>
      </c>
      <c r="S255" s="107" t="s">
        <v>420</v>
      </c>
      <c r="T255" s="67"/>
      <c r="U255" s="32"/>
      <c r="V255" s="67"/>
      <c r="W255" s="67"/>
      <c r="X255" s="67"/>
      <c r="Y255" s="36"/>
      <c r="Z255" s="36"/>
      <c r="AA255" s="36"/>
      <c r="AB255" s="36"/>
      <c r="AC255" s="36"/>
      <c r="AD255" s="36"/>
      <c r="AE255" s="36"/>
      <c r="AF255" s="53" t="s">
        <v>68</v>
      </c>
      <c r="AG255" s="42"/>
      <c r="AH255" s="42"/>
      <c r="AI255" s="43"/>
      <c r="AJ255" s="43"/>
      <c r="AK255" s="43"/>
      <c r="AL255" s="43"/>
      <c r="AM255" s="43"/>
      <c r="AN255" s="42"/>
      <c r="AO255" s="42"/>
      <c r="AP255" s="42"/>
      <c r="AQ255" s="43"/>
      <c r="AR255" s="42"/>
      <c r="AS255" s="42"/>
    </row>
    <row r="256" spans="1:45" ht="15" customHeight="1">
      <c r="A256" s="21" t="s">
        <v>57</v>
      </c>
      <c r="B256" s="21" t="s">
        <v>46</v>
      </c>
      <c r="C256" s="21" t="s">
        <v>188</v>
      </c>
      <c r="D256" s="22" t="s">
        <v>59</v>
      </c>
      <c r="E256" s="80" t="s">
        <v>397</v>
      </c>
      <c r="F256" s="21" t="s">
        <v>398</v>
      </c>
      <c r="G256" s="101" t="s">
        <v>77</v>
      </c>
      <c r="H256" s="25" t="s">
        <v>399</v>
      </c>
      <c r="I256" s="102" t="s">
        <v>78</v>
      </c>
      <c r="J256" s="103" t="s">
        <v>400</v>
      </c>
      <c r="K256" s="104"/>
      <c r="L256" s="48" t="s">
        <v>401</v>
      </c>
      <c r="M256" s="27">
        <v>45051</v>
      </c>
      <c r="N256" s="105" t="s">
        <v>182</v>
      </c>
      <c r="O256" s="106">
        <v>9267.6</v>
      </c>
      <c r="P256" s="106">
        <v>-4</v>
      </c>
      <c r="Q256" s="51">
        <f t="shared" si="9"/>
        <v>-37070.400000000001</v>
      </c>
      <c r="R256" s="31">
        <v>202310</v>
      </c>
      <c r="S256" s="107" t="s">
        <v>421</v>
      </c>
      <c r="T256" s="67"/>
      <c r="U256" s="32"/>
      <c r="V256" s="67"/>
      <c r="W256" s="67"/>
      <c r="X256" s="67"/>
      <c r="Y256" s="36"/>
      <c r="Z256" s="36"/>
      <c r="AA256" s="36"/>
      <c r="AB256" s="36"/>
      <c r="AC256" s="36"/>
      <c r="AD256" s="36"/>
      <c r="AE256" s="36"/>
      <c r="AF256" s="53" t="s">
        <v>68</v>
      </c>
      <c r="AG256" s="42"/>
      <c r="AH256" s="42"/>
      <c r="AI256" s="43"/>
      <c r="AJ256" s="43"/>
      <c r="AK256" s="43"/>
      <c r="AL256" s="43"/>
      <c r="AM256" s="43"/>
      <c r="AN256" s="42"/>
      <c r="AO256" s="42"/>
      <c r="AP256" s="42"/>
      <c r="AQ256" s="43"/>
      <c r="AR256" s="42"/>
      <c r="AS256" s="42"/>
    </row>
    <row r="257" spans="1:45" ht="15" customHeight="1">
      <c r="A257" s="21" t="s">
        <v>57</v>
      </c>
      <c r="B257" s="21" t="s">
        <v>46</v>
      </c>
      <c r="C257" s="21" t="s">
        <v>188</v>
      </c>
      <c r="D257" s="22" t="s">
        <v>59</v>
      </c>
      <c r="E257" s="80" t="s">
        <v>397</v>
      </c>
      <c r="F257" s="21" t="s">
        <v>398</v>
      </c>
      <c r="G257" s="101" t="s">
        <v>77</v>
      </c>
      <c r="H257" s="25" t="s">
        <v>399</v>
      </c>
      <c r="I257" s="102" t="s">
        <v>78</v>
      </c>
      <c r="J257" s="103" t="s">
        <v>403</v>
      </c>
      <c r="K257" s="104"/>
      <c r="L257" s="48" t="s">
        <v>401</v>
      </c>
      <c r="M257" s="27">
        <v>45071</v>
      </c>
      <c r="N257" s="105" t="s">
        <v>404</v>
      </c>
      <c r="O257" s="106">
        <v>4633.8</v>
      </c>
      <c r="P257" s="106">
        <v>2</v>
      </c>
      <c r="Q257" s="51">
        <f t="shared" si="9"/>
        <v>9267.6</v>
      </c>
      <c r="R257" s="31">
        <v>202310</v>
      </c>
      <c r="S257" s="107" t="s">
        <v>422</v>
      </c>
      <c r="T257" s="67"/>
      <c r="U257" s="32"/>
      <c r="V257" s="67"/>
      <c r="W257" s="67"/>
      <c r="X257" s="67"/>
      <c r="Y257" s="36"/>
      <c r="Z257" s="36"/>
      <c r="AA257" s="36"/>
      <c r="AB257" s="36"/>
      <c r="AC257" s="36"/>
      <c r="AD257" s="36"/>
      <c r="AE257" s="36"/>
      <c r="AF257" s="53" t="s">
        <v>68</v>
      </c>
      <c r="AG257" s="42"/>
      <c r="AH257" s="42"/>
      <c r="AI257" s="43"/>
      <c r="AJ257" s="43"/>
      <c r="AK257" s="43"/>
      <c r="AL257" s="43"/>
      <c r="AM257" s="43"/>
      <c r="AN257" s="42"/>
      <c r="AO257" s="42"/>
      <c r="AP257" s="42"/>
      <c r="AQ257" s="43"/>
      <c r="AR257" s="42"/>
      <c r="AS257" s="42"/>
    </row>
    <row r="258" spans="1:45" ht="15" customHeight="1">
      <c r="A258" s="21" t="s">
        <v>57</v>
      </c>
      <c r="B258" s="21" t="s">
        <v>46</v>
      </c>
      <c r="C258" s="21" t="s">
        <v>188</v>
      </c>
      <c r="D258" s="22" t="s">
        <v>59</v>
      </c>
      <c r="E258" s="80" t="s">
        <v>397</v>
      </c>
      <c r="F258" s="21" t="s">
        <v>398</v>
      </c>
      <c r="G258" s="101" t="s">
        <v>77</v>
      </c>
      <c r="H258" s="25" t="s">
        <v>399</v>
      </c>
      <c r="I258" s="102" t="s">
        <v>78</v>
      </c>
      <c r="J258" s="103" t="s">
        <v>400</v>
      </c>
      <c r="K258" s="104"/>
      <c r="L258" s="48" t="s">
        <v>401</v>
      </c>
      <c r="M258" s="27">
        <v>45080</v>
      </c>
      <c r="N258" s="105" t="s">
        <v>182</v>
      </c>
      <c r="O258" s="106">
        <v>9267.6</v>
      </c>
      <c r="P258" s="106">
        <v>1</v>
      </c>
      <c r="Q258" s="51">
        <f t="shared" si="9"/>
        <v>9267.6</v>
      </c>
      <c r="R258" s="31">
        <v>202310</v>
      </c>
      <c r="S258" s="107" t="s">
        <v>423</v>
      </c>
      <c r="T258" s="67"/>
      <c r="U258" s="32"/>
      <c r="V258" s="67"/>
      <c r="W258" s="67"/>
      <c r="X258" s="67"/>
      <c r="Y258" s="36"/>
      <c r="Z258" s="36"/>
      <c r="AA258" s="36"/>
      <c r="AB258" s="36"/>
      <c r="AC258" s="36"/>
      <c r="AD258" s="36"/>
      <c r="AE258" s="36"/>
      <c r="AF258" s="53" t="s">
        <v>68</v>
      </c>
      <c r="AG258" s="42"/>
      <c r="AH258" s="42"/>
      <c r="AI258" s="43"/>
      <c r="AJ258" s="43"/>
      <c r="AK258" s="43"/>
      <c r="AL258" s="43"/>
      <c r="AM258" s="43"/>
      <c r="AN258" s="42"/>
      <c r="AO258" s="42"/>
      <c r="AP258" s="42"/>
      <c r="AQ258" s="43"/>
      <c r="AR258" s="42"/>
      <c r="AS258" s="42"/>
    </row>
    <row r="259" spans="1:45" ht="15" customHeight="1">
      <c r="A259" s="21" t="s">
        <v>57</v>
      </c>
      <c r="B259" s="21" t="s">
        <v>46</v>
      </c>
      <c r="C259" s="21" t="s">
        <v>188</v>
      </c>
      <c r="D259" s="22" t="s">
        <v>59</v>
      </c>
      <c r="E259" s="80" t="s">
        <v>397</v>
      </c>
      <c r="F259" s="21" t="s">
        <v>398</v>
      </c>
      <c r="G259" s="101" t="s">
        <v>77</v>
      </c>
      <c r="H259" s="25" t="s">
        <v>399</v>
      </c>
      <c r="I259" s="102" t="s">
        <v>78</v>
      </c>
      <c r="J259" s="103" t="s">
        <v>400</v>
      </c>
      <c r="K259" s="104"/>
      <c r="L259" s="48" t="s">
        <v>401</v>
      </c>
      <c r="M259" s="27">
        <v>45085</v>
      </c>
      <c r="N259" s="105" t="s">
        <v>182</v>
      </c>
      <c r="O259" s="106">
        <v>9267.6</v>
      </c>
      <c r="P259" s="106">
        <v>6</v>
      </c>
      <c r="Q259" s="51">
        <f t="shared" ref="Q259:Q331" si="11">ROUND(O259*P259,2)</f>
        <v>55605.599999999999</v>
      </c>
      <c r="R259" s="31">
        <v>202310</v>
      </c>
      <c r="S259" s="107" t="s">
        <v>424</v>
      </c>
      <c r="T259" s="67"/>
      <c r="U259" s="32"/>
      <c r="V259" s="67"/>
      <c r="W259" s="67"/>
      <c r="X259" s="67"/>
      <c r="Y259" s="36"/>
      <c r="Z259" s="36"/>
      <c r="AA259" s="36"/>
      <c r="AB259" s="36"/>
      <c r="AC259" s="36"/>
      <c r="AD259" s="36"/>
      <c r="AE259" s="36"/>
      <c r="AF259" s="53" t="s">
        <v>68</v>
      </c>
      <c r="AG259" s="42"/>
      <c r="AH259" s="42"/>
      <c r="AI259" s="43"/>
      <c r="AJ259" s="43"/>
      <c r="AK259" s="43"/>
      <c r="AL259" s="43"/>
      <c r="AM259" s="43"/>
      <c r="AN259" s="42"/>
      <c r="AO259" s="42"/>
      <c r="AP259" s="42"/>
      <c r="AQ259" s="43"/>
      <c r="AR259" s="42"/>
      <c r="AS259" s="42"/>
    </row>
    <row r="260" spans="1:45" ht="15" customHeight="1">
      <c r="A260" s="21" t="s">
        <v>57</v>
      </c>
      <c r="B260" s="21" t="s">
        <v>46</v>
      </c>
      <c r="C260" s="21" t="s">
        <v>188</v>
      </c>
      <c r="D260" s="22" t="s">
        <v>59</v>
      </c>
      <c r="E260" s="80" t="s">
        <v>397</v>
      </c>
      <c r="F260" s="21" t="s">
        <v>398</v>
      </c>
      <c r="G260" s="101" t="s">
        <v>77</v>
      </c>
      <c r="H260" s="25" t="s">
        <v>399</v>
      </c>
      <c r="I260" s="102" t="s">
        <v>78</v>
      </c>
      <c r="J260" s="103" t="s">
        <v>400</v>
      </c>
      <c r="K260" s="104"/>
      <c r="L260" s="48" t="s">
        <v>401</v>
      </c>
      <c r="M260" s="27">
        <v>45168</v>
      </c>
      <c r="N260" s="105" t="s">
        <v>182</v>
      </c>
      <c r="O260" s="106">
        <v>9267.6</v>
      </c>
      <c r="P260" s="106">
        <v>12</v>
      </c>
      <c r="Q260" s="51">
        <f>ROUND(O260*P260,2)</f>
        <v>111211.2</v>
      </c>
      <c r="R260" s="31">
        <v>202310</v>
      </c>
      <c r="S260" s="107" t="s">
        <v>425</v>
      </c>
      <c r="T260" s="67"/>
      <c r="U260" s="32"/>
      <c r="V260" s="67"/>
      <c r="W260" s="67"/>
      <c r="X260" s="67"/>
      <c r="Y260" s="36"/>
      <c r="Z260" s="36"/>
      <c r="AA260" s="36"/>
      <c r="AB260" s="36"/>
      <c r="AC260" s="36"/>
      <c r="AD260" s="36"/>
      <c r="AE260" s="36"/>
      <c r="AF260" s="53" t="s">
        <v>68</v>
      </c>
      <c r="AG260" s="42"/>
      <c r="AH260" s="42"/>
      <c r="AI260" s="43"/>
      <c r="AJ260" s="43"/>
      <c r="AK260" s="43"/>
      <c r="AL260" s="43"/>
      <c r="AM260" s="43"/>
      <c r="AN260" s="42"/>
      <c r="AO260" s="42"/>
      <c r="AP260" s="42"/>
      <c r="AQ260" s="43"/>
      <c r="AR260" s="42"/>
      <c r="AS260" s="42"/>
    </row>
    <row r="261" spans="1:45" ht="15" customHeight="1">
      <c r="A261" s="21" t="s">
        <v>57</v>
      </c>
      <c r="B261" s="21" t="s">
        <v>46</v>
      </c>
      <c r="C261" s="21" t="s">
        <v>188</v>
      </c>
      <c r="D261" s="22" t="s">
        <v>59</v>
      </c>
      <c r="E261" s="80" t="s">
        <v>397</v>
      </c>
      <c r="F261" s="21" t="s">
        <v>398</v>
      </c>
      <c r="G261" s="101" t="s">
        <v>77</v>
      </c>
      <c r="H261" s="25" t="s">
        <v>399</v>
      </c>
      <c r="I261" s="102" t="s">
        <v>78</v>
      </c>
      <c r="J261" s="103" t="s">
        <v>403</v>
      </c>
      <c r="K261" s="104"/>
      <c r="L261" s="48" t="s">
        <v>401</v>
      </c>
      <c r="M261" s="27">
        <v>45175</v>
      </c>
      <c r="N261" s="105" t="s">
        <v>182</v>
      </c>
      <c r="O261" s="106">
        <v>9267.6</v>
      </c>
      <c r="P261" s="106">
        <v>30</v>
      </c>
      <c r="Q261" s="51">
        <f>ROUND(O261*P261,2)</f>
        <v>278028</v>
      </c>
      <c r="R261" s="31">
        <v>202310</v>
      </c>
      <c r="S261" s="107" t="s">
        <v>426</v>
      </c>
      <c r="T261" s="67"/>
      <c r="U261" s="32"/>
      <c r="V261" s="67"/>
      <c r="W261" s="67"/>
      <c r="X261" s="67"/>
      <c r="Y261" s="36"/>
      <c r="Z261" s="36"/>
      <c r="AA261" s="36"/>
      <c r="AB261" s="36"/>
      <c r="AC261" s="36"/>
      <c r="AD261" s="36"/>
      <c r="AE261" s="36"/>
      <c r="AF261" s="53" t="s">
        <v>68</v>
      </c>
      <c r="AG261" s="42"/>
      <c r="AH261" s="42"/>
      <c r="AI261" s="43"/>
      <c r="AJ261" s="43"/>
      <c r="AK261" s="43"/>
      <c r="AL261" s="43"/>
      <c r="AM261" s="43"/>
      <c r="AN261" s="42"/>
      <c r="AO261" s="42"/>
      <c r="AP261" s="42"/>
      <c r="AQ261" s="43"/>
      <c r="AR261" s="42"/>
      <c r="AS261" s="42"/>
    </row>
    <row r="262" spans="1:45" ht="15" customHeight="1">
      <c r="A262" s="21" t="s">
        <v>57</v>
      </c>
      <c r="B262" s="21" t="s">
        <v>46</v>
      </c>
      <c r="C262" s="21" t="s">
        <v>188</v>
      </c>
      <c r="D262" s="22" t="s">
        <v>59</v>
      </c>
      <c r="E262" s="80" t="s">
        <v>397</v>
      </c>
      <c r="F262" s="21" t="s">
        <v>398</v>
      </c>
      <c r="G262" s="101" t="s">
        <v>77</v>
      </c>
      <c r="H262" s="25" t="s">
        <v>399</v>
      </c>
      <c r="I262" s="102" t="s">
        <v>78</v>
      </c>
      <c r="J262" s="103" t="s">
        <v>403</v>
      </c>
      <c r="K262" s="104"/>
      <c r="L262" s="48" t="s">
        <v>401</v>
      </c>
      <c r="M262" s="27">
        <v>45177</v>
      </c>
      <c r="N262" s="105" t="s">
        <v>182</v>
      </c>
      <c r="O262" s="106">
        <v>9267.6</v>
      </c>
      <c r="P262" s="106">
        <v>1</v>
      </c>
      <c r="Q262" s="51">
        <f>ROUND(O262*P262,2)</f>
        <v>9267.6</v>
      </c>
      <c r="R262" s="31">
        <v>202310</v>
      </c>
      <c r="S262" s="107" t="s">
        <v>427</v>
      </c>
      <c r="T262" s="67"/>
      <c r="U262" s="32"/>
      <c r="V262" s="67"/>
      <c r="W262" s="67"/>
      <c r="X262" s="67"/>
      <c r="Y262" s="36"/>
      <c r="Z262" s="36"/>
      <c r="AA262" s="36"/>
      <c r="AB262" s="36"/>
      <c r="AC262" s="36"/>
      <c r="AD262" s="36"/>
      <c r="AE262" s="36"/>
      <c r="AF262" s="53" t="s">
        <v>68</v>
      </c>
      <c r="AG262" s="42"/>
      <c r="AH262" s="42"/>
      <c r="AI262" s="43"/>
      <c r="AJ262" s="43"/>
      <c r="AK262" s="43"/>
      <c r="AL262" s="43"/>
      <c r="AM262" s="43"/>
      <c r="AN262" s="42"/>
      <c r="AO262" s="42"/>
      <c r="AP262" s="42"/>
      <c r="AQ262" s="43"/>
      <c r="AR262" s="42"/>
      <c r="AS262" s="42"/>
    </row>
    <row r="263" spans="1:45" ht="15" customHeight="1">
      <c r="A263" s="21" t="s">
        <v>57</v>
      </c>
      <c r="B263" s="21" t="s">
        <v>46</v>
      </c>
      <c r="C263" s="21" t="s">
        <v>188</v>
      </c>
      <c r="D263" s="22" t="s">
        <v>59</v>
      </c>
      <c r="E263" s="80" t="s">
        <v>397</v>
      </c>
      <c r="F263" s="21" t="s">
        <v>398</v>
      </c>
      <c r="G263" s="101" t="s">
        <v>77</v>
      </c>
      <c r="H263" s="25" t="s">
        <v>399</v>
      </c>
      <c r="I263" s="102" t="s">
        <v>78</v>
      </c>
      <c r="J263" s="103" t="s">
        <v>400</v>
      </c>
      <c r="K263" s="104"/>
      <c r="L263" s="48" t="s">
        <v>401</v>
      </c>
      <c r="M263" s="27">
        <v>45220</v>
      </c>
      <c r="N263" s="105" t="s">
        <v>182</v>
      </c>
      <c r="O263" s="106">
        <v>9267.6</v>
      </c>
      <c r="P263" s="106">
        <v>77</v>
      </c>
      <c r="Q263" s="51">
        <f>ROUND(O263*P263*11/31,2)</f>
        <v>253214.75</v>
      </c>
      <c r="R263" s="31">
        <v>202310</v>
      </c>
      <c r="S263" s="107" t="s">
        <v>428</v>
      </c>
      <c r="T263" s="67"/>
      <c r="U263" s="32"/>
      <c r="V263" s="67"/>
      <c r="W263" s="67"/>
      <c r="X263" s="67"/>
      <c r="Y263" s="36"/>
      <c r="Z263" s="36"/>
      <c r="AA263" s="36"/>
      <c r="AB263" s="36"/>
      <c r="AC263" s="36"/>
      <c r="AD263" s="36"/>
      <c r="AE263" s="36"/>
      <c r="AF263" s="53" t="s">
        <v>68</v>
      </c>
      <c r="AG263" s="42"/>
      <c r="AH263" s="42"/>
      <c r="AI263" s="43"/>
      <c r="AJ263" s="43"/>
      <c r="AK263" s="43"/>
      <c r="AL263" s="43"/>
      <c r="AM263" s="43"/>
      <c r="AN263" s="42"/>
      <c r="AO263" s="42"/>
      <c r="AP263" s="42"/>
      <c r="AQ263" s="43"/>
      <c r="AR263" s="42"/>
      <c r="AS263" s="42"/>
    </row>
    <row r="264" spans="1:45" ht="15" customHeight="1">
      <c r="A264" s="21" t="s">
        <v>57</v>
      </c>
      <c r="B264" s="21" t="s">
        <v>46</v>
      </c>
      <c r="C264" s="21" t="s">
        <v>188</v>
      </c>
      <c r="D264" s="22" t="s">
        <v>59</v>
      </c>
      <c r="E264" s="80" t="s">
        <v>397</v>
      </c>
      <c r="F264" s="21" t="s">
        <v>398</v>
      </c>
      <c r="G264" s="101" t="s">
        <v>77</v>
      </c>
      <c r="H264" s="25" t="s">
        <v>399</v>
      </c>
      <c r="I264" s="102" t="s">
        <v>78</v>
      </c>
      <c r="J264" s="103" t="s">
        <v>400</v>
      </c>
      <c r="K264" s="104"/>
      <c r="L264" s="48" t="s">
        <v>401</v>
      </c>
      <c r="M264" s="27">
        <v>45222</v>
      </c>
      <c r="N264" s="105" t="s">
        <v>182</v>
      </c>
      <c r="O264" s="106">
        <v>9267.6</v>
      </c>
      <c r="P264" s="106">
        <v>42</v>
      </c>
      <c r="Q264" s="51">
        <f>ROUND(O264*P264*9/31,2)</f>
        <v>113004.93</v>
      </c>
      <c r="R264" s="31">
        <v>202310</v>
      </c>
      <c r="S264" s="107" t="s">
        <v>429</v>
      </c>
      <c r="T264" s="67"/>
      <c r="U264" s="32"/>
      <c r="V264" s="67"/>
      <c r="W264" s="67"/>
      <c r="X264" s="67"/>
      <c r="Y264" s="36"/>
      <c r="Z264" s="36"/>
      <c r="AA264" s="36"/>
      <c r="AB264" s="36"/>
      <c r="AC264" s="36"/>
      <c r="AD264" s="36"/>
      <c r="AE264" s="36"/>
      <c r="AF264" s="53" t="s">
        <v>68</v>
      </c>
      <c r="AG264" s="42"/>
      <c r="AH264" s="42"/>
      <c r="AI264" s="43"/>
      <c r="AJ264" s="43"/>
      <c r="AK264" s="43"/>
      <c r="AL264" s="43"/>
      <c r="AM264" s="43"/>
      <c r="AN264" s="42"/>
      <c r="AO264" s="42"/>
      <c r="AP264" s="42"/>
      <c r="AQ264" s="43"/>
      <c r="AR264" s="42"/>
      <c r="AS264" s="42"/>
    </row>
    <row r="265" spans="1:45" ht="15" customHeight="1">
      <c r="A265" s="21" t="s">
        <v>57</v>
      </c>
      <c r="B265" s="21" t="s">
        <v>46</v>
      </c>
      <c r="C265" s="21" t="s">
        <v>188</v>
      </c>
      <c r="D265" s="22" t="s">
        <v>59</v>
      </c>
      <c r="E265" s="80" t="s">
        <v>397</v>
      </c>
      <c r="F265" s="21" t="s">
        <v>398</v>
      </c>
      <c r="G265" s="101" t="s">
        <v>77</v>
      </c>
      <c r="H265" s="25" t="s">
        <v>399</v>
      </c>
      <c r="I265" s="102" t="s">
        <v>78</v>
      </c>
      <c r="J265" s="103" t="s">
        <v>400</v>
      </c>
      <c r="K265" s="104"/>
      <c r="L265" s="48" t="s">
        <v>401</v>
      </c>
      <c r="M265" s="27">
        <v>45224</v>
      </c>
      <c r="N265" s="105" t="s">
        <v>182</v>
      </c>
      <c r="O265" s="106">
        <v>9267.6</v>
      </c>
      <c r="P265" s="106">
        <v>2</v>
      </c>
      <c r="Q265" s="51">
        <f>ROUND(O265*P265*7/31,2)</f>
        <v>4185.37</v>
      </c>
      <c r="R265" s="31">
        <v>202310</v>
      </c>
      <c r="S265" s="107" t="s">
        <v>430</v>
      </c>
      <c r="T265" s="67"/>
      <c r="U265" s="32"/>
      <c r="V265" s="67"/>
      <c r="W265" s="67"/>
      <c r="X265" s="67"/>
      <c r="Y265" s="36"/>
      <c r="Z265" s="36"/>
      <c r="AA265" s="36"/>
      <c r="AB265" s="36"/>
      <c r="AC265" s="36"/>
      <c r="AD265" s="36"/>
      <c r="AE265" s="36"/>
      <c r="AF265" s="53" t="s">
        <v>68</v>
      </c>
      <c r="AG265" s="42"/>
      <c r="AH265" s="42"/>
      <c r="AI265" s="43"/>
      <c r="AJ265" s="43"/>
      <c r="AK265" s="43"/>
      <c r="AL265" s="43"/>
      <c r="AM265" s="43"/>
      <c r="AN265" s="42"/>
      <c r="AO265" s="42"/>
      <c r="AP265" s="42"/>
      <c r="AQ265" s="43"/>
      <c r="AR265" s="42"/>
      <c r="AS265" s="42"/>
    </row>
    <row r="266" spans="1:45" ht="15" customHeight="1">
      <c r="A266" s="65" t="s">
        <v>258</v>
      </c>
      <c r="B266" s="21" t="s">
        <v>46</v>
      </c>
      <c r="C266" s="21" t="s">
        <v>188</v>
      </c>
      <c r="D266" s="21" t="s">
        <v>48</v>
      </c>
      <c r="E266" s="66" t="s">
        <v>431</v>
      </c>
      <c r="F266" s="65" t="s">
        <v>432</v>
      </c>
      <c r="G266" s="47" t="s">
        <v>77</v>
      </c>
      <c r="H266" s="45" t="s">
        <v>433</v>
      </c>
      <c r="I266" s="102" t="s">
        <v>78</v>
      </c>
      <c r="J266" s="47" t="s">
        <v>434</v>
      </c>
      <c r="K266" s="47"/>
      <c r="L266" s="48" t="s">
        <v>376</v>
      </c>
      <c r="M266" s="49">
        <v>44105</v>
      </c>
      <c r="N266" s="49" t="s">
        <v>177</v>
      </c>
      <c r="O266" s="61">
        <v>5803.6</v>
      </c>
      <c r="P266" s="61">
        <v>42</v>
      </c>
      <c r="Q266" s="51">
        <f t="shared" si="11"/>
        <v>243751.2</v>
      </c>
      <c r="R266" s="31">
        <v>202310</v>
      </c>
      <c r="S266" s="108" t="s">
        <v>435</v>
      </c>
      <c r="T266" s="78"/>
      <c r="U266" s="108"/>
      <c r="V266" s="78"/>
      <c r="W266" s="67"/>
      <c r="X266" s="67"/>
      <c r="Y266" s="36">
        <v>44075</v>
      </c>
      <c r="Z266" s="36">
        <v>46265</v>
      </c>
      <c r="AA266" s="36"/>
      <c r="AB266" s="36"/>
      <c r="AC266" s="36"/>
      <c r="AD266" s="36"/>
      <c r="AE266" s="36"/>
      <c r="AF266" s="53" t="s">
        <v>68</v>
      </c>
      <c r="AG266" s="42"/>
      <c r="AH266" s="42"/>
      <c r="AI266" s="43"/>
      <c r="AJ266" s="43"/>
      <c r="AK266" s="43"/>
      <c r="AL266" s="43"/>
      <c r="AM266" s="43"/>
      <c r="AN266" s="42"/>
      <c r="AO266" s="42"/>
      <c r="AP266" s="42"/>
      <c r="AQ266" s="43"/>
      <c r="AR266" s="42"/>
      <c r="AS266" s="42"/>
    </row>
    <row r="267" spans="1:45" ht="15" customHeight="1">
      <c r="A267" s="65" t="s">
        <v>258</v>
      </c>
      <c r="B267" s="21" t="s">
        <v>46</v>
      </c>
      <c r="C267" s="21" t="s">
        <v>188</v>
      </c>
      <c r="D267" s="21" t="s">
        <v>48</v>
      </c>
      <c r="E267" s="66" t="s">
        <v>431</v>
      </c>
      <c r="F267" s="65" t="s">
        <v>432</v>
      </c>
      <c r="G267" s="47" t="s">
        <v>77</v>
      </c>
      <c r="H267" s="45" t="s">
        <v>433</v>
      </c>
      <c r="I267" s="102" t="s">
        <v>78</v>
      </c>
      <c r="J267" s="47" t="s">
        <v>434</v>
      </c>
      <c r="K267" s="47"/>
      <c r="L267" s="48" t="s">
        <v>376</v>
      </c>
      <c r="M267" s="49">
        <v>44105</v>
      </c>
      <c r="N267" s="49" t="s">
        <v>182</v>
      </c>
      <c r="O267" s="61">
        <v>11600</v>
      </c>
      <c r="P267" s="61">
        <v>81</v>
      </c>
      <c r="Q267" s="51">
        <f t="shared" si="11"/>
        <v>939600</v>
      </c>
      <c r="R267" s="31">
        <v>202310</v>
      </c>
      <c r="S267" s="108" t="s">
        <v>436</v>
      </c>
      <c r="T267" s="78"/>
      <c r="U267" s="108"/>
      <c r="V267" s="78"/>
      <c r="W267" s="67"/>
      <c r="X267" s="67"/>
      <c r="Y267" s="36">
        <v>44075</v>
      </c>
      <c r="Z267" s="36">
        <v>46265</v>
      </c>
      <c r="AA267" s="36"/>
      <c r="AB267" s="36"/>
      <c r="AC267" s="36"/>
      <c r="AD267" s="36"/>
      <c r="AE267" s="36"/>
      <c r="AF267" s="53" t="s">
        <v>68</v>
      </c>
      <c r="AG267" s="42"/>
      <c r="AH267" s="42"/>
      <c r="AI267" s="43"/>
      <c r="AJ267" s="43"/>
      <c r="AK267" s="43"/>
      <c r="AL267" s="43"/>
      <c r="AM267" s="43"/>
      <c r="AN267" s="42"/>
      <c r="AO267" s="42"/>
      <c r="AP267" s="42"/>
      <c r="AQ267" s="43"/>
      <c r="AR267" s="42"/>
      <c r="AS267" s="42"/>
    </row>
    <row r="268" spans="1:45" ht="15" customHeight="1">
      <c r="A268" s="65" t="s">
        <v>258</v>
      </c>
      <c r="B268" s="21" t="s">
        <v>46</v>
      </c>
      <c r="C268" s="21" t="s">
        <v>188</v>
      </c>
      <c r="D268" s="21" t="s">
        <v>48</v>
      </c>
      <c r="E268" s="66" t="s">
        <v>431</v>
      </c>
      <c r="F268" s="65" t="s">
        <v>432</v>
      </c>
      <c r="G268" s="47" t="s">
        <v>77</v>
      </c>
      <c r="H268" s="45" t="s">
        <v>433</v>
      </c>
      <c r="I268" s="102" t="s">
        <v>78</v>
      </c>
      <c r="J268" s="47" t="s">
        <v>434</v>
      </c>
      <c r="K268" s="47"/>
      <c r="L268" s="48" t="s">
        <v>376</v>
      </c>
      <c r="M268" s="49">
        <v>44105</v>
      </c>
      <c r="N268" s="49" t="s">
        <v>348</v>
      </c>
      <c r="O268" s="61">
        <v>11871</v>
      </c>
      <c r="P268" s="61">
        <v>5</v>
      </c>
      <c r="Q268" s="51">
        <f t="shared" si="11"/>
        <v>59355</v>
      </c>
      <c r="R268" s="31">
        <v>202310</v>
      </c>
      <c r="S268" s="108" t="s">
        <v>437</v>
      </c>
      <c r="T268" s="78"/>
      <c r="U268" s="108"/>
      <c r="V268" s="78"/>
      <c r="W268" s="67"/>
      <c r="X268" s="67"/>
      <c r="Y268" s="36">
        <v>44075</v>
      </c>
      <c r="Z268" s="36">
        <v>46265</v>
      </c>
      <c r="AA268" s="36"/>
      <c r="AB268" s="36"/>
      <c r="AC268" s="36"/>
      <c r="AD268" s="36"/>
      <c r="AE268" s="36"/>
      <c r="AF268" s="53" t="s">
        <v>68</v>
      </c>
      <c r="AG268" s="42"/>
      <c r="AH268" s="42"/>
      <c r="AI268" s="43"/>
      <c r="AJ268" s="43"/>
      <c r="AK268" s="43"/>
      <c r="AL268" s="43"/>
      <c r="AM268" s="43"/>
      <c r="AN268" s="42"/>
      <c r="AO268" s="42"/>
      <c r="AP268" s="42"/>
      <c r="AQ268" s="43"/>
      <c r="AR268" s="42"/>
      <c r="AS268" s="42"/>
    </row>
    <row r="269" spans="1:45" ht="15" customHeight="1">
      <c r="A269" s="65" t="s">
        <v>258</v>
      </c>
      <c r="B269" s="21" t="s">
        <v>46</v>
      </c>
      <c r="C269" s="21" t="s">
        <v>188</v>
      </c>
      <c r="D269" s="21" t="s">
        <v>48</v>
      </c>
      <c r="E269" s="66" t="s">
        <v>431</v>
      </c>
      <c r="F269" s="65" t="s">
        <v>432</v>
      </c>
      <c r="G269" s="47" t="s">
        <v>77</v>
      </c>
      <c r="H269" s="45" t="s">
        <v>433</v>
      </c>
      <c r="I269" s="102" t="s">
        <v>78</v>
      </c>
      <c r="J269" s="47" t="s">
        <v>434</v>
      </c>
      <c r="K269" s="47"/>
      <c r="L269" s="48" t="s">
        <v>376</v>
      </c>
      <c r="M269" s="49">
        <v>44105</v>
      </c>
      <c r="N269" s="49" t="s">
        <v>388</v>
      </c>
      <c r="O269" s="61">
        <v>31656</v>
      </c>
      <c r="P269" s="61">
        <v>12</v>
      </c>
      <c r="Q269" s="51">
        <f t="shared" si="11"/>
        <v>379872</v>
      </c>
      <c r="R269" s="31">
        <v>202310</v>
      </c>
      <c r="S269" s="108" t="s">
        <v>438</v>
      </c>
      <c r="T269" s="78"/>
      <c r="U269" s="108"/>
      <c r="V269" s="78"/>
      <c r="W269" s="67"/>
      <c r="X269" s="67"/>
      <c r="Y269" s="36">
        <v>44075</v>
      </c>
      <c r="Z269" s="36">
        <v>46265</v>
      </c>
      <c r="AA269" s="36"/>
      <c r="AB269" s="36"/>
      <c r="AC269" s="36"/>
      <c r="AD269" s="36"/>
      <c r="AE269" s="36"/>
      <c r="AF269" s="53" t="s">
        <v>68</v>
      </c>
      <c r="AG269" s="42"/>
      <c r="AH269" s="42"/>
      <c r="AI269" s="43"/>
      <c r="AJ269" s="43"/>
      <c r="AK269" s="43"/>
      <c r="AL269" s="43"/>
      <c r="AM269" s="43"/>
      <c r="AN269" s="42"/>
      <c r="AO269" s="42"/>
      <c r="AP269" s="42"/>
      <c r="AQ269" s="43"/>
      <c r="AR269" s="42"/>
      <c r="AS269" s="42"/>
    </row>
    <row r="270" spans="1:45" ht="15" customHeight="1">
      <c r="A270" s="65" t="s">
        <v>258</v>
      </c>
      <c r="B270" s="21" t="s">
        <v>46</v>
      </c>
      <c r="C270" s="21" t="s">
        <v>188</v>
      </c>
      <c r="D270" s="21" t="s">
        <v>48</v>
      </c>
      <c r="E270" s="66" t="s">
        <v>431</v>
      </c>
      <c r="F270" s="65" t="s">
        <v>432</v>
      </c>
      <c r="G270" s="47" t="s">
        <v>77</v>
      </c>
      <c r="H270" s="45" t="s">
        <v>433</v>
      </c>
      <c r="I270" s="102" t="s">
        <v>78</v>
      </c>
      <c r="J270" s="47" t="s">
        <v>434</v>
      </c>
      <c r="K270" s="47"/>
      <c r="L270" s="48" t="s">
        <v>376</v>
      </c>
      <c r="M270" s="49">
        <v>44105</v>
      </c>
      <c r="N270" s="49" t="s">
        <v>382</v>
      </c>
      <c r="O270" s="61">
        <v>5280</v>
      </c>
      <c r="P270" s="61">
        <v>16</v>
      </c>
      <c r="Q270" s="51">
        <f t="shared" si="11"/>
        <v>84480</v>
      </c>
      <c r="R270" s="31">
        <v>202310</v>
      </c>
      <c r="S270" s="108" t="s">
        <v>439</v>
      </c>
      <c r="T270" s="78"/>
      <c r="U270" s="108"/>
      <c r="V270" s="78"/>
      <c r="W270" s="67"/>
      <c r="X270" s="67"/>
      <c r="Y270" s="36">
        <v>44075</v>
      </c>
      <c r="Z270" s="36">
        <v>46265</v>
      </c>
      <c r="AA270" s="36"/>
      <c r="AB270" s="36"/>
      <c r="AC270" s="36"/>
      <c r="AD270" s="36"/>
      <c r="AE270" s="36"/>
      <c r="AF270" s="53" t="s">
        <v>68</v>
      </c>
      <c r="AG270" s="42"/>
      <c r="AH270" s="42"/>
      <c r="AI270" s="43"/>
      <c r="AJ270" s="43"/>
      <c r="AK270" s="43"/>
      <c r="AL270" s="43"/>
      <c r="AM270" s="43"/>
      <c r="AN270" s="42"/>
      <c r="AO270" s="42"/>
      <c r="AP270" s="42"/>
      <c r="AQ270" s="43"/>
      <c r="AR270" s="42"/>
      <c r="AS270" s="42"/>
    </row>
    <row r="271" spans="1:45" ht="15" customHeight="1">
      <c r="A271" s="65" t="s">
        <v>258</v>
      </c>
      <c r="B271" s="21" t="s">
        <v>46</v>
      </c>
      <c r="C271" s="21" t="s">
        <v>188</v>
      </c>
      <c r="D271" s="21" t="s">
        <v>48</v>
      </c>
      <c r="E271" s="66" t="s">
        <v>431</v>
      </c>
      <c r="F271" s="65" t="s">
        <v>432</v>
      </c>
      <c r="G271" s="47" t="s">
        <v>77</v>
      </c>
      <c r="H271" s="45" t="s">
        <v>433</v>
      </c>
      <c r="I271" s="102" t="s">
        <v>78</v>
      </c>
      <c r="J271" s="47" t="s">
        <v>434</v>
      </c>
      <c r="K271" s="47"/>
      <c r="L271" s="48" t="s">
        <v>376</v>
      </c>
      <c r="M271" s="49">
        <v>44137</v>
      </c>
      <c r="N271" s="49" t="s">
        <v>182</v>
      </c>
      <c r="O271" s="61">
        <v>11600</v>
      </c>
      <c r="P271" s="61">
        <v>23</v>
      </c>
      <c r="Q271" s="51">
        <f t="shared" si="11"/>
        <v>266800</v>
      </c>
      <c r="R271" s="31">
        <v>202310</v>
      </c>
      <c r="S271" s="108" t="s">
        <v>440</v>
      </c>
      <c r="T271" s="108"/>
      <c r="U271" s="108"/>
      <c r="V271" s="108"/>
      <c r="W271" s="67"/>
      <c r="X271" s="67"/>
      <c r="Y271" s="36">
        <v>44075</v>
      </c>
      <c r="Z271" s="36">
        <v>46265</v>
      </c>
      <c r="AA271" s="36"/>
      <c r="AB271" s="36"/>
      <c r="AC271" s="36"/>
      <c r="AD271" s="36"/>
      <c r="AE271" s="36"/>
      <c r="AF271" s="53" t="s">
        <v>68</v>
      </c>
      <c r="AG271" s="42"/>
      <c r="AH271" s="42"/>
      <c r="AI271" s="43"/>
      <c r="AJ271" s="43"/>
      <c r="AK271" s="43"/>
      <c r="AL271" s="43"/>
      <c r="AM271" s="43"/>
      <c r="AN271" s="42"/>
      <c r="AO271" s="42"/>
      <c r="AP271" s="42"/>
      <c r="AQ271" s="43"/>
      <c r="AR271" s="42"/>
      <c r="AS271" s="42"/>
    </row>
    <row r="272" spans="1:45" ht="15" customHeight="1">
      <c r="A272" s="65" t="s">
        <v>258</v>
      </c>
      <c r="B272" s="21" t="s">
        <v>46</v>
      </c>
      <c r="C272" s="21" t="s">
        <v>188</v>
      </c>
      <c r="D272" s="21" t="s">
        <v>48</v>
      </c>
      <c r="E272" s="66" t="s">
        <v>431</v>
      </c>
      <c r="F272" s="65" t="s">
        <v>432</v>
      </c>
      <c r="G272" s="47" t="s">
        <v>77</v>
      </c>
      <c r="H272" s="45" t="s">
        <v>441</v>
      </c>
      <c r="I272" s="102" t="s">
        <v>78</v>
      </c>
      <c r="J272" s="47" t="s">
        <v>434</v>
      </c>
      <c r="K272" s="47"/>
      <c r="L272" s="48" t="s">
        <v>376</v>
      </c>
      <c r="M272" s="49">
        <v>44174</v>
      </c>
      <c r="N272" s="49" t="s">
        <v>182</v>
      </c>
      <c r="O272" s="61">
        <v>11600</v>
      </c>
      <c r="P272" s="61">
        <v>19</v>
      </c>
      <c r="Q272" s="51">
        <f t="shared" si="11"/>
        <v>220400</v>
      </c>
      <c r="R272" s="31">
        <v>202310</v>
      </c>
      <c r="S272" s="108" t="s">
        <v>442</v>
      </c>
      <c r="T272" s="108"/>
      <c r="U272" s="108"/>
      <c r="V272" s="108"/>
      <c r="W272" s="67"/>
      <c r="X272" s="67"/>
      <c r="Y272" s="36">
        <v>44075</v>
      </c>
      <c r="Z272" s="36">
        <v>46265</v>
      </c>
      <c r="AA272" s="36"/>
      <c r="AB272" s="36"/>
      <c r="AC272" s="36"/>
      <c r="AD272" s="36"/>
      <c r="AE272" s="36"/>
      <c r="AF272" s="53" t="s">
        <v>68</v>
      </c>
      <c r="AG272" s="42"/>
      <c r="AH272" s="42"/>
      <c r="AI272" s="43"/>
      <c r="AJ272" s="43"/>
      <c r="AK272" s="43"/>
      <c r="AL272" s="43"/>
      <c r="AM272" s="43"/>
      <c r="AN272" s="42"/>
      <c r="AO272" s="42"/>
      <c r="AP272" s="42"/>
      <c r="AQ272" s="43"/>
      <c r="AR272" s="42"/>
      <c r="AS272" s="42"/>
    </row>
    <row r="273" spans="1:45" ht="15" customHeight="1">
      <c r="A273" s="65" t="s">
        <v>258</v>
      </c>
      <c r="B273" s="21" t="s">
        <v>46</v>
      </c>
      <c r="C273" s="21" t="s">
        <v>188</v>
      </c>
      <c r="D273" s="21" t="s">
        <v>48</v>
      </c>
      <c r="E273" s="66" t="s">
        <v>431</v>
      </c>
      <c r="F273" s="65" t="s">
        <v>432</v>
      </c>
      <c r="G273" s="47" t="s">
        <v>77</v>
      </c>
      <c r="H273" s="45" t="s">
        <v>433</v>
      </c>
      <c r="I273" s="102" t="s">
        <v>78</v>
      </c>
      <c r="J273" s="47" t="s">
        <v>434</v>
      </c>
      <c r="K273" s="47"/>
      <c r="L273" s="48" t="s">
        <v>376</v>
      </c>
      <c r="M273" s="49">
        <v>44179</v>
      </c>
      <c r="N273" s="49" t="s">
        <v>182</v>
      </c>
      <c r="O273" s="61">
        <v>11600</v>
      </c>
      <c r="P273" s="61">
        <v>38</v>
      </c>
      <c r="Q273" s="51">
        <f t="shared" si="11"/>
        <v>440800</v>
      </c>
      <c r="R273" s="31">
        <v>202310</v>
      </c>
      <c r="S273" s="108" t="s">
        <v>443</v>
      </c>
      <c r="T273" s="108"/>
      <c r="U273" s="108"/>
      <c r="V273" s="108"/>
      <c r="W273" s="67"/>
      <c r="X273" s="67"/>
      <c r="Y273" s="36">
        <v>44075</v>
      </c>
      <c r="Z273" s="36">
        <v>46265</v>
      </c>
      <c r="AA273" s="36"/>
      <c r="AB273" s="36"/>
      <c r="AC273" s="36"/>
      <c r="AD273" s="36"/>
      <c r="AE273" s="36"/>
      <c r="AF273" s="53" t="s">
        <v>68</v>
      </c>
      <c r="AG273" s="42"/>
      <c r="AH273" s="42"/>
      <c r="AI273" s="43"/>
      <c r="AJ273" s="43"/>
      <c r="AK273" s="43"/>
      <c r="AL273" s="43"/>
      <c r="AM273" s="43"/>
      <c r="AN273" s="42"/>
      <c r="AO273" s="42"/>
      <c r="AP273" s="42"/>
      <c r="AQ273" s="43"/>
      <c r="AR273" s="42"/>
      <c r="AS273" s="42"/>
    </row>
    <row r="274" spans="1:45" ht="15" customHeight="1">
      <c r="A274" s="65" t="s">
        <v>258</v>
      </c>
      <c r="B274" s="21" t="s">
        <v>46</v>
      </c>
      <c r="C274" s="21" t="s">
        <v>188</v>
      </c>
      <c r="D274" s="21" t="s">
        <v>48</v>
      </c>
      <c r="E274" s="66" t="s">
        <v>431</v>
      </c>
      <c r="F274" s="65" t="s">
        <v>432</v>
      </c>
      <c r="G274" s="47" t="s">
        <v>77</v>
      </c>
      <c r="H274" s="45" t="s">
        <v>433</v>
      </c>
      <c r="I274" s="102" t="s">
        <v>78</v>
      </c>
      <c r="J274" s="47" t="s">
        <v>434</v>
      </c>
      <c r="K274" s="47"/>
      <c r="L274" s="48" t="s">
        <v>376</v>
      </c>
      <c r="M274" s="49">
        <v>44190</v>
      </c>
      <c r="N274" s="49" t="s">
        <v>182</v>
      </c>
      <c r="O274" s="61">
        <v>11600</v>
      </c>
      <c r="P274" s="61">
        <v>13</v>
      </c>
      <c r="Q274" s="51">
        <f t="shared" si="11"/>
        <v>150800</v>
      </c>
      <c r="R274" s="31">
        <v>202310</v>
      </c>
      <c r="S274" s="108" t="s">
        <v>444</v>
      </c>
      <c r="T274" s="108"/>
      <c r="U274" s="108"/>
      <c r="V274" s="108"/>
      <c r="W274" s="67"/>
      <c r="X274" s="67"/>
      <c r="Y274" s="36">
        <v>44075</v>
      </c>
      <c r="Z274" s="36">
        <v>46265</v>
      </c>
      <c r="AA274" s="36"/>
      <c r="AB274" s="36"/>
      <c r="AC274" s="36"/>
      <c r="AD274" s="36"/>
      <c r="AE274" s="36"/>
      <c r="AF274" s="53" t="s">
        <v>68</v>
      </c>
      <c r="AG274" s="42"/>
      <c r="AH274" s="42"/>
      <c r="AI274" s="43"/>
      <c r="AJ274" s="43"/>
      <c r="AK274" s="43"/>
      <c r="AL274" s="43"/>
      <c r="AM274" s="43"/>
      <c r="AN274" s="42"/>
      <c r="AO274" s="42"/>
      <c r="AP274" s="42"/>
      <c r="AQ274" s="43"/>
      <c r="AR274" s="42"/>
      <c r="AS274" s="42"/>
    </row>
    <row r="275" spans="1:45" ht="15" customHeight="1">
      <c r="A275" s="65" t="s">
        <v>258</v>
      </c>
      <c r="B275" s="21" t="s">
        <v>46</v>
      </c>
      <c r="C275" s="21" t="s">
        <v>188</v>
      </c>
      <c r="D275" s="21" t="s">
        <v>48</v>
      </c>
      <c r="E275" s="66" t="s">
        <v>431</v>
      </c>
      <c r="F275" s="65" t="s">
        <v>432</v>
      </c>
      <c r="G275" s="47" t="s">
        <v>77</v>
      </c>
      <c r="H275" s="45" t="s">
        <v>433</v>
      </c>
      <c r="I275" s="102" t="s">
        <v>78</v>
      </c>
      <c r="J275" s="47" t="s">
        <v>434</v>
      </c>
      <c r="K275" s="47"/>
      <c r="L275" s="48" t="s">
        <v>376</v>
      </c>
      <c r="M275" s="49">
        <v>44192</v>
      </c>
      <c r="N275" s="49" t="s">
        <v>182</v>
      </c>
      <c r="O275" s="61">
        <v>11600</v>
      </c>
      <c r="P275" s="61">
        <v>25</v>
      </c>
      <c r="Q275" s="51">
        <f t="shared" si="11"/>
        <v>290000</v>
      </c>
      <c r="R275" s="31">
        <v>202310</v>
      </c>
      <c r="S275" s="108" t="s">
        <v>445</v>
      </c>
      <c r="T275" s="108"/>
      <c r="U275" s="108"/>
      <c r="V275" s="108"/>
      <c r="W275" s="67"/>
      <c r="X275" s="67"/>
      <c r="Y275" s="36">
        <v>44075</v>
      </c>
      <c r="Z275" s="36">
        <v>46265</v>
      </c>
      <c r="AA275" s="36"/>
      <c r="AB275" s="36"/>
      <c r="AC275" s="36"/>
      <c r="AD275" s="36"/>
      <c r="AE275" s="36"/>
      <c r="AF275" s="53" t="s">
        <v>68</v>
      </c>
      <c r="AG275" s="42"/>
      <c r="AH275" s="42"/>
      <c r="AI275" s="43"/>
      <c r="AJ275" s="43"/>
      <c r="AK275" s="43"/>
      <c r="AL275" s="43"/>
      <c r="AM275" s="43"/>
      <c r="AN275" s="42"/>
      <c r="AO275" s="42"/>
      <c r="AP275" s="42"/>
      <c r="AQ275" s="43"/>
      <c r="AR275" s="42"/>
      <c r="AS275" s="42"/>
    </row>
    <row r="276" spans="1:45" ht="15" customHeight="1">
      <c r="A276" s="65" t="s">
        <v>258</v>
      </c>
      <c r="B276" s="21" t="s">
        <v>46</v>
      </c>
      <c r="C276" s="21" t="s">
        <v>188</v>
      </c>
      <c r="D276" s="21" t="s">
        <v>48</v>
      </c>
      <c r="E276" s="66" t="s">
        <v>431</v>
      </c>
      <c r="F276" s="65" t="s">
        <v>432</v>
      </c>
      <c r="G276" s="47" t="s">
        <v>77</v>
      </c>
      <c r="H276" s="45" t="s">
        <v>433</v>
      </c>
      <c r="I276" s="102" t="s">
        <v>78</v>
      </c>
      <c r="J276" s="47" t="s">
        <v>434</v>
      </c>
      <c r="K276" s="47"/>
      <c r="L276" s="48" t="s">
        <v>376</v>
      </c>
      <c r="M276" s="49">
        <v>44196</v>
      </c>
      <c r="N276" s="49" t="s">
        <v>182</v>
      </c>
      <c r="O276" s="61">
        <v>11600</v>
      </c>
      <c r="P276" s="61">
        <v>13</v>
      </c>
      <c r="Q276" s="51">
        <f t="shared" si="11"/>
        <v>150800</v>
      </c>
      <c r="R276" s="31">
        <v>202310</v>
      </c>
      <c r="S276" s="108" t="s">
        <v>446</v>
      </c>
      <c r="T276" s="108"/>
      <c r="U276" s="108"/>
      <c r="V276" s="108"/>
      <c r="W276" s="67"/>
      <c r="X276" s="67"/>
      <c r="Y276" s="36">
        <v>44075</v>
      </c>
      <c r="Z276" s="36">
        <v>46265</v>
      </c>
      <c r="AA276" s="36"/>
      <c r="AB276" s="36"/>
      <c r="AC276" s="36"/>
      <c r="AD276" s="36"/>
      <c r="AE276" s="36"/>
      <c r="AF276" s="53" t="s">
        <v>68</v>
      </c>
      <c r="AG276" s="42"/>
      <c r="AH276" s="42"/>
      <c r="AI276" s="43"/>
      <c r="AJ276" s="43"/>
      <c r="AK276" s="43"/>
      <c r="AL276" s="43"/>
      <c r="AM276" s="43"/>
      <c r="AN276" s="42"/>
      <c r="AO276" s="42"/>
      <c r="AP276" s="42"/>
      <c r="AQ276" s="43"/>
      <c r="AR276" s="42"/>
      <c r="AS276" s="42"/>
    </row>
    <row r="277" spans="1:45" ht="15" customHeight="1">
      <c r="A277" s="65" t="s">
        <v>258</v>
      </c>
      <c r="B277" s="21" t="s">
        <v>46</v>
      </c>
      <c r="C277" s="21" t="s">
        <v>188</v>
      </c>
      <c r="D277" s="21" t="s">
        <v>48</v>
      </c>
      <c r="E277" s="66" t="s">
        <v>431</v>
      </c>
      <c r="F277" s="65" t="s">
        <v>432</v>
      </c>
      <c r="G277" s="47" t="s">
        <v>77</v>
      </c>
      <c r="H277" s="45" t="s">
        <v>433</v>
      </c>
      <c r="I277" s="102" t="s">
        <v>78</v>
      </c>
      <c r="J277" s="47" t="s">
        <v>434</v>
      </c>
      <c r="K277" s="47"/>
      <c r="L277" s="48" t="s">
        <v>376</v>
      </c>
      <c r="M277" s="49">
        <v>44201</v>
      </c>
      <c r="N277" s="49" t="s">
        <v>182</v>
      </c>
      <c r="O277" s="61">
        <v>11600</v>
      </c>
      <c r="P277" s="61">
        <v>19</v>
      </c>
      <c r="Q277" s="51">
        <f t="shared" si="11"/>
        <v>220400</v>
      </c>
      <c r="R277" s="31">
        <v>202310</v>
      </c>
      <c r="S277" s="108" t="s">
        <v>447</v>
      </c>
      <c r="T277" s="108"/>
      <c r="U277" s="108"/>
      <c r="V277" s="108"/>
      <c r="W277" s="67"/>
      <c r="X277" s="67"/>
      <c r="Y277" s="36">
        <v>44075</v>
      </c>
      <c r="Z277" s="36">
        <v>46265</v>
      </c>
      <c r="AA277" s="36"/>
      <c r="AB277" s="36"/>
      <c r="AC277" s="36"/>
      <c r="AD277" s="36"/>
      <c r="AE277" s="36"/>
      <c r="AF277" s="53" t="s">
        <v>68</v>
      </c>
      <c r="AG277" s="42"/>
      <c r="AH277" s="42"/>
      <c r="AI277" s="43"/>
      <c r="AJ277" s="43"/>
      <c r="AK277" s="43"/>
      <c r="AL277" s="43"/>
      <c r="AM277" s="43"/>
      <c r="AN277" s="42"/>
      <c r="AO277" s="42"/>
      <c r="AP277" s="42"/>
      <c r="AQ277" s="43"/>
      <c r="AR277" s="42"/>
      <c r="AS277" s="42"/>
    </row>
    <row r="278" spans="1:45" ht="15" customHeight="1">
      <c r="A278" s="65" t="s">
        <v>258</v>
      </c>
      <c r="B278" s="21" t="s">
        <v>46</v>
      </c>
      <c r="C278" s="21" t="s">
        <v>188</v>
      </c>
      <c r="D278" s="21" t="s">
        <v>48</v>
      </c>
      <c r="E278" s="66" t="s">
        <v>431</v>
      </c>
      <c r="F278" s="65" t="s">
        <v>432</v>
      </c>
      <c r="G278" s="47" t="s">
        <v>77</v>
      </c>
      <c r="H278" s="45" t="s">
        <v>433</v>
      </c>
      <c r="I278" s="102" t="s">
        <v>78</v>
      </c>
      <c r="J278" s="47" t="s">
        <v>434</v>
      </c>
      <c r="K278" s="47"/>
      <c r="L278" s="48" t="s">
        <v>376</v>
      </c>
      <c r="M278" s="49">
        <v>44203</v>
      </c>
      <c r="N278" s="49" t="s">
        <v>182</v>
      </c>
      <c r="O278" s="61">
        <v>11600</v>
      </c>
      <c r="P278" s="61">
        <v>20</v>
      </c>
      <c r="Q278" s="51">
        <f t="shared" si="11"/>
        <v>232000</v>
      </c>
      <c r="R278" s="31">
        <v>202310</v>
      </c>
      <c r="S278" s="108" t="s">
        <v>448</v>
      </c>
      <c r="T278" s="108"/>
      <c r="U278" s="108"/>
      <c r="V278" s="108"/>
      <c r="W278" s="67"/>
      <c r="X278" s="67"/>
      <c r="Y278" s="36">
        <v>44075</v>
      </c>
      <c r="Z278" s="36">
        <v>46265</v>
      </c>
      <c r="AA278" s="36"/>
      <c r="AB278" s="36"/>
      <c r="AC278" s="36"/>
      <c r="AD278" s="36"/>
      <c r="AE278" s="36"/>
      <c r="AF278" s="53" t="s">
        <v>68</v>
      </c>
      <c r="AG278" s="42"/>
      <c r="AH278" s="42"/>
      <c r="AI278" s="43"/>
      <c r="AJ278" s="43"/>
      <c r="AK278" s="43"/>
      <c r="AL278" s="43"/>
      <c r="AM278" s="43"/>
      <c r="AN278" s="42"/>
      <c r="AO278" s="42"/>
      <c r="AP278" s="42"/>
      <c r="AQ278" s="43"/>
      <c r="AR278" s="42"/>
      <c r="AS278" s="42"/>
    </row>
    <row r="279" spans="1:45" ht="15" customHeight="1">
      <c r="A279" s="65" t="s">
        <v>258</v>
      </c>
      <c r="B279" s="21" t="s">
        <v>46</v>
      </c>
      <c r="C279" s="21" t="s">
        <v>188</v>
      </c>
      <c r="D279" s="21" t="s">
        <v>48</v>
      </c>
      <c r="E279" s="66" t="s">
        <v>431</v>
      </c>
      <c r="F279" s="65" t="s">
        <v>432</v>
      </c>
      <c r="G279" s="47" t="s">
        <v>77</v>
      </c>
      <c r="H279" s="45" t="s">
        <v>433</v>
      </c>
      <c r="I279" s="102" t="s">
        <v>78</v>
      </c>
      <c r="J279" s="47" t="s">
        <v>434</v>
      </c>
      <c r="K279" s="47"/>
      <c r="L279" s="48" t="s">
        <v>376</v>
      </c>
      <c r="M279" s="49">
        <v>44211</v>
      </c>
      <c r="N279" s="49" t="s">
        <v>182</v>
      </c>
      <c r="O279" s="61">
        <v>11600</v>
      </c>
      <c r="P279" s="61">
        <v>8</v>
      </c>
      <c r="Q279" s="51">
        <f t="shared" si="11"/>
        <v>92800</v>
      </c>
      <c r="R279" s="31">
        <v>202310</v>
      </c>
      <c r="S279" s="108" t="s">
        <v>449</v>
      </c>
      <c r="T279" s="108"/>
      <c r="U279" s="108"/>
      <c r="V279" s="108"/>
      <c r="W279" s="67"/>
      <c r="X279" s="67"/>
      <c r="Y279" s="36">
        <v>44075</v>
      </c>
      <c r="Z279" s="36">
        <v>46265</v>
      </c>
      <c r="AA279" s="36"/>
      <c r="AB279" s="36"/>
      <c r="AC279" s="36"/>
      <c r="AD279" s="36"/>
      <c r="AE279" s="36"/>
      <c r="AF279" s="53" t="s">
        <v>68</v>
      </c>
      <c r="AG279" s="42"/>
      <c r="AH279" s="42"/>
      <c r="AI279" s="43"/>
      <c r="AJ279" s="43"/>
      <c r="AK279" s="43"/>
      <c r="AL279" s="43"/>
      <c r="AM279" s="43"/>
      <c r="AN279" s="42"/>
      <c r="AO279" s="42"/>
      <c r="AP279" s="42"/>
      <c r="AQ279" s="43"/>
      <c r="AR279" s="42"/>
      <c r="AS279" s="42"/>
    </row>
    <row r="280" spans="1:45" ht="15" customHeight="1">
      <c r="A280" s="65" t="s">
        <v>258</v>
      </c>
      <c r="B280" s="21" t="s">
        <v>46</v>
      </c>
      <c r="C280" s="21" t="s">
        <v>188</v>
      </c>
      <c r="D280" s="21" t="s">
        <v>48</v>
      </c>
      <c r="E280" s="66" t="s">
        <v>431</v>
      </c>
      <c r="F280" s="65" t="s">
        <v>432</v>
      </c>
      <c r="G280" s="47" t="s">
        <v>77</v>
      </c>
      <c r="H280" s="45" t="s">
        <v>433</v>
      </c>
      <c r="I280" s="102" t="s">
        <v>78</v>
      </c>
      <c r="J280" s="47" t="s">
        <v>434</v>
      </c>
      <c r="K280" s="47"/>
      <c r="L280" s="48" t="s">
        <v>376</v>
      </c>
      <c r="M280" s="49">
        <v>44212</v>
      </c>
      <c r="N280" s="49" t="s">
        <v>182</v>
      </c>
      <c r="O280" s="61">
        <v>11600</v>
      </c>
      <c r="P280" s="61">
        <v>2</v>
      </c>
      <c r="Q280" s="51">
        <f t="shared" si="11"/>
        <v>23200</v>
      </c>
      <c r="R280" s="31">
        <v>202310</v>
      </c>
      <c r="S280" s="108" t="s">
        <v>450</v>
      </c>
      <c r="T280" s="108"/>
      <c r="U280" s="108"/>
      <c r="V280" s="108"/>
      <c r="W280" s="67"/>
      <c r="X280" s="67"/>
      <c r="Y280" s="36">
        <v>44075</v>
      </c>
      <c r="Z280" s="36">
        <v>46265</v>
      </c>
      <c r="AA280" s="36"/>
      <c r="AB280" s="36"/>
      <c r="AC280" s="36"/>
      <c r="AD280" s="36"/>
      <c r="AE280" s="36"/>
      <c r="AF280" s="53" t="s">
        <v>68</v>
      </c>
      <c r="AG280" s="42"/>
      <c r="AH280" s="42"/>
      <c r="AI280" s="43"/>
      <c r="AJ280" s="43"/>
      <c r="AK280" s="43"/>
      <c r="AL280" s="43"/>
      <c r="AM280" s="43"/>
      <c r="AN280" s="42"/>
      <c r="AO280" s="42"/>
      <c r="AP280" s="42"/>
      <c r="AQ280" s="43"/>
      <c r="AR280" s="42"/>
      <c r="AS280" s="42"/>
    </row>
    <row r="281" spans="1:45" ht="15" customHeight="1">
      <c r="A281" s="65" t="s">
        <v>258</v>
      </c>
      <c r="B281" s="21" t="s">
        <v>46</v>
      </c>
      <c r="C281" s="21" t="s">
        <v>188</v>
      </c>
      <c r="D281" s="21" t="s">
        <v>48</v>
      </c>
      <c r="E281" s="66" t="s">
        <v>431</v>
      </c>
      <c r="F281" s="65" t="s">
        <v>432</v>
      </c>
      <c r="G281" s="47" t="s">
        <v>77</v>
      </c>
      <c r="H281" s="45" t="s">
        <v>433</v>
      </c>
      <c r="I281" s="102" t="s">
        <v>78</v>
      </c>
      <c r="J281" s="47" t="s">
        <v>434</v>
      </c>
      <c r="K281" s="47"/>
      <c r="L281" s="48" t="s">
        <v>376</v>
      </c>
      <c r="M281" s="49">
        <v>44217</v>
      </c>
      <c r="N281" s="49" t="s">
        <v>182</v>
      </c>
      <c r="O281" s="61">
        <v>11600</v>
      </c>
      <c r="P281" s="61">
        <v>25</v>
      </c>
      <c r="Q281" s="51">
        <f t="shared" si="11"/>
        <v>290000</v>
      </c>
      <c r="R281" s="31">
        <v>202310</v>
      </c>
      <c r="S281" s="108" t="s">
        <v>451</v>
      </c>
      <c r="T281" s="108"/>
      <c r="U281" s="108"/>
      <c r="V281" s="108"/>
      <c r="W281" s="67"/>
      <c r="X281" s="67"/>
      <c r="Y281" s="36">
        <v>44075</v>
      </c>
      <c r="Z281" s="36">
        <v>46265</v>
      </c>
      <c r="AA281" s="36"/>
      <c r="AB281" s="36"/>
      <c r="AC281" s="36"/>
      <c r="AD281" s="36"/>
      <c r="AE281" s="36"/>
      <c r="AF281" s="53" t="s">
        <v>68</v>
      </c>
      <c r="AG281" s="42"/>
      <c r="AH281" s="42"/>
      <c r="AI281" s="43"/>
      <c r="AJ281" s="43"/>
      <c r="AK281" s="43"/>
      <c r="AL281" s="43"/>
      <c r="AM281" s="43"/>
      <c r="AN281" s="42"/>
      <c r="AO281" s="42"/>
      <c r="AP281" s="42"/>
      <c r="AQ281" s="43"/>
      <c r="AR281" s="42"/>
      <c r="AS281" s="42"/>
    </row>
    <row r="282" spans="1:45" ht="15" customHeight="1">
      <c r="A282" s="65" t="s">
        <v>258</v>
      </c>
      <c r="B282" s="21" t="s">
        <v>46</v>
      </c>
      <c r="C282" s="21" t="s">
        <v>188</v>
      </c>
      <c r="D282" s="21" t="s">
        <v>48</v>
      </c>
      <c r="E282" s="66" t="s">
        <v>431</v>
      </c>
      <c r="F282" s="65" t="s">
        <v>432</v>
      </c>
      <c r="G282" s="47" t="s">
        <v>77</v>
      </c>
      <c r="H282" s="45" t="s">
        <v>433</v>
      </c>
      <c r="I282" s="102" t="s">
        <v>78</v>
      </c>
      <c r="J282" s="47" t="s">
        <v>434</v>
      </c>
      <c r="K282" s="47"/>
      <c r="L282" s="48" t="s">
        <v>376</v>
      </c>
      <c r="M282" s="49">
        <v>44223</v>
      </c>
      <c r="N282" s="49" t="s">
        <v>182</v>
      </c>
      <c r="O282" s="61">
        <v>11600</v>
      </c>
      <c r="P282" s="61">
        <v>12</v>
      </c>
      <c r="Q282" s="51">
        <f t="shared" si="11"/>
        <v>139200</v>
      </c>
      <c r="R282" s="31">
        <v>202310</v>
      </c>
      <c r="S282" s="108" t="s">
        <v>452</v>
      </c>
      <c r="T282" s="108"/>
      <c r="U282" s="108"/>
      <c r="V282" s="108"/>
      <c r="W282" s="67"/>
      <c r="X282" s="67"/>
      <c r="Y282" s="36">
        <v>44075</v>
      </c>
      <c r="Z282" s="36">
        <v>46265</v>
      </c>
      <c r="AA282" s="36"/>
      <c r="AB282" s="36"/>
      <c r="AC282" s="36"/>
      <c r="AD282" s="36"/>
      <c r="AE282" s="36"/>
      <c r="AF282" s="53" t="s">
        <v>68</v>
      </c>
      <c r="AG282" s="42"/>
      <c r="AH282" s="42"/>
      <c r="AI282" s="43"/>
      <c r="AJ282" s="43"/>
      <c r="AK282" s="43"/>
      <c r="AL282" s="43"/>
      <c r="AM282" s="43"/>
      <c r="AN282" s="42"/>
      <c r="AO282" s="42"/>
      <c r="AP282" s="42"/>
      <c r="AQ282" s="43"/>
      <c r="AR282" s="42"/>
      <c r="AS282" s="42"/>
    </row>
    <row r="283" spans="1:45" ht="15" customHeight="1">
      <c r="A283" s="65" t="s">
        <v>258</v>
      </c>
      <c r="B283" s="21" t="s">
        <v>46</v>
      </c>
      <c r="C283" s="21" t="s">
        <v>188</v>
      </c>
      <c r="D283" s="21" t="s">
        <v>48</v>
      </c>
      <c r="E283" s="66" t="s">
        <v>431</v>
      </c>
      <c r="F283" s="65" t="s">
        <v>432</v>
      </c>
      <c r="G283" s="47" t="s">
        <v>77</v>
      </c>
      <c r="H283" s="45" t="s">
        <v>433</v>
      </c>
      <c r="I283" s="102" t="s">
        <v>78</v>
      </c>
      <c r="J283" s="47" t="s">
        <v>434</v>
      </c>
      <c r="K283" s="47"/>
      <c r="L283" s="48" t="s">
        <v>376</v>
      </c>
      <c r="M283" s="49">
        <v>44251</v>
      </c>
      <c r="N283" s="49" t="s">
        <v>182</v>
      </c>
      <c r="O283" s="61">
        <v>11600</v>
      </c>
      <c r="P283" s="61">
        <v>2</v>
      </c>
      <c r="Q283" s="51">
        <f t="shared" si="11"/>
        <v>23200</v>
      </c>
      <c r="R283" s="31">
        <v>202310</v>
      </c>
      <c r="S283" s="108" t="s">
        <v>453</v>
      </c>
      <c r="T283" s="108"/>
      <c r="U283" s="108"/>
      <c r="V283" s="108"/>
      <c r="W283" s="67"/>
      <c r="X283" s="67"/>
      <c r="Y283" s="36">
        <v>44075</v>
      </c>
      <c r="Z283" s="36">
        <v>46265</v>
      </c>
      <c r="AA283" s="36"/>
      <c r="AB283" s="36"/>
      <c r="AC283" s="36"/>
      <c r="AD283" s="36"/>
      <c r="AE283" s="36"/>
      <c r="AF283" s="53" t="s">
        <v>68</v>
      </c>
      <c r="AG283" s="42"/>
      <c r="AH283" s="42"/>
      <c r="AI283" s="43"/>
      <c r="AJ283" s="43"/>
      <c r="AK283" s="43"/>
      <c r="AL283" s="43"/>
      <c r="AM283" s="43"/>
      <c r="AN283" s="42"/>
      <c r="AO283" s="42"/>
      <c r="AP283" s="42"/>
      <c r="AQ283" s="43"/>
      <c r="AR283" s="42"/>
      <c r="AS283" s="42"/>
    </row>
    <row r="284" spans="1:45" ht="15" customHeight="1">
      <c r="A284" s="65" t="s">
        <v>258</v>
      </c>
      <c r="B284" s="21" t="s">
        <v>46</v>
      </c>
      <c r="C284" s="21" t="s">
        <v>188</v>
      </c>
      <c r="D284" s="21" t="s">
        <v>48</v>
      </c>
      <c r="E284" s="66" t="s">
        <v>431</v>
      </c>
      <c r="F284" s="65" t="s">
        <v>432</v>
      </c>
      <c r="G284" s="47" t="s">
        <v>77</v>
      </c>
      <c r="H284" s="45" t="s">
        <v>433</v>
      </c>
      <c r="I284" s="102" t="s">
        <v>78</v>
      </c>
      <c r="J284" s="47" t="s">
        <v>434</v>
      </c>
      <c r="K284" s="47"/>
      <c r="L284" s="48" t="s">
        <v>376</v>
      </c>
      <c r="M284" s="49">
        <v>44253</v>
      </c>
      <c r="N284" s="49" t="s">
        <v>182</v>
      </c>
      <c r="O284" s="61">
        <v>11600</v>
      </c>
      <c r="P284" s="61">
        <v>6</v>
      </c>
      <c r="Q284" s="51">
        <f t="shared" si="11"/>
        <v>69600</v>
      </c>
      <c r="R284" s="31">
        <v>202310</v>
      </c>
      <c r="S284" s="108" t="s">
        <v>454</v>
      </c>
      <c r="T284" s="108"/>
      <c r="U284" s="108"/>
      <c r="V284" s="108"/>
      <c r="W284" s="67"/>
      <c r="X284" s="67"/>
      <c r="Y284" s="36">
        <v>44075</v>
      </c>
      <c r="Z284" s="36">
        <v>46265</v>
      </c>
      <c r="AA284" s="36"/>
      <c r="AB284" s="36"/>
      <c r="AC284" s="36"/>
      <c r="AD284" s="36"/>
      <c r="AE284" s="36"/>
      <c r="AF284" s="53" t="s">
        <v>68</v>
      </c>
      <c r="AG284" s="42"/>
      <c r="AH284" s="42"/>
      <c r="AI284" s="43"/>
      <c r="AJ284" s="43"/>
      <c r="AK284" s="43"/>
      <c r="AL284" s="43"/>
      <c r="AM284" s="43"/>
      <c r="AN284" s="42"/>
      <c r="AO284" s="42"/>
      <c r="AP284" s="42"/>
      <c r="AQ284" s="43"/>
      <c r="AR284" s="42"/>
      <c r="AS284" s="42"/>
    </row>
    <row r="285" spans="1:45" ht="15" customHeight="1">
      <c r="A285" s="65" t="s">
        <v>258</v>
      </c>
      <c r="B285" s="21" t="s">
        <v>46</v>
      </c>
      <c r="C285" s="21" t="s">
        <v>188</v>
      </c>
      <c r="D285" s="21" t="s">
        <v>48</v>
      </c>
      <c r="E285" s="66" t="s">
        <v>431</v>
      </c>
      <c r="F285" s="65" t="s">
        <v>432</v>
      </c>
      <c r="G285" s="47" t="s">
        <v>77</v>
      </c>
      <c r="H285" s="45" t="s">
        <v>433</v>
      </c>
      <c r="I285" s="102" t="s">
        <v>78</v>
      </c>
      <c r="J285" s="47" t="s">
        <v>434</v>
      </c>
      <c r="K285" s="47"/>
      <c r="L285" s="48" t="s">
        <v>376</v>
      </c>
      <c r="M285" s="49">
        <v>44259</v>
      </c>
      <c r="N285" s="49" t="s">
        <v>182</v>
      </c>
      <c r="O285" s="61">
        <v>11600</v>
      </c>
      <c r="P285" s="61">
        <v>16</v>
      </c>
      <c r="Q285" s="51">
        <f t="shared" si="11"/>
        <v>185600</v>
      </c>
      <c r="R285" s="31">
        <v>202310</v>
      </c>
      <c r="S285" s="108" t="s">
        <v>455</v>
      </c>
      <c r="T285" s="108"/>
      <c r="U285" s="108"/>
      <c r="V285" s="108"/>
      <c r="W285" s="67"/>
      <c r="X285" s="67"/>
      <c r="Y285" s="36">
        <v>44075</v>
      </c>
      <c r="Z285" s="36">
        <v>46265</v>
      </c>
      <c r="AA285" s="36"/>
      <c r="AB285" s="36"/>
      <c r="AC285" s="36"/>
      <c r="AD285" s="36"/>
      <c r="AE285" s="36"/>
      <c r="AF285" s="53" t="s">
        <v>68</v>
      </c>
      <c r="AG285" s="42"/>
      <c r="AH285" s="42"/>
      <c r="AI285" s="43"/>
      <c r="AJ285" s="43"/>
      <c r="AK285" s="43"/>
      <c r="AL285" s="43"/>
      <c r="AM285" s="43"/>
      <c r="AN285" s="42"/>
      <c r="AO285" s="42"/>
      <c r="AP285" s="42"/>
      <c r="AQ285" s="43"/>
      <c r="AR285" s="42"/>
      <c r="AS285" s="42"/>
    </row>
    <row r="286" spans="1:45" ht="15" customHeight="1">
      <c r="A286" s="65" t="s">
        <v>258</v>
      </c>
      <c r="B286" s="21" t="s">
        <v>46</v>
      </c>
      <c r="C286" s="21" t="s">
        <v>188</v>
      </c>
      <c r="D286" s="21" t="s">
        <v>48</v>
      </c>
      <c r="E286" s="66" t="s">
        <v>431</v>
      </c>
      <c r="F286" s="65" t="s">
        <v>432</v>
      </c>
      <c r="G286" s="47" t="s">
        <v>77</v>
      </c>
      <c r="H286" s="45" t="s">
        <v>433</v>
      </c>
      <c r="I286" s="102" t="s">
        <v>78</v>
      </c>
      <c r="J286" s="47" t="s">
        <v>434</v>
      </c>
      <c r="K286" s="47"/>
      <c r="L286" s="48" t="s">
        <v>376</v>
      </c>
      <c r="M286" s="49">
        <v>44285</v>
      </c>
      <c r="N286" s="49" t="s">
        <v>182</v>
      </c>
      <c r="O286" s="61">
        <v>11600</v>
      </c>
      <c r="P286" s="61">
        <v>15</v>
      </c>
      <c r="Q286" s="51">
        <f t="shared" si="11"/>
        <v>174000</v>
      </c>
      <c r="R286" s="31">
        <v>202310</v>
      </c>
      <c r="S286" s="108" t="s">
        <v>456</v>
      </c>
      <c r="T286" s="108"/>
      <c r="U286" s="108"/>
      <c r="V286" s="108"/>
      <c r="W286" s="67"/>
      <c r="X286" s="67"/>
      <c r="Y286" s="36">
        <v>44075</v>
      </c>
      <c r="Z286" s="36">
        <v>46265</v>
      </c>
      <c r="AA286" s="36"/>
      <c r="AB286" s="36"/>
      <c r="AC286" s="36"/>
      <c r="AD286" s="36"/>
      <c r="AE286" s="36"/>
      <c r="AF286" s="53" t="s">
        <v>68</v>
      </c>
      <c r="AG286" s="42"/>
      <c r="AH286" s="42"/>
      <c r="AI286" s="43"/>
      <c r="AJ286" s="43"/>
      <c r="AK286" s="43"/>
      <c r="AL286" s="43"/>
      <c r="AM286" s="43"/>
      <c r="AN286" s="42"/>
      <c r="AO286" s="42"/>
      <c r="AP286" s="42"/>
      <c r="AQ286" s="43"/>
      <c r="AR286" s="42"/>
      <c r="AS286" s="42"/>
    </row>
    <row r="287" spans="1:45" ht="15" customHeight="1">
      <c r="A287" s="65" t="s">
        <v>258</v>
      </c>
      <c r="B287" s="21" t="s">
        <v>46</v>
      </c>
      <c r="C287" s="21" t="s">
        <v>188</v>
      </c>
      <c r="D287" s="21" t="s">
        <v>48</v>
      </c>
      <c r="E287" s="66" t="s">
        <v>431</v>
      </c>
      <c r="F287" s="65" t="s">
        <v>432</v>
      </c>
      <c r="G287" s="47" t="s">
        <v>77</v>
      </c>
      <c r="H287" s="45" t="s">
        <v>433</v>
      </c>
      <c r="I287" s="102" t="s">
        <v>78</v>
      </c>
      <c r="J287" s="47" t="s">
        <v>434</v>
      </c>
      <c r="K287" s="47"/>
      <c r="L287" s="48" t="s">
        <v>376</v>
      </c>
      <c r="M287" s="49">
        <v>44300</v>
      </c>
      <c r="N287" s="49" t="s">
        <v>182</v>
      </c>
      <c r="O287" s="61">
        <v>11600</v>
      </c>
      <c r="P287" s="61">
        <v>-7</v>
      </c>
      <c r="Q287" s="51">
        <f t="shared" si="11"/>
        <v>-81200</v>
      </c>
      <c r="R287" s="31">
        <v>202310</v>
      </c>
      <c r="S287" s="108" t="s">
        <v>457</v>
      </c>
      <c r="T287" s="108"/>
      <c r="U287" s="108"/>
      <c r="V287" s="108"/>
      <c r="W287" s="67"/>
      <c r="X287" s="67"/>
      <c r="Y287" s="36">
        <v>44075</v>
      </c>
      <c r="Z287" s="36">
        <v>46265</v>
      </c>
      <c r="AA287" s="36"/>
      <c r="AB287" s="36"/>
      <c r="AC287" s="36"/>
      <c r="AD287" s="36"/>
      <c r="AE287" s="36"/>
      <c r="AF287" s="53" t="s">
        <v>68</v>
      </c>
      <c r="AG287" s="42"/>
      <c r="AH287" s="42"/>
      <c r="AI287" s="43"/>
      <c r="AJ287" s="43"/>
      <c r="AK287" s="43"/>
      <c r="AL287" s="43"/>
      <c r="AM287" s="43"/>
      <c r="AN287" s="42"/>
      <c r="AO287" s="42"/>
      <c r="AP287" s="42"/>
      <c r="AQ287" s="43"/>
      <c r="AR287" s="42"/>
      <c r="AS287" s="42"/>
    </row>
    <row r="288" spans="1:45" ht="15" customHeight="1">
      <c r="A288" s="65" t="s">
        <v>258</v>
      </c>
      <c r="B288" s="21" t="s">
        <v>46</v>
      </c>
      <c r="C288" s="21" t="s">
        <v>188</v>
      </c>
      <c r="D288" s="21" t="s">
        <v>48</v>
      </c>
      <c r="E288" s="66" t="s">
        <v>431</v>
      </c>
      <c r="F288" s="65" t="s">
        <v>432</v>
      </c>
      <c r="G288" s="47" t="s">
        <v>77</v>
      </c>
      <c r="H288" s="45" t="s">
        <v>433</v>
      </c>
      <c r="I288" s="102" t="s">
        <v>78</v>
      </c>
      <c r="J288" s="47" t="s">
        <v>434</v>
      </c>
      <c r="K288" s="47"/>
      <c r="L288" s="48" t="s">
        <v>376</v>
      </c>
      <c r="M288" s="49">
        <v>44312</v>
      </c>
      <c r="N288" s="49" t="s">
        <v>182</v>
      </c>
      <c r="O288" s="61">
        <v>11600</v>
      </c>
      <c r="P288" s="61">
        <v>1</v>
      </c>
      <c r="Q288" s="51">
        <f t="shared" si="11"/>
        <v>11600</v>
      </c>
      <c r="R288" s="31">
        <v>202310</v>
      </c>
      <c r="S288" s="108" t="s">
        <v>458</v>
      </c>
      <c r="T288" s="108"/>
      <c r="U288" s="108"/>
      <c r="V288" s="108"/>
      <c r="W288" s="67"/>
      <c r="X288" s="67"/>
      <c r="Y288" s="36">
        <v>44075</v>
      </c>
      <c r="Z288" s="36">
        <v>46265</v>
      </c>
      <c r="AA288" s="36"/>
      <c r="AB288" s="36"/>
      <c r="AC288" s="36"/>
      <c r="AD288" s="36"/>
      <c r="AE288" s="36"/>
      <c r="AF288" s="53" t="s">
        <v>68</v>
      </c>
      <c r="AG288" s="42"/>
      <c r="AH288" s="42"/>
      <c r="AI288" s="43"/>
      <c r="AJ288" s="43"/>
      <c r="AK288" s="43"/>
      <c r="AL288" s="43"/>
      <c r="AM288" s="43"/>
      <c r="AN288" s="42"/>
      <c r="AO288" s="42"/>
      <c r="AP288" s="42"/>
      <c r="AQ288" s="43"/>
      <c r="AR288" s="42"/>
      <c r="AS288" s="42"/>
    </row>
    <row r="289" spans="1:45" ht="15" customHeight="1">
      <c r="A289" s="65" t="s">
        <v>258</v>
      </c>
      <c r="B289" s="21" t="s">
        <v>46</v>
      </c>
      <c r="C289" s="21" t="s">
        <v>188</v>
      </c>
      <c r="D289" s="21" t="s">
        <v>48</v>
      </c>
      <c r="E289" s="66" t="s">
        <v>431</v>
      </c>
      <c r="F289" s="65" t="s">
        <v>432</v>
      </c>
      <c r="G289" s="47" t="s">
        <v>77</v>
      </c>
      <c r="H289" s="45" t="s">
        <v>433</v>
      </c>
      <c r="I289" s="102" t="s">
        <v>78</v>
      </c>
      <c r="J289" s="47" t="s">
        <v>434</v>
      </c>
      <c r="K289" s="47"/>
      <c r="L289" s="48" t="s">
        <v>376</v>
      </c>
      <c r="M289" s="49">
        <v>44315</v>
      </c>
      <c r="N289" s="49" t="s">
        <v>182</v>
      </c>
      <c r="O289" s="61">
        <v>11600</v>
      </c>
      <c r="P289" s="61">
        <v>4</v>
      </c>
      <c r="Q289" s="51">
        <f t="shared" si="11"/>
        <v>46400</v>
      </c>
      <c r="R289" s="31">
        <v>202310</v>
      </c>
      <c r="S289" s="108" t="s">
        <v>459</v>
      </c>
      <c r="T289" s="108"/>
      <c r="U289" s="108"/>
      <c r="V289" s="108"/>
      <c r="W289" s="67"/>
      <c r="X289" s="67"/>
      <c r="Y289" s="36">
        <v>44075</v>
      </c>
      <c r="Z289" s="36">
        <v>46265</v>
      </c>
      <c r="AA289" s="36"/>
      <c r="AB289" s="36"/>
      <c r="AC289" s="36"/>
      <c r="AD289" s="36"/>
      <c r="AE289" s="36"/>
      <c r="AF289" s="53" t="s">
        <v>68</v>
      </c>
      <c r="AG289" s="42"/>
      <c r="AH289" s="42"/>
      <c r="AI289" s="43"/>
      <c r="AJ289" s="43"/>
      <c r="AK289" s="43"/>
      <c r="AL289" s="43"/>
      <c r="AM289" s="43"/>
      <c r="AN289" s="42"/>
      <c r="AO289" s="42"/>
      <c r="AP289" s="42"/>
      <c r="AQ289" s="43"/>
      <c r="AR289" s="42"/>
      <c r="AS289" s="42"/>
    </row>
    <row r="290" spans="1:45" ht="15" customHeight="1">
      <c r="A290" s="65" t="s">
        <v>258</v>
      </c>
      <c r="B290" s="21" t="s">
        <v>46</v>
      </c>
      <c r="C290" s="21" t="s">
        <v>188</v>
      </c>
      <c r="D290" s="21" t="s">
        <v>48</v>
      </c>
      <c r="E290" s="66" t="s">
        <v>431</v>
      </c>
      <c r="F290" s="65" t="s">
        <v>432</v>
      </c>
      <c r="G290" s="47" t="s">
        <v>77</v>
      </c>
      <c r="H290" s="45" t="s">
        <v>433</v>
      </c>
      <c r="I290" s="102" t="s">
        <v>78</v>
      </c>
      <c r="J290" s="47" t="s">
        <v>434</v>
      </c>
      <c r="K290" s="47"/>
      <c r="L290" s="48" t="s">
        <v>376</v>
      </c>
      <c r="M290" s="49">
        <v>44316</v>
      </c>
      <c r="N290" s="49" t="s">
        <v>182</v>
      </c>
      <c r="O290" s="61">
        <v>11600</v>
      </c>
      <c r="P290" s="61">
        <v>2</v>
      </c>
      <c r="Q290" s="51">
        <f t="shared" si="11"/>
        <v>23200</v>
      </c>
      <c r="R290" s="31">
        <v>202310</v>
      </c>
      <c r="S290" s="108" t="s">
        <v>460</v>
      </c>
      <c r="T290" s="108"/>
      <c r="U290" s="108"/>
      <c r="V290" s="108"/>
      <c r="W290" s="67"/>
      <c r="X290" s="67"/>
      <c r="Y290" s="36">
        <v>44075</v>
      </c>
      <c r="Z290" s="36">
        <v>46265</v>
      </c>
      <c r="AA290" s="36"/>
      <c r="AB290" s="36"/>
      <c r="AC290" s="36"/>
      <c r="AD290" s="36"/>
      <c r="AE290" s="36"/>
      <c r="AF290" s="53" t="s">
        <v>68</v>
      </c>
      <c r="AG290" s="42"/>
      <c r="AH290" s="42"/>
      <c r="AI290" s="43"/>
      <c r="AJ290" s="43"/>
      <c r="AK290" s="43"/>
      <c r="AL290" s="43"/>
      <c r="AM290" s="43"/>
      <c r="AN290" s="42"/>
      <c r="AO290" s="42"/>
      <c r="AP290" s="42"/>
      <c r="AQ290" s="43"/>
      <c r="AR290" s="42"/>
      <c r="AS290" s="42"/>
    </row>
    <row r="291" spans="1:45" ht="15" customHeight="1">
      <c r="A291" s="65" t="s">
        <v>258</v>
      </c>
      <c r="B291" s="21" t="s">
        <v>46</v>
      </c>
      <c r="C291" s="21" t="s">
        <v>188</v>
      </c>
      <c r="D291" s="21" t="s">
        <v>48</v>
      </c>
      <c r="E291" s="66" t="s">
        <v>431</v>
      </c>
      <c r="F291" s="65" t="s">
        <v>432</v>
      </c>
      <c r="G291" s="47" t="s">
        <v>77</v>
      </c>
      <c r="H291" s="45" t="s">
        <v>433</v>
      </c>
      <c r="I291" s="102" t="s">
        <v>78</v>
      </c>
      <c r="J291" s="47" t="s">
        <v>434</v>
      </c>
      <c r="K291" s="47"/>
      <c r="L291" s="48" t="s">
        <v>376</v>
      </c>
      <c r="M291" s="49">
        <v>44328</v>
      </c>
      <c r="N291" s="49" t="s">
        <v>182</v>
      </c>
      <c r="O291" s="61">
        <v>11600</v>
      </c>
      <c r="P291" s="61">
        <v>4</v>
      </c>
      <c r="Q291" s="51">
        <f t="shared" si="11"/>
        <v>46400</v>
      </c>
      <c r="R291" s="31">
        <v>202310</v>
      </c>
      <c r="S291" s="108" t="s">
        <v>461</v>
      </c>
      <c r="T291" s="108"/>
      <c r="U291" s="108"/>
      <c r="V291" s="108"/>
      <c r="W291" s="67"/>
      <c r="X291" s="67"/>
      <c r="Y291" s="36">
        <v>44075</v>
      </c>
      <c r="Z291" s="36">
        <v>46265</v>
      </c>
      <c r="AA291" s="36"/>
      <c r="AB291" s="36"/>
      <c r="AC291" s="36"/>
      <c r="AD291" s="36"/>
      <c r="AE291" s="36"/>
      <c r="AF291" s="53" t="s">
        <v>68</v>
      </c>
      <c r="AG291" s="42"/>
      <c r="AH291" s="42"/>
      <c r="AI291" s="43"/>
      <c r="AJ291" s="43"/>
      <c r="AK291" s="43"/>
      <c r="AL291" s="43"/>
      <c r="AM291" s="43"/>
      <c r="AN291" s="42"/>
      <c r="AO291" s="42"/>
      <c r="AP291" s="42"/>
      <c r="AQ291" s="43"/>
      <c r="AR291" s="42"/>
      <c r="AS291" s="42"/>
    </row>
    <row r="292" spans="1:45" ht="15" customHeight="1">
      <c r="A292" s="65" t="s">
        <v>258</v>
      </c>
      <c r="B292" s="21" t="s">
        <v>46</v>
      </c>
      <c r="C292" s="21" t="s">
        <v>188</v>
      </c>
      <c r="D292" s="21" t="s">
        <v>48</v>
      </c>
      <c r="E292" s="66" t="s">
        <v>431</v>
      </c>
      <c r="F292" s="65" t="s">
        <v>432</v>
      </c>
      <c r="G292" s="47" t="s">
        <v>77</v>
      </c>
      <c r="H292" s="45" t="s">
        <v>433</v>
      </c>
      <c r="I292" s="102" t="s">
        <v>78</v>
      </c>
      <c r="J292" s="47" t="s">
        <v>434</v>
      </c>
      <c r="K292" s="47"/>
      <c r="L292" s="48" t="s">
        <v>376</v>
      </c>
      <c r="M292" s="49">
        <v>44355</v>
      </c>
      <c r="N292" s="49" t="s">
        <v>182</v>
      </c>
      <c r="O292" s="61">
        <v>11600</v>
      </c>
      <c r="P292" s="61">
        <v>3</v>
      </c>
      <c r="Q292" s="51">
        <f t="shared" si="11"/>
        <v>34800</v>
      </c>
      <c r="R292" s="31">
        <v>202310</v>
      </c>
      <c r="S292" s="108" t="s">
        <v>462</v>
      </c>
      <c r="T292" s="108"/>
      <c r="U292" s="108"/>
      <c r="V292" s="108"/>
      <c r="W292" s="67"/>
      <c r="X292" s="67"/>
      <c r="Y292" s="36">
        <v>44075</v>
      </c>
      <c r="Z292" s="36">
        <v>46265</v>
      </c>
      <c r="AA292" s="36"/>
      <c r="AB292" s="36"/>
      <c r="AC292" s="36"/>
      <c r="AD292" s="36"/>
      <c r="AE292" s="36"/>
      <c r="AF292" s="53" t="s">
        <v>68</v>
      </c>
      <c r="AG292" s="42"/>
      <c r="AH292" s="42"/>
      <c r="AI292" s="43"/>
      <c r="AJ292" s="43"/>
      <c r="AK292" s="43"/>
      <c r="AL292" s="43"/>
      <c r="AM292" s="43"/>
      <c r="AN292" s="42"/>
      <c r="AO292" s="42"/>
      <c r="AP292" s="42"/>
      <c r="AQ292" s="43"/>
      <c r="AR292" s="42"/>
      <c r="AS292" s="42"/>
    </row>
    <row r="293" spans="1:45" ht="15" customHeight="1">
      <c r="A293" s="65" t="s">
        <v>258</v>
      </c>
      <c r="B293" s="21" t="s">
        <v>46</v>
      </c>
      <c r="C293" s="21" t="s">
        <v>188</v>
      </c>
      <c r="D293" s="21" t="s">
        <v>48</v>
      </c>
      <c r="E293" s="66" t="s">
        <v>431</v>
      </c>
      <c r="F293" s="65" t="s">
        <v>432</v>
      </c>
      <c r="G293" s="47" t="s">
        <v>77</v>
      </c>
      <c r="H293" s="45" t="s">
        <v>433</v>
      </c>
      <c r="I293" s="102" t="s">
        <v>78</v>
      </c>
      <c r="J293" s="47" t="s">
        <v>434</v>
      </c>
      <c r="K293" s="47"/>
      <c r="L293" s="48" t="s">
        <v>376</v>
      </c>
      <c r="M293" s="49">
        <v>44380</v>
      </c>
      <c r="N293" s="49" t="s">
        <v>182</v>
      </c>
      <c r="O293" s="61">
        <v>11600</v>
      </c>
      <c r="P293" s="61">
        <v>4</v>
      </c>
      <c r="Q293" s="51">
        <f t="shared" si="11"/>
        <v>46400</v>
      </c>
      <c r="R293" s="31">
        <v>202310</v>
      </c>
      <c r="S293" s="108" t="s">
        <v>463</v>
      </c>
      <c r="T293" s="108"/>
      <c r="U293" s="108"/>
      <c r="V293" s="108"/>
      <c r="W293" s="67"/>
      <c r="X293" s="67"/>
      <c r="Y293" s="36">
        <v>44075</v>
      </c>
      <c r="Z293" s="36">
        <v>46265</v>
      </c>
      <c r="AA293" s="36"/>
      <c r="AB293" s="36"/>
      <c r="AC293" s="36"/>
      <c r="AD293" s="36"/>
      <c r="AE293" s="36"/>
      <c r="AF293" s="53" t="s">
        <v>68</v>
      </c>
      <c r="AG293" s="42"/>
      <c r="AH293" s="42"/>
      <c r="AI293" s="43"/>
      <c r="AJ293" s="43"/>
      <c r="AK293" s="43"/>
      <c r="AL293" s="43"/>
      <c r="AM293" s="43"/>
      <c r="AN293" s="42"/>
      <c r="AO293" s="42"/>
      <c r="AP293" s="42"/>
      <c r="AQ293" s="43"/>
      <c r="AR293" s="42"/>
      <c r="AS293" s="42"/>
    </row>
    <row r="294" spans="1:45" ht="15" customHeight="1">
      <c r="A294" s="65" t="s">
        <v>258</v>
      </c>
      <c r="B294" s="21" t="s">
        <v>46</v>
      </c>
      <c r="C294" s="21" t="s">
        <v>188</v>
      </c>
      <c r="D294" s="21" t="s">
        <v>48</v>
      </c>
      <c r="E294" s="66" t="s">
        <v>431</v>
      </c>
      <c r="F294" s="65" t="s">
        <v>432</v>
      </c>
      <c r="G294" s="47" t="s">
        <v>77</v>
      </c>
      <c r="H294" s="45" t="s">
        <v>433</v>
      </c>
      <c r="I294" s="102" t="s">
        <v>78</v>
      </c>
      <c r="J294" s="47" t="s">
        <v>434</v>
      </c>
      <c r="K294" s="47"/>
      <c r="L294" s="48" t="s">
        <v>376</v>
      </c>
      <c r="M294" s="49">
        <v>44407</v>
      </c>
      <c r="N294" s="49" t="s">
        <v>182</v>
      </c>
      <c r="O294" s="61">
        <v>11600</v>
      </c>
      <c r="P294" s="61">
        <v>4</v>
      </c>
      <c r="Q294" s="51">
        <f t="shared" si="11"/>
        <v>46400</v>
      </c>
      <c r="R294" s="31">
        <v>202310</v>
      </c>
      <c r="S294" s="108" t="s">
        <v>464</v>
      </c>
      <c r="T294" s="108"/>
      <c r="U294" s="108"/>
      <c r="V294" s="108"/>
      <c r="W294" s="67"/>
      <c r="X294" s="67"/>
      <c r="Y294" s="36">
        <v>44075</v>
      </c>
      <c r="Z294" s="36">
        <v>46265</v>
      </c>
      <c r="AA294" s="36"/>
      <c r="AB294" s="36"/>
      <c r="AC294" s="36"/>
      <c r="AD294" s="36"/>
      <c r="AE294" s="36"/>
      <c r="AF294" s="53" t="s">
        <v>68</v>
      </c>
      <c r="AG294" s="42"/>
      <c r="AH294" s="42"/>
      <c r="AI294" s="43"/>
      <c r="AJ294" s="43"/>
      <c r="AK294" s="43"/>
      <c r="AL294" s="43"/>
      <c r="AM294" s="43"/>
      <c r="AN294" s="42"/>
      <c r="AO294" s="42"/>
      <c r="AP294" s="42"/>
      <c r="AQ294" s="43"/>
      <c r="AR294" s="42"/>
      <c r="AS294" s="42"/>
    </row>
    <row r="295" spans="1:45" ht="15" customHeight="1">
      <c r="A295" s="65" t="s">
        <v>258</v>
      </c>
      <c r="B295" s="21" t="s">
        <v>46</v>
      </c>
      <c r="C295" s="21" t="s">
        <v>188</v>
      </c>
      <c r="D295" s="21" t="s">
        <v>48</v>
      </c>
      <c r="E295" s="66" t="s">
        <v>431</v>
      </c>
      <c r="F295" s="65" t="s">
        <v>432</v>
      </c>
      <c r="G295" s="47" t="s">
        <v>77</v>
      </c>
      <c r="H295" s="45" t="s">
        <v>433</v>
      </c>
      <c r="I295" s="102" t="s">
        <v>78</v>
      </c>
      <c r="J295" s="47" t="s">
        <v>434</v>
      </c>
      <c r="K295" s="47"/>
      <c r="L295" s="48" t="s">
        <v>376</v>
      </c>
      <c r="M295" s="49">
        <v>44420</v>
      </c>
      <c r="N295" s="49" t="s">
        <v>182</v>
      </c>
      <c r="O295" s="61">
        <v>11600</v>
      </c>
      <c r="P295" s="61">
        <v>3</v>
      </c>
      <c r="Q295" s="51">
        <f t="shared" si="11"/>
        <v>34800</v>
      </c>
      <c r="R295" s="31">
        <v>202310</v>
      </c>
      <c r="S295" s="108" t="s">
        <v>465</v>
      </c>
      <c r="T295" s="108"/>
      <c r="U295" s="108"/>
      <c r="V295" s="108"/>
      <c r="W295" s="67"/>
      <c r="X295" s="67"/>
      <c r="Y295" s="36">
        <v>44075</v>
      </c>
      <c r="Z295" s="36">
        <v>46265</v>
      </c>
      <c r="AA295" s="36"/>
      <c r="AB295" s="36"/>
      <c r="AC295" s="36"/>
      <c r="AD295" s="36"/>
      <c r="AE295" s="36"/>
      <c r="AF295" s="53" t="s">
        <v>68</v>
      </c>
      <c r="AG295" s="42"/>
      <c r="AH295" s="42"/>
      <c r="AI295" s="43"/>
      <c r="AJ295" s="43"/>
      <c r="AK295" s="43"/>
      <c r="AL295" s="43"/>
      <c r="AM295" s="43"/>
      <c r="AN295" s="42"/>
      <c r="AO295" s="42"/>
      <c r="AP295" s="42"/>
      <c r="AQ295" s="43"/>
      <c r="AR295" s="42"/>
      <c r="AS295" s="42"/>
    </row>
    <row r="296" spans="1:45" ht="15" customHeight="1">
      <c r="A296" s="65" t="s">
        <v>258</v>
      </c>
      <c r="B296" s="21" t="s">
        <v>46</v>
      </c>
      <c r="C296" s="21" t="s">
        <v>188</v>
      </c>
      <c r="D296" s="21" t="s">
        <v>48</v>
      </c>
      <c r="E296" s="66" t="s">
        <v>431</v>
      </c>
      <c r="F296" s="65" t="s">
        <v>432</v>
      </c>
      <c r="G296" s="47" t="s">
        <v>77</v>
      </c>
      <c r="H296" s="45" t="s">
        <v>433</v>
      </c>
      <c r="I296" s="102" t="s">
        <v>78</v>
      </c>
      <c r="J296" s="47" t="s">
        <v>434</v>
      </c>
      <c r="K296" s="47"/>
      <c r="L296" s="48" t="s">
        <v>376</v>
      </c>
      <c r="M296" s="49">
        <v>44431</v>
      </c>
      <c r="N296" s="49" t="s">
        <v>182</v>
      </c>
      <c r="O296" s="61">
        <v>11600</v>
      </c>
      <c r="P296" s="61">
        <v>4</v>
      </c>
      <c r="Q296" s="51">
        <f t="shared" si="11"/>
        <v>46400</v>
      </c>
      <c r="R296" s="31">
        <v>202310</v>
      </c>
      <c r="S296" s="108" t="s">
        <v>466</v>
      </c>
      <c r="T296" s="108"/>
      <c r="U296" s="108"/>
      <c r="V296" s="108"/>
      <c r="W296" s="67"/>
      <c r="X296" s="67"/>
      <c r="Y296" s="36">
        <v>44075</v>
      </c>
      <c r="Z296" s="36">
        <v>46265</v>
      </c>
      <c r="AA296" s="36"/>
      <c r="AB296" s="36"/>
      <c r="AC296" s="36"/>
      <c r="AD296" s="36"/>
      <c r="AE296" s="36"/>
      <c r="AF296" s="53" t="s">
        <v>68</v>
      </c>
      <c r="AG296" s="42"/>
      <c r="AH296" s="42"/>
      <c r="AI296" s="43"/>
      <c r="AJ296" s="43"/>
      <c r="AK296" s="43"/>
      <c r="AL296" s="43"/>
      <c r="AM296" s="43"/>
      <c r="AN296" s="42"/>
      <c r="AO296" s="42"/>
      <c r="AP296" s="42"/>
      <c r="AQ296" s="43"/>
      <c r="AR296" s="42"/>
      <c r="AS296" s="42"/>
    </row>
    <row r="297" spans="1:45" ht="15" customHeight="1">
      <c r="A297" s="65" t="s">
        <v>258</v>
      </c>
      <c r="B297" s="21" t="s">
        <v>46</v>
      </c>
      <c r="C297" s="21" t="s">
        <v>188</v>
      </c>
      <c r="D297" s="21" t="s">
        <v>48</v>
      </c>
      <c r="E297" s="66" t="s">
        <v>431</v>
      </c>
      <c r="F297" s="65" t="s">
        <v>432</v>
      </c>
      <c r="G297" s="47" t="s">
        <v>77</v>
      </c>
      <c r="H297" s="45" t="s">
        <v>433</v>
      </c>
      <c r="I297" s="102" t="s">
        <v>78</v>
      </c>
      <c r="J297" s="47" t="s">
        <v>434</v>
      </c>
      <c r="K297" s="47"/>
      <c r="L297" s="48" t="s">
        <v>376</v>
      </c>
      <c r="M297" s="49">
        <v>44438</v>
      </c>
      <c r="N297" s="49" t="s">
        <v>182</v>
      </c>
      <c r="O297" s="61">
        <v>11600</v>
      </c>
      <c r="P297" s="61">
        <v>1</v>
      </c>
      <c r="Q297" s="51">
        <f t="shared" si="11"/>
        <v>11600</v>
      </c>
      <c r="R297" s="31">
        <v>202310</v>
      </c>
      <c r="S297" s="108" t="s">
        <v>467</v>
      </c>
      <c r="T297" s="108"/>
      <c r="U297" s="108"/>
      <c r="V297" s="108"/>
      <c r="W297" s="67"/>
      <c r="X297" s="67"/>
      <c r="Y297" s="36">
        <v>44075</v>
      </c>
      <c r="Z297" s="36">
        <v>46265</v>
      </c>
      <c r="AA297" s="36"/>
      <c r="AB297" s="36"/>
      <c r="AC297" s="36"/>
      <c r="AD297" s="36"/>
      <c r="AE297" s="36"/>
      <c r="AF297" s="53" t="s">
        <v>68</v>
      </c>
      <c r="AG297" s="42"/>
      <c r="AH297" s="42"/>
      <c r="AI297" s="43"/>
      <c r="AJ297" s="43"/>
      <c r="AK297" s="43"/>
      <c r="AL297" s="43"/>
      <c r="AM297" s="43"/>
      <c r="AN297" s="42"/>
      <c r="AO297" s="42"/>
      <c r="AP297" s="42"/>
      <c r="AQ297" s="43"/>
      <c r="AR297" s="42"/>
      <c r="AS297" s="42"/>
    </row>
    <row r="298" spans="1:45" ht="15" customHeight="1">
      <c r="A298" s="65" t="s">
        <v>258</v>
      </c>
      <c r="B298" s="21" t="s">
        <v>46</v>
      </c>
      <c r="C298" s="21" t="s">
        <v>188</v>
      </c>
      <c r="D298" s="21" t="s">
        <v>48</v>
      </c>
      <c r="E298" s="66" t="s">
        <v>431</v>
      </c>
      <c r="F298" s="65" t="s">
        <v>432</v>
      </c>
      <c r="G298" s="47" t="s">
        <v>77</v>
      </c>
      <c r="H298" s="45" t="s">
        <v>433</v>
      </c>
      <c r="I298" s="102" t="s">
        <v>78</v>
      </c>
      <c r="J298" s="47" t="s">
        <v>434</v>
      </c>
      <c r="K298" s="47"/>
      <c r="L298" s="48" t="s">
        <v>376</v>
      </c>
      <c r="M298" s="49">
        <v>44456</v>
      </c>
      <c r="N298" s="49" t="s">
        <v>182</v>
      </c>
      <c r="O298" s="61">
        <v>11600</v>
      </c>
      <c r="P298" s="61">
        <v>2</v>
      </c>
      <c r="Q298" s="51">
        <f t="shared" si="11"/>
        <v>23200</v>
      </c>
      <c r="R298" s="31">
        <v>202310</v>
      </c>
      <c r="S298" s="108" t="s">
        <v>468</v>
      </c>
      <c r="T298" s="108"/>
      <c r="U298" s="108"/>
      <c r="V298" s="108"/>
      <c r="W298" s="67"/>
      <c r="X298" s="67"/>
      <c r="Y298" s="36">
        <v>44075</v>
      </c>
      <c r="Z298" s="36">
        <v>46265</v>
      </c>
      <c r="AA298" s="36"/>
      <c r="AB298" s="36"/>
      <c r="AC298" s="36"/>
      <c r="AD298" s="36"/>
      <c r="AE298" s="36"/>
      <c r="AF298" s="53" t="s">
        <v>68</v>
      </c>
      <c r="AG298" s="42"/>
      <c r="AH298" s="42"/>
      <c r="AI298" s="43"/>
      <c r="AJ298" s="43"/>
      <c r="AK298" s="43"/>
      <c r="AL298" s="43"/>
      <c r="AM298" s="43"/>
      <c r="AN298" s="42"/>
      <c r="AO298" s="42"/>
      <c r="AP298" s="42"/>
      <c r="AQ298" s="43"/>
      <c r="AR298" s="42"/>
      <c r="AS298" s="42"/>
    </row>
    <row r="299" spans="1:45" ht="15" customHeight="1">
      <c r="A299" s="21" t="s">
        <v>258</v>
      </c>
      <c r="B299" s="21" t="s">
        <v>46</v>
      </c>
      <c r="C299" s="21" t="s">
        <v>188</v>
      </c>
      <c r="D299" s="21" t="s">
        <v>48</v>
      </c>
      <c r="E299" s="80" t="s">
        <v>431</v>
      </c>
      <c r="F299" s="65" t="s">
        <v>432</v>
      </c>
      <c r="G299" s="101" t="s">
        <v>77</v>
      </c>
      <c r="H299" s="25" t="s">
        <v>433</v>
      </c>
      <c r="I299" s="24" t="s">
        <v>78</v>
      </c>
      <c r="J299" s="65" t="s">
        <v>434</v>
      </c>
      <c r="K299" s="104"/>
      <c r="L299" s="48" t="s">
        <v>376</v>
      </c>
      <c r="M299" s="27">
        <v>44472</v>
      </c>
      <c r="N299" s="105" t="s">
        <v>182</v>
      </c>
      <c r="O299" s="106">
        <v>11600</v>
      </c>
      <c r="P299" s="106">
        <v>13</v>
      </c>
      <c r="Q299" s="51">
        <f t="shared" si="11"/>
        <v>150800</v>
      </c>
      <c r="R299" s="31">
        <v>202310</v>
      </c>
      <c r="S299" s="54" t="s">
        <v>469</v>
      </c>
      <c r="T299" s="54"/>
      <c r="U299" s="54"/>
      <c r="V299" s="54"/>
      <c r="W299" s="67"/>
      <c r="X299" s="67"/>
      <c r="Y299" s="36">
        <v>44075</v>
      </c>
      <c r="Z299" s="36">
        <v>46265</v>
      </c>
      <c r="AA299" s="36"/>
      <c r="AB299" s="36"/>
      <c r="AC299" s="36"/>
      <c r="AD299" s="36"/>
      <c r="AE299" s="36"/>
      <c r="AF299" s="53" t="s">
        <v>68</v>
      </c>
      <c r="AG299" s="42"/>
      <c r="AH299" s="42"/>
      <c r="AI299" s="43"/>
      <c r="AJ299" s="43"/>
      <c r="AK299" s="43"/>
      <c r="AL299" s="43"/>
      <c r="AM299" s="43"/>
      <c r="AN299" s="42"/>
      <c r="AO299" s="42"/>
      <c r="AP299" s="42"/>
      <c r="AQ299" s="43"/>
      <c r="AR299" s="42"/>
      <c r="AS299" s="42"/>
    </row>
    <row r="300" spans="1:45" ht="15" customHeight="1">
      <c r="A300" s="21" t="s">
        <v>258</v>
      </c>
      <c r="B300" s="21" t="s">
        <v>46</v>
      </c>
      <c r="C300" s="21" t="s">
        <v>188</v>
      </c>
      <c r="D300" s="21" t="s">
        <v>48</v>
      </c>
      <c r="E300" s="80" t="s">
        <v>431</v>
      </c>
      <c r="F300" s="65" t="s">
        <v>432</v>
      </c>
      <c r="G300" s="101" t="s">
        <v>77</v>
      </c>
      <c r="H300" s="25" t="s">
        <v>433</v>
      </c>
      <c r="I300" s="24" t="s">
        <v>78</v>
      </c>
      <c r="J300" s="65" t="s">
        <v>434</v>
      </c>
      <c r="K300" s="104"/>
      <c r="L300" s="48" t="s">
        <v>376</v>
      </c>
      <c r="M300" s="27">
        <v>44519</v>
      </c>
      <c r="N300" s="105" t="s">
        <v>182</v>
      </c>
      <c r="O300" s="106">
        <v>11600</v>
      </c>
      <c r="P300" s="106">
        <v>7</v>
      </c>
      <c r="Q300" s="51">
        <f t="shared" si="11"/>
        <v>81200</v>
      </c>
      <c r="R300" s="31">
        <v>202310</v>
      </c>
      <c r="S300" s="54" t="s">
        <v>470</v>
      </c>
      <c r="T300" s="54"/>
      <c r="U300" s="54"/>
      <c r="V300" s="54"/>
      <c r="W300" s="67"/>
      <c r="X300" s="67"/>
      <c r="Y300" s="36">
        <v>44075</v>
      </c>
      <c r="Z300" s="36">
        <v>46265</v>
      </c>
      <c r="AA300" s="36"/>
      <c r="AB300" s="36"/>
      <c r="AC300" s="36"/>
      <c r="AD300" s="36"/>
      <c r="AE300" s="36"/>
      <c r="AF300" s="53" t="s">
        <v>68</v>
      </c>
      <c r="AG300" s="42"/>
      <c r="AH300" s="42"/>
      <c r="AI300" s="43"/>
      <c r="AJ300" s="43"/>
      <c r="AK300" s="43"/>
      <c r="AL300" s="43"/>
      <c r="AM300" s="43"/>
      <c r="AN300" s="42"/>
      <c r="AO300" s="42"/>
      <c r="AP300" s="42"/>
      <c r="AQ300" s="43"/>
      <c r="AR300" s="42"/>
      <c r="AS300" s="42"/>
    </row>
    <row r="301" spans="1:45" ht="15" customHeight="1">
      <c r="A301" s="21" t="s">
        <v>258</v>
      </c>
      <c r="B301" s="21" t="s">
        <v>46</v>
      </c>
      <c r="C301" s="21" t="s">
        <v>188</v>
      </c>
      <c r="D301" s="21" t="s">
        <v>48</v>
      </c>
      <c r="E301" s="80" t="s">
        <v>431</v>
      </c>
      <c r="F301" s="65" t="s">
        <v>432</v>
      </c>
      <c r="G301" s="101" t="s">
        <v>77</v>
      </c>
      <c r="H301" s="25" t="s">
        <v>433</v>
      </c>
      <c r="I301" s="24" t="s">
        <v>78</v>
      </c>
      <c r="J301" s="65" t="s">
        <v>434</v>
      </c>
      <c r="K301" s="104"/>
      <c r="L301" s="48" t="s">
        <v>376</v>
      </c>
      <c r="M301" s="27">
        <v>44861</v>
      </c>
      <c r="N301" s="105" t="s">
        <v>177</v>
      </c>
      <c r="O301" s="106">
        <v>5803.6</v>
      </c>
      <c r="P301" s="106">
        <v>-1</v>
      </c>
      <c r="Q301" s="51">
        <f t="shared" si="11"/>
        <v>-5803.6</v>
      </c>
      <c r="R301" s="31">
        <v>202310</v>
      </c>
      <c r="S301" s="54" t="s">
        <v>471</v>
      </c>
      <c r="T301" s="54"/>
      <c r="U301" s="54"/>
      <c r="V301" s="54"/>
      <c r="W301" s="67"/>
      <c r="X301" s="67"/>
      <c r="Y301" s="36">
        <v>44075</v>
      </c>
      <c r="Z301" s="36">
        <v>46265</v>
      </c>
      <c r="AA301" s="36"/>
      <c r="AB301" s="36"/>
      <c r="AC301" s="36"/>
      <c r="AD301" s="36"/>
      <c r="AE301" s="36"/>
      <c r="AF301" s="53" t="s">
        <v>68</v>
      </c>
      <c r="AG301" s="42"/>
      <c r="AH301" s="42"/>
      <c r="AI301" s="43"/>
      <c r="AJ301" s="43"/>
      <c r="AK301" s="43"/>
      <c r="AL301" s="43"/>
      <c r="AM301" s="43"/>
      <c r="AN301" s="42"/>
      <c r="AO301" s="42"/>
      <c r="AP301" s="42"/>
      <c r="AQ301" s="43"/>
      <c r="AR301" s="42"/>
      <c r="AS301" s="42"/>
    </row>
    <row r="302" spans="1:45" ht="15" customHeight="1">
      <c r="A302" s="21" t="s">
        <v>258</v>
      </c>
      <c r="B302" s="21" t="s">
        <v>46</v>
      </c>
      <c r="C302" s="21" t="s">
        <v>188</v>
      </c>
      <c r="D302" s="21" t="s">
        <v>48</v>
      </c>
      <c r="E302" s="80" t="s">
        <v>431</v>
      </c>
      <c r="F302" s="65" t="s">
        <v>432</v>
      </c>
      <c r="G302" s="101" t="s">
        <v>77</v>
      </c>
      <c r="H302" s="25" t="s">
        <v>433</v>
      </c>
      <c r="I302" s="24" t="s">
        <v>78</v>
      </c>
      <c r="J302" s="65" t="s">
        <v>434</v>
      </c>
      <c r="K302" s="104"/>
      <c r="L302" s="48" t="s">
        <v>376</v>
      </c>
      <c r="M302" s="27">
        <v>44869</v>
      </c>
      <c r="N302" s="105" t="s">
        <v>177</v>
      </c>
      <c r="O302" s="106">
        <v>5803.6</v>
      </c>
      <c r="P302" s="106">
        <v>-4</v>
      </c>
      <c r="Q302" s="51">
        <f t="shared" si="11"/>
        <v>-23214.400000000001</v>
      </c>
      <c r="R302" s="31">
        <v>202310</v>
      </c>
      <c r="S302" s="54" t="s">
        <v>472</v>
      </c>
      <c r="T302" s="54"/>
      <c r="U302" s="54"/>
      <c r="V302" s="54"/>
      <c r="W302" s="67"/>
      <c r="X302" s="67"/>
      <c r="Y302" s="36">
        <v>44075</v>
      </c>
      <c r="Z302" s="36">
        <v>46265</v>
      </c>
      <c r="AA302" s="36"/>
      <c r="AB302" s="36"/>
      <c r="AC302" s="36"/>
      <c r="AD302" s="36"/>
      <c r="AE302" s="36"/>
      <c r="AF302" s="53" t="s">
        <v>68</v>
      </c>
      <c r="AG302" s="42"/>
      <c r="AH302" s="42"/>
      <c r="AI302" s="43"/>
      <c r="AJ302" s="43"/>
      <c r="AK302" s="43"/>
      <c r="AL302" s="43"/>
      <c r="AM302" s="43"/>
      <c r="AN302" s="42"/>
      <c r="AO302" s="42"/>
      <c r="AP302" s="42"/>
      <c r="AQ302" s="43"/>
      <c r="AR302" s="42"/>
      <c r="AS302" s="42"/>
    </row>
    <row r="303" spans="1:45" ht="15" customHeight="1">
      <c r="A303" s="21" t="s">
        <v>258</v>
      </c>
      <c r="B303" s="21" t="s">
        <v>46</v>
      </c>
      <c r="C303" s="21" t="s">
        <v>188</v>
      </c>
      <c r="D303" s="21" t="s">
        <v>48</v>
      </c>
      <c r="E303" s="80" t="s">
        <v>431</v>
      </c>
      <c r="F303" s="65" t="s">
        <v>432</v>
      </c>
      <c r="G303" s="101" t="s">
        <v>77</v>
      </c>
      <c r="H303" s="25" t="s">
        <v>433</v>
      </c>
      <c r="I303" s="24" t="s">
        <v>78</v>
      </c>
      <c r="J303" s="65" t="s">
        <v>434</v>
      </c>
      <c r="K303" s="104"/>
      <c r="L303" s="48" t="s">
        <v>376</v>
      </c>
      <c r="M303" s="27">
        <v>45040</v>
      </c>
      <c r="N303" s="105" t="s">
        <v>177</v>
      </c>
      <c r="O303" s="106">
        <v>5803.6</v>
      </c>
      <c r="P303" s="106">
        <v>5</v>
      </c>
      <c r="Q303" s="51">
        <f t="shared" si="11"/>
        <v>29018</v>
      </c>
      <c r="R303" s="31">
        <v>202310</v>
      </c>
      <c r="S303" s="54" t="s">
        <v>473</v>
      </c>
      <c r="T303" s="54"/>
      <c r="U303" s="54"/>
      <c r="V303" s="54"/>
      <c r="W303" s="67"/>
      <c r="X303" s="67"/>
      <c r="Y303" s="36">
        <v>44075</v>
      </c>
      <c r="Z303" s="36">
        <v>46265</v>
      </c>
      <c r="AA303" s="36"/>
      <c r="AB303" s="36"/>
      <c r="AC303" s="36"/>
      <c r="AD303" s="36"/>
      <c r="AE303" s="36"/>
      <c r="AF303" s="53" t="s">
        <v>68</v>
      </c>
      <c r="AG303" s="42"/>
      <c r="AH303" s="42"/>
      <c r="AI303" s="43"/>
      <c r="AJ303" s="43"/>
      <c r="AK303" s="43"/>
      <c r="AL303" s="43"/>
      <c r="AM303" s="43"/>
      <c r="AN303" s="42"/>
      <c r="AO303" s="42"/>
      <c r="AP303" s="42"/>
      <c r="AQ303" s="43"/>
      <c r="AR303" s="42"/>
      <c r="AS303" s="42"/>
    </row>
    <row r="304" spans="1:45" ht="15" customHeight="1">
      <c r="A304" s="65" t="s">
        <v>258</v>
      </c>
      <c r="B304" s="21" t="s">
        <v>46</v>
      </c>
      <c r="C304" s="21" t="s">
        <v>188</v>
      </c>
      <c r="D304" s="21" t="s">
        <v>48</v>
      </c>
      <c r="E304" s="66" t="s">
        <v>431</v>
      </c>
      <c r="F304" s="65" t="s">
        <v>432</v>
      </c>
      <c r="G304" s="47" t="s">
        <v>77</v>
      </c>
      <c r="H304" s="45" t="s">
        <v>433</v>
      </c>
      <c r="I304" s="102" t="s">
        <v>78</v>
      </c>
      <c r="J304" s="47" t="s">
        <v>434</v>
      </c>
      <c r="K304" s="47"/>
      <c r="L304" s="48" t="s">
        <v>376</v>
      </c>
      <c r="M304" s="49">
        <v>45075</v>
      </c>
      <c r="N304" s="49" t="s">
        <v>182</v>
      </c>
      <c r="O304" s="61">
        <v>11600</v>
      </c>
      <c r="P304" s="61">
        <v>2</v>
      </c>
      <c r="Q304" s="51">
        <f t="shared" si="11"/>
        <v>23200</v>
      </c>
      <c r="R304" s="31">
        <v>202310</v>
      </c>
      <c r="S304" s="108" t="s">
        <v>474</v>
      </c>
      <c r="T304" s="108"/>
      <c r="U304" s="108"/>
      <c r="V304" s="108"/>
      <c r="W304" s="67"/>
      <c r="X304" s="67"/>
      <c r="Y304" s="36">
        <v>44075</v>
      </c>
      <c r="Z304" s="36">
        <v>46265</v>
      </c>
      <c r="AA304" s="36"/>
      <c r="AB304" s="36"/>
      <c r="AC304" s="36"/>
      <c r="AD304" s="36"/>
      <c r="AE304" s="36"/>
      <c r="AF304" s="53" t="s">
        <v>68</v>
      </c>
      <c r="AG304" s="42"/>
      <c r="AH304" s="42"/>
      <c r="AI304" s="43"/>
      <c r="AJ304" s="43"/>
      <c r="AK304" s="43"/>
      <c r="AL304" s="43"/>
      <c r="AM304" s="43"/>
      <c r="AN304" s="42"/>
      <c r="AO304" s="42"/>
      <c r="AP304" s="42"/>
      <c r="AQ304" s="43"/>
      <c r="AR304" s="42"/>
      <c r="AS304" s="42"/>
    </row>
    <row r="305" spans="1:45" ht="15" customHeight="1">
      <c r="A305" s="65" t="s">
        <v>258</v>
      </c>
      <c r="B305" s="21" t="s">
        <v>46</v>
      </c>
      <c r="C305" s="21" t="s">
        <v>188</v>
      </c>
      <c r="D305" s="21" t="s">
        <v>48</v>
      </c>
      <c r="E305" s="66" t="s">
        <v>431</v>
      </c>
      <c r="F305" s="65" t="s">
        <v>432</v>
      </c>
      <c r="G305" s="47" t="s">
        <v>77</v>
      </c>
      <c r="H305" s="45" t="s">
        <v>433</v>
      </c>
      <c r="I305" s="102" t="s">
        <v>78</v>
      </c>
      <c r="J305" s="47" t="s">
        <v>434</v>
      </c>
      <c r="K305" s="47"/>
      <c r="L305" s="48" t="s">
        <v>376</v>
      </c>
      <c r="M305" s="49">
        <v>45082</v>
      </c>
      <c r="N305" s="105" t="s">
        <v>177</v>
      </c>
      <c r="O305" s="106">
        <v>5803.6</v>
      </c>
      <c r="P305" s="61">
        <v>-1</v>
      </c>
      <c r="Q305" s="51">
        <f>ROUND(O305*P305,2)</f>
        <v>-5803.6</v>
      </c>
      <c r="R305" s="31">
        <v>202310</v>
      </c>
      <c r="S305" s="108" t="s">
        <v>475</v>
      </c>
      <c r="T305" s="108"/>
      <c r="U305" s="108"/>
      <c r="V305" s="108"/>
      <c r="W305" s="67"/>
      <c r="X305" s="67"/>
      <c r="Y305" s="36">
        <v>44075</v>
      </c>
      <c r="Z305" s="36">
        <v>46265</v>
      </c>
      <c r="AA305" s="36"/>
      <c r="AB305" s="36"/>
      <c r="AC305" s="36"/>
      <c r="AD305" s="36"/>
      <c r="AE305" s="36"/>
      <c r="AF305" s="53" t="s">
        <v>68</v>
      </c>
      <c r="AG305" s="42"/>
      <c r="AH305" s="42"/>
      <c r="AI305" s="43"/>
      <c r="AJ305" s="43"/>
      <c r="AK305" s="43"/>
      <c r="AL305" s="43"/>
      <c r="AM305" s="43"/>
      <c r="AN305" s="42"/>
      <c r="AO305" s="42"/>
      <c r="AP305" s="42"/>
      <c r="AQ305" s="43"/>
      <c r="AR305" s="42"/>
      <c r="AS305" s="42"/>
    </row>
    <row r="306" spans="1:45" ht="15" customHeight="1">
      <c r="A306" s="65" t="s">
        <v>258</v>
      </c>
      <c r="B306" s="21" t="s">
        <v>46</v>
      </c>
      <c r="C306" s="21" t="s">
        <v>188</v>
      </c>
      <c r="D306" s="21" t="s">
        <v>48</v>
      </c>
      <c r="E306" s="66" t="s">
        <v>431</v>
      </c>
      <c r="F306" s="65" t="s">
        <v>432</v>
      </c>
      <c r="G306" s="47" t="s">
        <v>77</v>
      </c>
      <c r="H306" s="45" t="s">
        <v>433</v>
      </c>
      <c r="I306" s="102" t="s">
        <v>78</v>
      </c>
      <c r="J306" s="47" t="s">
        <v>434</v>
      </c>
      <c r="K306" s="47"/>
      <c r="L306" s="48" t="s">
        <v>376</v>
      </c>
      <c r="M306" s="49">
        <v>45047</v>
      </c>
      <c r="N306" s="105" t="s">
        <v>382</v>
      </c>
      <c r="O306" s="106">
        <v>5280</v>
      </c>
      <c r="P306" s="61">
        <v>2</v>
      </c>
      <c r="Q306" s="51">
        <f t="shared" si="11"/>
        <v>10560</v>
      </c>
      <c r="R306" s="31">
        <v>202310</v>
      </c>
      <c r="S306" s="108" t="s">
        <v>476</v>
      </c>
      <c r="T306" s="108"/>
      <c r="U306" s="108"/>
      <c r="V306" s="108"/>
      <c r="W306" s="67"/>
      <c r="X306" s="67"/>
      <c r="Y306" s="36">
        <v>44075</v>
      </c>
      <c r="Z306" s="36">
        <v>46265</v>
      </c>
      <c r="AA306" s="36"/>
      <c r="AB306" s="36"/>
      <c r="AC306" s="36"/>
      <c r="AD306" s="36"/>
      <c r="AE306" s="36"/>
      <c r="AF306" s="53" t="s">
        <v>68</v>
      </c>
      <c r="AG306" s="42"/>
      <c r="AH306" s="42"/>
      <c r="AI306" s="43"/>
      <c r="AJ306" s="43"/>
      <c r="AK306" s="43"/>
      <c r="AL306" s="43"/>
      <c r="AM306" s="43"/>
      <c r="AN306" s="42"/>
      <c r="AO306" s="42"/>
      <c r="AP306" s="42"/>
      <c r="AQ306" s="43"/>
      <c r="AR306" s="42"/>
      <c r="AS306" s="42"/>
    </row>
    <row r="307" spans="1:45" ht="15" customHeight="1">
      <c r="A307" s="65" t="s">
        <v>258</v>
      </c>
      <c r="B307" s="21" t="s">
        <v>46</v>
      </c>
      <c r="C307" s="21" t="s">
        <v>188</v>
      </c>
      <c r="D307" s="21" t="s">
        <v>48</v>
      </c>
      <c r="E307" s="66" t="s">
        <v>431</v>
      </c>
      <c r="F307" s="65" t="s">
        <v>432</v>
      </c>
      <c r="G307" s="47" t="s">
        <v>77</v>
      </c>
      <c r="H307" s="45" t="s">
        <v>433</v>
      </c>
      <c r="I307" s="102" t="s">
        <v>78</v>
      </c>
      <c r="J307" s="47" t="s">
        <v>434</v>
      </c>
      <c r="K307" s="47"/>
      <c r="L307" s="48" t="s">
        <v>376</v>
      </c>
      <c r="M307" s="49">
        <v>45153</v>
      </c>
      <c r="N307" s="105" t="s">
        <v>177</v>
      </c>
      <c r="O307" s="106">
        <v>5803.6</v>
      </c>
      <c r="P307" s="61">
        <v>-1</v>
      </c>
      <c r="Q307" s="51">
        <f>ROUND(O307*P307,2)</f>
        <v>-5803.6</v>
      </c>
      <c r="R307" s="31">
        <v>202310</v>
      </c>
      <c r="S307" s="108" t="s">
        <v>477</v>
      </c>
      <c r="T307" s="108"/>
      <c r="U307" s="108"/>
      <c r="V307" s="108"/>
      <c r="W307" s="67"/>
      <c r="X307" s="67"/>
      <c r="Y307" s="36">
        <v>44075</v>
      </c>
      <c r="Z307" s="36">
        <v>46265</v>
      </c>
      <c r="AA307" s="36"/>
      <c r="AB307" s="36"/>
      <c r="AC307" s="36"/>
      <c r="AD307" s="36"/>
      <c r="AE307" s="36"/>
      <c r="AF307" s="53" t="s">
        <v>68</v>
      </c>
      <c r="AG307" s="42"/>
      <c r="AH307" s="42"/>
      <c r="AI307" s="43"/>
      <c r="AJ307" s="43"/>
      <c r="AK307" s="43"/>
      <c r="AL307" s="43"/>
      <c r="AM307" s="43"/>
      <c r="AN307" s="42"/>
      <c r="AO307" s="42"/>
      <c r="AP307" s="42"/>
      <c r="AQ307" s="43"/>
      <c r="AR307" s="42"/>
      <c r="AS307" s="42"/>
    </row>
    <row r="308" spans="1:45" ht="15" customHeight="1">
      <c r="A308" s="20" t="s">
        <v>258</v>
      </c>
      <c r="B308" s="21" t="s">
        <v>46</v>
      </c>
      <c r="C308" s="22" t="s">
        <v>188</v>
      </c>
      <c r="D308" s="22" t="s">
        <v>48</v>
      </c>
      <c r="E308" s="23" t="s">
        <v>431</v>
      </c>
      <c r="F308" s="20" t="s">
        <v>432</v>
      </c>
      <c r="G308" s="47" t="s">
        <v>77</v>
      </c>
      <c r="H308" s="45" t="s">
        <v>478</v>
      </c>
      <c r="I308" s="24" t="s">
        <v>479</v>
      </c>
      <c r="J308" s="47" t="s">
        <v>480</v>
      </c>
      <c r="K308" s="26" t="s">
        <v>481</v>
      </c>
      <c r="L308" s="48" t="s">
        <v>482</v>
      </c>
      <c r="M308" s="49">
        <v>44737</v>
      </c>
      <c r="N308" s="49" t="s">
        <v>177</v>
      </c>
      <c r="O308" s="50">
        <v>4000</v>
      </c>
      <c r="P308" s="51">
        <v>13</v>
      </c>
      <c r="Q308" s="51">
        <f t="shared" si="11"/>
        <v>52000</v>
      </c>
      <c r="R308" s="31">
        <v>202310</v>
      </c>
      <c r="S308" s="108" t="s">
        <v>483</v>
      </c>
      <c r="T308" s="108"/>
      <c r="U308" s="108"/>
      <c r="V308" s="108"/>
      <c r="W308" s="52"/>
      <c r="X308" s="52"/>
      <c r="Y308" s="36"/>
      <c r="Z308" s="36"/>
      <c r="AA308" s="36"/>
      <c r="AB308" s="36"/>
      <c r="AC308" s="36"/>
      <c r="AD308" s="36"/>
      <c r="AE308" s="36"/>
      <c r="AF308" s="40" t="s">
        <v>484</v>
      </c>
      <c r="AG308" s="42"/>
      <c r="AH308" s="42"/>
      <c r="AI308" s="43"/>
      <c r="AJ308" s="43"/>
      <c r="AK308" s="43"/>
      <c r="AL308" s="43"/>
      <c r="AM308" s="43"/>
      <c r="AN308" s="42"/>
      <c r="AO308" s="42"/>
      <c r="AP308" s="42"/>
      <c r="AQ308" s="43"/>
      <c r="AR308" s="42"/>
      <c r="AS308" s="42"/>
    </row>
    <row r="309" spans="1:45" ht="15" customHeight="1">
      <c r="A309" s="20" t="s">
        <v>258</v>
      </c>
      <c r="B309" s="21" t="s">
        <v>46</v>
      </c>
      <c r="C309" s="22" t="s">
        <v>188</v>
      </c>
      <c r="D309" s="22" t="s">
        <v>48</v>
      </c>
      <c r="E309" s="23" t="s">
        <v>431</v>
      </c>
      <c r="F309" s="20" t="s">
        <v>432</v>
      </c>
      <c r="G309" s="47" t="s">
        <v>77</v>
      </c>
      <c r="H309" s="45" t="s">
        <v>478</v>
      </c>
      <c r="I309" s="24" t="s">
        <v>479</v>
      </c>
      <c r="J309" s="47" t="s">
        <v>480</v>
      </c>
      <c r="K309" s="26" t="s">
        <v>481</v>
      </c>
      <c r="L309" s="48" t="s">
        <v>482</v>
      </c>
      <c r="M309" s="49">
        <v>44937</v>
      </c>
      <c r="N309" s="49" t="s">
        <v>177</v>
      </c>
      <c r="O309" s="50">
        <v>4000</v>
      </c>
      <c r="P309" s="51">
        <v>-3</v>
      </c>
      <c r="Q309" s="51">
        <f t="shared" si="11"/>
        <v>-12000</v>
      </c>
      <c r="R309" s="31">
        <v>202310</v>
      </c>
      <c r="S309" s="108" t="s">
        <v>485</v>
      </c>
      <c r="T309" s="108"/>
      <c r="U309" s="108"/>
      <c r="V309" s="108"/>
      <c r="W309" s="52"/>
      <c r="X309" s="52"/>
      <c r="Y309" s="36"/>
      <c r="Z309" s="36"/>
      <c r="AA309" s="36"/>
      <c r="AB309" s="36"/>
      <c r="AC309" s="36"/>
      <c r="AD309" s="36"/>
      <c r="AE309" s="36"/>
      <c r="AF309" s="40" t="s">
        <v>484</v>
      </c>
      <c r="AG309" s="42"/>
      <c r="AH309" s="42"/>
      <c r="AI309" s="43"/>
      <c r="AJ309" s="43"/>
      <c r="AK309" s="43"/>
      <c r="AL309" s="43"/>
      <c r="AM309" s="43"/>
      <c r="AN309" s="42"/>
      <c r="AO309" s="42"/>
      <c r="AP309" s="42"/>
      <c r="AQ309" s="43"/>
      <c r="AR309" s="42"/>
      <c r="AS309" s="42"/>
    </row>
    <row r="310" spans="1:45" ht="15" customHeight="1">
      <c r="A310" s="20" t="s">
        <v>258</v>
      </c>
      <c r="B310" s="21" t="s">
        <v>46</v>
      </c>
      <c r="C310" s="22" t="s">
        <v>188</v>
      </c>
      <c r="D310" s="22" t="s">
        <v>48</v>
      </c>
      <c r="E310" s="23" t="s">
        <v>431</v>
      </c>
      <c r="F310" s="20" t="s">
        <v>432</v>
      </c>
      <c r="G310" s="47" t="s">
        <v>77</v>
      </c>
      <c r="H310" s="45" t="s">
        <v>478</v>
      </c>
      <c r="I310" s="24" t="s">
        <v>479</v>
      </c>
      <c r="J310" s="47" t="s">
        <v>480</v>
      </c>
      <c r="K310" s="26" t="s">
        <v>481</v>
      </c>
      <c r="L310" s="48" t="s">
        <v>482</v>
      </c>
      <c r="M310" s="49">
        <v>44764</v>
      </c>
      <c r="N310" s="49" t="s">
        <v>177</v>
      </c>
      <c r="O310" s="50">
        <v>4000</v>
      </c>
      <c r="P310" s="51">
        <v>15</v>
      </c>
      <c r="Q310" s="51">
        <f t="shared" si="11"/>
        <v>60000</v>
      </c>
      <c r="R310" s="31">
        <v>202310</v>
      </c>
      <c r="S310" s="108" t="s">
        <v>486</v>
      </c>
      <c r="T310" s="108"/>
      <c r="U310" s="108"/>
      <c r="V310" s="108"/>
      <c r="W310" s="52"/>
      <c r="X310" s="52"/>
      <c r="Y310" s="36"/>
      <c r="Z310" s="36"/>
      <c r="AA310" s="36"/>
      <c r="AB310" s="36"/>
      <c r="AC310" s="36"/>
      <c r="AD310" s="36"/>
      <c r="AE310" s="36"/>
      <c r="AF310" s="40" t="s">
        <v>484</v>
      </c>
      <c r="AG310" s="42"/>
      <c r="AH310" s="42"/>
      <c r="AI310" s="43"/>
      <c r="AJ310" s="43"/>
      <c r="AK310" s="43"/>
      <c r="AL310" s="43"/>
      <c r="AM310" s="43"/>
      <c r="AN310" s="42"/>
      <c r="AO310" s="42"/>
      <c r="AP310" s="42"/>
      <c r="AQ310" s="43"/>
      <c r="AR310" s="42"/>
      <c r="AS310" s="42"/>
    </row>
    <row r="311" spans="1:45" ht="15" customHeight="1">
      <c r="A311" s="20" t="s">
        <v>258</v>
      </c>
      <c r="B311" s="21" t="s">
        <v>46</v>
      </c>
      <c r="C311" s="22" t="s">
        <v>188</v>
      </c>
      <c r="D311" s="22" t="s">
        <v>48</v>
      </c>
      <c r="E311" s="23" t="s">
        <v>431</v>
      </c>
      <c r="F311" s="20" t="s">
        <v>432</v>
      </c>
      <c r="G311" s="47" t="s">
        <v>77</v>
      </c>
      <c r="H311" s="45" t="s">
        <v>478</v>
      </c>
      <c r="I311" s="24" t="s">
        <v>479</v>
      </c>
      <c r="J311" s="47" t="s">
        <v>480</v>
      </c>
      <c r="K311" s="26" t="s">
        <v>481</v>
      </c>
      <c r="L311" s="48" t="s">
        <v>482</v>
      </c>
      <c r="M311" s="49">
        <v>45224</v>
      </c>
      <c r="N311" s="49" t="s">
        <v>177</v>
      </c>
      <c r="O311" s="50">
        <v>4000</v>
      </c>
      <c r="P311" s="51">
        <v>-2</v>
      </c>
      <c r="Q311" s="51">
        <f>ROUND(O311*P311*6/31,2)</f>
        <v>-1548.39</v>
      </c>
      <c r="R311" s="31">
        <v>202310</v>
      </c>
      <c r="S311" s="108" t="s">
        <v>487</v>
      </c>
      <c r="T311" s="108"/>
      <c r="U311" s="108"/>
      <c r="V311" s="108"/>
      <c r="W311" s="52"/>
      <c r="X311" s="52"/>
      <c r="Y311" s="36"/>
      <c r="Z311" s="36"/>
      <c r="AA311" s="36"/>
      <c r="AB311" s="36"/>
      <c r="AC311" s="36"/>
      <c r="AD311" s="36"/>
      <c r="AE311" s="36"/>
      <c r="AF311" s="40" t="s">
        <v>484</v>
      </c>
      <c r="AG311" s="42"/>
      <c r="AH311" s="42"/>
      <c r="AI311" s="43"/>
      <c r="AJ311" s="43"/>
      <c r="AK311" s="43"/>
      <c r="AL311" s="43"/>
      <c r="AM311" s="43"/>
      <c r="AN311" s="42"/>
      <c r="AO311" s="42"/>
      <c r="AP311" s="42"/>
      <c r="AQ311" s="43"/>
      <c r="AR311" s="42"/>
      <c r="AS311" s="42"/>
    </row>
    <row r="312" spans="1:45" ht="15" customHeight="1">
      <c r="A312" s="20" t="s">
        <v>258</v>
      </c>
      <c r="B312" s="21" t="s">
        <v>46</v>
      </c>
      <c r="C312" s="22" t="s">
        <v>188</v>
      </c>
      <c r="D312" s="22" t="s">
        <v>48</v>
      </c>
      <c r="E312" s="23" t="s">
        <v>431</v>
      </c>
      <c r="F312" s="20" t="s">
        <v>432</v>
      </c>
      <c r="G312" s="47" t="s">
        <v>77</v>
      </c>
      <c r="H312" s="45" t="s">
        <v>478</v>
      </c>
      <c r="I312" s="24" t="s">
        <v>479</v>
      </c>
      <c r="J312" s="47" t="s">
        <v>480</v>
      </c>
      <c r="K312" s="26" t="s">
        <v>481</v>
      </c>
      <c r="L312" s="48" t="s">
        <v>488</v>
      </c>
      <c r="M312" s="49">
        <v>44938</v>
      </c>
      <c r="N312" s="49" t="s">
        <v>177</v>
      </c>
      <c r="O312" s="50">
        <v>3700</v>
      </c>
      <c r="P312" s="51">
        <v>7</v>
      </c>
      <c r="Q312" s="51">
        <f t="shared" si="11"/>
        <v>25900</v>
      </c>
      <c r="R312" s="31">
        <v>202310</v>
      </c>
      <c r="S312" s="108" t="s">
        <v>489</v>
      </c>
      <c r="T312" s="108"/>
      <c r="U312" s="108"/>
      <c r="V312" s="108"/>
      <c r="W312" s="52"/>
      <c r="X312" s="52"/>
      <c r="Y312" s="36"/>
      <c r="Z312" s="36"/>
      <c r="AA312" s="36"/>
      <c r="AB312" s="36"/>
      <c r="AC312" s="36"/>
      <c r="AD312" s="36"/>
      <c r="AE312" s="36"/>
      <c r="AF312" s="40" t="s">
        <v>484</v>
      </c>
      <c r="AG312" s="42"/>
      <c r="AH312" s="42"/>
      <c r="AI312" s="43"/>
      <c r="AJ312" s="43"/>
      <c r="AK312" s="43"/>
      <c r="AL312" s="43"/>
      <c r="AM312" s="43"/>
      <c r="AN312" s="42"/>
      <c r="AO312" s="42"/>
      <c r="AP312" s="42"/>
      <c r="AQ312" s="43"/>
      <c r="AR312" s="42"/>
      <c r="AS312" s="42"/>
    </row>
    <row r="313" spans="1:45" ht="15" customHeight="1">
      <c r="A313" s="20" t="s">
        <v>258</v>
      </c>
      <c r="B313" s="21" t="s">
        <v>46</v>
      </c>
      <c r="C313" s="22" t="s">
        <v>188</v>
      </c>
      <c r="D313" s="22" t="s">
        <v>48</v>
      </c>
      <c r="E313" s="23" t="s">
        <v>431</v>
      </c>
      <c r="F313" s="20" t="s">
        <v>432</v>
      </c>
      <c r="G313" s="47" t="s">
        <v>165</v>
      </c>
      <c r="H313" s="45" t="s">
        <v>490</v>
      </c>
      <c r="I313" s="24" t="s">
        <v>491</v>
      </c>
      <c r="J313" s="47" t="s">
        <v>480</v>
      </c>
      <c r="K313" s="26" t="s">
        <v>492</v>
      </c>
      <c r="L313" s="48"/>
      <c r="M313" s="49">
        <v>44736</v>
      </c>
      <c r="N313" s="49"/>
      <c r="O313" s="50">
        <v>35</v>
      </c>
      <c r="P313" s="51">
        <v>128</v>
      </c>
      <c r="Q313" s="51">
        <f t="shared" si="11"/>
        <v>4480</v>
      </c>
      <c r="R313" s="31">
        <v>202310</v>
      </c>
      <c r="S313" s="108" t="s">
        <v>493</v>
      </c>
      <c r="T313" s="108"/>
      <c r="U313" s="108"/>
      <c r="V313" s="108"/>
      <c r="W313" s="52"/>
      <c r="X313" s="52"/>
      <c r="Y313" s="36">
        <v>44044</v>
      </c>
      <c r="Z313" s="36">
        <v>45199</v>
      </c>
      <c r="AA313" s="36"/>
      <c r="AB313" s="36"/>
      <c r="AC313" s="36"/>
      <c r="AD313" s="36"/>
      <c r="AE313" s="36"/>
      <c r="AF313" s="40" t="s">
        <v>484</v>
      </c>
      <c r="AG313" s="42"/>
      <c r="AH313" s="42"/>
      <c r="AI313" s="43"/>
      <c r="AJ313" s="43"/>
      <c r="AK313" s="43"/>
      <c r="AL313" s="43"/>
      <c r="AM313" s="43"/>
      <c r="AN313" s="42"/>
      <c r="AO313" s="42"/>
      <c r="AP313" s="42"/>
      <c r="AQ313" s="43"/>
      <c r="AR313" s="42"/>
      <c r="AS313" s="42"/>
    </row>
    <row r="314" spans="1:45" ht="15" customHeight="1">
      <c r="A314" s="20" t="s">
        <v>260</v>
      </c>
      <c r="B314" s="21" t="s">
        <v>46</v>
      </c>
      <c r="C314" s="22" t="s">
        <v>188</v>
      </c>
      <c r="D314" s="22" t="s">
        <v>48</v>
      </c>
      <c r="E314" s="23" t="s">
        <v>431</v>
      </c>
      <c r="F314" s="20" t="s">
        <v>432</v>
      </c>
      <c r="G314" s="47" t="s">
        <v>165</v>
      </c>
      <c r="H314" s="45" t="s">
        <v>490</v>
      </c>
      <c r="I314" s="24" t="s">
        <v>491</v>
      </c>
      <c r="J314" s="47" t="s">
        <v>480</v>
      </c>
      <c r="K314" s="26" t="s">
        <v>494</v>
      </c>
      <c r="L314" s="48"/>
      <c r="M314" s="49">
        <v>44736</v>
      </c>
      <c r="N314" s="49"/>
      <c r="O314" s="50">
        <v>50</v>
      </c>
      <c r="P314" s="51">
        <v>128</v>
      </c>
      <c r="Q314" s="51">
        <f t="shared" si="11"/>
        <v>6400</v>
      </c>
      <c r="R314" s="31">
        <v>202310</v>
      </c>
      <c r="S314" s="109" t="s">
        <v>495</v>
      </c>
      <c r="T314" s="109"/>
      <c r="U314" s="109"/>
      <c r="V314" s="109"/>
      <c r="W314" s="52"/>
      <c r="X314" s="52"/>
      <c r="Y314" s="36">
        <v>44044</v>
      </c>
      <c r="Z314" s="36">
        <v>45199</v>
      </c>
      <c r="AA314" s="36"/>
      <c r="AB314" s="36"/>
      <c r="AC314" s="36"/>
      <c r="AD314" s="36"/>
      <c r="AE314" s="36"/>
      <c r="AF314" s="40" t="s">
        <v>484</v>
      </c>
      <c r="AG314" s="42"/>
      <c r="AH314" s="42"/>
      <c r="AI314" s="43"/>
      <c r="AJ314" s="43"/>
      <c r="AK314" s="43"/>
      <c r="AL314" s="43"/>
      <c r="AM314" s="43"/>
      <c r="AN314" s="42"/>
      <c r="AO314" s="42"/>
      <c r="AP314" s="42"/>
      <c r="AQ314" s="43"/>
      <c r="AR314" s="42"/>
      <c r="AS314" s="42"/>
    </row>
    <row r="315" spans="1:45" ht="15" customHeight="1">
      <c r="A315" s="20" t="s">
        <v>260</v>
      </c>
      <c r="B315" s="21" t="s">
        <v>46</v>
      </c>
      <c r="C315" s="22" t="s">
        <v>188</v>
      </c>
      <c r="D315" s="22" t="s">
        <v>48</v>
      </c>
      <c r="E315" s="23" t="s">
        <v>431</v>
      </c>
      <c r="F315" s="20" t="s">
        <v>432</v>
      </c>
      <c r="G315" s="47" t="s">
        <v>165</v>
      </c>
      <c r="H315" s="45" t="s">
        <v>478</v>
      </c>
      <c r="I315" s="24" t="s">
        <v>491</v>
      </c>
      <c r="J315" s="47" t="s">
        <v>480</v>
      </c>
      <c r="K315" s="26" t="s">
        <v>494</v>
      </c>
      <c r="L315" s="48"/>
      <c r="M315" s="49">
        <v>44762</v>
      </c>
      <c r="N315" s="49"/>
      <c r="O315" s="50">
        <v>50</v>
      </c>
      <c r="P315" s="51">
        <v>128</v>
      </c>
      <c r="Q315" s="51">
        <f t="shared" si="11"/>
        <v>6400</v>
      </c>
      <c r="R315" s="31">
        <v>202310</v>
      </c>
      <c r="S315" s="108" t="s">
        <v>496</v>
      </c>
      <c r="T315" s="109"/>
      <c r="U315" s="108"/>
      <c r="V315" s="109"/>
      <c r="W315" s="52"/>
      <c r="X315" s="52"/>
      <c r="Y315" s="36"/>
      <c r="Z315" s="36"/>
      <c r="AA315" s="36"/>
      <c r="AB315" s="36"/>
      <c r="AC315" s="36"/>
      <c r="AD315" s="36"/>
      <c r="AE315" s="36"/>
      <c r="AF315" s="40" t="s">
        <v>484</v>
      </c>
      <c r="AG315" s="42"/>
      <c r="AH315" s="42"/>
      <c r="AI315" s="43"/>
      <c r="AJ315" s="43"/>
      <c r="AK315" s="43"/>
      <c r="AL315" s="43"/>
      <c r="AM315" s="43"/>
      <c r="AN315" s="42"/>
      <c r="AO315" s="42"/>
      <c r="AP315" s="42"/>
      <c r="AQ315" s="43"/>
      <c r="AR315" s="42"/>
      <c r="AS315" s="42" t="s">
        <v>497</v>
      </c>
    </row>
    <row r="316" spans="1:45" ht="15" customHeight="1">
      <c r="A316" s="20" t="s">
        <v>260</v>
      </c>
      <c r="B316" s="21" t="s">
        <v>46</v>
      </c>
      <c r="C316" s="22" t="s">
        <v>188</v>
      </c>
      <c r="D316" s="22" t="s">
        <v>48</v>
      </c>
      <c r="E316" s="23" t="s">
        <v>431</v>
      </c>
      <c r="F316" s="20" t="s">
        <v>432</v>
      </c>
      <c r="G316" s="47" t="s">
        <v>165</v>
      </c>
      <c r="H316" s="45" t="s">
        <v>478</v>
      </c>
      <c r="I316" s="24" t="s">
        <v>491</v>
      </c>
      <c r="J316" s="47" t="s">
        <v>480</v>
      </c>
      <c r="K316" s="26" t="s">
        <v>494</v>
      </c>
      <c r="L316" s="48"/>
      <c r="M316" s="49">
        <v>45169</v>
      </c>
      <c r="N316" s="49"/>
      <c r="O316" s="50">
        <v>50</v>
      </c>
      <c r="P316" s="51">
        <v>-128</v>
      </c>
      <c r="Q316" s="51">
        <f t="shared" si="11"/>
        <v>-6400</v>
      </c>
      <c r="R316" s="31">
        <v>202310</v>
      </c>
      <c r="S316" s="108" t="s">
        <v>498</v>
      </c>
      <c r="T316" s="109"/>
      <c r="U316" s="108"/>
      <c r="V316" s="109"/>
      <c r="W316" s="52"/>
      <c r="X316" s="52"/>
      <c r="Y316" s="36"/>
      <c r="Z316" s="36"/>
      <c r="AA316" s="36"/>
      <c r="AB316" s="36"/>
      <c r="AC316" s="36"/>
      <c r="AD316" s="36"/>
      <c r="AE316" s="36"/>
      <c r="AF316" s="40" t="s">
        <v>484</v>
      </c>
      <c r="AG316" s="42"/>
      <c r="AH316" s="42"/>
      <c r="AI316" s="43"/>
      <c r="AJ316" s="43"/>
      <c r="AK316" s="43"/>
      <c r="AL316" s="43"/>
      <c r="AM316" s="43"/>
      <c r="AN316" s="42"/>
      <c r="AO316" s="42"/>
      <c r="AP316" s="42"/>
      <c r="AQ316" s="43"/>
      <c r="AR316" s="42"/>
      <c r="AS316" s="42" t="s">
        <v>497</v>
      </c>
    </row>
    <row r="317" spans="1:45" ht="15" customHeight="1">
      <c r="A317" s="20" t="s">
        <v>45</v>
      </c>
      <c r="B317" s="21" t="s">
        <v>46</v>
      </c>
      <c r="C317" s="22" t="s">
        <v>188</v>
      </c>
      <c r="D317" s="22" t="s">
        <v>48</v>
      </c>
      <c r="E317" s="23" t="s">
        <v>431</v>
      </c>
      <c r="F317" s="20" t="s">
        <v>432</v>
      </c>
      <c r="G317" s="47" t="s">
        <v>165</v>
      </c>
      <c r="H317" s="45" t="s">
        <v>478</v>
      </c>
      <c r="I317" s="24" t="s">
        <v>491</v>
      </c>
      <c r="J317" s="47" t="s">
        <v>480</v>
      </c>
      <c r="K317" s="26" t="s">
        <v>499</v>
      </c>
      <c r="L317" s="48"/>
      <c r="M317" s="49">
        <v>44736</v>
      </c>
      <c r="N317" s="49"/>
      <c r="O317" s="50">
        <v>30</v>
      </c>
      <c r="P317" s="51">
        <v>256</v>
      </c>
      <c r="Q317" s="51">
        <f t="shared" si="11"/>
        <v>7680</v>
      </c>
      <c r="R317" s="31">
        <v>202310</v>
      </c>
      <c r="S317" s="109" t="s">
        <v>500</v>
      </c>
      <c r="T317" s="109"/>
      <c r="U317" s="108"/>
      <c r="V317" s="109"/>
      <c r="W317" s="52"/>
      <c r="X317" s="52"/>
      <c r="Y317" s="36"/>
      <c r="Z317" s="36"/>
      <c r="AA317" s="36"/>
      <c r="AB317" s="36"/>
      <c r="AC317" s="36"/>
      <c r="AD317" s="36"/>
      <c r="AE317" s="36"/>
      <c r="AF317" s="40" t="s">
        <v>484</v>
      </c>
      <c r="AG317" s="42"/>
      <c r="AH317" s="42"/>
      <c r="AI317" s="43"/>
      <c r="AJ317" s="43"/>
      <c r="AK317" s="43"/>
      <c r="AL317" s="43"/>
      <c r="AM317" s="43"/>
      <c r="AN317" s="42"/>
      <c r="AO317" s="42"/>
      <c r="AP317" s="42"/>
      <c r="AQ317" s="43"/>
      <c r="AR317" s="42"/>
      <c r="AS317" s="42" t="s">
        <v>497</v>
      </c>
    </row>
    <row r="318" spans="1:45" ht="15" customHeight="1">
      <c r="A318" s="20" t="s">
        <v>45</v>
      </c>
      <c r="B318" s="21" t="s">
        <v>46</v>
      </c>
      <c r="C318" s="22" t="s">
        <v>188</v>
      </c>
      <c r="D318" s="22" t="s">
        <v>48</v>
      </c>
      <c r="E318" s="23" t="s">
        <v>431</v>
      </c>
      <c r="F318" s="20" t="s">
        <v>432</v>
      </c>
      <c r="G318" s="47" t="s">
        <v>165</v>
      </c>
      <c r="H318" s="45" t="s">
        <v>478</v>
      </c>
      <c r="I318" s="24" t="s">
        <v>491</v>
      </c>
      <c r="J318" s="47" t="s">
        <v>480</v>
      </c>
      <c r="K318" s="26" t="s">
        <v>499</v>
      </c>
      <c r="L318" s="48"/>
      <c r="M318" s="49">
        <v>44762</v>
      </c>
      <c r="N318" s="49"/>
      <c r="O318" s="50">
        <v>30</v>
      </c>
      <c r="P318" s="51">
        <v>64</v>
      </c>
      <c r="Q318" s="51">
        <f t="shared" si="11"/>
        <v>1920</v>
      </c>
      <c r="R318" s="31">
        <v>202310</v>
      </c>
      <c r="S318" s="108" t="s">
        <v>501</v>
      </c>
      <c r="T318" s="109"/>
      <c r="U318" s="108"/>
      <c r="V318" s="109"/>
      <c r="W318" s="52"/>
      <c r="X318" s="52"/>
      <c r="Y318" s="36"/>
      <c r="Z318" s="36"/>
      <c r="AA318" s="36"/>
      <c r="AB318" s="36"/>
      <c r="AC318" s="36"/>
      <c r="AD318" s="36"/>
      <c r="AE318" s="36"/>
      <c r="AF318" s="40" t="s">
        <v>484</v>
      </c>
      <c r="AG318" s="42"/>
      <c r="AH318" s="42"/>
      <c r="AI318" s="43"/>
      <c r="AJ318" s="43"/>
      <c r="AK318" s="43"/>
      <c r="AL318" s="43"/>
      <c r="AM318" s="43"/>
      <c r="AN318" s="42"/>
      <c r="AO318" s="42"/>
      <c r="AP318" s="42"/>
      <c r="AQ318" s="43"/>
      <c r="AR318" s="42"/>
      <c r="AS318" s="42" t="s">
        <v>497</v>
      </c>
    </row>
    <row r="319" spans="1:45" ht="15" customHeight="1">
      <c r="A319" s="20" t="s">
        <v>258</v>
      </c>
      <c r="B319" s="21" t="s">
        <v>46</v>
      </c>
      <c r="C319" s="22" t="s">
        <v>188</v>
      </c>
      <c r="D319" s="22" t="s">
        <v>48</v>
      </c>
      <c r="E319" s="23" t="s">
        <v>431</v>
      </c>
      <c r="F319" s="20" t="s">
        <v>432</v>
      </c>
      <c r="G319" s="47" t="s">
        <v>77</v>
      </c>
      <c r="H319" s="45" t="s">
        <v>478</v>
      </c>
      <c r="I319" s="24" t="s">
        <v>479</v>
      </c>
      <c r="J319" s="47" t="s">
        <v>480</v>
      </c>
      <c r="K319" s="26" t="s">
        <v>481</v>
      </c>
      <c r="L319" s="48" t="s">
        <v>482</v>
      </c>
      <c r="M319" s="49">
        <v>42999</v>
      </c>
      <c r="N319" s="49" t="s">
        <v>177</v>
      </c>
      <c r="O319" s="50">
        <v>4000</v>
      </c>
      <c r="P319" s="51">
        <v>17</v>
      </c>
      <c r="Q319" s="51">
        <f t="shared" si="11"/>
        <v>68000</v>
      </c>
      <c r="R319" s="31">
        <v>202310</v>
      </c>
      <c r="S319" s="109" t="s">
        <v>502</v>
      </c>
      <c r="T319" s="109"/>
      <c r="U319" s="108"/>
      <c r="V319" s="109"/>
      <c r="W319" s="52"/>
      <c r="X319" s="52"/>
      <c r="Y319" s="36"/>
      <c r="Z319" s="36"/>
      <c r="AA319" s="36"/>
      <c r="AB319" s="36"/>
      <c r="AC319" s="36"/>
      <c r="AD319" s="36"/>
      <c r="AE319" s="36"/>
      <c r="AF319" s="40" t="s">
        <v>503</v>
      </c>
      <c r="AG319" s="42"/>
      <c r="AH319" s="42"/>
      <c r="AI319" s="43"/>
      <c r="AJ319" s="43"/>
      <c r="AK319" s="43"/>
      <c r="AL319" s="43"/>
      <c r="AM319" s="43"/>
      <c r="AN319" s="42"/>
      <c r="AO319" s="42"/>
      <c r="AP319" s="42"/>
      <c r="AQ319" s="43"/>
      <c r="AR319" s="42"/>
      <c r="AS319" s="42" t="s">
        <v>497</v>
      </c>
    </row>
    <row r="320" spans="1:45" ht="15" customHeight="1">
      <c r="A320" s="20" t="s">
        <v>258</v>
      </c>
      <c r="B320" s="21" t="s">
        <v>46</v>
      </c>
      <c r="C320" s="22" t="s">
        <v>188</v>
      </c>
      <c r="D320" s="22" t="s">
        <v>48</v>
      </c>
      <c r="E320" s="23" t="s">
        <v>431</v>
      </c>
      <c r="F320" s="20" t="s">
        <v>432</v>
      </c>
      <c r="G320" s="47" t="s">
        <v>77</v>
      </c>
      <c r="H320" s="45" t="s">
        <v>478</v>
      </c>
      <c r="I320" s="24" t="s">
        <v>479</v>
      </c>
      <c r="J320" s="47" t="s">
        <v>480</v>
      </c>
      <c r="K320" s="26" t="s">
        <v>481</v>
      </c>
      <c r="L320" s="48" t="s">
        <v>482</v>
      </c>
      <c r="M320" s="49">
        <v>43804</v>
      </c>
      <c r="N320" s="49" t="s">
        <v>504</v>
      </c>
      <c r="O320" s="50">
        <v>4000</v>
      </c>
      <c r="P320" s="51">
        <v>1</v>
      </c>
      <c r="Q320" s="51">
        <f t="shared" si="11"/>
        <v>4000</v>
      </c>
      <c r="R320" s="31">
        <v>202310</v>
      </c>
      <c r="S320" s="109" t="s">
        <v>505</v>
      </c>
      <c r="T320" s="109"/>
      <c r="U320" s="108"/>
      <c r="V320" s="109"/>
      <c r="W320" s="52"/>
      <c r="X320" s="52"/>
      <c r="Y320" s="36"/>
      <c r="Z320" s="36"/>
      <c r="AA320" s="36"/>
      <c r="AB320" s="36"/>
      <c r="AC320" s="36"/>
      <c r="AD320" s="36"/>
      <c r="AE320" s="36"/>
      <c r="AF320" s="40" t="s">
        <v>484</v>
      </c>
      <c r="AG320" s="42"/>
      <c r="AH320" s="42"/>
      <c r="AI320" s="43"/>
      <c r="AJ320" s="43"/>
      <c r="AK320" s="43"/>
      <c r="AL320" s="43"/>
      <c r="AM320" s="43"/>
      <c r="AN320" s="42"/>
      <c r="AO320" s="42"/>
      <c r="AP320" s="42"/>
      <c r="AQ320" s="43"/>
      <c r="AR320" s="42"/>
      <c r="AS320" s="42" t="s">
        <v>497</v>
      </c>
    </row>
    <row r="321" spans="1:45" ht="15" customHeight="1">
      <c r="A321" s="20" t="s">
        <v>258</v>
      </c>
      <c r="B321" s="21" t="s">
        <v>46</v>
      </c>
      <c r="C321" s="22" t="s">
        <v>188</v>
      </c>
      <c r="D321" s="22" t="s">
        <v>48</v>
      </c>
      <c r="E321" s="23" t="s">
        <v>431</v>
      </c>
      <c r="F321" s="20" t="s">
        <v>432</v>
      </c>
      <c r="G321" s="47" t="s">
        <v>77</v>
      </c>
      <c r="H321" s="45" t="s">
        <v>478</v>
      </c>
      <c r="I321" s="24" t="s">
        <v>479</v>
      </c>
      <c r="J321" s="47" t="s">
        <v>480</v>
      </c>
      <c r="K321" s="26" t="s">
        <v>481</v>
      </c>
      <c r="L321" s="48" t="s">
        <v>482</v>
      </c>
      <c r="M321" s="49">
        <v>42999</v>
      </c>
      <c r="N321" s="49" t="s">
        <v>177</v>
      </c>
      <c r="O321" s="50">
        <v>0</v>
      </c>
      <c r="P321" s="51">
        <v>4</v>
      </c>
      <c r="Q321" s="51">
        <f t="shared" si="11"/>
        <v>0</v>
      </c>
      <c r="R321" s="31">
        <v>202310</v>
      </c>
      <c r="S321" s="109" t="s">
        <v>506</v>
      </c>
      <c r="T321" s="109"/>
      <c r="U321" s="108"/>
      <c r="V321" s="109"/>
      <c r="W321" s="52"/>
      <c r="X321" s="52"/>
      <c r="Y321" s="36"/>
      <c r="Z321" s="36"/>
      <c r="AA321" s="36"/>
      <c r="AB321" s="36"/>
      <c r="AC321" s="36"/>
      <c r="AD321" s="36"/>
      <c r="AE321" s="36"/>
      <c r="AF321" s="40" t="s">
        <v>503</v>
      </c>
      <c r="AG321" s="42"/>
      <c r="AH321" s="42"/>
      <c r="AI321" s="43"/>
      <c r="AJ321" s="43"/>
      <c r="AK321" s="43"/>
      <c r="AL321" s="43"/>
      <c r="AM321" s="43"/>
      <c r="AN321" s="42"/>
      <c r="AO321" s="42"/>
      <c r="AP321" s="42"/>
      <c r="AQ321" s="43"/>
      <c r="AR321" s="42"/>
      <c r="AS321" s="42" t="s">
        <v>497</v>
      </c>
    </row>
    <row r="322" spans="1:45" ht="15" customHeight="1">
      <c r="A322" s="20" t="s">
        <v>258</v>
      </c>
      <c r="B322" s="21" t="s">
        <v>46</v>
      </c>
      <c r="C322" s="22" t="s">
        <v>188</v>
      </c>
      <c r="D322" s="22" t="s">
        <v>48</v>
      </c>
      <c r="E322" s="23" t="s">
        <v>431</v>
      </c>
      <c r="F322" s="20" t="s">
        <v>432</v>
      </c>
      <c r="G322" s="47" t="s">
        <v>77</v>
      </c>
      <c r="H322" s="45" t="s">
        <v>478</v>
      </c>
      <c r="I322" s="24" t="s">
        <v>479</v>
      </c>
      <c r="J322" s="47" t="s">
        <v>480</v>
      </c>
      <c r="K322" s="26" t="s">
        <v>481</v>
      </c>
      <c r="L322" s="48" t="s">
        <v>482</v>
      </c>
      <c r="M322" s="49">
        <v>44054</v>
      </c>
      <c r="N322" s="49" t="s">
        <v>177</v>
      </c>
      <c r="O322" s="50">
        <v>4000</v>
      </c>
      <c r="P322" s="51">
        <v>3</v>
      </c>
      <c r="Q322" s="51">
        <f t="shared" si="11"/>
        <v>12000</v>
      </c>
      <c r="R322" s="31">
        <v>202310</v>
      </c>
      <c r="S322" s="108" t="s">
        <v>507</v>
      </c>
      <c r="T322" s="108"/>
      <c r="U322" s="108"/>
      <c r="V322" s="108"/>
      <c r="W322" s="52"/>
      <c r="X322" s="52"/>
      <c r="Y322" s="36"/>
      <c r="Z322" s="36"/>
      <c r="AA322" s="36"/>
      <c r="AB322" s="36"/>
      <c r="AC322" s="36"/>
      <c r="AD322" s="36"/>
      <c r="AE322" s="36"/>
      <c r="AF322" s="40" t="s">
        <v>484</v>
      </c>
      <c r="AG322" s="42"/>
      <c r="AH322" s="42"/>
      <c r="AI322" s="43"/>
      <c r="AJ322" s="43"/>
      <c r="AK322" s="43"/>
      <c r="AL322" s="43"/>
      <c r="AM322" s="43"/>
      <c r="AN322" s="42"/>
      <c r="AO322" s="42"/>
      <c r="AP322" s="42"/>
      <c r="AQ322" s="43"/>
      <c r="AR322" s="42"/>
      <c r="AS322" s="42" t="s">
        <v>497</v>
      </c>
    </row>
    <row r="323" spans="1:45" ht="15" customHeight="1">
      <c r="A323" s="20" t="s">
        <v>258</v>
      </c>
      <c r="B323" s="21" t="s">
        <v>46</v>
      </c>
      <c r="C323" s="22" t="s">
        <v>188</v>
      </c>
      <c r="D323" s="22" t="s">
        <v>48</v>
      </c>
      <c r="E323" s="23" t="s">
        <v>431</v>
      </c>
      <c r="F323" s="20" t="s">
        <v>432</v>
      </c>
      <c r="G323" s="47" t="s">
        <v>165</v>
      </c>
      <c r="H323" s="45" t="s">
        <v>478</v>
      </c>
      <c r="I323" s="24" t="s">
        <v>491</v>
      </c>
      <c r="J323" s="47" t="s">
        <v>480</v>
      </c>
      <c r="K323" s="26" t="s">
        <v>492</v>
      </c>
      <c r="L323" s="48"/>
      <c r="M323" s="49">
        <v>42999</v>
      </c>
      <c r="N323" s="49"/>
      <c r="O323" s="50">
        <v>20</v>
      </c>
      <c r="P323" s="51">
        <v>288</v>
      </c>
      <c r="Q323" s="51">
        <f t="shared" si="11"/>
        <v>5760</v>
      </c>
      <c r="R323" s="31">
        <v>202310</v>
      </c>
      <c r="S323" s="109" t="s">
        <v>508</v>
      </c>
      <c r="T323" s="109"/>
      <c r="U323" s="108"/>
      <c r="V323" s="109"/>
      <c r="W323" s="52"/>
      <c r="X323" s="52"/>
      <c r="Y323" s="36"/>
      <c r="Z323" s="36"/>
      <c r="AA323" s="36"/>
      <c r="AB323" s="36"/>
      <c r="AC323" s="36"/>
      <c r="AD323" s="36"/>
      <c r="AE323" s="36"/>
      <c r="AF323" s="40" t="s">
        <v>503</v>
      </c>
      <c r="AG323" s="42"/>
      <c r="AH323" s="42"/>
      <c r="AI323" s="43"/>
      <c r="AJ323" s="43"/>
      <c r="AK323" s="43"/>
      <c r="AL323" s="43"/>
      <c r="AM323" s="43"/>
      <c r="AN323" s="42"/>
      <c r="AO323" s="42"/>
      <c r="AP323" s="42"/>
      <c r="AQ323" s="43"/>
      <c r="AR323" s="42"/>
      <c r="AS323" s="42" t="s">
        <v>497</v>
      </c>
    </row>
    <row r="324" spans="1:45" ht="15" customHeight="1">
      <c r="A324" s="20" t="s">
        <v>258</v>
      </c>
      <c r="B324" s="21" t="s">
        <v>46</v>
      </c>
      <c r="C324" s="22" t="s">
        <v>188</v>
      </c>
      <c r="D324" s="22" t="s">
        <v>48</v>
      </c>
      <c r="E324" s="23" t="s">
        <v>431</v>
      </c>
      <c r="F324" s="20" t="s">
        <v>432</v>
      </c>
      <c r="G324" s="47" t="s">
        <v>165</v>
      </c>
      <c r="H324" s="45" t="s">
        <v>478</v>
      </c>
      <c r="I324" s="24" t="s">
        <v>491</v>
      </c>
      <c r="J324" s="47" t="s">
        <v>480</v>
      </c>
      <c r="K324" s="26" t="s">
        <v>492</v>
      </c>
      <c r="L324" s="48"/>
      <c r="M324" s="49">
        <v>42999</v>
      </c>
      <c r="N324" s="49"/>
      <c r="O324" s="50">
        <v>0</v>
      </c>
      <c r="P324" s="51">
        <v>256</v>
      </c>
      <c r="Q324" s="51">
        <f t="shared" si="11"/>
        <v>0</v>
      </c>
      <c r="R324" s="31">
        <v>202310</v>
      </c>
      <c r="S324" s="109" t="s">
        <v>509</v>
      </c>
      <c r="T324" s="109"/>
      <c r="U324" s="108"/>
      <c r="V324" s="109"/>
      <c r="W324" s="52"/>
      <c r="X324" s="52"/>
      <c r="Y324" s="36"/>
      <c r="Z324" s="36"/>
      <c r="AA324" s="36"/>
      <c r="AB324" s="36"/>
      <c r="AC324" s="36"/>
      <c r="AD324" s="36"/>
      <c r="AE324" s="36"/>
      <c r="AF324" s="40" t="s">
        <v>503</v>
      </c>
      <c r="AG324" s="42"/>
      <c r="AH324" s="42"/>
      <c r="AI324" s="43"/>
      <c r="AJ324" s="43"/>
      <c r="AK324" s="43"/>
      <c r="AL324" s="43"/>
      <c r="AM324" s="43"/>
      <c r="AN324" s="42"/>
      <c r="AO324" s="42"/>
      <c r="AP324" s="42"/>
      <c r="AQ324" s="43"/>
      <c r="AR324" s="42"/>
      <c r="AS324" s="42" t="s">
        <v>497</v>
      </c>
    </row>
    <row r="325" spans="1:45" ht="15" customHeight="1">
      <c r="A325" s="20" t="s">
        <v>258</v>
      </c>
      <c r="B325" s="21" t="s">
        <v>46</v>
      </c>
      <c r="C325" s="22" t="s">
        <v>188</v>
      </c>
      <c r="D325" s="22" t="s">
        <v>48</v>
      </c>
      <c r="E325" s="23" t="s">
        <v>431</v>
      </c>
      <c r="F325" s="20" t="s">
        <v>432</v>
      </c>
      <c r="G325" s="47" t="s">
        <v>165</v>
      </c>
      <c r="H325" s="45" t="s">
        <v>478</v>
      </c>
      <c r="I325" s="24" t="s">
        <v>491</v>
      </c>
      <c r="J325" s="47" t="s">
        <v>480</v>
      </c>
      <c r="K325" s="26" t="s">
        <v>492</v>
      </c>
      <c r="L325" s="48"/>
      <c r="M325" s="49">
        <v>43804</v>
      </c>
      <c r="N325" s="49"/>
      <c r="O325" s="50">
        <v>35</v>
      </c>
      <c r="P325" s="51">
        <v>32</v>
      </c>
      <c r="Q325" s="51">
        <f t="shared" si="11"/>
        <v>1120</v>
      </c>
      <c r="R325" s="31">
        <v>202310</v>
      </c>
      <c r="S325" s="109" t="s">
        <v>510</v>
      </c>
      <c r="T325" s="109"/>
      <c r="U325" s="108"/>
      <c r="V325" s="109"/>
      <c r="W325" s="52"/>
      <c r="X325" s="52"/>
      <c r="Y325" s="36"/>
      <c r="Z325" s="36"/>
      <c r="AA325" s="36"/>
      <c r="AB325" s="36"/>
      <c r="AC325" s="36"/>
      <c r="AD325" s="36"/>
      <c r="AE325" s="36"/>
      <c r="AF325" s="40" t="s">
        <v>484</v>
      </c>
      <c r="AG325" s="42"/>
      <c r="AH325" s="42"/>
      <c r="AI325" s="43"/>
      <c r="AJ325" s="43"/>
      <c r="AK325" s="43"/>
      <c r="AL325" s="43"/>
      <c r="AM325" s="43"/>
      <c r="AN325" s="42"/>
      <c r="AO325" s="42"/>
      <c r="AP325" s="42"/>
      <c r="AQ325" s="43"/>
      <c r="AR325" s="42"/>
      <c r="AS325" s="42" t="s">
        <v>497</v>
      </c>
    </row>
    <row r="326" spans="1:45" ht="15" customHeight="1">
      <c r="A326" s="20" t="s">
        <v>258</v>
      </c>
      <c r="B326" s="21" t="s">
        <v>46</v>
      </c>
      <c r="C326" s="22" t="s">
        <v>188</v>
      </c>
      <c r="D326" s="22" t="s">
        <v>48</v>
      </c>
      <c r="E326" s="23" t="s">
        <v>431</v>
      </c>
      <c r="F326" s="20" t="s">
        <v>432</v>
      </c>
      <c r="G326" s="47" t="s">
        <v>165</v>
      </c>
      <c r="H326" s="45" t="s">
        <v>478</v>
      </c>
      <c r="I326" s="24" t="s">
        <v>491</v>
      </c>
      <c r="J326" s="47" t="s">
        <v>480</v>
      </c>
      <c r="K326" s="26" t="s">
        <v>492</v>
      </c>
      <c r="L326" s="48"/>
      <c r="M326" s="49">
        <v>45107</v>
      </c>
      <c r="N326" s="49"/>
      <c r="O326" s="50">
        <v>35</v>
      </c>
      <c r="P326" s="51">
        <v>-32</v>
      </c>
      <c r="Q326" s="51">
        <f t="shared" si="11"/>
        <v>-1120</v>
      </c>
      <c r="R326" s="31">
        <v>202310</v>
      </c>
      <c r="S326" s="108" t="s">
        <v>511</v>
      </c>
      <c r="T326" s="108"/>
      <c r="U326" s="108"/>
      <c r="V326" s="108"/>
      <c r="W326" s="52"/>
      <c r="X326" s="52"/>
      <c r="Y326" s="36"/>
      <c r="Z326" s="36"/>
      <c r="AA326" s="36"/>
      <c r="AB326" s="36"/>
      <c r="AC326" s="36"/>
      <c r="AD326" s="36"/>
      <c r="AE326" s="36"/>
      <c r="AF326" s="40" t="s">
        <v>484</v>
      </c>
      <c r="AG326" s="40"/>
      <c r="AH326" s="42"/>
      <c r="AI326" s="42"/>
      <c r="AJ326" s="43"/>
      <c r="AK326" s="43"/>
      <c r="AL326" s="43"/>
      <c r="AM326" s="43"/>
      <c r="AN326" s="42"/>
      <c r="AO326" s="42"/>
      <c r="AP326" s="42"/>
      <c r="AQ326" s="42"/>
      <c r="AR326" s="42"/>
      <c r="AS326" s="42" t="s">
        <v>497</v>
      </c>
    </row>
    <row r="327" spans="1:45" ht="15" customHeight="1">
      <c r="A327" s="20" t="s">
        <v>258</v>
      </c>
      <c r="B327" s="21" t="s">
        <v>46</v>
      </c>
      <c r="C327" s="22" t="s">
        <v>188</v>
      </c>
      <c r="D327" s="22" t="s">
        <v>48</v>
      </c>
      <c r="E327" s="23" t="s">
        <v>431</v>
      </c>
      <c r="F327" s="20" t="s">
        <v>432</v>
      </c>
      <c r="G327" s="47" t="s">
        <v>165</v>
      </c>
      <c r="H327" s="45" t="s">
        <v>478</v>
      </c>
      <c r="I327" s="24" t="s">
        <v>491</v>
      </c>
      <c r="J327" s="47" t="s">
        <v>480</v>
      </c>
      <c r="K327" s="26" t="s">
        <v>492</v>
      </c>
      <c r="L327" s="48"/>
      <c r="M327" s="49">
        <v>44049</v>
      </c>
      <c r="N327" s="49"/>
      <c r="O327" s="50">
        <v>35</v>
      </c>
      <c r="P327" s="51">
        <v>256</v>
      </c>
      <c r="Q327" s="51">
        <f t="shared" si="11"/>
        <v>8960</v>
      </c>
      <c r="R327" s="31">
        <v>202310</v>
      </c>
      <c r="S327" s="109" t="s">
        <v>512</v>
      </c>
      <c r="T327" s="109"/>
      <c r="U327" s="108"/>
      <c r="V327" s="109"/>
      <c r="W327" s="52"/>
      <c r="X327" s="52"/>
      <c r="Y327" s="36"/>
      <c r="Z327" s="36"/>
      <c r="AA327" s="36"/>
      <c r="AB327" s="36"/>
      <c r="AC327" s="36"/>
      <c r="AD327" s="36"/>
      <c r="AE327" s="36"/>
      <c r="AF327" s="40" t="s">
        <v>484</v>
      </c>
      <c r="AG327" s="42"/>
      <c r="AH327" s="42"/>
      <c r="AI327" s="43"/>
      <c r="AJ327" s="43"/>
      <c r="AK327" s="43"/>
      <c r="AL327" s="43"/>
      <c r="AM327" s="43"/>
      <c r="AN327" s="42"/>
      <c r="AO327" s="42"/>
      <c r="AP327" s="42"/>
      <c r="AQ327" s="43"/>
      <c r="AR327" s="42"/>
      <c r="AS327" s="42" t="s">
        <v>497</v>
      </c>
    </row>
    <row r="328" spans="1:45" ht="15" customHeight="1">
      <c r="A328" s="20" t="s">
        <v>258</v>
      </c>
      <c r="B328" s="21" t="s">
        <v>46</v>
      </c>
      <c r="C328" s="22" t="s">
        <v>188</v>
      </c>
      <c r="D328" s="22" t="s">
        <v>48</v>
      </c>
      <c r="E328" s="23" t="s">
        <v>431</v>
      </c>
      <c r="F328" s="20" t="s">
        <v>432</v>
      </c>
      <c r="G328" s="47" t="s">
        <v>165</v>
      </c>
      <c r="H328" s="45" t="s">
        <v>478</v>
      </c>
      <c r="I328" s="24" t="s">
        <v>491</v>
      </c>
      <c r="J328" s="47" t="s">
        <v>480</v>
      </c>
      <c r="K328" s="26" t="s">
        <v>492</v>
      </c>
      <c r="L328" s="48"/>
      <c r="M328" s="49">
        <v>44909</v>
      </c>
      <c r="N328" s="49"/>
      <c r="O328" s="50">
        <v>35</v>
      </c>
      <c r="P328" s="51">
        <v>32</v>
      </c>
      <c r="Q328" s="51">
        <f t="shared" si="11"/>
        <v>1120</v>
      </c>
      <c r="R328" s="31">
        <v>202310</v>
      </c>
      <c r="S328" s="109" t="s">
        <v>513</v>
      </c>
      <c r="T328" s="109"/>
      <c r="U328" s="108"/>
      <c r="V328" s="109"/>
      <c r="W328" s="52"/>
      <c r="X328" s="52"/>
      <c r="Y328" s="36"/>
      <c r="Z328" s="36"/>
      <c r="AA328" s="36"/>
      <c r="AB328" s="36"/>
      <c r="AC328" s="36"/>
      <c r="AD328" s="36"/>
      <c r="AE328" s="36"/>
      <c r="AF328" s="40" t="s">
        <v>484</v>
      </c>
      <c r="AG328" s="42"/>
      <c r="AH328" s="42"/>
      <c r="AI328" s="43"/>
      <c r="AJ328" s="43"/>
      <c r="AK328" s="43"/>
      <c r="AL328" s="43"/>
      <c r="AM328" s="43"/>
      <c r="AN328" s="42"/>
      <c r="AO328" s="42"/>
      <c r="AP328" s="42"/>
      <c r="AQ328" s="43"/>
      <c r="AR328" s="42"/>
      <c r="AS328" s="42" t="s">
        <v>497</v>
      </c>
    </row>
    <row r="329" spans="1:45" ht="15" customHeight="1">
      <c r="A329" s="20" t="s">
        <v>258</v>
      </c>
      <c r="B329" s="21" t="s">
        <v>46</v>
      </c>
      <c r="C329" s="22" t="s">
        <v>188</v>
      </c>
      <c r="D329" s="22" t="s">
        <v>48</v>
      </c>
      <c r="E329" s="23" t="s">
        <v>431</v>
      </c>
      <c r="F329" s="20" t="s">
        <v>432</v>
      </c>
      <c r="G329" s="47" t="s">
        <v>165</v>
      </c>
      <c r="H329" s="45" t="s">
        <v>478</v>
      </c>
      <c r="I329" s="24" t="s">
        <v>491</v>
      </c>
      <c r="J329" s="47" t="s">
        <v>480</v>
      </c>
      <c r="K329" s="26" t="s">
        <v>492</v>
      </c>
      <c r="L329" s="48"/>
      <c r="M329" s="49">
        <v>45107</v>
      </c>
      <c r="N329" s="49"/>
      <c r="O329" s="50">
        <v>35</v>
      </c>
      <c r="P329" s="51">
        <v>-32</v>
      </c>
      <c r="Q329" s="51">
        <f t="shared" si="11"/>
        <v>-1120</v>
      </c>
      <c r="R329" s="31">
        <v>202310</v>
      </c>
      <c r="S329" s="108" t="s">
        <v>514</v>
      </c>
      <c r="T329" s="108"/>
      <c r="U329" s="108"/>
      <c r="V329" s="108"/>
      <c r="W329" s="52"/>
      <c r="X329" s="52"/>
      <c r="Y329" s="36"/>
      <c r="Z329" s="36"/>
      <c r="AA329" s="36"/>
      <c r="AB329" s="36"/>
      <c r="AC329" s="36"/>
      <c r="AD329" s="36"/>
      <c r="AE329" s="36"/>
      <c r="AF329" s="40" t="s">
        <v>484</v>
      </c>
      <c r="AG329" s="40"/>
      <c r="AH329" s="42"/>
      <c r="AI329" s="42"/>
      <c r="AJ329" s="43"/>
      <c r="AK329" s="43"/>
      <c r="AL329" s="43"/>
      <c r="AM329" s="43"/>
      <c r="AN329" s="42"/>
      <c r="AO329" s="42"/>
      <c r="AP329" s="42"/>
      <c r="AQ329" s="42"/>
      <c r="AR329" s="42"/>
      <c r="AS329" s="42" t="s">
        <v>497</v>
      </c>
    </row>
    <row r="330" spans="1:45" ht="15" customHeight="1">
      <c r="A330" s="20" t="s">
        <v>260</v>
      </c>
      <c r="B330" s="21" t="s">
        <v>46</v>
      </c>
      <c r="C330" s="22" t="s">
        <v>188</v>
      </c>
      <c r="D330" s="22" t="s">
        <v>48</v>
      </c>
      <c r="E330" s="23" t="s">
        <v>431</v>
      </c>
      <c r="F330" s="20" t="s">
        <v>432</v>
      </c>
      <c r="G330" s="47" t="s">
        <v>165</v>
      </c>
      <c r="H330" s="45" t="s">
        <v>478</v>
      </c>
      <c r="I330" s="24" t="s">
        <v>491</v>
      </c>
      <c r="J330" s="47" t="s">
        <v>480</v>
      </c>
      <c r="K330" s="26" t="s">
        <v>494</v>
      </c>
      <c r="L330" s="48"/>
      <c r="M330" s="49">
        <v>42999</v>
      </c>
      <c r="N330" s="49"/>
      <c r="O330" s="50">
        <v>50</v>
      </c>
      <c r="P330" s="51">
        <v>288</v>
      </c>
      <c r="Q330" s="51">
        <f t="shared" si="11"/>
        <v>14400</v>
      </c>
      <c r="R330" s="31">
        <v>202310</v>
      </c>
      <c r="S330" s="109" t="s">
        <v>515</v>
      </c>
      <c r="T330" s="109"/>
      <c r="U330" s="108"/>
      <c r="V330" s="109"/>
      <c r="W330" s="52"/>
      <c r="X330" s="52"/>
      <c r="Y330" s="36"/>
      <c r="Z330" s="36"/>
      <c r="AA330" s="36"/>
      <c r="AB330" s="36"/>
      <c r="AC330" s="36"/>
      <c r="AD330" s="36"/>
      <c r="AE330" s="36"/>
      <c r="AF330" s="40" t="s">
        <v>503</v>
      </c>
      <c r="AG330" s="42"/>
      <c r="AH330" s="42"/>
      <c r="AI330" s="43"/>
      <c r="AJ330" s="43"/>
      <c r="AK330" s="43"/>
      <c r="AL330" s="43"/>
      <c r="AM330" s="43"/>
      <c r="AN330" s="42"/>
      <c r="AO330" s="42"/>
      <c r="AP330" s="42"/>
      <c r="AQ330" s="43"/>
      <c r="AR330" s="42"/>
      <c r="AS330" s="42" t="s">
        <v>497</v>
      </c>
    </row>
    <row r="331" spans="1:45" ht="15" customHeight="1">
      <c r="A331" s="20" t="s">
        <v>260</v>
      </c>
      <c r="B331" s="21" t="s">
        <v>46</v>
      </c>
      <c r="C331" s="22" t="s">
        <v>188</v>
      </c>
      <c r="D331" s="22" t="s">
        <v>48</v>
      </c>
      <c r="E331" s="23" t="s">
        <v>431</v>
      </c>
      <c r="F331" s="20" t="s">
        <v>432</v>
      </c>
      <c r="G331" s="47" t="s">
        <v>165</v>
      </c>
      <c r="H331" s="45" t="s">
        <v>478</v>
      </c>
      <c r="I331" s="24" t="s">
        <v>491</v>
      </c>
      <c r="J331" s="47" t="s">
        <v>480</v>
      </c>
      <c r="K331" s="26" t="s">
        <v>494</v>
      </c>
      <c r="L331" s="48"/>
      <c r="M331" s="49">
        <v>43812</v>
      </c>
      <c r="N331" s="49"/>
      <c r="O331" s="50">
        <v>50</v>
      </c>
      <c r="P331" s="51">
        <v>32</v>
      </c>
      <c r="Q331" s="51">
        <f t="shared" si="11"/>
        <v>1600</v>
      </c>
      <c r="R331" s="31">
        <v>202310</v>
      </c>
      <c r="S331" s="109" t="s">
        <v>516</v>
      </c>
      <c r="T331" s="109"/>
      <c r="U331" s="108"/>
      <c r="V331" s="109"/>
      <c r="W331" s="52"/>
      <c r="X331" s="52"/>
      <c r="Y331" s="36"/>
      <c r="Z331" s="36"/>
      <c r="AA331" s="36"/>
      <c r="AB331" s="36"/>
      <c r="AC331" s="36"/>
      <c r="AD331" s="36"/>
      <c r="AE331" s="36"/>
      <c r="AF331" s="40" t="s">
        <v>484</v>
      </c>
      <c r="AG331" s="42"/>
      <c r="AH331" s="42"/>
      <c r="AI331" s="43"/>
      <c r="AJ331" s="43"/>
      <c r="AK331" s="43"/>
      <c r="AL331" s="43"/>
      <c r="AM331" s="43"/>
      <c r="AN331" s="42"/>
      <c r="AO331" s="42"/>
      <c r="AP331" s="42"/>
      <c r="AQ331" s="43"/>
      <c r="AR331" s="42"/>
      <c r="AS331" s="42" t="s">
        <v>497</v>
      </c>
    </row>
    <row r="332" spans="1:45" ht="15" customHeight="1">
      <c r="A332" s="20" t="s">
        <v>260</v>
      </c>
      <c r="B332" s="21" t="s">
        <v>46</v>
      </c>
      <c r="C332" s="22" t="s">
        <v>188</v>
      </c>
      <c r="D332" s="22" t="s">
        <v>48</v>
      </c>
      <c r="E332" s="23" t="s">
        <v>431</v>
      </c>
      <c r="F332" s="20" t="s">
        <v>432</v>
      </c>
      <c r="G332" s="47" t="s">
        <v>165</v>
      </c>
      <c r="H332" s="45" t="s">
        <v>478</v>
      </c>
      <c r="I332" s="24" t="s">
        <v>491</v>
      </c>
      <c r="J332" s="47" t="s">
        <v>480</v>
      </c>
      <c r="K332" s="26" t="s">
        <v>494</v>
      </c>
      <c r="L332" s="48"/>
      <c r="M332" s="49">
        <v>45107</v>
      </c>
      <c r="N332" s="49"/>
      <c r="O332" s="50">
        <v>50</v>
      </c>
      <c r="P332" s="51">
        <v>-32</v>
      </c>
      <c r="Q332" s="51">
        <f t="shared" ref="Q332:Q414" si="12">ROUND(O332*P332,2)</f>
        <v>-1600</v>
      </c>
      <c r="R332" s="31">
        <v>202310</v>
      </c>
      <c r="S332" s="109" t="s">
        <v>517</v>
      </c>
      <c r="T332" s="109"/>
      <c r="U332" s="108"/>
      <c r="V332" s="109"/>
      <c r="W332" s="52"/>
      <c r="X332" s="52"/>
      <c r="Y332" s="36"/>
      <c r="Z332" s="36"/>
      <c r="AA332" s="36"/>
      <c r="AB332" s="36"/>
      <c r="AC332" s="36"/>
      <c r="AD332" s="36"/>
      <c r="AE332" s="36"/>
      <c r="AF332" s="40" t="s">
        <v>484</v>
      </c>
      <c r="AG332" s="40"/>
      <c r="AH332" s="42"/>
      <c r="AI332" s="42"/>
      <c r="AJ332" s="43"/>
      <c r="AK332" s="43"/>
      <c r="AL332" s="43"/>
      <c r="AM332" s="43"/>
      <c r="AN332" s="42"/>
      <c r="AO332" s="42"/>
      <c r="AP332" s="42"/>
      <c r="AQ332" s="42"/>
      <c r="AR332" s="42"/>
      <c r="AS332" s="42" t="s">
        <v>497</v>
      </c>
    </row>
    <row r="333" spans="1:45" ht="15" customHeight="1">
      <c r="A333" s="20" t="s">
        <v>260</v>
      </c>
      <c r="B333" s="21" t="s">
        <v>46</v>
      </c>
      <c r="C333" s="22" t="s">
        <v>188</v>
      </c>
      <c r="D333" s="22" t="s">
        <v>48</v>
      </c>
      <c r="E333" s="23" t="s">
        <v>431</v>
      </c>
      <c r="F333" s="20" t="s">
        <v>432</v>
      </c>
      <c r="G333" s="47" t="s">
        <v>165</v>
      </c>
      <c r="H333" s="45" t="s">
        <v>478</v>
      </c>
      <c r="I333" s="24" t="s">
        <v>491</v>
      </c>
      <c r="J333" s="47" t="s">
        <v>480</v>
      </c>
      <c r="K333" s="26" t="s">
        <v>494</v>
      </c>
      <c r="L333" s="48"/>
      <c r="M333" s="49">
        <v>44048</v>
      </c>
      <c r="N333" s="49"/>
      <c r="O333" s="50">
        <v>50</v>
      </c>
      <c r="P333" s="51">
        <v>256</v>
      </c>
      <c r="Q333" s="51">
        <f t="shared" si="12"/>
        <v>12800</v>
      </c>
      <c r="R333" s="31">
        <v>202310</v>
      </c>
      <c r="S333" s="109" t="s">
        <v>518</v>
      </c>
      <c r="T333" s="109"/>
      <c r="U333" s="108"/>
      <c r="V333" s="109"/>
      <c r="W333" s="52"/>
      <c r="X333" s="52"/>
      <c r="Y333" s="36"/>
      <c r="Z333" s="36"/>
      <c r="AA333" s="36"/>
      <c r="AB333" s="36"/>
      <c r="AC333" s="36"/>
      <c r="AD333" s="36"/>
      <c r="AE333" s="36"/>
      <c r="AF333" s="40" t="s">
        <v>484</v>
      </c>
      <c r="AG333" s="42"/>
      <c r="AH333" s="42"/>
      <c r="AI333" s="43"/>
      <c r="AJ333" s="43"/>
      <c r="AK333" s="43"/>
      <c r="AL333" s="43"/>
      <c r="AM333" s="43"/>
      <c r="AN333" s="42"/>
      <c r="AO333" s="42"/>
      <c r="AP333" s="42"/>
      <c r="AQ333" s="43"/>
      <c r="AR333" s="42"/>
      <c r="AS333" s="42" t="s">
        <v>497</v>
      </c>
    </row>
    <row r="334" spans="1:45" ht="15" customHeight="1">
      <c r="A334" s="20" t="s">
        <v>45</v>
      </c>
      <c r="B334" s="21" t="s">
        <v>46</v>
      </c>
      <c r="C334" s="22" t="s">
        <v>188</v>
      </c>
      <c r="D334" s="22" t="s">
        <v>48</v>
      </c>
      <c r="E334" s="23" t="s">
        <v>431</v>
      </c>
      <c r="F334" s="20" t="s">
        <v>432</v>
      </c>
      <c r="G334" s="47" t="s">
        <v>165</v>
      </c>
      <c r="H334" s="45" t="s">
        <v>478</v>
      </c>
      <c r="I334" s="24" t="s">
        <v>491</v>
      </c>
      <c r="J334" s="47" t="s">
        <v>480</v>
      </c>
      <c r="K334" s="26" t="s">
        <v>499</v>
      </c>
      <c r="L334" s="48"/>
      <c r="M334" s="49">
        <v>42999</v>
      </c>
      <c r="N334" s="49"/>
      <c r="O334" s="50">
        <v>30</v>
      </c>
      <c r="P334" s="51">
        <v>288</v>
      </c>
      <c r="Q334" s="51">
        <f t="shared" si="12"/>
        <v>8640</v>
      </c>
      <c r="R334" s="31">
        <v>202310</v>
      </c>
      <c r="S334" s="109" t="s">
        <v>519</v>
      </c>
      <c r="T334" s="109"/>
      <c r="U334" s="108"/>
      <c r="V334" s="109"/>
      <c r="W334" s="52"/>
      <c r="X334" s="52"/>
      <c r="Y334" s="36"/>
      <c r="Z334" s="36"/>
      <c r="AA334" s="36"/>
      <c r="AB334" s="36"/>
      <c r="AC334" s="36"/>
      <c r="AD334" s="36"/>
      <c r="AE334" s="36"/>
      <c r="AF334" s="40" t="s">
        <v>503</v>
      </c>
      <c r="AG334" s="42"/>
      <c r="AH334" s="42"/>
      <c r="AI334" s="43"/>
      <c r="AJ334" s="43"/>
      <c r="AK334" s="43"/>
      <c r="AL334" s="43"/>
      <c r="AM334" s="43"/>
      <c r="AN334" s="42"/>
      <c r="AO334" s="42"/>
      <c r="AP334" s="42"/>
      <c r="AQ334" s="43"/>
      <c r="AR334" s="42"/>
      <c r="AS334" s="42" t="s">
        <v>497</v>
      </c>
    </row>
    <row r="335" spans="1:45" ht="15" customHeight="1">
      <c r="A335" s="20" t="s">
        <v>45</v>
      </c>
      <c r="B335" s="21" t="s">
        <v>46</v>
      </c>
      <c r="C335" s="22" t="s">
        <v>188</v>
      </c>
      <c r="D335" s="22" t="s">
        <v>48</v>
      </c>
      <c r="E335" s="23" t="s">
        <v>431</v>
      </c>
      <c r="F335" s="20" t="s">
        <v>432</v>
      </c>
      <c r="G335" s="47" t="s">
        <v>165</v>
      </c>
      <c r="H335" s="45" t="s">
        <v>478</v>
      </c>
      <c r="I335" s="24" t="s">
        <v>491</v>
      </c>
      <c r="J335" s="47" t="s">
        <v>480</v>
      </c>
      <c r="K335" s="26" t="s">
        <v>499</v>
      </c>
      <c r="L335" s="48"/>
      <c r="M335" s="49">
        <v>43812</v>
      </c>
      <c r="N335" s="49"/>
      <c r="O335" s="50">
        <v>30</v>
      </c>
      <c r="P335" s="51">
        <v>32</v>
      </c>
      <c r="Q335" s="51">
        <f t="shared" si="12"/>
        <v>960</v>
      </c>
      <c r="R335" s="31">
        <v>202310</v>
      </c>
      <c r="S335" s="109" t="s">
        <v>520</v>
      </c>
      <c r="T335" s="109"/>
      <c r="U335" s="108"/>
      <c r="V335" s="109"/>
      <c r="W335" s="52"/>
      <c r="X335" s="52"/>
      <c r="Y335" s="36"/>
      <c r="Z335" s="36"/>
      <c r="AA335" s="36"/>
      <c r="AB335" s="36"/>
      <c r="AC335" s="36"/>
      <c r="AD335" s="36"/>
      <c r="AE335" s="36"/>
      <c r="AF335" s="40" t="s">
        <v>484</v>
      </c>
      <c r="AG335" s="42"/>
      <c r="AH335" s="42"/>
      <c r="AI335" s="43"/>
      <c r="AJ335" s="43"/>
      <c r="AK335" s="43"/>
      <c r="AL335" s="43"/>
      <c r="AM335" s="43"/>
      <c r="AN335" s="42"/>
      <c r="AO335" s="42"/>
      <c r="AP335" s="42"/>
      <c r="AQ335" s="43"/>
      <c r="AR335" s="42"/>
      <c r="AS335" s="42" t="s">
        <v>497</v>
      </c>
    </row>
    <row r="336" spans="1:45" ht="15" customHeight="1">
      <c r="A336" s="20" t="s">
        <v>45</v>
      </c>
      <c r="B336" s="21" t="s">
        <v>46</v>
      </c>
      <c r="C336" s="22" t="s">
        <v>188</v>
      </c>
      <c r="D336" s="22" t="s">
        <v>48</v>
      </c>
      <c r="E336" s="23" t="s">
        <v>431</v>
      </c>
      <c r="F336" s="20" t="s">
        <v>432</v>
      </c>
      <c r="G336" s="47" t="s">
        <v>165</v>
      </c>
      <c r="H336" s="45" t="s">
        <v>478</v>
      </c>
      <c r="I336" s="24" t="s">
        <v>491</v>
      </c>
      <c r="J336" s="47" t="s">
        <v>480</v>
      </c>
      <c r="K336" s="26" t="s">
        <v>499</v>
      </c>
      <c r="L336" s="48"/>
      <c r="M336" s="49">
        <v>45107</v>
      </c>
      <c r="N336" s="49"/>
      <c r="O336" s="50">
        <v>30</v>
      </c>
      <c r="P336" s="51">
        <v>-32</v>
      </c>
      <c r="Q336" s="51">
        <f t="shared" si="12"/>
        <v>-960</v>
      </c>
      <c r="R336" s="31">
        <v>202310</v>
      </c>
      <c r="S336" s="108" t="s">
        <v>521</v>
      </c>
      <c r="T336" s="109"/>
      <c r="U336" s="108"/>
      <c r="V336" s="109"/>
      <c r="W336" s="52"/>
      <c r="X336" s="52"/>
      <c r="Y336" s="36"/>
      <c r="Z336" s="36"/>
      <c r="AA336" s="36"/>
      <c r="AB336" s="36"/>
      <c r="AC336" s="36"/>
      <c r="AD336" s="36"/>
      <c r="AE336" s="36"/>
      <c r="AF336" s="40" t="s">
        <v>484</v>
      </c>
      <c r="AG336" s="40"/>
      <c r="AH336" s="42"/>
      <c r="AI336" s="42"/>
      <c r="AJ336" s="43"/>
      <c r="AK336" s="43"/>
      <c r="AL336" s="43"/>
      <c r="AM336" s="43"/>
      <c r="AN336" s="42"/>
      <c r="AO336" s="42"/>
      <c r="AP336" s="42"/>
      <c r="AQ336" s="42"/>
      <c r="AR336" s="42"/>
      <c r="AS336" s="42" t="s">
        <v>497</v>
      </c>
    </row>
    <row r="337" spans="1:45" ht="15" customHeight="1">
      <c r="A337" s="20" t="s">
        <v>45</v>
      </c>
      <c r="B337" s="21" t="s">
        <v>46</v>
      </c>
      <c r="C337" s="22" t="s">
        <v>188</v>
      </c>
      <c r="D337" s="22" t="s">
        <v>48</v>
      </c>
      <c r="E337" s="23" t="s">
        <v>431</v>
      </c>
      <c r="F337" s="20" t="s">
        <v>432</v>
      </c>
      <c r="G337" s="47" t="s">
        <v>165</v>
      </c>
      <c r="H337" s="45" t="s">
        <v>478</v>
      </c>
      <c r="I337" s="24" t="s">
        <v>491</v>
      </c>
      <c r="J337" s="47" t="s">
        <v>480</v>
      </c>
      <c r="K337" s="26" t="s">
        <v>499</v>
      </c>
      <c r="L337" s="48"/>
      <c r="M337" s="49">
        <v>44048</v>
      </c>
      <c r="N337" s="49"/>
      <c r="O337" s="50">
        <v>30</v>
      </c>
      <c r="P337" s="51">
        <v>256</v>
      </c>
      <c r="Q337" s="51">
        <f t="shared" si="12"/>
        <v>7680</v>
      </c>
      <c r="R337" s="31">
        <v>202310</v>
      </c>
      <c r="S337" s="109" t="s">
        <v>522</v>
      </c>
      <c r="T337" s="109"/>
      <c r="U337" s="108"/>
      <c r="V337" s="109"/>
      <c r="W337" s="52"/>
      <c r="X337" s="52"/>
      <c r="Y337" s="36"/>
      <c r="Z337" s="36"/>
      <c r="AA337" s="36"/>
      <c r="AB337" s="36"/>
      <c r="AC337" s="36"/>
      <c r="AD337" s="36"/>
      <c r="AE337" s="36"/>
      <c r="AF337" s="40" t="s">
        <v>484</v>
      </c>
      <c r="AG337" s="42"/>
      <c r="AH337" s="42"/>
      <c r="AI337" s="43"/>
      <c r="AJ337" s="43"/>
      <c r="AK337" s="43"/>
      <c r="AL337" s="43"/>
      <c r="AM337" s="43"/>
      <c r="AN337" s="42"/>
      <c r="AO337" s="42"/>
      <c r="AP337" s="42"/>
      <c r="AQ337" s="43"/>
      <c r="AR337" s="42"/>
      <c r="AS337" s="42" t="s">
        <v>497</v>
      </c>
    </row>
    <row r="338" spans="1:45" ht="15" customHeight="1">
      <c r="A338" s="20" t="s">
        <v>258</v>
      </c>
      <c r="B338" s="21" t="s">
        <v>46</v>
      </c>
      <c r="C338" s="22" t="s">
        <v>188</v>
      </c>
      <c r="D338" s="22" t="s">
        <v>48</v>
      </c>
      <c r="E338" s="23" t="s">
        <v>431</v>
      </c>
      <c r="F338" s="20" t="s">
        <v>432</v>
      </c>
      <c r="G338" s="47" t="s">
        <v>77</v>
      </c>
      <c r="H338" s="45" t="s">
        <v>478</v>
      </c>
      <c r="I338" s="24" t="s">
        <v>479</v>
      </c>
      <c r="J338" s="47" t="s">
        <v>480</v>
      </c>
      <c r="K338" s="26" t="s">
        <v>481</v>
      </c>
      <c r="L338" s="48" t="s">
        <v>482</v>
      </c>
      <c r="M338" s="49">
        <v>44737</v>
      </c>
      <c r="N338" s="49" t="s">
        <v>177</v>
      </c>
      <c r="O338" s="50">
        <v>4000</v>
      </c>
      <c r="P338" s="51">
        <v>1</v>
      </c>
      <c r="Q338" s="51">
        <f t="shared" si="12"/>
        <v>4000</v>
      </c>
      <c r="R338" s="31">
        <v>202310</v>
      </c>
      <c r="S338" s="108" t="s">
        <v>523</v>
      </c>
      <c r="T338" s="108"/>
      <c r="U338" s="108"/>
      <c r="V338" s="108"/>
      <c r="W338" s="52"/>
      <c r="X338" s="52"/>
      <c r="Y338" s="36"/>
      <c r="Z338" s="36"/>
      <c r="AA338" s="36"/>
      <c r="AB338" s="36"/>
      <c r="AC338" s="36"/>
      <c r="AD338" s="36"/>
      <c r="AE338" s="36"/>
      <c r="AF338" s="40" t="s">
        <v>503</v>
      </c>
      <c r="AG338" s="42"/>
      <c r="AH338" s="42"/>
      <c r="AI338" s="43"/>
      <c r="AJ338" s="43"/>
      <c r="AK338" s="43"/>
      <c r="AL338" s="43"/>
      <c r="AM338" s="43"/>
      <c r="AN338" s="42"/>
      <c r="AO338" s="42"/>
      <c r="AP338" s="42"/>
      <c r="AQ338" s="43"/>
      <c r="AR338" s="42"/>
      <c r="AS338" s="42" t="s">
        <v>497</v>
      </c>
    </row>
    <row r="339" spans="1:45" ht="15" customHeight="1">
      <c r="A339" s="20" t="s">
        <v>258</v>
      </c>
      <c r="B339" s="21" t="s">
        <v>46</v>
      </c>
      <c r="C339" s="22" t="s">
        <v>188</v>
      </c>
      <c r="D339" s="22" t="s">
        <v>48</v>
      </c>
      <c r="E339" s="23" t="s">
        <v>431</v>
      </c>
      <c r="F339" s="20" t="s">
        <v>432</v>
      </c>
      <c r="G339" s="47" t="s">
        <v>77</v>
      </c>
      <c r="H339" s="45" t="s">
        <v>478</v>
      </c>
      <c r="I339" s="24" t="s">
        <v>479</v>
      </c>
      <c r="J339" s="47" t="s">
        <v>480</v>
      </c>
      <c r="K339" s="26" t="s">
        <v>481</v>
      </c>
      <c r="L339" s="48" t="s">
        <v>488</v>
      </c>
      <c r="M339" s="49">
        <v>44866</v>
      </c>
      <c r="N339" s="49" t="s">
        <v>177</v>
      </c>
      <c r="O339" s="50">
        <v>3700</v>
      </c>
      <c r="P339" s="51">
        <v>13</v>
      </c>
      <c r="Q339" s="51">
        <f t="shared" si="12"/>
        <v>48100</v>
      </c>
      <c r="R339" s="31">
        <v>202310</v>
      </c>
      <c r="S339" s="108" t="s">
        <v>524</v>
      </c>
      <c r="T339" s="108"/>
      <c r="U339" s="108"/>
      <c r="V339" s="108"/>
      <c r="W339" s="52"/>
      <c r="X339" s="52"/>
      <c r="Y339" s="36"/>
      <c r="Z339" s="36"/>
      <c r="AA339" s="36"/>
      <c r="AB339" s="36"/>
      <c r="AC339" s="36"/>
      <c r="AD339" s="36"/>
      <c r="AE339" s="36"/>
      <c r="AF339" s="40" t="s">
        <v>484</v>
      </c>
      <c r="AG339" s="42"/>
      <c r="AH339" s="42"/>
      <c r="AI339" s="43"/>
      <c r="AJ339" s="43"/>
      <c r="AK339" s="43"/>
      <c r="AL339" s="43"/>
      <c r="AM339" s="43"/>
      <c r="AN339" s="42"/>
      <c r="AO339" s="42"/>
      <c r="AP339" s="42"/>
      <c r="AQ339" s="43"/>
      <c r="AR339" s="42"/>
      <c r="AS339" s="42" t="s">
        <v>497</v>
      </c>
    </row>
    <row r="340" spans="1:45" ht="15" customHeight="1">
      <c r="A340" s="20" t="s">
        <v>258</v>
      </c>
      <c r="B340" s="21" t="s">
        <v>46</v>
      </c>
      <c r="C340" s="22" t="s">
        <v>188</v>
      </c>
      <c r="D340" s="22" t="s">
        <v>48</v>
      </c>
      <c r="E340" s="23" t="s">
        <v>431</v>
      </c>
      <c r="F340" s="20" t="s">
        <v>432</v>
      </c>
      <c r="G340" s="47" t="s">
        <v>77</v>
      </c>
      <c r="H340" s="45" t="s">
        <v>478</v>
      </c>
      <c r="I340" s="24" t="s">
        <v>479</v>
      </c>
      <c r="J340" s="47" t="s">
        <v>480</v>
      </c>
      <c r="K340" s="26" t="s">
        <v>481</v>
      </c>
      <c r="L340" s="48" t="s">
        <v>488</v>
      </c>
      <c r="M340" s="49">
        <v>44874</v>
      </c>
      <c r="N340" s="49" t="s">
        <v>177</v>
      </c>
      <c r="O340" s="50">
        <v>3700</v>
      </c>
      <c r="P340" s="51">
        <v>1</v>
      </c>
      <c r="Q340" s="51">
        <f t="shared" si="12"/>
        <v>3700</v>
      </c>
      <c r="R340" s="31">
        <v>202310</v>
      </c>
      <c r="S340" s="108" t="s">
        <v>525</v>
      </c>
      <c r="T340" s="108"/>
      <c r="U340" s="108"/>
      <c r="V340" s="108"/>
      <c r="W340" s="52"/>
      <c r="X340" s="52"/>
      <c r="Y340" s="36"/>
      <c r="Z340" s="36"/>
      <c r="AA340" s="36"/>
      <c r="AB340" s="36"/>
      <c r="AC340" s="36"/>
      <c r="AD340" s="36"/>
      <c r="AE340" s="36"/>
      <c r="AF340" s="40" t="s">
        <v>484</v>
      </c>
      <c r="AG340" s="42"/>
      <c r="AH340" s="42"/>
      <c r="AI340" s="43"/>
      <c r="AJ340" s="43"/>
      <c r="AK340" s="43"/>
      <c r="AL340" s="43"/>
      <c r="AM340" s="43"/>
      <c r="AN340" s="42"/>
      <c r="AO340" s="42"/>
      <c r="AP340" s="42"/>
      <c r="AQ340" s="43"/>
      <c r="AR340" s="42"/>
      <c r="AS340" s="42" t="s">
        <v>497</v>
      </c>
    </row>
    <row r="341" spans="1:45" ht="15" customHeight="1">
      <c r="A341" s="20" t="s">
        <v>258</v>
      </c>
      <c r="B341" s="21" t="s">
        <v>46</v>
      </c>
      <c r="C341" s="22" t="s">
        <v>188</v>
      </c>
      <c r="D341" s="22" t="s">
        <v>48</v>
      </c>
      <c r="E341" s="23" t="s">
        <v>431</v>
      </c>
      <c r="F341" s="20" t="s">
        <v>432</v>
      </c>
      <c r="G341" s="47" t="s">
        <v>77</v>
      </c>
      <c r="H341" s="45" t="s">
        <v>478</v>
      </c>
      <c r="I341" s="24" t="s">
        <v>479</v>
      </c>
      <c r="J341" s="47" t="s">
        <v>480</v>
      </c>
      <c r="K341" s="26" t="s">
        <v>481</v>
      </c>
      <c r="L341" s="48" t="s">
        <v>482</v>
      </c>
      <c r="M341" s="49">
        <v>44957</v>
      </c>
      <c r="N341" s="49" t="s">
        <v>177</v>
      </c>
      <c r="O341" s="50">
        <v>4000</v>
      </c>
      <c r="P341" s="51">
        <v>-3</v>
      </c>
      <c r="Q341" s="51">
        <f t="shared" si="12"/>
        <v>-12000</v>
      </c>
      <c r="R341" s="31">
        <v>202310</v>
      </c>
      <c r="S341" s="108" t="s">
        <v>526</v>
      </c>
      <c r="T341" s="108"/>
      <c r="U341" s="108"/>
      <c r="V341" s="108"/>
      <c r="W341" s="52"/>
      <c r="X341" s="52"/>
      <c r="Y341" s="36"/>
      <c r="Z341" s="36"/>
      <c r="AA341" s="36"/>
      <c r="AB341" s="36"/>
      <c r="AC341" s="36"/>
      <c r="AD341" s="36"/>
      <c r="AE341" s="36"/>
      <c r="AF341" s="40" t="s">
        <v>484</v>
      </c>
      <c r="AG341" s="42"/>
      <c r="AH341" s="42"/>
      <c r="AI341" s="43"/>
      <c r="AJ341" s="43"/>
      <c r="AK341" s="43"/>
      <c r="AL341" s="43"/>
      <c r="AM341" s="43"/>
      <c r="AN341" s="42"/>
      <c r="AO341" s="42"/>
      <c r="AP341" s="42"/>
      <c r="AQ341" s="43"/>
      <c r="AR341" s="42"/>
      <c r="AS341" s="42" t="s">
        <v>497</v>
      </c>
    </row>
    <row r="342" spans="1:45" ht="15" customHeight="1">
      <c r="A342" s="20" t="s">
        <v>258</v>
      </c>
      <c r="B342" s="21" t="s">
        <v>46</v>
      </c>
      <c r="C342" s="22" t="s">
        <v>188</v>
      </c>
      <c r="D342" s="22" t="s">
        <v>48</v>
      </c>
      <c r="E342" s="23" t="s">
        <v>431</v>
      </c>
      <c r="F342" s="20" t="s">
        <v>432</v>
      </c>
      <c r="G342" s="47" t="s">
        <v>77</v>
      </c>
      <c r="H342" s="45" t="s">
        <v>478</v>
      </c>
      <c r="I342" s="24" t="s">
        <v>479</v>
      </c>
      <c r="J342" s="47" t="s">
        <v>480</v>
      </c>
      <c r="K342" s="26" t="s">
        <v>481</v>
      </c>
      <c r="L342" s="48" t="s">
        <v>482</v>
      </c>
      <c r="M342" s="49">
        <v>45159</v>
      </c>
      <c r="N342" s="49" t="s">
        <v>177</v>
      </c>
      <c r="O342" s="50">
        <v>4000</v>
      </c>
      <c r="P342" s="51">
        <v>-5</v>
      </c>
      <c r="Q342" s="51">
        <f>ROUND(O342*P342,2)</f>
        <v>-20000</v>
      </c>
      <c r="R342" s="31">
        <v>202310</v>
      </c>
      <c r="S342" s="108" t="s">
        <v>527</v>
      </c>
      <c r="T342" s="108"/>
      <c r="U342" s="108"/>
      <c r="V342" s="108"/>
      <c r="W342" s="52"/>
      <c r="X342" s="52"/>
      <c r="Y342" s="36"/>
      <c r="Z342" s="36"/>
      <c r="AA342" s="36"/>
      <c r="AB342" s="36"/>
      <c r="AC342" s="36"/>
      <c r="AD342" s="36"/>
      <c r="AE342" s="36"/>
      <c r="AF342" s="40" t="s">
        <v>484</v>
      </c>
      <c r="AG342" s="42"/>
      <c r="AH342" s="42"/>
      <c r="AI342" s="43"/>
      <c r="AJ342" s="43"/>
      <c r="AK342" s="43"/>
      <c r="AL342" s="43"/>
      <c r="AM342" s="43"/>
      <c r="AN342" s="42"/>
      <c r="AO342" s="42"/>
      <c r="AP342" s="42"/>
      <c r="AQ342" s="43"/>
      <c r="AR342" s="42"/>
      <c r="AS342" s="42" t="s">
        <v>497</v>
      </c>
    </row>
    <row r="343" spans="1:45" ht="15" customHeight="1">
      <c r="A343" s="20" t="s">
        <v>260</v>
      </c>
      <c r="B343" s="21" t="s">
        <v>46</v>
      </c>
      <c r="C343" s="22" t="s">
        <v>188</v>
      </c>
      <c r="D343" s="22" t="s">
        <v>48</v>
      </c>
      <c r="E343" s="23" t="s">
        <v>431</v>
      </c>
      <c r="F343" s="20" t="s">
        <v>432</v>
      </c>
      <c r="G343" s="47" t="s">
        <v>165</v>
      </c>
      <c r="H343" s="45" t="s">
        <v>478</v>
      </c>
      <c r="I343" s="24" t="s">
        <v>491</v>
      </c>
      <c r="J343" s="47" t="s">
        <v>480</v>
      </c>
      <c r="K343" s="26" t="s">
        <v>494</v>
      </c>
      <c r="L343" s="48" t="s">
        <v>488</v>
      </c>
      <c r="M343" s="49">
        <v>44874</v>
      </c>
      <c r="N343" s="49"/>
      <c r="O343" s="50">
        <v>50</v>
      </c>
      <c r="P343" s="51">
        <v>64</v>
      </c>
      <c r="Q343" s="51">
        <f t="shared" si="12"/>
        <v>3200</v>
      </c>
      <c r="R343" s="31">
        <v>202310</v>
      </c>
      <c r="S343" s="108" t="s">
        <v>528</v>
      </c>
      <c r="T343" s="109"/>
      <c r="U343" s="108"/>
      <c r="V343" s="109"/>
      <c r="W343" s="52"/>
      <c r="X343" s="52"/>
      <c r="Y343" s="36"/>
      <c r="Z343" s="36"/>
      <c r="AA343" s="36"/>
      <c r="AB343" s="36"/>
      <c r="AC343" s="36"/>
      <c r="AD343" s="36"/>
      <c r="AE343" s="36"/>
      <c r="AF343" s="40" t="s">
        <v>484</v>
      </c>
      <c r="AG343" s="42"/>
      <c r="AH343" s="42"/>
      <c r="AI343" s="43"/>
      <c r="AJ343" s="43"/>
      <c r="AK343" s="43"/>
      <c r="AL343" s="43"/>
      <c r="AM343" s="43"/>
      <c r="AN343" s="42"/>
      <c r="AO343" s="42"/>
      <c r="AP343" s="42"/>
      <c r="AQ343" s="43"/>
      <c r="AR343" s="42"/>
      <c r="AS343" s="42" t="s">
        <v>497</v>
      </c>
    </row>
    <row r="344" spans="1:45" ht="15" customHeight="1">
      <c r="A344" s="20" t="s">
        <v>45</v>
      </c>
      <c r="B344" s="21" t="s">
        <v>46</v>
      </c>
      <c r="C344" s="22" t="s">
        <v>188</v>
      </c>
      <c r="D344" s="22" t="s">
        <v>48</v>
      </c>
      <c r="E344" s="23" t="s">
        <v>431</v>
      </c>
      <c r="F344" s="20" t="s">
        <v>432</v>
      </c>
      <c r="G344" s="47" t="s">
        <v>165</v>
      </c>
      <c r="H344" s="45" t="s">
        <v>478</v>
      </c>
      <c r="I344" s="24" t="s">
        <v>491</v>
      </c>
      <c r="J344" s="47" t="s">
        <v>480</v>
      </c>
      <c r="K344" s="26" t="s">
        <v>499</v>
      </c>
      <c r="L344" s="48" t="s">
        <v>488</v>
      </c>
      <c r="M344" s="49">
        <v>44874</v>
      </c>
      <c r="N344" s="49"/>
      <c r="O344" s="50">
        <v>30</v>
      </c>
      <c r="P344" s="51">
        <v>128</v>
      </c>
      <c r="Q344" s="51">
        <f t="shared" si="12"/>
        <v>3840</v>
      </c>
      <c r="R344" s="31">
        <v>202310</v>
      </c>
      <c r="S344" s="108" t="s">
        <v>529</v>
      </c>
      <c r="T344" s="109"/>
      <c r="U344" s="108"/>
      <c r="V344" s="109"/>
      <c r="W344" s="52"/>
      <c r="X344" s="52"/>
      <c r="Y344" s="36"/>
      <c r="Z344" s="36"/>
      <c r="AA344" s="36"/>
      <c r="AB344" s="36"/>
      <c r="AC344" s="36"/>
      <c r="AD344" s="36"/>
      <c r="AE344" s="36"/>
      <c r="AF344" s="40" t="s">
        <v>484</v>
      </c>
      <c r="AG344" s="42"/>
      <c r="AH344" s="42"/>
      <c r="AI344" s="43"/>
      <c r="AJ344" s="43"/>
      <c r="AK344" s="43"/>
      <c r="AL344" s="43"/>
      <c r="AM344" s="43"/>
      <c r="AN344" s="42"/>
      <c r="AO344" s="42"/>
      <c r="AP344" s="42"/>
      <c r="AQ344" s="43"/>
      <c r="AR344" s="42"/>
      <c r="AS344" s="42" t="s">
        <v>497</v>
      </c>
    </row>
    <row r="345" spans="1:45" ht="15" customHeight="1">
      <c r="A345" s="20" t="s">
        <v>45</v>
      </c>
      <c r="B345" s="21" t="s">
        <v>46</v>
      </c>
      <c r="C345" s="22" t="s">
        <v>188</v>
      </c>
      <c r="D345" s="22" t="s">
        <v>48</v>
      </c>
      <c r="E345" s="23" t="s">
        <v>431</v>
      </c>
      <c r="F345" s="20" t="s">
        <v>432</v>
      </c>
      <c r="G345" s="47" t="s">
        <v>165</v>
      </c>
      <c r="H345" s="45" t="s">
        <v>478</v>
      </c>
      <c r="I345" s="24" t="s">
        <v>491</v>
      </c>
      <c r="J345" s="47" t="s">
        <v>480</v>
      </c>
      <c r="K345" s="26" t="s">
        <v>499</v>
      </c>
      <c r="L345" s="48" t="s">
        <v>482</v>
      </c>
      <c r="M345" s="49">
        <v>44964</v>
      </c>
      <c r="N345" s="49"/>
      <c r="O345" s="50">
        <v>30</v>
      </c>
      <c r="P345" s="51">
        <v>80</v>
      </c>
      <c r="Q345" s="51">
        <f t="shared" si="12"/>
        <v>2400</v>
      </c>
      <c r="R345" s="31">
        <v>202310</v>
      </c>
      <c r="S345" s="108" t="s">
        <v>530</v>
      </c>
      <c r="T345" s="109"/>
      <c r="U345" s="108"/>
      <c r="V345" s="109"/>
      <c r="W345" s="52"/>
      <c r="X345" s="52"/>
      <c r="Y345" s="36"/>
      <c r="Z345" s="36"/>
      <c r="AA345" s="36"/>
      <c r="AB345" s="36"/>
      <c r="AC345" s="36"/>
      <c r="AD345" s="36"/>
      <c r="AE345" s="36"/>
      <c r="AF345" s="40" t="s">
        <v>484</v>
      </c>
      <c r="AG345" s="42"/>
      <c r="AH345" s="42"/>
      <c r="AI345" s="43"/>
      <c r="AJ345" s="43"/>
      <c r="AK345" s="43"/>
      <c r="AL345" s="43"/>
      <c r="AM345" s="43"/>
      <c r="AN345" s="42"/>
      <c r="AO345" s="42"/>
      <c r="AP345" s="42"/>
      <c r="AQ345" s="43"/>
      <c r="AR345" s="42"/>
      <c r="AS345" s="42" t="s">
        <v>497</v>
      </c>
    </row>
    <row r="346" spans="1:45" ht="15" customHeight="1">
      <c r="A346" s="20" t="s">
        <v>45</v>
      </c>
      <c r="B346" s="21" t="s">
        <v>46</v>
      </c>
      <c r="C346" s="22" t="s">
        <v>188</v>
      </c>
      <c r="D346" s="22" t="s">
        <v>48</v>
      </c>
      <c r="E346" s="23" t="s">
        <v>431</v>
      </c>
      <c r="F346" s="20" t="s">
        <v>432</v>
      </c>
      <c r="G346" s="47" t="s">
        <v>165</v>
      </c>
      <c r="H346" s="45" t="s">
        <v>478</v>
      </c>
      <c r="I346" s="24" t="s">
        <v>491</v>
      </c>
      <c r="J346" s="47" t="s">
        <v>480</v>
      </c>
      <c r="K346" s="26" t="s">
        <v>499</v>
      </c>
      <c r="L346" s="48"/>
      <c r="M346" s="49">
        <v>45107</v>
      </c>
      <c r="N346" s="49"/>
      <c r="O346" s="50">
        <v>30</v>
      </c>
      <c r="P346" s="51">
        <v>-80</v>
      </c>
      <c r="Q346" s="51">
        <f t="shared" si="12"/>
        <v>-2400</v>
      </c>
      <c r="R346" s="31">
        <v>202310</v>
      </c>
      <c r="S346" s="108" t="s">
        <v>531</v>
      </c>
      <c r="T346" s="109"/>
      <c r="U346" s="108"/>
      <c r="V346" s="109"/>
      <c r="W346" s="52"/>
      <c r="X346" s="52"/>
      <c r="Y346" s="36"/>
      <c r="Z346" s="36"/>
      <c r="AA346" s="36"/>
      <c r="AB346" s="36"/>
      <c r="AC346" s="36"/>
      <c r="AD346" s="36"/>
      <c r="AE346" s="36"/>
      <c r="AF346" s="40" t="s">
        <v>484</v>
      </c>
      <c r="AG346" s="40"/>
      <c r="AH346" s="42"/>
      <c r="AI346" s="42"/>
      <c r="AJ346" s="43"/>
      <c r="AK346" s="43"/>
      <c r="AL346" s="43"/>
      <c r="AM346" s="43"/>
      <c r="AN346" s="42"/>
      <c r="AO346" s="42"/>
      <c r="AP346" s="42"/>
      <c r="AQ346" s="42"/>
      <c r="AR346" s="42"/>
      <c r="AS346" s="42" t="s">
        <v>497</v>
      </c>
    </row>
    <row r="347" spans="1:45" ht="15" customHeight="1">
      <c r="A347" s="20" t="s">
        <v>258</v>
      </c>
      <c r="B347" s="21" t="s">
        <v>46</v>
      </c>
      <c r="C347" s="22" t="s">
        <v>188</v>
      </c>
      <c r="D347" s="22" t="s">
        <v>48</v>
      </c>
      <c r="E347" s="23" t="s">
        <v>431</v>
      </c>
      <c r="F347" s="20" t="s">
        <v>432</v>
      </c>
      <c r="G347" s="47" t="s">
        <v>77</v>
      </c>
      <c r="H347" s="45" t="s">
        <v>478</v>
      </c>
      <c r="I347" s="24" t="s">
        <v>479</v>
      </c>
      <c r="J347" s="47" t="s">
        <v>480</v>
      </c>
      <c r="K347" s="26" t="s">
        <v>481</v>
      </c>
      <c r="L347" s="48" t="s">
        <v>482</v>
      </c>
      <c r="M347" s="49">
        <v>45042</v>
      </c>
      <c r="N347" s="49" t="s">
        <v>177</v>
      </c>
      <c r="O347" s="50">
        <v>4000</v>
      </c>
      <c r="P347" s="51">
        <v>-5</v>
      </c>
      <c r="Q347" s="51">
        <f t="shared" si="12"/>
        <v>-20000</v>
      </c>
      <c r="R347" s="31">
        <v>202310</v>
      </c>
      <c r="S347" s="108" t="s">
        <v>532</v>
      </c>
      <c r="T347" s="109"/>
      <c r="U347" s="108"/>
      <c r="V347" s="109"/>
      <c r="W347" s="52"/>
      <c r="X347" s="52"/>
      <c r="Y347" s="36"/>
      <c r="Z347" s="36"/>
      <c r="AA347" s="36"/>
      <c r="AB347" s="36"/>
      <c r="AC347" s="36"/>
      <c r="AD347" s="36"/>
      <c r="AE347" s="36"/>
      <c r="AF347" s="40" t="s">
        <v>484</v>
      </c>
      <c r="AG347" s="42"/>
      <c r="AH347" s="42"/>
      <c r="AI347" s="43"/>
      <c r="AJ347" s="43"/>
      <c r="AK347" s="43"/>
      <c r="AL347" s="43"/>
      <c r="AM347" s="43"/>
      <c r="AN347" s="42"/>
      <c r="AO347" s="42"/>
      <c r="AP347" s="42"/>
      <c r="AQ347" s="43"/>
      <c r="AR347" s="42"/>
      <c r="AS347" s="42" t="s">
        <v>497</v>
      </c>
    </row>
    <row r="348" spans="1:45" ht="15" customHeight="1">
      <c r="A348" s="20" t="s">
        <v>258</v>
      </c>
      <c r="B348" s="21" t="s">
        <v>46</v>
      </c>
      <c r="C348" s="22" t="s">
        <v>188</v>
      </c>
      <c r="D348" s="22" t="s">
        <v>48</v>
      </c>
      <c r="E348" s="23" t="s">
        <v>431</v>
      </c>
      <c r="F348" s="20" t="s">
        <v>432</v>
      </c>
      <c r="G348" s="47" t="s">
        <v>77</v>
      </c>
      <c r="H348" s="45" t="s">
        <v>533</v>
      </c>
      <c r="I348" s="24" t="s">
        <v>479</v>
      </c>
      <c r="J348" s="47" t="s">
        <v>480</v>
      </c>
      <c r="K348" s="26" t="s">
        <v>481</v>
      </c>
      <c r="L348" s="48" t="s">
        <v>482</v>
      </c>
      <c r="M348" s="49">
        <v>45174</v>
      </c>
      <c r="N348" s="49" t="s">
        <v>177</v>
      </c>
      <c r="O348" s="50">
        <v>4000</v>
      </c>
      <c r="P348" s="51">
        <v>1</v>
      </c>
      <c r="Q348" s="51">
        <f>ROUND(O348*P348,2)</f>
        <v>4000</v>
      </c>
      <c r="R348" s="31">
        <v>202310</v>
      </c>
      <c r="S348" s="108" t="s">
        <v>534</v>
      </c>
      <c r="T348" s="109"/>
      <c r="U348" s="108" t="s">
        <v>535</v>
      </c>
      <c r="V348" s="109"/>
      <c r="W348" s="52"/>
      <c r="X348" s="52"/>
      <c r="Y348" s="36"/>
      <c r="Z348" s="36"/>
      <c r="AA348" s="36"/>
      <c r="AB348" s="36"/>
      <c r="AC348" s="36"/>
      <c r="AD348" s="36"/>
      <c r="AE348" s="36"/>
      <c r="AF348" s="40" t="s">
        <v>484</v>
      </c>
      <c r="AG348" s="42"/>
      <c r="AH348" s="42"/>
      <c r="AI348" s="43"/>
      <c r="AJ348" s="43"/>
      <c r="AK348" s="43"/>
      <c r="AL348" s="43"/>
      <c r="AM348" s="43"/>
      <c r="AN348" s="42"/>
      <c r="AO348" s="42"/>
      <c r="AP348" s="42"/>
      <c r="AQ348" s="43"/>
      <c r="AR348" s="42"/>
      <c r="AS348" s="42" t="s">
        <v>536</v>
      </c>
    </row>
    <row r="349" spans="1:45" ht="15" customHeight="1">
      <c r="A349" s="65" t="s">
        <v>258</v>
      </c>
      <c r="B349" s="21" t="s">
        <v>46</v>
      </c>
      <c r="C349" s="21" t="s">
        <v>188</v>
      </c>
      <c r="D349" s="21" t="s">
        <v>48</v>
      </c>
      <c r="E349" s="66" t="s">
        <v>431</v>
      </c>
      <c r="F349" s="65" t="s">
        <v>432</v>
      </c>
      <c r="G349" s="47" t="s">
        <v>77</v>
      </c>
      <c r="H349" s="45" t="s">
        <v>537</v>
      </c>
      <c r="I349" s="102" t="s">
        <v>78</v>
      </c>
      <c r="J349" s="47" t="s">
        <v>538</v>
      </c>
      <c r="K349" s="47"/>
      <c r="L349" s="48" t="s">
        <v>376</v>
      </c>
      <c r="M349" s="49">
        <v>44203</v>
      </c>
      <c r="N349" s="49" t="s">
        <v>177</v>
      </c>
      <c r="O349" s="61">
        <v>5803.6</v>
      </c>
      <c r="P349" s="61">
        <v>3</v>
      </c>
      <c r="Q349" s="51">
        <f t="shared" si="12"/>
        <v>17410.8</v>
      </c>
      <c r="R349" s="31">
        <v>202310</v>
      </c>
      <c r="S349" s="108" t="s">
        <v>539</v>
      </c>
      <c r="T349" s="78"/>
      <c r="U349" s="108"/>
      <c r="V349" s="78"/>
      <c r="W349" s="67"/>
      <c r="X349" s="67"/>
      <c r="Y349" s="36">
        <v>44075</v>
      </c>
      <c r="Z349" s="36">
        <v>46265</v>
      </c>
      <c r="AA349" s="36"/>
      <c r="AB349" s="36"/>
      <c r="AC349" s="36"/>
      <c r="AD349" s="36"/>
      <c r="AE349" s="36"/>
      <c r="AF349" s="53" t="s">
        <v>68</v>
      </c>
      <c r="AG349" s="42"/>
      <c r="AH349" s="42"/>
      <c r="AI349" s="43"/>
      <c r="AJ349" s="43"/>
      <c r="AK349" s="43"/>
      <c r="AL349" s="43"/>
      <c r="AM349" s="43"/>
      <c r="AN349" s="42"/>
      <c r="AO349" s="42"/>
      <c r="AP349" s="42"/>
      <c r="AQ349" s="43"/>
      <c r="AR349" s="42"/>
      <c r="AS349" s="42"/>
    </row>
    <row r="350" spans="1:45" ht="15" customHeight="1">
      <c r="A350" s="65" t="s">
        <v>258</v>
      </c>
      <c r="B350" s="21" t="s">
        <v>46</v>
      </c>
      <c r="C350" s="21" t="s">
        <v>188</v>
      </c>
      <c r="D350" s="21" t="s">
        <v>48</v>
      </c>
      <c r="E350" s="66" t="s">
        <v>431</v>
      </c>
      <c r="F350" s="65" t="s">
        <v>432</v>
      </c>
      <c r="G350" s="47" t="s">
        <v>77</v>
      </c>
      <c r="H350" s="45" t="s">
        <v>537</v>
      </c>
      <c r="I350" s="102" t="s">
        <v>78</v>
      </c>
      <c r="J350" s="47" t="s">
        <v>538</v>
      </c>
      <c r="K350" s="47"/>
      <c r="L350" s="48" t="s">
        <v>376</v>
      </c>
      <c r="M350" s="49">
        <v>44203</v>
      </c>
      <c r="N350" s="49" t="s">
        <v>182</v>
      </c>
      <c r="O350" s="61">
        <v>11600</v>
      </c>
      <c r="P350" s="61">
        <v>38</v>
      </c>
      <c r="Q350" s="51">
        <f t="shared" si="12"/>
        <v>440800</v>
      </c>
      <c r="R350" s="31">
        <v>202310</v>
      </c>
      <c r="S350" s="108" t="s">
        <v>540</v>
      </c>
      <c r="T350" s="108"/>
      <c r="U350" s="108"/>
      <c r="V350" s="108"/>
      <c r="W350" s="67"/>
      <c r="X350" s="67"/>
      <c r="Y350" s="36">
        <v>44075</v>
      </c>
      <c r="Z350" s="36">
        <v>46265</v>
      </c>
      <c r="AA350" s="36"/>
      <c r="AB350" s="36"/>
      <c r="AC350" s="36"/>
      <c r="AD350" s="36"/>
      <c r="AE350" s="36"/>
      <c r="AF350" s="53" t="s">
        <v>68</v>
      </c>
      <c r="AG350" s="42"/>
      <c r="AH350" s="42"/>
      <c r="AI350" s="43"/>
      <c r="AJ350" s="43"/>
      <c r="AK350" s="43"/>
      <c r="AL350" s="43"/>
      <c r="AM350" s="43"/>
      <c r="AN350" s="42"/>
      <c r="AO350" s="42"/>
      <c r="AP350" s="42"/>
      <c r="AQ350" s="43"/>
      <c r="AR350" s="42"/>
      <c r="AS350" s="42"/>
    </row>
    <row r="351" spans="1:45" ht="15" customHeight="1">
      <c r="A351" s="65" t="s">
        <v>258</v>
      </c>
      <c r="B351" s="21" t="s">
        <v>46</v>
      </c>
      <c r="C351" s="21" t="s">
        <v>188</v>
      </c>
      <c r="D351" s="21" t="s">
        <v>48</v>
      </c>
      <c r="E351" s="66" t="s">
        <v>431</v>
      </c>
      <c r="F351" s="65" t="s">
        <v>432</v>
      </c>
      <c r="G351" s="47" t="s">
        <v>77</v>
      </c>
      <c r="H351" s="45" t="s">
        <v>537</v>
      </c>
      <c r="I351" s="102" t="s">
        <v>78</v>
      </c>
      <c r="J351" s="47" t="s">
        <v>538</v>
      </c>
      <c r="K351" s="47"/>
      <c r="L351" s="48" t="s">
        <v>376</v>
      </c>
      <c r="M351" s="49">
        <v>44300</v>
      </c>
      <c r="N351" s="49" t="s">
        <v>182</v>
      </c>
      <c r="O351" s="61">
        <v>11600</v>
      </c>
      <c r="P351" s="61">
        <v>-38</v>
      </c>
      <c r="Q351" s="51">
        <f t="shared" si="12"/>
        <v>-440800</v>
      </c>
      <c r="R351" s="31">
        <v>202310</v>
      </c>
      <c r="S351" s="108" t="s">
        <v>541</v>
      </c>
      <c r="T351" s="108"/>
      <c r="U351" s="108"/>
      <c r="V351" s="108"/>
      <c r="W351" s="67"/>
      <c r="X351" s="67"/>
      <c r="Y351" s="36">
        <v>44075</v>
      </c>
      <c r="Z351" s="36">
        <v>46265</v>
      </c>
      <c r="AA351" s="36"/>
      <c r="AB351" s="36"/>
      <c r="AC351" s="36"/>
      <c r="AD351" s="36"/>
      <c r="AE351" s="36"/>
      <c r="AF351" s="53" t="s">
        <v>68</v>
      </c>
      <c r="AG351" s="42"/>
      <c r="AH351" s="42"/>
      <c r="AI351" s="43"/>
      <c r="AJ351" s="43"/>
      <c r="AK351" s="43"/>
      <c r="AL351" s="43"/>
      <c r="AM351" s="43"/>
      <c r="AN351" s="42"/>
      <c r="AO351" s="42"/>
      <c r="AP351" s="42"/>
      <c r="AQ351" s="43"/>
      <c r="AR351" s="42"/>
      <c r="AS351" s="42"/>
    </row>
    <row r="352" spans="1:45" ht="15" customHeight="1">
      <c r="A352" s="65" t="s">
        <v>258</v>
      </c>
      <c r="B352" s="21" t="s">
        <v>46</v>
      </c>
      <c r="C352" s="21" t="s">
        <v>188</v>
      </c>
      <c r="D352" s="21" t="s">
        <v>48</v>
      </c>
      <c r="E352" s="66" t="s">
        <v>431</v>
      </c>
      <c r="F352" s="65" t="s">
        <v>432</v>
      </c>
      <c r="G352" s="47" t="s">
        <v>77</v>
      </c>
      <c r="H352" s="45" t="s">
        <v>537</v>
      </c>
      <c r="I352" s="102" t="s">
        <v>78</v>
      </c>
      <c r="J352" s="47" t="s">
        <v>538</v>
      </c>
      <c r="K352" s="47"/>
      <c r="L352" s="48" t="s">
        <v>376</v>
      </c>
      <c r="M352" s="49">
        <v>44379</v>
      </c>
      <c r="N352" s="49" t="s">
        <v>182</v>
      </c>
      <c r="O352" s="61">
        <v>11600</v>
      </c>
      <c r="P352" s="61">
        <v>13</v>
      </c>
      <c r="Q352" s="51">
        <f t="shared" si="12"/>
        <v>150800</v>
      </c>
      <c r="R352" s="31">
        <v>202310</v>
      </c>
      <c r="S352" s="108" t="s">
        <v>542</v>
      </c>
      <c r="T352" s="78"/>
      <c r="U352" s="108"/>
      <c r="V352" s="78"/>
      <c r="W352" s="67"/>
      <c r="X352" s="67"/>
      <c r="Y352" s="36">
        <v>44075</v>
      </c>
      <c r="Z352" s="36">
        <v>46265</v>
      </c>
      <c r="AA352" s="36"/>
      <c r="AB352" s="36"/>
      <c r="AC352" s="36"/>
      <c r="AD352" s="36"/>
      <c r="AE352" s="36"/>
      <c r="AF352" s="53" t="s">
        <v>68</v>
      </c>
      <c r="AG352" s="42"/>
      <c r="AH352" s="42"/>
      <c r="AI352" s="43"/>
      <c r="AJ352" s="43"/>
      <c r="AK352" s="43"/>
      <c r="AL352" s="43"/>
      <c r="AM352" s="43"/>
      <c r="AN352" s="42"/>
      <c r="AO352" s="42"/>
      <c r="AP352" s="42"/>
      <c r="AQ352" s="43"/>
      <c r="AR352" s="42"/>
      <c r="AS352" s="42"/>
    </row>
    <row r="353" spans="1:45" ht="15" customHeight="1">
      <c r="A353" s="65" t="s">
        <v>258</v>
      </c>
      <c r="B353" s="21" t="s">
        <v>46</v>
      </c>
      <c r="C353" s="21" t="s">
        <v>188</v>
      </c>
      <c r="D353" s="21" t="s">
        <v>48</v>
      </c>
      <c r="E353" s="66" t="s">
        <v>431</v>
      </c>
      <c r="F353" s="65" t="s">
        <v>432</v>
      </c>
      <c r="G353" s="47" t="s">
        <v>77</v>
      </c>
      <c r="H353" s="45" t="s">
        <v>537</v>
      </c>
      <c r="I353" s="102" t="s">
        <v>78</v>
      </c>
      <c r="J353" s="47" t="s">
        <v>538</v>
      </c>
      <c r="K353" s="47"/>
      <c r="L353" s="48" t="s">
        <v>376</v>
      </c>
      <c r="M353" s="49">
        <v>44380</v>
      </c>
      <c r="N353" s="49" t="s">
        <v>182</v>
      </c>
      <c r="O353" s="61">
        <v>11600</v>
      </c>
      <c r="P353" s="61">
        <v>12</v>
      </c>
      <c r="Q353" s="51">
        <f t="shared" si="12"/>
        <v>139200</v>
      </c>
      <c r="R353" s="31">
        <v>202310</v>
      </c>
      <c r="S353" s="108" t="s">
        <v>543</v>
      </c>
      <c r="T353" s="108"/>
      <c r="U353" s="108"/>
      <c r="V353" s="108"/>
      <c r="W353" s="67"/>
      <c r="X353" s="67"/>
      <c r="Y353" s="36">
        <v>44075</v>
      </c>
      <c r="Z353" s="36">
        <v>46265</v>
      </c>
      <c r="AA353" s="36"/>
      <c r="AB353" s="36"/>
      <c r="AC353" s="36"/>
      <c r="AD353" s="36"/>
      <c r="AE353" s="36"/>
      <c r="AF353" s="53" t="s">
        <v>68</v>
      </c>
      <c r="AG353" s="42"/>
      <c r="AH353" s="42"/>
      <c r="AI353" s="43"/>
      <c r="AJ353" s="43"/>
      <c r="AK353" s="43"/>
      <c r="AL353" s="43"/>
      <c r="AM353" s="43"/>
      <c r="AN353" s="42"/>
      <c r="AO353" s="42"/>
      <c r="AP353" s="42"/>
      <c r="AQ353" s="43"/>
      <c r="AR353" s="42"/>
      <c r="AS353" s="42"/>
    </row>
    <row r="354" spans="1:45" ht="15" customHeight="1">
      <c r="A354" s="65" t="s">
        <v>258</v>
      </c>
      <c r="B354" s="21" t="s">
        <v>46</v>
      </c>
      <c r="C354" s="21" t="s">
        <v>188</v>
      </c>
      <c r="D354" s="21" t="s">
        <v>48</v>
      </c>
      <c r="E354" s="66" t="s">
        <v>431</v>
      </c>
      <c r="F354" s="65" t="s">
        <v>432</v>
      </c>
      <c r="G354" s="47" t="s">
        <v>77</v>
      </c>
      <c r="H354" s="45" t="s">
        <v>537</v>
      </c>
      <c r="I354" s="102" t="s">
        <v>78</v>
      </c>
      <c r="J354" s="47" t="s">
        <v>538</v>
      </c>
      <c r="K354" s="47"/>
      <c r="L354" s="48" t="s">
        <v>376</v>
      </c>
      <c r="M354" s="49">
        <v>44387</v>
      </c>
      <c r="N354" s="49" t="s">
        <v>182</v>
      </c>
      <c r="O354" s="61">
        <v>11600</v>
      </c>
      <c r="P354" s="61">
        <v>12</v>
      </c>
      <c r="Q354" s="51">
        <f t="shared" si="12"/>
        <v>139200</v>
      </c>
      <c r="R354" s="31">
        <v>202310</v>
      </c>
      <c r="S354" s="108" t="s">
        <v>544</v>
      </c>
      <c r="T354" s="108"/>
      <c r="U354" s="108"/>
      <c r="V354" s="108"/>
      <c r="W354" s="67"/>
      <c r="X354" s="67"/>
      <c r="Y354" s="36">
        <v>44075</v>
      </c>
      <c r="Z354" s="36">
        <v>46265</v>
      </c>
      <c r="AA354" s="36"/>
      <c r="AB354" s="36"/>
      <c r="AC354" s="36"/>
      <c r="AD354" s="36"/>
      <c r="AE354" s="36"/>
      <c r="AF354" s="53" t="s">
        <v>68</v>
      </c>
      <c r="AG354" s="42"/>
      <c r="AH354" s="42"/>
      <c r="AI354" s="43"/>
      <c r="AJ354" s="43"/>
      <c r="AK354" s="43"/>
      <c r="AL354" s="43"/>
      <c r="AM354" s="43"/>
      <c r="AN354" s="42"/>
      <c r="AO354" s="42"/>
      <c r="AP354" s="42"/>
      <c r="AQ354" s="43"/>
      <c r="AR354" s="42"/>
      <c r="AS354" s="42"/>
    </row>
    <row r="355" spans="1:45" ht="15" customHeight="1">
      <c r="A355" s="65" t="s">
        <v>258</v>
      </c>
      <c r="B355" s="21" t="s">
        <v>46</v>
      </c>
      <c r="C355" s="21" t="s">
        <v>188</v>
      </c>
      <c r="D355" s="21" t="s">
        <v>48</v>
      </c>
      <c r="E355" s="66" t="s">
        <v>431</v>
      </c>
      <c r="F355" s="65" t="s">
        <v>432</v>
      </c>
      <c r="G355" s="47" t="s">
        <v>77</v>
      </c>
      <c r="H355" s="45" t="s">
        <v>537</v>
      </c>
      <c r="I355" s="102" t="s">
        <v>78</v>
      </c>
      <c r="J355" s="47" t="s">
        <v>538</v>
      </c>
      <c r="K355" s="47"/>
      <c r="L355" s="48" t="s">
        <v>376</v>
      </c>
      <c r="M355" s="49">
        <v>44425</v>
      </c>
      <c r="N355" s="49" t="s">
        <v>182</v>
      </c>
      <c r="O355" s="61">
        <v>11600</v>
      </c>
      <c r="P355" s="61">
        <v>13</v>
      </c>
      <c r="Q355" s="51">
        <f t="shared" si="12"/>
        <v>150800</v>
      </c>
      <c r="R355" s="31">
        <v>202310</v>
      </c>
      <c r="S355" s="108" t="s">
        <v>545</v>
      </c>
      <c r="T355" s="108"/>
      <c r="U355" s="108"/>
      <c r="V355" s="108"/>
      <c r="W355" s="67"/>
      <c r="X355" s="67"/>
      <c r="Y355" s="36">
        <v>44075</v>
      </c>
      <c r="Z355" s="36">
        <v>46265</v>
      </c>
      <c r="AA355" s="36"/>
      <c r="AB355" s="36"/>
      <c r="AC355" s="36"/>
      <c r="AD355" s="36"/>
      <c r="AE355" s="36"/>
      <c r="AF355" s="53" t="s">
        <v>68</v>
      </c>
      <c r="AG355" s="42"/>
      <c r="AH355" s="42"/>
      <c r="AI355" s="43"/>
      <c r="AJ355" s="43"/>
      <c r="AK355" s="43"/>
      <c r="AL355" s="43"/>
      <c r="AM355" s="43"/>
      <c r="AN355" s="42"/>
      <c r="AO355" s="42"/>
      <c r="AP355" s="42"/>
      <c r="AQ355" s="43"/>
      <c r="AR355" s="42"/>
      <c r="AS355" s="42"/>
    </row>
    <row r="356" spans="1:45" ht="15" customHeight="1">
      <c r="A356" s="21" t="s">
        <v>258</v>
      </c>
      <c r="B356" s="21" t="s">
        <v>46</v>
      </c>
      <c r="C356" s="21" t="s">
        <v>188</v>
      </c>
      <c r="D356" s="21" t="s">
        <v>48</v>
      </c>
      <c r="E356" s="80" t="s">
        <v>431</v>
      </c>
      <c r="F356" s="65" t="s">
        <v>432</v>
      </c>
      <c r="G356" s="101" t="s">
        <v>77</v>
      </c>
      <c r="H356" s="25" t="s">
        <v>537</v>
      </c>
      <c r="I356" s="24" t="s">
        <v>78</v>
      </c>
      <c r="J356" s="47" t="s">
        <v>538</v>
      </c>
      <c r="K356" s="104"/>
      <c r="L356" s="48" t="s">
        <v>376</v>
      </c>
      <c r="M356" s="27">
        <v>44472</v>
      </c>
      <c r="N356" s="105" t="s">
        <v>182</v>
      </c>
      <c r="O356" s="106">
        <v>11600</v>
      </c>
      <c r="P356" s="106">
        <v>23</v>
      </c>
      <c r="Q356" s="51">
        <f t="shared" si="12"/>
        <v>266800</v>
      </c>
      <c r="R356" s="31">
        <v>202310</v>
      </c>
      <c r="S356" s="54" t="s">
        <v>546</v>
      </c>
      <c r="T356" s="54"/>
      <c r="U356" s="54"/>
      <c r="V356" s="54"/>
      <c r="W356" s="67"/>
      <c r="X356" s="67"/>
      <c r="Y356" s="36">
        <v>44075</v>
      </c>
      <c r="Z356" s="36">
        <v>46265</v>
      </c>
      <c r="AA356" s="36"/>
      <c r="AB356" s="36"/>
      <c r="AC356" s="36"/>
      <c r="AD356" s="36"/>
      <c r="AE356" s="36"/>
      <c r="AF356" s="53" t="s">
        <v>68</v>
      </c>
      <c r="AG356" s="42"/>
      <c r="AH356" s="42"/>
      <c r="AI356" s="43"/>
      <c r="AJ356" s="43"/>
      <c r="AK356" s="43"/>
      <c r="AL356" s="43"/>
      <c r="AM356" s="43"/>
      <c r="AN356" s="42"/>
      <c r="AO356" s="42"/>
      <c r="AP356" s="42"/>
      <c r="AQ356" s="43"/>
      <c r="AR356" s="42"/>
      <c r="AS356" s="42"/>
    </row>
    <row r="357" spans="1:45" ht="15" customHeight="1">
      <c r="A357" s="65" t="s">
        <v>258</v>
      </c>
      <c r="B357" s="21" t="s">
        <v>46</v>
      </c>
      <c r="C357" s="21" t="s">
        <v>188</v>
      </c>
      <c r="D357" s="21" t="s">
        <v>48</v>
      </c>
      <c r="E357" s="66" t="s">
        <v>431</v>
      </c>
      <c r="F357" s="65" t="s">
        <v>547</v>
      </c>
      <c r="G357" s="47" t="s">
        <v>165</v>
      </c>
      <c r="H357" s="45" t="s">
        <v>548</v>
      </c>
      <c r="I357" s="102" t="s">
        <v>167</v>
      </c>
      <c r="J357" s="47" t="s">
        <v>549</v>
      </c>
      <c r="K357" s="47" t="s">
        <v>550</v>
      </c>
      <c r="L357" s="48"/>
      <c r="M357" s="49">
        <v>44453</v>
      </c>
      <c r="N357" s="47" t="s">
        <v>168</v>
      </c>
      <c r="O357" s="61">
        <v>35</v>
      </c>
      <c r="P357" s="61">
        <v>1792</v>
      </c>
      <c r="Q357" s="51">
        <f t="shared" si="12"/>
        <v>62720</v>
      </c>
      <c r="R357" s="31">
        <v>202310</v>
      </c>
      <c r="S357" s="108" t="s">
        <v>551</v>
      </c>
      <c r="T357" s="108"/>
      <c r="U357" s="32"/>
      <c r="V357" s="108"/>
      <c r="W357" s="67"/>
      <c r="X357" s="67"/>
      <c r="Y357" s="36"/>
      <c r="Z357" s="36"/>
      <c r="AA357" s="36"/>
      <c r="AB357" s="36"/>
      <c r="AC357" s="36"/>
      <c r="AD357" s="36"/>
      <c r="AE357" s="36"/>
      <c r="AF357" s="40" t="s">
        <v>56</v>
      </c>
      <c r="AG357" s="42"/>
      <c r="AH357" s="42"/>
      <c r="AI357" s="43"/>
      <c r="AJ357" s="43"/>
      <c r="AK357" s="43"/>
      <c r="AL357" s="43"/>
      <c r="AM357" s="43"/>
      <c r="AN357" s="42"/>
      <c r="AO357" s="42"/>
      <c r="AP357" s="42"/>
      <c r="AQ357" s="43"/>
      <c r="AR357" s="42"/>
      <c r="AS357" s="42" t="s">
        <v>552</v>
      </c>
    </row>
    <row r="358" spans="1:45" ht="15" customHeight="1">
      <c r="A358" s="65" t="s">
        <v>258</v>
      </c>
      <c r="B358" s="21" t="s">
        <v>46</v>
      </c>
      <c r="C358" s="21" t="s">
        <v>188</v>
      </c>
      <c r="D358" s="21" t="s">
        <v>48</v>
      </c>
      <c r="E358" s="66" t="s">
        <v>431</v>
      </c>
      <c r="F358" s="65" t="s">
        <v>547</v>
      </c>
      <c r="G358" s="47" t="s">
        <v>165</v>
      </c>
      <c r="H358" s="45" t="s">
        <v>548</v>
      </c>
      <c r="I358" s="102" t="s">
        <v>167</v>
      </c>
      <c r="J358" s="47" t="s">
        <v>549</v>
      </c>
      <c r="K358" s="47" t="s">
        <v>550</v>
      </c>
      <c r="L358" s="48"/>
      <c r="M358" s="49">
        <v>44748</v>
      </c>
      <c r="N358" s="47" t="s">
        <v>168</v>
      </c>
      <c r="O358" s="61">
        <v>35</v>
      </c>
      <c r="P358" s="61">
        <v>512</v>
      </c>
      <c r="Q358" s="51">
        <f t="shared" si="12"/>
        <v>17920</v>
      </c>
      <c r="R358" s="31">
        <v>202310</v>
      </c>
      <c r="S358" s="108" t="s">
        <v>553</v>
      </c>
      <c r="T358" s="108"/>
      <c r="U358" s="32"/>
      <c r="V358" s="108"/>
      <c r="W358" s="67"/>
      <c r="X358" s="67"/>
      <c r="Y358" s="36"/>
      <c r="Z358" s="36"/>
      <c r="AA358" s="36"/>
      <c r="AB358" s="36"/>
      <c r="AC358" s="36"/>
      <c r="AD358" s="36"/>
      <c r="AE358" s="36"/>
      <c r="AF358" s="40" t="s">
        <v>56</v>
      </c>
      <c r="AG358" s="42"/>
      <c r="AH358" s="42"/>
      <c r="AI358" s="43"/>
      <c r="AJ358" s="43"/>
      <c r="AK358" s="43"/>
      <c r="AL358" s="43"/>
      <c r="AM358" s="43"/>
      <c r="AN358" s="42"/>
      <c r="AO358" s="42"/>
      <c r="AP358" s="42"/>
      <c r="AQ358" s="43"/>
      <c r="AR358" s="42"/>
      <c r="AS358" s="42" t="s">
        <v>552</v>
      </c>
    </row>
    <row r="359" spans="1:45" ht="15" customHeight="1">
      <c r="A359" s="21" t="s">
        <v>258</v>
      </c>
      <c r="B359" s="21" t="s">
        <v>46</v>
      </c>
      <c r="C359" s="21" t="s">
        <v>188</v>
      </c>
      <c r="D359" s="21" t="s">
        <v>48</v>
      </c>
      <c r="E359" s="80" t="s">
        <v>431</v>
      </c>
      <c r="F359" s="65" t="s">
        <v>547</v>
      </c>
      <c r="G359" s="101" t="s">
        <v>165</v>
      </c>
      <c r="H359" s="45" t="s">
        <v>548</v>
      </c>
      <c r="I359" s="24" t="s">
        <v>491</v>
      </c>
      <c r="J359" s="47" t="s">
        <v>549</v>
      </c>
      <c r="K359" s="26" t="s">
        <v>554</v>
      </c>
      <c r="L359" s="48"/>
      <c r="M359" s="27">
        <v>44453</v>
      </c>
      <c r="N359" s="47" t="s">
        <v>168</v>
      </c>
      <c r="O359" s="106">
        <v>0</v>
      </c>
      <c r="P359" s="106">
        <v>512</v>
      </c>
      <c r="Q359" s="51">
        <f t="shared" si="12"/>
        <v>0</v>
      </c>
      <c r="R359" s="31">
        <v>202310</v>
      </c>
      <c r="S359" s="110" t="s">
        <v>555</v>
      </c>
      <c r="T359" s="54"/>
      <c r="U359" s="32"/>
      <c r="V359" s="54"/>
      <c r="W359" s="67"/>
      <c r="X359" s="67"/>
      <c r="Y359" s="36"/>
      <c r="Z359" s="36"/>
      <c r="AA359" s="36"/>
      <c r="AB359" s="36"/>
      <c r="AC359" s="36"/>
      <c r="AD359" s="36"/>
      <c r="AE359" s="36"/>
      <c r="AF359" s="40" t="s">
        <v>503</v>
      </c>
      <c r="AG359" s="42"/>
      <c r="AH359" s="42"/>
      <c r="AI359" s="43"/>
      <c r="AJ359" s="43"/>
      <c r="AK359" s="43"/>
      <c r="AL359" s="43"/>
      <c r="AM359" s="43"/>
      <c r="AN359" s="42"/>
      <c r="AO359" s="42"/>
      <c r="AP359" s="42"/>
      <c r="AQ359" s="43"/>
      <c r="AR359" s="42"/>
      <c r="AS359" s="42" t="s">
        <v>552</v>
      </c>
    </row>
    <row r="360" spans="1:45" ht="15" customHeight="1">
      <c r="A360" s="21" t="s">
        <v>258</v>
      </c>
      <c r="B360" s="21" t="s">
        <v>46</v>
      </c>
      <c r="C360" s="21" t="s">
        <v>188</v>
      </c>
      <c r="D360" s="21" t="s">
        <v>48</v>
      </c>
      <c r="E360" s="80" t="s">
        <v>431</v>
      </c>
      <c r="F360" s="65" t="s">
        <v>547</v>
      </c>
      <c r="G360" s="101" t="s">
        <v>165</v>
      </c>
      <c r="H360" s="45" t="s">
        <v>548</v>
      </c>
      <c r="I360" s="24" t="s">
        <v>491</v>
      </c>
      <c r="J360" s="47" t="s">
        <v>549</v>
      </c>
      <c r="K360" s="26" t="s">
        <v>554</v>
      </c>
      <c r="L360" s="48"/>
      <c r="M360" s="111">
        <v>44915</v>
      </c>
      <c r="N360" s="88" t="s">
        <v>168</v>
      </c>
      <c r="O360" s="112">
        <v>35</v>
      </c>
      <c r="P360" s="112">
        <v>-256</v>
      </c>
      <c r="Q360" s="51">
        <f t="shared" si="12"/>
        <v>-8960</v>
      </c>
      <c r="R360" s="31">
        <v>202310</v>
      </c>
      <c r="S360" s="54" t="s">
        <v>556</v>
      </c>
      <c r="T360" s="54"/>
      <c r="U360" s="32"/>
      <c r="V360" s="54"/>
      <c r="W360" s="67"/>
      <c r="X360" s="67"/>
      <c r="Y360" s="36"/>
      <c r="Z360" s="36"/>
      <c r="AA360" s="36"/>
      <c r="AB360" s="36"/>
      <c r="AC360" s="36"/>
      <c r="AD360" s="36"/>
      <c r="AE360" s="36"/>
      <c r="AF360" s="40" t="s">
        <v>503</v>
      </c>
      <c r="AG360" s="42"/>
      <c r="AH360" s="42"/>
      <c r="AI360" s="43"/>
      <c r="AJ360" s="43"/>
      <c r="AK360" s="43"/>
      <c r="AL360" s="43"/>
      <c r="AM360" s="43"/>
      <c r="AN360" s="42"/>
      <c r="AO360" s="42"/>
      <c r="AP360" s="42"/>
      <c r="AQ360" s="43"/>
      <c r="AR360" s="42"/>
      <c r="AS360" s="42" t="s">
        <v>552</v>
      </c>
    </row>
    <row r="361" spans="1:45" ht="15" customHeight="1">
      <c r="A361" s="21" t="s">
        <v>258</v>
      </c>
      <c r="B361" s="21" t="s">
        <v>46</v>
      </c>
      <c r="C361" s="21" t="s">
        <v>188</v>
      </c>
      <c r="D361" s="21" t="s">
        <v>48</v>
      </c>
      <c r="E361" s="80" t="s">
        <v>431</v>
      </c>
      <c r="F361" s="65" t="s">
        <v>547</v>
      </c>
      <c r="G361" s="101" t="s">
        <v>165</v>
      </c>
      <c r="H361" s="45" t="s">
        <v>548</v>
      </c>
      <c r="I361" s="24" t="s">
        <v>491</v>
      </c>
      <c r="J361" s="47" t="s">
        <v>549</v>
      </c>
      <c r="K361" s="26" t="s">
        <v>554</v>
      </c>
      <c r="L361" s="48"/>
      <c r="M361" s="27">
        <v>44555</v>
      </c>
      <c r="N361" s="47" t="s">
        <v>168</v>
      </c>
      <c r="O361" s="106">
        <v>35</v>
      </c>
      <c r="P361" s="106">
        <v>256</v>
      </c>
      <c r="Q361" s="51">
        <f t="shared" si="12"/>
        <v>8960</v>
      </c>
      <c r="R361" s="31">
        <v>202310</v>
      </c>
      <c r="S361" s="54" t="s">
        <v>557</v>
      </c>
      <c r="T361" s="54"/>
      <c r="U361" s="32"/>
      <c r="V361" s="54"/>
      <c r="W361" s="67"/>
      <c r="X361" s="67"/>
      <c r="Y361" s="36"/>
      <c r="Z361" s="36"/>
      <c r="AA361" s="36"/>
      <c r="AB361" s="36"/>
      <c r="AC361" s="36"/>
      <c r="AD361" s="36"/>
      <c r="AE361" s="36"/>
      <c r="AF361" s="40" t="s">
        <v>484</v>
      </c>
      <c r="AG361" s="42"/>
      <c r="AH361" s="42"/>
      <c r="AI361" s="43"/>
      <c r="AJ361" s="43"/>
      <c r="AK361" s="43"/>
      <c r="AL361" s="43"/>
      <c r="AM361" s="43"/>
      <c r="AN361" s="42"/>
      <c r="AO361" s="42"/>
      <c r="AP361" s="42"/>
      <c r="AQ361" s="43"/>
      <c r="AR361" s="42"/>
      <c r="AS361" s="42" t="s">
        <v>552</v>
      </c>
    </row>
    <row r="362" spans="1:45" ht="15" customHeight="1">
      <c r="A362" s="21" t="s">
        <v>258</v>
      </c>
      <c r="B362" s="21" t="s">
        <v>46</v>
      </c>
      <c r="C362" s="21" t="s">
        <v>188</v>
      </c>
      <c r="D362" s="21" t="s">
        <v>48</v>
      </c>
      <c r="E362" s="80" t="s">
        <v>431</v>
      </c>
      <c r="F362" s="65" t="s">
        <v>547</v>
      </c>
      <c r="G362" s="101" t="s">
        <v>165</v>
      </c>
      <c r="H362" s="45" t="s">
        <v>548</v>
      </c>
      <c r="I362" s="24" t="s">
        <v>491</v>
      </c>
      <c r="J362" s="47" t="s">
        <v>549</v>
      </c>
      <c r="K362" s="26" t="s">
        <v>554</v>
      </c>
      <c r="L362" s="48"/>
      <c r="M362" s="111">
        <v>44926</v>
      </c>
      <c r="N362" s="88" t="s">
        <v>168</v>
      </c>
      <c r="O362" s="112">
        <v>35</v>
      </c>
      <c r="P362" s="112">
        <v>-256</v>
      </c>
      <c r="Q362" s="51">
        <f t="shared" si="12"/>
        <v>-8960</v>
      </c>
      <c r="R362" s="31">
        <v>202310</v>
      </c>
      <c r="S362" s="54" t="s">
        <v>558</v>
      </c>
      <c r="T362" s="54"/>
      <c r="U362" s="32"/>
      <c r="V362" s="54"/>
      <c r="W362" s="67"/>
      <c r="X362" s="67"/>
      <c r="Y362" s="36"/>
      <c r="Z362" s="36"/>
      <c r="AA362" s="36"/>
      <c r="AB362" s="36"/>
      <c r="AC362" s="36"/>
      <c r="AD362" s="36"/>
      <c r="AE362" s="36"/>
      <c r="AF362" s="40" t="s">
        <v>484</v>
      </c>
      <c r="AG362" s="42"/>
      <c r="AH362" s="42"/>
      <c r="AI362" s="43"/>
      <c r="AJ362" s="43"/>
      <c r="AK362" s="43"/>
      <c r="AL362" s="43"/>
      <c r="AM362" s="43"/>
      <c r="AN362" s="42"/>
      <c r="AO362" s="42"/>
      <c r="AP362" s="42"/>
      <c r="AQ362" s="43"/>
      <c r="AR362" s="42"/>
      <c r="AS362" s="42" t="s">
        <v>552</v>
      </c>
    </row>
    <row r="363" spans="1:45" ht="15" customHeight="1">
      <c r="A363" s="65" t="s">
        <v>258</v>
      </c>
      <c r="B363" s="21" t="s">
        <v>46</v>
      </c>
      <c r="C363" s="21" t="s">
        <v>188</v>
      </c>
      <c r="D363" s="21" t="s">
        <v>48</v>
      </c>
      <c r="E363" s="66" t="s">
        <v>431</v>
      </c>
      <c r="F363" s="65" t="s">
        <v>547</v>
      </c>
      <c r="G363" s="47" t="s">
        <v>165</v>
      </c>
      <c r="H363" s="45" t="s">
        <v>548</v>
      </c>
      <c r="I363" s="102" t="s">
        <v>167</v>
      </c>
      <c r="J363" s="47" t="s">
        <v>549</v>
      </c>
      <c r="K363" s="47" t="s">
        <v>550</v>
      </c>
      <c r="L363" s="48"/>
      <c r="M363" s="90">
        <v>45036</v>
      </c>
      <c r="N363" s="88" t="s">
        <v>168</v>
      </c>
      <c r="O363" s="113">
        <v>35</v>
      </c>
      <c r="P363" s="113">
        <v>512</v>
      </c>
      <c r="Q363" s="51">
        <f t="shared" si="12"/>
        <v>17920</v>
      </c>
      <c r="R363" s="31">
        <v>202310</v>
      </c>
      <c r="S363" s="108" t="s">
        <v>559</v>
      </c>
      <c r="T363" s="42"/>
      <c r="U363" s="32"/>
      <c r="V363" s="42"/>
      <c r="W363" s="71"/>
      <c r="X363" s="42"/>
      <c r="Y363" s="36"/>
      <c r="Z363" s="36"/>
      <c r="AA363" s="72"/>
      <c r="AB363" s="72"/>
      <c r="AC363" s="72"/>
      <c r="AD363" s="72"/>
      <c r="AE363" s="72"/>
      <c r="AF363" s="53" t="s">
        <v>68</v>
      </c>
      <c r="AG363" s="42"/>
      <c r="AH363" s="42"/>
      <c r="AI363" s="43"/>
      <c r="AJ363" s="43"/>
      <c r="AK363" s="43"/>
      <c r="AL363" s="43"/>
      <c r="AM363" s="43"/>
      <c r="AN363" s="42"/>
      <c r="AO363" s="42"/>
      <c r="AP363" s="42"/>
      <c r="AQ363" s="42"/>
      <c r="AR363" s="42"/>
      <c r="AS363" s="42" t="s">
        <v>552</v>
      </c>
    </row>
    <row r="364" spans="1:45" ht="15" customHeight="1">
      <c r="A364" s="65" t="s">
        <v>258</v>
      </c>
      <c r="B364" s="21" t="s">
        <v>46</v>
      </c>
      <c r="C364" s="21" t="s">
        <v>188</v>
      </c>
      <c r="D364" s="21" t="s">
        <v>48</v>
      </c>
      <c r="E364" s="66" t="s">
        <v>431</v>
      </c>
      <c r="F364" s="65" t="s">
        <v>432</v>
      </c>
      <c r="G364" s="47" t="s">
        <v>77</v>
      </c>
      <c r="H364" s="45" t="s">
        <v>560</v>
      </c>
      <c r="I364" s="102" t="s">
        <v>78</v>
      </c>
      <c r="J364" s="47" t="s">
        <v>561</v>
      </c>
      <c r="K364" s="47"/>
      <c r="L364" s="48" t="s">
        <v>376</v>
      </c>
      <c r="M364" s="49">
        <v>44465</v>
      </c>
      <c r="N364" s="49" t="s">
        <v>177</v>
      </c>
      <c r="O364" s="61">
        <v>5803.6</v>
      </c>
      <c r="P364" s="61">
        <v>13</v>
      </c>
      <c r="Q364" s="51">
        <f t="shared" si="12"/>
        <v>75446.8</v>
      </c>
      <c r="R364" s="31">
        <v>202310</v>
      </c>
      <c r="S364" s="108" t="s">
        <v>562</v>
      </c>
      <c r="T364" s="108"/>
      <c r="U364" s="108"/>
      <c r="V364" s="108"/>
      <c r="W364" s="67"/>
      <c r="X364" s="67"/>
      <c r="Y364" s="36">
        <v>44434</v>
      </c>
      <c r="Z364" s="36">
        <v>46624</v>
      </c>
      <c r="AA364" s="36"/>
      <c r="AB364" s="36"/>
      <c r="AC364" s="36"/>
      <c r="AD364" s="36"/>
      <c r="AE364" s="36"/>
      <c r="AF364" s="53" t="s">
        <v>68</v>
      </c>
      <c r="AG364" s="42"/>
      <c r="AH364" s="42"/>
      <c r="AI364" s="43"/>
      <c r="AJ364" s="43"/>
      <c r="AK364" s="43"/>
      <c r="AL364" s="43"/>
      <c r="AM364" s="43"/>
      <c r="AN364" s="42"/>
      <c r="AO364" s="42"/>
      <c r="AP364" s="42"/>
      <c r="AQ364" s="43"/>
      <c r="AR364" s="42"/>
      <c r="AS364" s="42"/>
    </row>
    <row r="365" spans="1:45" ht="15" customHeight="1">
      <c r="A365" s="65" t="s">
        <v>258</v>
      </c>
      <c r="B365" s="21" t="s">
        <v>46</v>
      </c>
      <c r="C365" s="21" t="s">
        <v>188</v>
      </c>
      <c r="D365" s="21" t="s">
        <v>48</v>
      </c>
      <c r="E365" s="66" t="s">
        <v>431</v>
      </c>
      <c r="F365" s="65" t="s">
        <v>432</v>
      </c>
      <c r="G365" s="47" t="s">
        <v>77</v>
      </c>
      <c r="H365" s="45" t="s">
        <v>560</v>
      </c>
      <c r="I365" s="102" t="s">
        <v>78</v>
      </c>
      <c r="J365" s="47" t="s">
        <v>561</v>
      </c>
      <c r="K365" s="47"/>
      <c r="L365" s="48" t="s">
        <v>376</v>
      </c>
      <c r="M365" s="49">
        <v>44465</v>
      </c>
      <c r="N365" s="49" t="s">
        <v>182</v>
      </c>
      <c r="O365" s="61">
        <v>11600</v>
      </c>
      <c r="P365" s="61">
        <v>136</v>
      </c>
      <c r="Q365" s="51">
        <f t="shared" si="12"/>
        <v>1577600</v>
      </c>
      <c r="R365" s="31">
        <v>202310</v>
      </c>
      <c r="S365" s="108" t="s">
        <v>563</v>
      </c>
      <c r="T365" s="108"/>
      <c r="U365" s="108"/>
      <c r="V365" s="108"/>
      <c r="W365" s="67"/>
      <c r="X365" s="67"/>
      <c r="Y365" s="36">
        <v>44434</v>
      </c>
      <c r="Z365" s="36">
        <v>46624</v>
      </c>
      <c r="AA365" s="36"/>
      <c r="AB365" s="36"/>
      <c r="AC365" s="36"/>
      <c r="AD365" s="36"/>
      <c r="AE365" s="36"/>
      <c r="AF365" s="53" t="s">
        <v>68</v>
      </c>
      <c r="AG365" s="42"/>
      <c r="AH365" s="42"/>
      <c r="AI365" s="43"/>
      <c r="AJ365" s="43"/>
      <c r="AK365" s="43"/>
      <c r="AL365" s="43"/>
      <c r="AM365" s="43"/>
      <c r="AN365" s="42"/>
      <c r="AO365" s="42"/>
      <c r="AP365" s="42"/>
      <c r="AQ365" s="43"/>
      <c r="AR365" s="42"/>
      <c r="AS365" s="42"/>
    </row>
    <row r="366" spans="1:45" ht="15" customHeight="1">
      <c r="A366" s="65" t="s">
        <v>258</v>
      </c>
      <c r="B366" s="21" t="s">
        <v>46</v>
      </c>
      <c r="C366" s="21" t="s">
        <v>188</v>
      </c>
      <c r="D366" s="21" t="s">
        <v>48</v>
      </c>
      <c r="E366" s="66" t="s">
        <v>431</v>
      </c>
      <c r="F366" s="65" t="s">
        <v>432</v>
      </c>
      <c r="G366" s="47" t="s">
        <v>77</v>
      </c>
      <c r="H366" s="45" t="s">
        <v>560</v>
      </c>
      <c r="I366" s="102" t="s">
        <v>78</v>
      </c>
      <c r="J366" s="47" t="s">
        <v>561</v>
      </c>
      <c r="K366" s="47"/>
      <c r="L366" s="48" t="s">
        <v>376</v>
      </c>
      <c r="M366" s="49">
        <v>44465</v>
      </c>
      <c r="N366" s="49" t="s">
        <v>182</v>
      </c>
      <c r="O366" s="61">
        <v>11600</v>
      </c>
      <c r="P366" s="61">
        <v>54</v>
      </c>
      <c r="Q366" s="51">
        <f t="shared" si="12"/>
        <v>626400</v>
      </c>
      <c r="R366" s="31">
        <v>202310</v>
      </c>
      <c r="S366" s="108" t="s">
        <v>564</v>
      </c>
      <c r="T366" s="108"/>
      <c r="U366" s="108"/>
      <c r="V366" s="108"/>
      <c r="W366" s="67"/>
      <c r="X366" s="67"/>
      <c r="Y366" s="36">
        <v>44434</v>
      </c>
      <c r="Z366" s="36">
        <v>46624</v>
      </c>
      <c r="AA366" s="36"/>
      <c r="AB366" s="36"/>
      <c r="AC366" s="36"/>
      <c r="AD366" s="36"/>
      <c r="AE366" s="36"/>
      <c r="AF366" s="53" t="s">
        <v>68</v>
      </c>
      <c r="AG366" s="42"/>
      <c r="AH366" s="42"/>
      <c r="AI366" s="43"/>
      <c r="AJ366" s="43"/>
      <c r="AK366" s="43"/>
      <c r="AL366" s="43"/>
      <c r="AM366" s="43"/>
      <c r="AN366" s="42"/>
      <c r="AO366" s="42"/>
      <c r="AP366" s="42"/>
      <c r="AQ366" s="43"/>
      <c r="AR366" s="42"/>
      <c r="AS366" s="42"/>
    </row>
    <row r="367" spans="1:45" ht="15" customHeight="1">
      <c r="A367" s="65" t="s">
        <v>258</v>
      </c>
      <c r="B367" s="21" t="s">
        <v>46</v>
      </c>
      <c r="C367" s="21" t="s">
        <v>188</v>
      </c>
      <c r="D367" s="21" t="s">
        <v>48</v>
      </c>
      <c r="E367" s="66" t="s">
        <v>431</v>
      </c>
      <c r="F367" s="65" t="s">
        <v>432</v>
      </c>
      <c r="G367" s="47" t="s">
        <v>77</v>
      </c>
      <c r="H367" s="45" t="s">
        <v>560</v>
      </c>
      <c r="I367" s="102" t="s">
        <v>78</v>
      </c>
      <c r="J367" s="47" t="s">
        <v>561</v>
      </c>
      <c r="K367" s="47"/>
      <c r="L367" s="48" t="s">
        <v>376</v>
      </c>
      <c r="M367" s="49">
        <v>44467</v>
      </c>
      <c r="N367" s="49" t="s">
        <v>182</v>
      </c>
      <c r="O367" s="61">
        <v>11600</v>
      </c>
      <c r="P367" s="61">
        <v>53</v>
      </c>
      <c r="Q367" s="51">
        <f t="shared" si="12"/>
        <v>614800</v>
      </c>
      <c r="R367" s="31">
        <v>202310</v>
      </c>
      <c r="S367" s="108" t="s">
        <v>565</v>
      </c>
      <c r="T367" s="108"/>
      <c r="U367" s="108"/>
      <c r="V367" s="108"/>
      <c r="W367" s="67"/>
      <c r="X367" s="67"/>
      <c r="Y367" s="36">
        <v>44434</v>
      </c>
      <c r="Z367" s="36">
        <v>46624</v>
      </c>
      <c r="AA367" s="36"/>
      <c r="AB367" s="36"/>
      <c r="AC367" s="36"/>
      <c r="AD367" s="36"/>
      <c r="AE367" s="36"/>
      <c r="AF367" s="53" t="s">
        <v>68</v>
      </c>
      <c r="AG367" s="42"/>
      <c r="AH367" s="42"/>
      <c r="AI367" s="43"/>
      <c r="AJ367" s="43"/>
      <c r="AK367" s="43"/>
      <c r="AL367" s="43"/>
      <c r="AM367" s="43"/>
      <c r="AN367" s="42"/>
      <c r="AO367" s="42"/>
      <c r="AP367" s="42"/>
      <c r="AQ367" s="43"/>
      <c r="AR367" s="42"/>
      <c r="AS367" s="42"/>
    </row>
    <row r="368" spans="1:45" ht="15" customHeight="1">
      <c r="A368" s="65" t="s">
        <v>258</v>
      </c>
      <c r="B368" s="21" t="s">
        <v>46</v>
      </c>
      <c r="C368" s="21" t="s">
        <v>188</v>
      </c>
      <c r="D368" s="21" t="s">
        <v>48</v>
      </c>
      <c r="E368" s="66" t="s">
        <v>431</v>
      </c>
      <c r="F368" s="65" t="s">
        <v>432</v>
      </c>
      <c r="G368" s="47" t="s">
        <v>77</v>
      </c>
      <c r="H368" s="45" t="s">
        <v>560</v>
      </c>
      <c r="I368" s="102" t="s">
        <v>78</v>
      </c>
      <c r="J368" s="47" t="s">
        <v>561</v>
      </c>
      <c r="K368" s="47"/>
      <c r="L368" s="48" t="s">
        <v>376</v>
      </c>
      <c r="M368" s="49">
        <v>44465</v>
      </c>
      <c r="N368" s="49" t="s">
        <v>182</v>
      </c>
      <c r="O368" s="61">
        <v>11600</v>
      </c>
      <c r="P368" s="61">
        <v>9</v>
      </c>
      <c r="Q368" s="51">
        <f t="shared" si="12"/>
        <v>104400</v>
      </c>
      <c r="R368" s="31">
        <v>202310</v>
      </c>
      <c r="S368" s="108" t="s">
        <v>566</v>
      </c>
      <c r="T368" s="108"/>
      <c r="U368" s="108"/>
      <c r="V368" s="108"/>
      <c r="W368" s="67"/>
      <c r="X368" s="67"/>
      <c r="Y368" s="36">
        <v>44434</v>
      </c>
      <c r="Z368" s="36">
        <v>46624</v>
      </c>
      <c r="AA368" s="36"/>
      <c r="AB368" s="36"/>
      <c r="AC368" s="36"/>
      <c r="AD368" s="36"/>
      <c r="AE368" s="36"/>
      <c r="AF368" s="53" t="s">
        <v>68</v>
      </c>
      <c r="AG368" s="42"/>
      <c r="AH368" s="42"/>
      <c r="AI368" s="43"/>
      <c r="AJ368" s="43"/>
      <c r="AK368" s="43"/>
      <c r="AL368" s="43"/>
      <c r="AM368" s="43"/>
      <c r="AN368" s="42"/>
      <c r="AO368" s="42"/>
      <c r="AP368" s="42"/>
      <c r="AQ368" s="43"/>
      <c r="AR368" s="42"/>
      <c r="AS368" s="42"/>
    </row>
    <row r="369" spans="1:45" ht="15" customHeight="1">
      <c r="A369" s="21" t="s">
        <v>258</v>
      </c>
      <c r="B369" s="21" t="s">
        <v>46</v>
      </c>
      <c r="C369" s="21" t="s">
        <v>188</v>
      </c>
      <c r="D369" s="21" t="s">
        <v>48</v>
      </c>
      <c r="E369" s="80" t="s">
        <v>431</v>
      </c>
      <c r="F369" s="65" t="s">
        <v>432</v>
      </c>
      <c r="G369" s="101" t="s">
        <v>77</v>
      </c>
      <c r="H369" s="45" t="s">
        <v>560</v>
      </c>
      <c r="I369" s="24" t="s">
        <v>78</v>
      </c>
      <c r="J369" s="47" t="s">
        <v>561</v>
      </c>
      <c r="K369" s="104"/>
      <c r="L369" s="48" t="s">
        <v>376</v>
      </c>
      <c r="M369" s="27">
        <v>44471</v>
      </c>
      <c r="N369" s="105" t="s">
        <v>182</v>
      </c>
      <c r="O369" s="106">
        <v>11600</v>
      </c>
      <c r="P369" s="106">
        <v>1</v>
      </c>
      <c r="Q369" s="51">
        <f t="shared" si="12"/>
        <v>11600</v>
      </c>
      <c r="R369" s="31">
        <v>202310</v>
      </c>
      <c r="S369" s="54" t="s">
        <v>567</v>
      </c>
      <c r="T369" s="54"/>
      <c r="U369" s="54"/>
      <c r="V369" s="54"/>
      <c r="W369" s="67"/>
      <c r="X369" s="67"/>
      <c r="Y369" s="36">
        <v>44434</v>
      </c>
      <c r="Z369" s="36">
        <v>46624</v>
      </c>
      <c r="AA369" s="36"/>
      <c r="AB369" s="36"/>
      <c r="AC369" s="36"/>
      <c r="AD369" s="36"/>
      <c r="AE369" s="36"/>
      <c r="AF369" s="53" t="s">
        <v>68</v>
      </c>
      <c r="AG369" s="42"/>
      <c r="AH369" s="42"/>
      <c r="AI369" s="43"/>
      <c r="AJ369" s="43"/>
      <c r="AK369" s="43"/>
      <c r="AL369" s="43"/>
      <c r="AM369" s="43"/>
      <c r="AN369" s="42"/>
      <c r="AO369" s="42"/>
      <c r="AP369" s="42"/>
      <c r="AQ369" s="43"/>
      <c r="AR369" s="42"/>
      <c r="AS369" s="42"/>
    </row>
    <row r="370" spans="1:45" ht="15" customHeight="1">
      <c r="A370" s="21" t="s">
        <v>258</v>
      </c>
      <c r="B370" s="21" t="s">
        <v>46</v>
      </c>
      <c r="C370" s="21" t="s">
        <v>188</v>
      </c>
      <c r="D370" s="21" t="s">
        <v>48</v>
      </c>
      <c r="E370" s="80" t="s">
        <v>431</v>
      </c>
      <c r="F370" s="65" t="s">
        <v>432</v>
      </c>
      <c r="G370" s="101" t="s">
        <v>77</v>
      </c>
      <c r="H370" s="45" t="s">
        <v>560</v>
      </c>
      <c r="I370" s="24" t="s">
        <v>78</v>
      </c>
      <c r="J370" s="47" t="s">
        <v>561</v>
      </c>
      <c r="K370" s="104"/>
      <c r="L370" s="48" t="s">
        <v>376</v>
      </c>
      <c r="M370" s="27">
        <v>44499</v>
      </c>
      <c r="N370" s="105" t="s">
        <v>182</v>
      </c>
      <c r="O370" s="106">
        <v>11600</v>
      </c>
      <c r="P370" s="106">
        <v>2</v>
      </c>
      <c r="Q370" s="51">
        <f t="shared" si="12"/>
        <v>23200</v>
      </c>
      <c r="R370" s="31">
        <v>202310</v>
      </c>
      <c r="S370" s="54" t="s">
        <v>568</v>
      </c>
      <c r="T370" s="54"/>
      <c r="U370" s="54"/>
      <c r="V370" s="54"/>
      <c r="W370" s="67"/>
      <c r="X370" s="67"/>
      <c r="Y370" s="36">
        <v>44434</v>
      </c>
      <c r="Z370" s="36">
        <v>46624</v>
      </c>
      <c r="AA370" s="36"/>
      <c r="AB370" s="36"/>
      <c r="AC370" s="36"/>
      <c r="AD370" s="36"/>
      <c r="AE370" s="36"/>
      <c r="AF370" s="53" t="s">
        <v>68</v>
      </c>
      <c r="AG370" s="42"/>
      <c r="AH370" s="42"/>
      <c r="AI370" s="43"/>
      <c r="AJ370" s="43"/>
      <c r="AK370" s="43"/>
      <c r="AL370" s="43"/>
      <c r="AM370" s="43"/>
      <c r="AN370" s="42"/>
      <c r="AO370" s="42"/>
      <c r="AP370" s="42"/>
      <c r="AQ370" s="43"/>
      <c r="AR370" s="42"/>
      <c r="AS370" s="42"/>
    </row>
    <row r="371" spans="1:45" ht="15" customHeight="1">
      <c r="A371" s="21" t="s">
        <v>258</v>
      </c>
      <c r="B371" s="21" t="s">
        <v>46</v>
      </c>
      <c r="C371" s="21" t="s">
        <v>188</v>
      </c>
      <c r="D371" s="21" t="s">
        <v>48</v>
      </c>
      <c r="E371" s="80" t="s">
        <v>431</v>
      </c>
      <c r="F371" s="65" t="s">
        <v>432</v>
      </c>
      <c r="G371" s="101" t="s">
        <v>77</v>
      </c>
      <c r="H371" s="45" t="s">
        <v>560</v>
      </c>
      <c r="I371" s="24" t="s">
        <v>78</v>
      </c>
      <c r="J371" s="47" t="s">
        <v>561</v>
      </c>
      <c r="K371" s="104"/>
      <c r="L371" s="48" t="s">
        <v>376</v>
      </c>
      <c r="M371" s="27">
        <v>44519</v>
      </c>
      <c r="N371" s="105" t="s">
        <v>177</v>
      </c>
      <c r="O371" s="106">
        <v>5803.6</v>
      </c>
      <c r="P371" s="106">
        <v>4</v>
      </c>
      <c r="Q371" s="51">
        <f t="shared" si="12"/>
        <v>23214.400000000001</v>
      </c>
      <c r="R371" s="31">
        <v>202310</v>
      </c>
      <c r="S371" s="54" t="s">
        <v>569</v>
      </c>
      <c r="T371" s="54"/>
      <c r="U371" s="54"/>
      <c r="V371" s="54"/>
      <c r="W371" s="67"/>
      <c r="X371" s="67"/>
      <c r="Y371" s="36">
        <v>44434</v>
      </c>
      <c r="Z371" s="36">
        <v>46624</v>
      </c>
      <c r="AA371" s="36"/>
      <c r="AB371" s="36"/>
      <c r="AC371" s="36"/>
      <c r="AD371" s="36"/>
      <c r="AE371" s="36"/>
      <c r="AF371" s="53" t="s">
        <v>68</v>
      </c>
      <c r="AG371" s="42"/>
      <c r="AH371" s="42"/>
      <c r="AI371" s="43"/>
      <c r="AJ371" s="43"/>
      <c r="AK371" s="43"/>
      <c r="AL371" s="43"/>
      <c r="AM371" s="43"/>
      <c r="AN371" s="42"/>
      <c r="AO371" s="42"/>
      <c r="AP371" s="42"/>
      <c r="AQ371" s="43"/>
      <c r="AR371" s="42"/>
      <c r="AS371" s="42"/>
    </row>
    <row r="372" spans="1:45" ht="15" customHeight="1">
      <c r="A372" s="21" t="s">
        <v>258</v>
      </c>
      <c r="B372" s="21" t="s">
        <v>46</v>
      </c>
      <c r="C372" s="21" t="s">
        <v>188</v>
      </c>
      <c r="D372" s="21" t="s">
        <v>48</v>
      </c>
      <c r="E372" s="80" t="s">
        <v>431</v>
      </c>
      <c r="F372" s="65" t="s">
        <v>432</v>
      </c>
      <c r="G372" s="101" t="s">
        <v>77</v>
      </c>
      <c r="H372" s="45" t="s">
        <v>560</v>
      </c>
      <c r="I372" s="24" t="s">
        <v>78</v>
      </c>
      <c r="J372" s="47" t="s">
        <v>561</v>
      </c>
      <c r="K372" s="104"/>
      <c r="L372" s="48" t="s">
        <v>376</v>
      </c>
      <c r="M372" s="27">
        <v>44519</v>
      </c>
      <c r="N372" s="49" t="s">
        <v>182</v>
      </c>
      <c r="O372" s="61">
        <v>11600</v>
      </c>
      <c r="P372" s="106">
        <v>4</v>
      </c>
      <c r="Q372" s="51">
        <f t="shared" si="12"/>
        <v>46400</v>
      </c>
      <c r="R372" s="31">
        <v>202310</v>
      </c>
      <c r="S372" s="54" t="s">
        <v>570</v>
      </c>
      <c r="T372" s="54"/>
      <c r="U372" s="54"/>
      <c r="V372" s="54"/>
      <c r="W372" s="67"/>
      <c r="X372" s="67"/>
      <c r="Y372" s="36">
        <v>44434</v>
      </c>
      <c r="Z372" s="36">
        <v>46624</v>
      </c>
      <c r="AA372" s="36"/>
      <c r="AB372" s="36"/>
      <c r="AC372" s="36"/>
      <c r="AD372" s="36"/>
      <c r="AE372" s="36"/>
      <c r="AF372" s="53" t="s">
        <v>68</v>
      </c>
      <c r="AG372" s="42"/>
      <c r="AH372" s="42"/>
      <c r="AI372" s="43"/>
      <c r="AJ372" s="43"/>
      <c r="AK372" s="43"/>
      <c r="AL372" s="43"/>
      <c r="AM372" s="43"/>
      <c r="AN372" s="42"/>
      <c r="AO372" s="42"/>
      <c r="AP372" s="42"/>
      <c r="AQ372" s="43"/>
      <c r="AR372" s="42"/>
      <c r="AS372" s="42"/>
    </row>
    <row r="373" spans="1:45" ht="15" customHeight="1">
      <c r="A373" s="21" t="s">
        <v>258</v>
      </c>
      <c r="B373" s="21" t="s">
        <v>46</v>
      </c>
      <c r="C373" s="21" t="s">
        <v>188</v>
      </c>
      <c r="D373" s="21" t="s">
        <v>48</v>
      </c>
      <c r="E373" s="80" t="s">
        <v>431</v>
      </c>
      <c r="F373" s="65" t="s">
        <v>432</v>
      </c>
      <c r="G373" s="101" t="s">
        <v>77</v>
      </c>
      <c r="H373" s="45" t="s">
        <v>560</v>
      </c>
      <c r="I373" s="24" t="s">
        <v>78</v>
      </c>
      <c r="J373" s="47" t="s">
        <v>561</v>
      </c>
      <c r="K373" s="104"/>
      <c r="L373" s="48" t="s">
        <v>376</v>
      </c>
      <c r="M373" s="27">
        <v>44548</v>
      </c>
      <c r="N373" s="49" t="s">
        <v>182</v>
      </c>
      <c r="O373" s="61">
        <v>11600</v>
      </c>
      <c r="P373" s="106">
        <v>21</v>
      </c>
      <c r="Q373" s="51">
        <f t="shared" si="12"/>
        <v>243600</v>
      </c>
      <c r="R373" s="31">
        <v>202310</v>
      </c>
      <c r="S373" s="54" t="s">
        <v>571</v>
      </c>
      <c r="T373" s="110"/>
      <c r="U373" s="110"/>
      <c r="V373" s="110"/>
      <c r="W373" s="67"/>
      <c r="X373" s="67"/>
      <c r="Y373" s="36">
        <v>44434</v>
      </c>
      <c r="Z373" s="36">
        <v>46624</v>
      </c>
      <c r="AA373" s="36"/>
      <c r="AB373" s="36"/>
      <c r="AC373" s="36"/>
      <c r="AD373" s="36"/>
      <c r="AE373" s="36"/>
      <c r="AF373" s="53" t="s">
        <v>68</v>
      </c>
      <c r="AG373" s="42"/>
      <c r="AH373" s="42"/>
      <c r="AI373" s="43"/>
      <c r="AJ373" s="43"/>
      <c r="AK373" s="43"/>
      <c r="AL373" s="43"/>
      <c r="AM373" s="43"/>
      <c r="AN373" s="42"/>
      <c r="AO373" s="42"/>
      <c r="AP373" s="42"/>
      <c r="AQ373" s="43"/>
      <c r="AR373" s="42"/>
      <c r="AS373" s="42"/>
    </row>
    <row r="374" spans="1:45" ht="15" customHeight="1">
      <c r="A374" s="21" t="s">
        <v>258</v>
      </c>
      <c r="B374" s="21" t="s">
        <v>46</v>
      </c>
      <c r="C374" s="21" t="s">
        <v>188</v>
      </c>
      <c r="D374" s="21" t="s">
        <v>48</v>
      </c>
      <c r="E374" s="80" t="s">
        <v>431</v>
      </c>
      <c r="F374" s="65" t="s">
        <v>432</v>
      </c>
      <c r="G374" s="101" t="s">
        <v>77</v>
      </c>
      <c r="H374" s="45" t="s">
        <v>560</v>
      </c>
      <c r="I374" s="24" t="s">
        <v>78</v>
      </c>
      <c r="J374" s="47" t="s">
        <v>561</v>
      </c>
      <c r="K374" s="104"/>
      <c r="L374" s="48" t="s">
        <v>376</v>
      </c>
      <c r="M374" s="27">
        <v>44551</v>
      </c>
      <c r="N374" s="49" t="s">
        <v>182</v>
      </c>
      <c r="O374" s="61">
        <v>11600</v>
      </c>
      <c r="P374" s="106">
        <v>8</v>
      </c>
      <c r="Q374" s="51">
        <f t="shared" si="12"/>
        <v>92800</v>
      </c>
      <c r="R374" s="31">
        <v>202310</v>
      </c>
      <c r="S374" s="54" t="s">
        <v>572</v>
      </c>
      <c r="T374" s="54"/>
      <c r="U374" s="54"/>
      <c r="V374" s="54"/>
      <c r="W374" s="67"/>
      <c r="X374" s="67"/>
      <c r="Y374" s="36">
        <v>44434</v>
      </c>
      <c r="Z374" s="36">
        <v>46624</v>
      </c>
      <c r="AA374" s="36"/>
      <c r="AB374" s="36"/>
      <c r="AC374" s="36"/>
      <c r="AD374" s="36"/>
      <c r="AE374" s="36"/>
      <c r="AF374" s="53" t="s">
        <v>68</v>
      </c>
      <c r="AG374" s="42"/>
      <c r="AH374" s="42"/>
      <c r="AI374" s="43"/>
      <c r="AJ374" s="43"/>
      <c r="AK374" s="43"/>
      <c r="AL374" s="43"/>
      <c r="AM374" s="43"/>
      <c r="AN374" s="42"/>
      <c r="AO374" s="42"/>
      <c r="AP374" s="42"/>
      <c r="AQ374" s="43"/>
      <c r="AR374" s="42"/>
      <c r="AS374" s="42"/>
    </row>
    <row r="375" spans="1:45" ht="15" customHeight="1">
      <c r="A375" s="21" t="s">
        <v>258</v>
      </c>
      <c r="B375" s="21" t="s">
        <v>46</v>
      </c>
      <c r="C375" s="21" t="s">
        <v>188</v>
      </c>
      <c r="D375" s="21" t="s">
        <v>48</v>
      </c>
      <c r="E375" s="80" t="s">
        <v>431</v>
      </c>
      <c r="F375" s="65" t="s">
        <v>432</v>
      </c>
      <c r="G375" s="101" t="s">
        <v>77</v>
      </c>
      <c r="H375" s="45" t="s">
        <v>560</v>
      </c>
      <c r="I375" s="24" t="s">
        <v>78</v>
      </c>
      <c r="J375" s="47" t="s">
        <v>561</v>
      </c>
      <c r="K375" s="104"/>
      <c r="L375" s="48" t="s">
        <v>376</v>
      </c>
      <c r="M375" s="27">
        <v>44712</v>
      </c>
      <c r="N375" s="49" t="s">
        <v>182</v>
      </c>
      <c r="O375" s="61">
        <v>11600</v>
      </c>
      <c r="P375" s="106">
        <v>-29</v>
      </c>
      <c r="Q375" s="51">
        <f t="shared" si="12"/>
        <v>-336400</v>
      </c>
      <c r="R375" s="31">
        <v>202310</v>
      </c>
      <c r="S375" s="54" t="s">
        <v>573</v>
      </c>
      <c r="T375" s="54"/>
      <c r="U375" s="54"/>
      <c r="V375" s="54"/>
      <c r="W375" s="67"/>
      <c r="X375" s="67"/>
      <c r="Y375" s="36">
        <v>44434</v>
      </c>
      <c r="Z375" s="36">
        <v>46624</v>
      </c>
      <c r="AA375" s="36"/>
      <c r="AB375" s="36"/>
      <c r="AC375" s="36"/>
      <c r="AD375" s="36"/>
      <c r="AE375" s="36"/>
      <c r="AF375" s="53" t="s">
        <v>68</v>
      </c>
      <c r="AG375" s="42"/>
      <c r="AH375" s="42"/>
      <c r="AI375" s="43"/>
      <c r="AJ375" s="43"/>
      <c r="AK375" s="43"/>
      <c r="AL375" s="43"/>
      <c r="AM375" s="43"/>
      <c r="AN375" s="42"/>
      <c r="AO375" s="42"/>
      <c r="AP375" s="42"/>
      <c r="AQ375" s="43"/>
      <c r="AR375" s="42"/>
      <c r="AS375" s="42"/>
    </row>
    <row r="376" spans="1:45" ht="15" customHeight="1">
      <c r="A376" s="21" t="s">
        <v>258</v>
      </c>
      <c r="B376" s="21" t="s">
        <v>46</v>
      </c>
      <c r="C376" s="21" t="s">
        <v>188</v>
      </c>
      <c r="D376" s="21" t="s">
        <v>48</v>
      </c>
      <c r="E376" s="80" t="s">
        <v>431</v>
      </c>
      <c r="F376" s="65" t="s">
        <v>432</v>
      </c>
      <c r="G376" s="101" t="s">
        <v>77</v>
      </c>
      <c r="H376" s="45" t="s">
        <v>560</v>
      </c>
      <c r="I376" s="24" t="s">
        <v>78</v>
      </c>
      <c r="J376" s="47" t="s">
        <v>561</v>
      </c>
      <c r="K376" s="104"/>
      <c r="L376" s="48" t="s">
        <v>376</v>
      </c>
      <c r="M376" s="27">
        <v>44556</v>
      </c>
      <c r="N376" s="49" t="s">
        <v>177</v>
      </c>
      <c r="O376" s="106">
        <v>5803.6</v>
      </c>
      <c r="P376" s="106">
        <v>13</v>
      </c>
      <c r="Q376" s="51">
        <f t="shared" si="12"/>
        <v>75446.8</v>
      </c>
      <c r="R376" s="31">
        <v>202310</v>
      </c>
      <c r="S376" s="54" t="s">
        <v>574</v>
      </c>
      <c r="T376" s="54"/>
      <c r="U376" s="54"/>
      <c r="V376" s="54"/>
      <c r="W376" s="67"/>
      <c r="X376" s="67"/>
      <c r="Y376" s="36">
        <v>44434</v>
      </c>
      <c r="Z376" s="36">
        <v>46624</v>
      </c>
      <c r="AA376" s="36"/>
      <c r="AB376" s="36"/>
      <c r="AC376" s="36"/>
      <c r="AD376" s="36"/>
      <c r="AE376" s="36"/>
      <c r="AF376" s="53" t="s">
        <v>68</v>
      </c>
      <c r="AG376" s="42"/>
      <c r="AH376" s="42"/>
      <c r="AI376" s="43"/>
      <c r="AJ376" s="43"/>
      <c r="AK376" s="43"/>
      <c r="AL376" s="43"/>
      <c r="AM376" s="43"/>
      <c r="AN376" s="42"/>
      <c r="AO376" s="42"/>
      <c r="AP376" s="42"/>
      <c r="AQ376" s="43"/>
      <c r="AR376" s="42"/>
      <c r="AS376" s="42"/>
    </row>
    <row r="377" spans="1:45" ht="15" customHeight="1">
      <c r="A377" s="21" t="s">
        <v>258</v>
      </c>
      <c r="B377" s="21" t="s">
        <v>46</v>
      </c>
      <c r="C377" s="21" t="s">
        <v>188</v>
      </c>
      <c r="D377" s="21" t="s">
        <v>48</v>
      </c>
      <c r="E377" s="80" t="s">
        <v>431</v>
      </c>
      <c r="F377" s="65" t="s">
        <v>432</v>
      </c>
      <c r="G377" s="101" t="s">
        <v>77</v>
      </c>
      <c r="H377" s="45" t="s">
        <v>560</v>
      </c>
      <c r="I377" s="24" t="s">
        <v>78</v>
      </c>
      <c r="J377" s="47" t="s">
        <v>561</v>
      </c>
      <c r="K377" s="104"/>
      <c r="L377" s="48" t="s">
        <v>376</v>
      </c>
      <c r="M377" s="27">
        <v>44556</v>
      </c>
      <c r="N377" s="49" t="s">
        <v>182</v>
      </c>
      <c r="O377" s="61">
        <v>11600</v>
      </c>
      <c r="P377" s="106">
        <v>104</v>
      </c>
      <c r="Q377" s="51">
        <f t="shared" si="12"/>
        <v>1206400</v>
      </c>
      <c r="R377" s="31">
        <v>202310</v>
      </c>
      <c r="S377" s="54" t="s">
        <v>575</v>
      </c>
      <c r="T377" s="54"/>
      <c r="U377" s="54"/>
      <c r="V377" s="54"/>
      <c r="W377" s="67"/>
      <c r="X377" s="67"/>
      <c r="Y377" s="36">
        <v>44434</v>
      </c>
      <c r="Z377" s="36">
        <v>46624</v>
      </c>
      <c r="AA377" s="36"/>
      <c r="AB377" s="36"/>
      <c r="AC377" s="36"/>
      <c r="AD377" s="36"/>
      <c r="AE377" s="36"/>
      <c r="AF377" s="53" t="s">
        <v>68</v>
      </c>
      <c r="AG377" s="42"/>
      <c r="AH377" s="42"/>
      <c r="AI377" s="43"/>
      <c r="AJ377" s="43"/>
      <c r="AK377" s="43"/>
      <c r="AL377" s="43"/>
      <c r="AM377" s="43"/>
      <c r="AN377" s="42"/>
      <c r="AO377" s="42"/>
      <c r="AP377" s="42"/>
      <c r="AQ377" s="43"/>
      <c r="AR377" s="42"/>
      <c r="AS377" s="42"/>
    </row>
    <row r="378" spans="1:45" ht="15" customHeight="1">
      <c r="A378" s="21" t="s">
        <v>258</v>
      </c>
      <c r="B378" s="21" t="s">
        <v>46</v>
      </c>
      <c r="C378" s="21" t="s">
        <v>188</v>
      </c>
      <c r="D378" s="21" t="s">
        <v>48</v>
      </c>
      <c r="E378" s="80" t="s">
        <v>431</v>
      </c>
      <c r="F378" s="65" t="s">
        <v>432</v>
      </c>
      <c r="G378" s="101" t="s">
        <v>77</v>
      </c>
      <c r="H378" s="45" t="s">
        <v>560</v>
      </c>
      <c r="I378" s="24" t="s">
        <v>78</v>
      </c>
      <c r="J378" s="47" t="s">
        <v>561</v>
      </c>
      <c r="K378" s="104"/>
      <c r="L378" s="48" t="s">
        <v>376</v>
      </c>
      <c r="M378" s="27">
        <v>44560</v>
      </c>
      <c r="N378" s="49" t="s">
        <v>182</v>
      </c>
      <c r="O378" s="61">
        <v>11600</v>
      </c>
      <c r="P378" s="106">
        <v>3</v>
      </c>
      <c r="Q378" s="51">
        <f t="shared" si="12"/>
        <v>34800</v>
      </c>
      <c r="R378" s="31">
        <v>202310</v>
      </c>
      <c r="S378" s="54" t="s">
        <v>576</v>
      </c>
      <c r="T378" s="54"/>
      <c r="U378" s="54"/>
      <c r="V378" s="54"/>
      <c r="W378" s="67"/>
      <c r="X378" s="67"/>
      <c r="Y378" s="36">
        <v>44434</v>
      </c>
      <c r="Z378" s="36">
        <v>46624</v>
      </c>
      <c r="AA378" s="36"/>
      <c r="AB378" s="36"/>
      <c r="AC378" s="36"/>
      <c r="AD378" s="36"/>
      <c r="AE378" s="36"/>
      <c r="AF378" s="53" t="s">
        <v>68</v>
      </c>
      <c r="AG378" s="42"/>
      <c r="AH378" s="42"/>
      <c r="AI378" s="43"/>
      <c r="AJ378" s="43"/>
      <c r="AK378" s="43"/>
      <c r="AL378" s="43"/>
      <c r="AM378" s="43"/>
      <c r="AN378" s="42"/>
      <c r="AO378" s="42"/>
      <c r="AP378" s="42"/>
      <c r="AQ378" s="43"/>
      <c r="AR378" s="42"/>
      <c r="AS378" s="42"/>
    </row>
    <row r="379" spans="1:45" ht="15" customHeight="1">
      <c r="A379" s="21" t="s">
        <v>258</v>
      </c>
      <c r="B379" s="21" t="s">
        <v>46</v>
      </c>
      <c r="C379" s="21" t="s">
        <v>188</v>
      </c>
      <c r="D379" s="21" t="s">
        <v>48</v>
      </c>
      <c r="E379" s="80" t="s">
        <v>431</v>
      </c>
      <c r="F379" s="65" t="s">
        <v>432</v>
      </c>
      <c r="G379" s="101" t="s">
        <v>77</v>
      </c>
      <c r="H379" s="45" t="s">
        <v>560</v>
      </c>
      <c r="I379" s="24" t="s">
        <v>78</v>
      </c>
      <c r="J379" s="47" t="s">
        <v>561</v>
      </c>
      <c r="K379" s="104"/>
      <c r="L379" s="48" t="s">
        <v>376</v>
      </c>
      <c r="M379" s="27">
        <v>44617</v>
      </c>
      <c r="N379" s="49" t="s">
        <v>182</v>
      </c>
      <c r="O379" s="61">
        <v>11600</v>
      </c>
      <c r="P379" s="106">
        <v>2</v>
      </c>
      <c r="Q379" s="51">
        <f t="shared" si="12"/>
        <v>23200</v>
      </c>
      <c r="R379" s="31">
        <v>202310</v>
      </c>
      <c r="S379" s="54" t="s">
        <v>577</v>
      </c>
      <c r="T379" s="54"/>
      <c r="U379" s="54"/>
      <c r="V379" s="54"/>
      <c r="W379" s="67"/>
      <c r="X379" s="67"/>
      <c r="Y379" s="36">
        <v>44434</v>
      </c>
      <c r="Z379" s="36">
        <v>46624</v>
      </c>
      <c r="AA379" s="36"/>
      <c r="AB379" s="36"/>
      <c r="AC379" s="36"/>
      <c r="AD379" s="36"/>
      <c r="AE379" s="36"/>
      <c r="AF379" s="53" t="s">
        <v>68</v>
      </c>
      <c r="AG379" s="42"/>
      <c r="AH379" s="42"/>
      <c r="AI379" s="43"/>
      <c r="AJ379" s="43"/>
      <c r="AK379" s="43"/>
      <c r="AL379" s="43"/>
      <c r="AM379" s="43"/>
      <c r="AN379" s="42"/>
      <c r="AO379" s="42"/>
      <c r="AP379" s="42"/>
      <c r="AQ379" s="43"/>
      <c r="AR379" s="42"/>
      <c r="AS379" s="42"/>
    </row>
    <row r="380" spans="1:45" ht="15" customHeight="1">
      <c r="A380" s="21" t="s">
        <v>258</v>
      </c>
      <c r="B380" s="21" t="s">
        <v>46</v>
      </c>
      <c r="C380" s="21" t="s">
        <v>188</v>
      </c>
      <c r="D380" s="21" t="s">
        <v>48</v>
      </c>
      <c r="E380" s="80" t="s">
        <v>431</v>
      </c>
      <c r="F380" s="65" t="s">
        <v>432</v>
      </c>
      <c r="G380" s="101" t="s">
        <v>77</v>
      </c>
      <c r="H380" s="45" t="s">
        <v>560</v>
      </c>
      <c r="I380" s="24" t="s">
        <v>78</v>
      </c>
      <c r="J380" s="47" t="s">
        <v>561</v>
      </c>
      <c r="K380" s="104"/>
      <c r="L380" s="48" t="s">
        <v>376</v>
      </c>
      <c r="M380" s="27">
        <v>44650</v>
      </c>
      <c r="N380" s="49" t="s">
        <v>182</v>
      </c>
      <c r="O380" s="61">
        <v>11600</v>
      </c>
      <c r="P380" s="106">
        <v>2</v>
      </c>
      <c r="Q380" s="51">
        <f t="shared" si="12"/>
        <v>23200</v>
      </c>
      <c r="R380" s="31">
        <v>202310</v>
      </c>
      <c r="S380" s="54" t="s">
        <v>578</v>
      </c>
      <c r="T380" s="54"/>
      <c r="U380" s="54"/>
      <c r="V380" s="54"/>
      <c r="W380" s="67"/>
      <c r="X380" s="67"/>
      <c r="Y380" s="36">
        <v>44434</v>
      </c>
      <c r="Z380" s="36">
        <v>46624</v>
      </c>
      <c r="AA380" s="36"/>
      <c r="AB380" s="36"/>
      <c r="AC380" s="36"/>
      <c r="AD380" s="36"/>
      <c r="AE380" s="36"/>
      <c r="AF380" s="53" t="s">
        <v>68</v>
      </c>
      <c r="AG380" s="42"/>
      <c r="AH380" s="42"/>
      <c r="AI380" s="43"/>
      <c r="AJ380" s="43"/>
      <c r="AK380" s="43"/>
      <c r="AL380" s="43"/>
      <c r="AM380" s="43"/>
      <c r="AN380" s="42"/>
      <c r="AO380" s="42"/>
      <c r="AP380" s="42"/>
      <c r="AQ380" s="43"/>
      <c r="AR380" s="42"/>
      <c r="AS380" s="42"/>
    </row>
    <row r="381" spans="1:45" ht="15" customHeight="1">
      <c r="A381" s="21" t="s">
        <v>258</v>
      </c>
      <c r="B381" s="21" t="s">
        <v>46</v>
      </c>
      <c r="C381" s="21" t="s">
        <v>188</v>
      </c>
      <c r="D381" s="21" t="s">
        <v>48</v>
      </c>
      <c r="E381" s="80" t="s">
        <v>431</v>
      </c>
      <c r="F381" s="65" t="s">
        <v>432</v>
      </c>
      <c r="G381" s="101" t="s">
        <v>77</v>
      </c>
      <c r="H381" s="45" t="s">
        <v>560</v>
      </c>
      <c r="I381" s="24" t="s">
        <v>78</v>
      </c>
      <c r="J381" s="47" t="s">
        <v>561</v>
      </c>
      <c r="K381" s="104"/>
      <c r="L381" s="48" t="s">
        <v>376</v>
      </c>
      <c r="M381" s="27">
        <v>44665</v>
      </c>
      <c r="N381" s="49" t="s">
        <v>182</v>
      </c>
      <c r="O381" s="61">
        <v>11600</v>
      </c>
      <c r="P381" s="106">
        <v>5</v>
      </c>
      <c r="Q381" s="51">
        <f t="shared" si="12"/>
        <v>58000</v>
      </c>
      <c r="R381" s="31">
        <v>202310</v>
      </c>
      <c r="S381" s="54" t="s">
        <v>579</v>
      </c>
      <c r="T381" s="54"/>
      <c r="U381" s="54"/>
      <c r="V381" s="54"/>
      <c r="W381" s="67"/>
      <c r="X381" s="67"/>
      <c r="Y381" s="36">
        <v>44434</v>
      </c>
      <c r="Z381" s="36">
        <v>46624</v>
      </c>
      <c r="AA381" s="36"/>
      <c r="AB381" s="36"/>
      <c r="AC381" s="36"/>
      <c r="AD381" s="36"/>
      <c r="AE381" s="36"/>
      <c r="AF381" s="53" t="s">
        <v>68</v>
      </c>
      <c r="AG381" s="42"/>
      <c r="AH381" s="42"/>
      <c r="AI381" s="43"/>
      <c r="AJ381" s="43"/>
      <c r="AK381" s="43"/>
      <c r="AL381" s="43"/>
      <c r="AM381" s="43"/>
      <c r="AN381" s="42"/>
      <c r="AO381" s="42"/>
      <c r="AP381" s="42"/>
      <c r="AQ381" s="43"/>
      <c r="AR381" s="42"/>
      <c r="AS381" s="42"/>
    </row>
    <row r="382" spans="1:45" ht="15" customHeight="1">
      <c r="A382" s="21" t="s">
        <v>258</v>
      </c>
      <c r="B382" s="21" t="s">
        <v>46</v>
      </c>
      <c r="C382" s="21" t="s">
        <v>188</v>
      </c>
      <c r="D382" s="21" t="s">
        <v>48</v>
      </c>
      <c r="E382" s="80" t="s">
        <v>431</v>
      </c>
      <c r="F382" s="65" t="s">
        <v>432</v>
      </c>
      <c r="G382" s="101" t="s">
        <v>77</v>
      </c>
      <c r="H382" s="45" t="s">
        <v>560</v>
      </c>
      <c r="I382" s="24" t="s">
        <v>78</v>
      </c>
      <c r="J382" s="47" t="s">
        <v>561</v>
      </c>
      <c r="K382" s="104"/>
      <c r="L382" s="48" t="s">
        <v>376</v>
      </c>
      <c r="M382" s="27">
        <v>44666</v>
      </c>
      <c r="N382" s="49" t="s">
        <v>182</v>
      </c>
      <c r="O382" s="61">
        <v>11600</v>
      </c>
      <c r="P382" s="106">
        <v>2</v>
      </c>
      <c r="Q382" s="51">
        <f t="shared" si="12"/>
        <v>23200</v>
      </c>
      <c r="R382" s="31">
        <v>202310</v>
      </c>
      <c r="S382" s="54" t="s">
        <v>580</v>
      </c>
      <c r="T382" s="54"/>
      <c r="U382" s="54"/>
      <c r="V382" s="54"/>
      <c r="W382" s="67"/>
      <c r="X382" s="67"/>
      <c r="Y382" s="36">
        <v>44434</v>
      </c>
      <c r="Z382" s="36">
        <v>46624</v>
      </c>
      <c r="AA382" s="36"/>
      <c r="AB382" s="36"/>
      <c r="AC382" s="36"/>
      <c r="AD382" s="36"/>
      <c r="AE382" s="36"/>
      <c r="AF382" s="53" t="s">
        <v>68</v>
      </c>
      <c r="AG382" s="42"/>
      <c r="AH382" s="42"/>
      <c r="AI382" s="43"/>
      <c r="AJ382" s="43"/>
      <c r="AK382" s="43"/>
      <c r="AL382" s="43"/>
      <c r="AM382" s="43"/>
      <c r="AN382" s="42"/>
      <c r="AO382" s="42"/>
      <c r="AP382" s="42"/>
      <c r="AQ382" s="43"/>
      <c r="AR382" s="42"/>
      <c r="AS382" s="42"/>
    </row>
    <row r="383" spans="1:45" ht="15" customHeight="1">
      <c r="A383" s="21" t="s">
        <v>258</v>
      </c>
      <c r="B383" s="21" t="s">
        <v>46</v>
      </c>
      <c r="C383" s="21" t="s">
        <v>188</v>
      </c>
      <c r="D383" s="21" t="s">
        <v>48</v>
      </c>
      <c r="E383" s="80" t="s">
        <v>431</v>
      </c>
      <c r="F383" s="65" t="s">
        <v>432</v>
      </c>
      <c r="G383" s="101" t="s">
        <v>77</v>
      </c>
      <c r="H383" s="45" t="s">
        <v>560</v>
      </c>
      <c r="I383" s="24" t="s">
        <v>78</v>
      </c>
      <c r="J383" s="47" t="s">
        <v>561</v>
      </c>
      <c r="K383" s="104"/>
      <c r="L383" s="48" t="s">
        <v>376</v>
      </c>
      <c r="M383" s="27">
        <v>44670</v>
      </c>
      <c r="N383" s="49" t="s">
        <v>182</v>
      </c>
      <c r="O383" s="61">
        <v>11600</v>
      </c>
      <c r="P383" s="106">
        <v>12</v>
      </c>
      <c r="Q383" s="51">
        <f t="shared" si="12"/>
        <v>139200</v>
      </c>
      <c r="R383" s="31">
        <v>202310</v>
      </c>
      <c r="S383" s="54" t="s">
        <v>581</v>
      </c>
      <c r="T383" s="54"/>
      <c r="U383" s="54"/>
      <c r="V383" s="54"/>
      <c r="W383" s="67"/>
      <c r="X383" s="67"/>
      <c r="Y383" s="36">
        <v>44434</v>
      </c>
      <c r="Z383" s="36">
        <v>46624</v>
      </c>
      <c r="AA383" s="36"/>
      <c r="AB383" s="36"/>
      <c r="AC383" s="36"/>
      <c r="AD383" s="36"/>
      <c r="AE383" s="36"/>
      <c r="AF383" s="53" t="s">
        <v>68</v>
      </c>
      <c r="AG383" s="42"/>
      <c r="AH383" s="42"/>
      <c r="AI383" s="43"/>
      <c r="AJ383" s="43"/>
      <c r="AK383" s="43"/>
      <c r="AL383" s="43"/>
      <c r="AM383" s="43"/>
      <c r="AN383" s="42"/>
      <c r="AO383" s="42"/>
      <c r="AP383" s="42"/>
      <c r="AQ383" s="43"/>
      <c r="AR383" s="42"/>
      <c r="AS383" s="42"/>
    </row>
    <row r="384" spans="1:45" ht="15" customHeight="1">
      <c r="A384" s="21" t="s">
        <v>258</v>
      </c>
      <c r="B384" s="21" t="s">
        <v>46</v>
      </c>
      <c r="C384" s="21" t="s">
        <v>188</v>
      </c>
      <c r="D384" s="21" t="s">
        <v>48</v>
      </c>
      <c r="E384" s="80" t="s">
        <v>431</v>
      </c>
      <c r="F384" s="65" t="s">
        <v>432</v>
      </c>
      <c r="G384" s="101" t="s">
        <v>77</v>
      </c>
      <c r="H384" s="45" t="s">
        <v>560</v>
      </c>
      <c r="I384" s="24" t="s">
        <v>78</v>
      </c>
      <c r="J384" s="47" t="s">
        <v>561</v>
      </c>
      <c r="K384" s="104"/>
      <c r="L384" s="48" t="s">
        <v>376</v>
      </c>
      <c r="M384" s="27">
        <v>44672</v>
      </c>
      <c r="N384" s="49" t="s">
        <v>182</v>
      </c>
      <c r="O384" s="61">
        <v>11600</v>
      </c>
      <c r="P384" s="106">
        <v>30</v>
      </c>
      <c r="Q384" s="51">
        <f t="shared" si="12"/>
        <v>348000</v>
      </c>
      <c r="R384" s="31">
        <v>202310</v>
      </c>
      <c r="S384" s="54" t="s">
        <v>582</v>
      </c>
      <c r="T384" s="54"/>
      <c r="U384" s="54"/>
      <c r="V384" s="54"/>
      <c r="W384" s="67"/>
      <c r="X384" s="67"/>
      <c r="Y384" s="36">
        <v>44434</v>
      </c>
      <c r="Z384" s="36">
        <v>46624</v>
      </c>
      <c r="AA384" s="36"/>
      <c r="AB384" s="36"/>
      <c r="AC384" s="36"/>
      <c r="AD384" s="36"/>
      <c r="AE384" s="36"/>
      <c r="AF384" s="53" t="s">
        <v>68</v>
      </c>
      <c r="AG384" s="42"/>
      <c r="AH384" s="42"/>
      <c r="AI384" s="43"/>
      <c r="AJ384" s="43"/>
      <c r="AK384" s="43"/>
      <c r="AL384" s="43"/>
      <c r="AM384" s="43"/>
      <c r="AN384" s="42"/>
      <c r="AO384" s="42"/>
      <c r="AP384" s="42"/>
      <c r="AQ384" s="43"/>
      <c r="AR384" s="42"/>
      <c r="AS384" s="42"/>
    </row>
    <row r="385" spans="1:45" ht="15" customHeight="1">
      <c r="A385" s="21" t="s">
        <v>258</v>
      </c>
      <c r="B385" s="21" t="s">
        <v>46</v>
      </c>
      <c r="C385" s="21" t="s">
        <v>188</v>
      </c>
      <c r="D385" s="21" t="s">
        <v>48</v>
      </c>
      <c r="E385" s="80" t="s">
        <v>431</v>
      </c>
      <c r="F385" s="65" t="s">
        <v>432</v>
      </c>
      <c r="G385" s="101" t="s">
        <v>77</v>
      </c>
      <c r="H385" s="45" t="s">
        <v>560</v>
      </c>
      <c r="I385" s="24" t="s">
        <v>78</v>
      </c>
      <c r="J385" s="47" t="s">
        <v>561</v>
      </c>
      <c r="K385" s="104"/>
      <c r="L385" s="48" t="s">
        <v>376</v>
      </c>
      <c r="M385" s="27">
        <v>44697</v>
      </c>
      <c r="N385" s="49" t="s">
        <v>182</v>
      </c>
      <c r="O385" s="61">
        <v>11600</v>
      </c>
      <c r="P385" s="106">
        <v>2</v>
      </c>
      <c r="Q385" s="51">
        <f t="shared" si="12"/>
        <v>23200</v>
      </c>
      <c r="R385" s="31">
        <v>202310</v>
      </c>
      <c r="S385" s="54" t="s">
        <v>583</v>
      </c>
      <c r="T385" s="54"/>
      <c r="U385" s="54"/>
      <c r="V385" s="54"/>
      <c r="W385" s="67"/>
      <c r="X385" s="67"/>
      <c r="Y385" s="36">
        <v>44434</v>
      </c>
      <c r="Z385" s="36">
        <v>46624</v>
      </c>
      <c r="AA385" s="36"/>
      <c r="AB385" s="36"/>
      <c r="AC385" s="36"/>
      <c r="AD385" s="36"/>
      <c r="AE385" s="36"/>
      <c r="AF385" s="53" t="s">
        <v>68</v>
      </c>
      <c r="AG385" s="42"/>
      <c r="AH385" s="42"/>
      <c r="AI385" s="43"/>
      <c r="AJ385" s="43"/>
      <c r="AK385" s="43"/>
      <c r="AL385" s="43"/>
      <c r="AM385" s="43"/>
      <c r="AN385" s="42"/>
      <c r="AO385" s="42"/>
      <c r="AP385" s="42"/>
      <c r="AQ385" s="43"/>
      <c r="AR385" s="42"/>
      <c r="AS385" s="42"/>
    </row>
    <row r="386" spans="1:45" ht="15" customHeight="1">
      <c r="A386" s="21" t="s">
        <v>258</v>
      </c>
      <c r="B386" s="21" t="s">
        <v>46</v>
      </c>
      <c r="C386" s="21" t="s">
        <v>188</v>
      </c>
      <c r="D386" s="21" t="s">
        <v>48</v>
      </c>
      <c r="E386" s="80" t="s">
        <v>431</v>
      </c>
      <c r="F386" s="65" t="s">
        <v>432</v>
      </c>
      <c r="G386" s="101" t="s">
        <v>77</v>
      </c>
      <c r="H386" s="45" t="s">
        <v>560</v>
      </c>
      <c r="I386" s="24" t="s">
        <v>78</v>
      </c>
      <c r="J386" s="47" t="s">
        <v>561</v>
      </c>
      <c r="K386" s="104"/>
      <c r="L386" s="48" t="s">
        <v>376</v>
      </c>
      <c r="M386" s="27">
        <v>44707</v>
      </c>
      <c r="N386" s="49" t="s">
        <v>182</v>
      </c>
      <c r="O386" s="61">
        <v>11600</v>
      </c>
      <c r="P386" s="106">
        <v>15</v>
      </c>
      <c r="Q386" s="51">
        <f t="shared" si="12"/>
        <v>174000</v>
      </c>
      <c r="R386" s="31">
        <v>202310</v>
      </c>
      <c r="S386" s="54" t="s">
        <v>584</v>
      </c>
      <c r="T386" s="54"/>
      <c r="U386" s="54"/>
      <c r="V386" s="54"/>
      <c r="W386" s="67"/>
      <c r="X386" s="67"/>
      <c r="Y386" s="36">
        <v>44434</v>
      </c>
      <c r="Z386" s="36">
        <v>46624</v>
      </c>
      <c r="AA386" s="36"/>
      <c r="AB386" s="36"/>
      <c r="AC386" s="36"/>
      <c r="AD386" s="36"/>
      <c r="AE386" s="36"/>
      <c r="AF386" s="53" t="s">
        <v>68</v>
      </c>
      <c r="AG386" s="42"/>
      <c r="AH386" s="42"/>
      <c r="AI386" s="43"/>
      <c r="AJ386" s="43"/>
      <c r="AK386" s="43"/>
      <c r="AL386" s="43"/>
      <c r="AM386" s="43"/>
      <c r="AN386" s="42"/>
      <c r="AO386" s="42"/>
      <c r="AP386" s="42"/>
      <c r="AQ386" s="43"/>
      <c r="AR386" s="42"/>
      <c r="AS386" s="42"/>
    </row>
    <row r="387" spans="1:45" ht="15" customHeight="1">
      <c r="A387" s="21" t="s">
        <v>258</v>
      </c>
      <c r="B387" s="21" t="s">
        <v>46</v>
      </c>
      <c r="C387" s="21" t="s">
        <v>188</v>
      </c>
      <c r="D387" s="21" t="s">
        <v>48</v>
      </c>
      <c r="E387" s="80" t="s">
        <v>431</v>
      </c>
      <c r="F387" s="65" t="s">
        <v>432</v>
      </c>
      <c r="G387" s="101" t="s">
        <v>77</v>
      </c>
      <c r="H387" s="45" t="s">
        <v>560</v>
      </c>
      <c r="I387" s="24" t="s">
        <v>78</v>
      </c>
      <c r="J387" s="47" t="s">
        <v>561</v>
      </c>
      <c r="K387" s="104"/>
      <c r="L387" s="48" t="s">
        <v>376</v>
      </c>
      <c r="M387" s="27">
        <v>44708</v>
      </c>
      <c r="N387" s="49" t="s">
        <v>182</v>
      </c>
      <c r="O387" s="61">
        <v>11600</v>
      </c>
      <c r="P387" s="106">
        <v>1</v>
      </c>
      <c r="Q387" s="51">
        <f t="shared" si="12"/>
        <v>11600</v>
      </c>
      <c r="R387" s="31">
        <v>202310</v>
      </c>
      <c r="S387" s="54" t="s">
        <v>585</v>
      </c>
      <c r="T387" s="54"/>
      <c r="U387" s="54"/>
      <c r="V387" s="54"/>
      <c r="W387" s="67"/>
      <c r="X387" s="67"/>
      <c r="Y387" s="36">
        <v>44434</v>
      </c>
      <c r="Z387" s="36">
        <v>46624</v>
      </c>
      <c r="AA387" s="36"/>
      <c r="AB387" s="36"/>
      <c r="AC387" s="36"/>
      <c r="AD387" s="36"/>
      <c r="AE387" s="36"/>
      <c r="AF387" s="53" t="s">
        <v>68</v>
      </c>
      <c r="AG387" s="42"/>
      <c r="AH387" s="42"/>
      <c r="AI387" s="43"/>
      <c r="AJ387" s="43"/>
      <c r="AK387" s="43"/>
      <c r="AL387" s="43"/>
      <c r="AM387" s="43"/>
      <c r="AN387" s="42"/>
      <c r="AO387" s="42"/>
      <c r="AP387" s="42"/>
      <c r="AQ387" s="43"/>
      <c r="AR387" s="42"/>
      <c r="AS387" s="42"/>
    </row>
    <row r="388" spans="1:45" ht="15" customHeight="1">
      <c r="A388" s="21" t="s">
        <v>258</v>
      </c>
      <c r="B388" s="21" t="s">
        <v>46</v>
      </c>
      <c r="C388" s="21" t="s">
        <v>188</v>
      </c>
      <c r="D388" s="21" t="s">
        <v>48</v>
      </c>
      <c r="E388" s="80" t="s">
        <v>431</v>
      </c>
      <c r="F388" s="65" t="s">
        <v>432</v>
      </c>
      <c r="G388" s="101" t="s">
        <v>77</v>
      </c>
      <c r="H388" s="45" t="s">
        <v>560</v>
      </c>
      <c r="I388" s="24" t="s">
        <v>78</v>
      </c>
      <c r="J388" s="47" t="s">
        <v>561</v>
      </c>
      <c r="K388" s="104"/>
      <c r="L388" s="48" t="s">
        <v>376</v>
      </c>
      <c r="M388" s="27">
        <v>44861</v>
      </c>
      <c r="N388" s="49" t="s">
        <v>177</v>
      </c>
      <c r="O388" s="61">
        <v>5803.6</v>
      </c>
      <c r="P388" s="106">
        <v>-2</v>
      </c>
      <c r="Q388" s="51">
        <f t="shared" si="12"/>
        <v>-11607.2</v>
      </c>
      <c r="R388" s="31">
        <v>202310</v>
      </c>
      <c r="S388" s="54" t="s">
        <v>586</v>
      </c>
      <c r="T388" s="54"/>
      <c r="U388" s="54"/>
      <c r="V388" s="54"/>
      <c r="W388" s="67"/>
      <c r="X388" s="67"/>
      <c r="Y388" s="36">
        <v>44434</v>
      </c>
      <c r="Z388" s="36">
        <v>46624</v>
      </c>
      <c r="AA388" s="36"/>
      <c r="AB388" s="36"/>
      <c r="AC388" s="36"/>
      <c r="AD388" s="36"/>
      <c r="AE388" s="36"/>
      <c r="AF388" s="53" t="s">
        <v>68</v>
      </c>
      <c r="AG388" s="42"/>
      <c r="AH388" s="42"/>
      <c r="AI388" s="43"/>
      <c r="AJ388" s="43"/>
      <c r="AK388" s="43"/>
      <c r="AL388" s="43"/>
      <c r="AM388" s="43"/>
      <c r="AN388" s="42"/>
      <c r="AO388" s="42"/>
      <c r="AP388" s="42"/>
      <c r="AQ388" s="43"/>
      <c r="AR388" s="42"/>
      <c r="AS388" s="42"/>
    </row>
    <row r="389" spans="1:45" ht="15" customHeight="1">
      <c r="A389" s="21" t="s">
        <v>258</v>
      </c>
      <c r="B389" s="21" t="s">
        <v>46</v>
      </c>
      <c r="C389" s="21" t="s">
        <v>188</v>
      </c>
      <c r="D389" s="21" t="s">
        <v>48</v>
      </c>
      <c r="E389" s="80" t="s">
        <v>431</v>
      </c>
      <c r="F389" s="65" t="s">
        <v>432</v>
      </c>
      <c r="G389" s="101" t="s">
        <v>77</v>
      </c>
      <c r="H389" s="45" t="s">
        <v>560</v>
      </c>
      <c r="I389" s="24" t="s">
        <v>78</v>
      </c>
      <c r="J389" s="47" t="s">
        <v>561</v>
      </c>
      <c r="K389" s="104"/>
      <c r="L389" s="48" t="s">
        <v>376</v>
      </c>
      <c r="M389" s="27">
        <v>44985</v>
      </c>
      <c r="N389" s="105" t="s">
        <v>177</v>
      </c>
      <c r="O389" s="106">
        <v>5803.6</v>
      </c>
      <c r="P389" s="106">
        <v>4</v>
      </c>
      <c r="Q389" s="51">
        <f t="shared" si="12"/>
        <v>23214.400000000001</v>
      </c>
      <c r="R389" s="31">
        <v>202310</v>
      </c>
      <c r="S389" s="54" t="s">
        <v>587</v>
      </c>
      <c r="T389" s="54"/>
      <c r="U389" s="54"/>
      <c r="V389" s="54"/>
      <c r="W389" s="67"/>
      <c r="X389" s="67"/>
      <c r="Y389" s="36">
        <v>44434</v>
      </c>
      <c r="Z389" s="36">
        <v>46624</v>
      </c>
      <c r="AA389" s="36"/>
      <c r="AB389" s="36"/>
      <c r="AC389" s="36"/>
      <c r="AD389" s="36"/>
      <c r="AE389" s="36"/>
      <c r="AF389" s="53" t="s">
        <v>68</v>
      </c>
      <c r="AG389" s="42"/>
      <c r="AH389" s="42"/>
      <c r="AI389" s="43"/>
      <c r="AJ389" s="43"/>
      <c r="AK389" s="43"/>
      <c r="AL389" s="43"/>
      <c r="AM389" s="43"/>
      <c r="AN389" s="42"/>
      <c r="AO389" s="42"/>
      <c r="AP389" s="42"/>
      <c r="AQ389" s="43"/>
      <c r="AR389" s="42"/>
      <c r="AS389" s="42"/>
    </row>
    <row r="390" spans="1:45" ht="15" customHeight="1">
      <c r="A390" s="21" t="s">
        <v>258</v>
      </c>
      <c r="B390" s="21" t="s">
        <v>46</v>
      </c>
      <c r="C390" s="21" t="s">
        <v>188</v>
      </c>
      <c r="D390" s="21" t="s">
        <v>48</v>
      </c>
      <c r="E390" s="80" t="s">
        <v>431</v>
      </c>
      <c r="F390" s="65" t="s">
        <v>432</v>
      </c>
      <c r="G390" s="101" t="s">
        <v>77</v>
      </c>
      <c r="H390" s="45" t="s">
        <v>560</v>
      </c>
      <c r="I390" s="24" t="s">
        <v>78</v>
      </c>
      <c r="J390" s="47" t="s">
        <v>561</v>
      </c>
      <c r="K390" s="104"/>
      <c r="L390" s="48" t="s">
        <v>376</v>
      </c>
      <c r="M390" s="27">
        <v>45055</v>
      </c>
      <c r="N390" s="49" t="s">
        <v>182</v>
      </c>
      <c r="O390" s="61">
        <v>11600</v>
      </c>
      <c r="P390" s="106">
        <v>5</v>
      </c>
      <c r="Q390" s="51">
        <f t="shared" si="12"/>
        <v>58000</v>
      </c>
      <c r="R390" s="31">
        <v>202310</v>
      </c>
      <c r="S390" s="54" t="s">
        <v>588</v>
      </c>
      <c r="T390" s="54"/>
      <c r="U390" s="54"/>
      <c r="V390" s="54"/>
      <c r="W390" s="67"/>
      <c r="X390" s="67"/>
      <c r="Y390" s="36">
        <v>44434</v>
      </c>
      <c r="Z390" s="36">
        <v>46624</v>
      </c>
      <c r="AA390" s="36"/>
      <c r="AB390" s="36"/>
      <c r="AC390" s="36"/>
      <c r="AD390" s="36"/>
      <c r="AE390" s="36"/>
      <c r="AF390" s="53" t="s">
        <v>68</v>
      </c>
      <c r="AG390" s="42"/>
      <c r="AH390" s="42"/>
      <c r="AI390" s="43"/>
      <c r="AJ390" s="43"/>
      <c r="AK390" s="43"/>
      <c r="AL390" s="43"/>
      <c r="AM390" s="43"/>
      <c r="AN390" s="42"/>
      <c r="AO390" s="42"/>
      <c r="AP390" s="42"/>
      <c r="AQ390" s="43"/>
      <c r="AR390" s="42"/>
      <c r="AS390" s="42"/>
    </row>
    <row r="391" spans="1:45" ht="15" customHeight="1">
      <c r="A391" s="65" t="s">
        <v>258</v>
      </c>
      <c r="B391" s="21" t="s">
        <v>46</v>
      </c>
      <c r="C391" s="21" t="s">
        <v>188</v>
      </c>
      <c r="D391" s="21" t="s">
        <v>48</v>
      </c>
      <c r="E391" s="66" t="s">
        <v>431</v>
      </c>
      <c r="F391" s="65" t="s">
        <v>432</v>
      </c>
      <c r="G391" s="47" t="s">
        <v>77</v>
      </c>
      <c r="H391" s="45" t="s">
        <v>560</v>
      </c>
      <c r="I391" s="102" t="s">
        <v>78</v>
      </c>
      <c r="J391" s="47" t="s">
        <v>561</v>
      </c>
      <c r="K391" s="47"/>
      <c r="L391" s="48" t="s">
        <v>376</v>
      </c>
      <c r="M391" s="49">
        <v>45075</v>
      </c>
      <c r="N391" s="49" t="s">
        <v>177</v>
      </c>
      <c r="O391" s="61">
        <v>5803.6</v>
      </c>
      <c r="P391" s="61">
        <v>1</v>
      </c>
      <c r="Q391" s="51">
        <f>ROUND(O391*P391,2)</f>
        <v>5803.6</v>
      </c>
      <c r="R391" s="31">
        <v>202310</v>
      </c>
      <c r="S391" s="108" t="s">
        <v>589</v>
      </c>
      <c r="T391" s="108"/>
      <c r="U391" s="108"/>
      <c r="V391" s="108"/>
      <c r="W391" s="67"/>
      <c r="X391" s="67"/>
      <c r="Y391" s="36">
        <v>44434</v>
      </c>
      <c r="Z391" s="36">
        <v>46624</v>
      </c>
      <c r="AA391" s="36"/>
      <c r="AB391" s="36"/>
      <c r="AC391" s="36"/>
      <c r="AD391" s="36"/>
      <c r="AE391" s="36"/>
      <c r="AF391" s="53" t="s">
        <v>68</v>
      </c>
      <c r="AG391" s="42"/>
      <c r="AH391" s="42"/>
      <c r="AI391" s="43"/>
      <c r="AJ391" s="43"/>
      <c r="AK391" s="43"/>
      <c r="AL391" s="43"/>
      <c r="AM391" s="43"/>
      <c r="AN391" s="42"/>
      <c r="AO391" s="42"/>
      <c r="AP391" s="42"/>
      <c r="AQ391" s="43"/>
      <c r="AR391" s="42"/>
      <c r="AS391" s="42"/>
    </row>
    <row r="392" spans="1:45" ht="15" customHeight="1">
      <c r="A392" s="65" t="s">
        <v>258</v>
      </c>
      <c r="B392" s="21" t="s">
        <v>46</v>
      </c>
      <c r="C392" s="21" t="s">
        <v>188</v>
      </c>
      <c r="D392" s="21" t="s">
        <v>48</v>
      </c>
      <c r="E392" s="66" t="s">
        <v>431</v>
      </c>
      <c r="F392" s="65" t="s">
        <v>432</v>
      </c>
      <c r="G392" s="47" t="s">
        <v>77</v>
      </c>
      <c r="H392" s="45" t="s">
        <v>560</v>
      </c>
      <c r="I392" s="102" t="s">
        <v>78</v>
      </c>
      <c r="J392" s="47" t="s">
        <v>561</v>
      </c>
      <c r="K392" s="47"/>
      <c r="L392" s="48" t="s">
        <v>376</v>
      </c>
      <c r="M392" s="49">
        <v>45075</v>
      </c>
      <c r="N392" s="49" t="s">
        <v>182</v>
      </c>
      <c r="O392" s="61">
        <v>11600</v>
      </c>
      <c r="P392" s="61">
        <v>18</v>
      </c>
      <c r="Q392" s="51">
        <f>ROUND(O392*P392,2)</f>
        <v>208800</v>
      </c>
      <c r="R392" s="31">
        <v>202310</v>
      </c>
      <c r="S392" s="108" t="s">
        <v>590</v>
      </c>
      <c r="T392" s="108"/>
      <c r="U392" s="108"/>
      <c r="V392" s="108"/>
      <c r="W392" s="67"/>
      <c r="X392" s="67"/>
      <c r="Y392" s="36">
        <v>44434</v>
      </c>
      <c r="Z392" s="36">
        <v>46624</v>
      </c>
      <c r="AA392" s="36"/>
      <c r="AB392" s="36"/>
      <c r="AC392" s="36"/>
      <c r="AD392" s="36"/>
      <c r="AE392" s="36"/>
      <c r="AF392" s="53" t="s">
        <v>68</v>
      </c>
      <c r="AG392" s="42"/>
      <c r="AH392" s="42"/>
      <c r="AI392" s="43"/>
      <c r="AJ392" s="43"/>
      <c r="AK392" s="43"/>
      <c r="AL392" s="43"/>
      <c r="AM392" s="43"/>
      <c r="AN392" s="42"/>
      <c r="AO392" s="42"/>
      <c r="AP392" s="42"/>
      <c r="AQ392" s="43"/>
      <c r="AR392" s="42"/>
      <c r="AS392" s="42"/>
    </row>
    <row r="393" spans="1:45" ht="15" customHeight="1">
      <c r="A393" s="65" t="s">
        <v>258</v>
      </c>
      <c r="B393" s="21" t="s">
        <v>46</v>
      </c>
      <c r="C393" s="21" t="s">
        <v>188</v>
      </c>
      <c r="D393" s="21" t="s">
        <v>48</v>
      </c>
      <c r="E393" s="66" t="s">
        <v>431</v>
      </c>
      <c r="F393" s="65" t="s">
        <v>432</v>
      </c>
      <c r="G393" s="47" t="s">
        <v>77</v>
      </c>
      <c r="H393" s="45" t="s">
        <v>560</v>
      </c>
      <c r="I393" s="102" t="s">
        <v>78</v>
      </c>
      <c r="J393" s="47" t="s">
        <v>561</v>
      </c>
      <c r="K393" s="47"/>
      <c r="L393" s="48" t="s">
        <v>376</v>
      </c>
      <c r="M393" s="49">
        <v>45077</v>
      </c>
      <c r="N393" s="49" t="s">
        <v>182</v>
      </c>
      <c r="O393" s="61">
        <v>11600</v>
      </c>
      <c r="P393" s="61">
        <v>-6</v>
      </c>
      <c r="Q393" s="51">
        <f>ROUND(O393*P393,2)</f>
        <v>-69600</v>
      </c>
      <c r="R393" s="31">
        <v>202310</v>
      </c>
      <c r="S393" s="108" t="s">
        <v>591</v>
      </c>
      <c r="T393" s="108"/>
      <c r="U393" s="108"/>
      <c r="V393" s="108"/>
      <c r="W393" s="67"/>
      <c r="X393" s="67"/>
      <c r="Y393" s="36">
        <v>44434</v>
      </c>
      <c r="Z393" s="36">
        <v>46624</v>
      </c>
      <c r="AA393" s="36"/>
      <c r="AB393" s="36"/>
      <c r="AC393" s="36"/>
      <c r="AD393" s="36"/>
      <c r="AE393" s="36"/>
      <c r="AF393" s="53" t="s">
        <v>68</v>
      </c>
      <c r="AG393" s="42"/>
      <c r="AH393" s="42"/>
      <c r="AI393" s="43"/>
      <c r="AJ393" s="43"/>
      <c r="AK393" s="43"/>
      <c r="AL393" s="43"/>
      <c r="AM393" s="43"/>
      <c r="AN393" s="42"/>
      <c r="AO393" s="42"/>
      <c r="AP393" s="42"/>
      <c r="AQ393" s="43"/>
      <c r="AR393" s="42"/>
      <c r="AS393" s="42"/>
    </row>
    <row r="394" spans="1:45" ht="15" customHeight="1">
      <c r="A394" s="65" t="s">
        <v>258</v>
      </c>
      <c r="B394" s="21" t="s">
        <v>46</v>
      </c>
      <c r="C394" s="21" t="s">
        <v>188</v>
      </c>
      <c r="D394" s="21" t="s">
        <v>48</v>
      </c>
      <c r="E394" s="66" t="s">
        <v>431</v>
      </c>
      <c r="F394" s="65" t="s">
        <v>432</v>
      </c>
      <c r="G394" s="47" t="s">
        <v>77</v>
      </c>
      <c r="H394" s="45" t="s">
        <v>560</v>
      </c>
      <c r="I394" s="102" t="s">
        <v>78</v>
      </c>
      <c r="J394" s="47" t="s">
        <v>561</v>
      </c>
      <c r="K394" s="47"/>
      <c r="L394" s="48" t="s">
        <v>376</v>
      </c>
      <c r="M394" s="49">
        <v>45118</v>
      </c>
      <c r="N394" s="49" t="s">
        <v>182</v>
      </c>
      <c r="O394" s="61">
        <v>11600</v>
      </c>
      <c r="P394" s="61">
        <v>12</v>
      </c>
      <c r="Q394" s="30">
        <f t="shared" ref="Q394:Q396" si="13">ROUND(O394*P394,2)</f>
        <v>139200</v>
      </c>
      <c r="R394" s="31">
        <v>202310</v>
      </c>
      <c r="S394" s="108" t="s">
        <v>592</v>
      </c>
      <c r="T394" s="108"/>
      <c r="U394" s="108"/>
      <c r="V394" s="108"/>
      <c r="W394" s="67"/>
      <c r="X394" s="67"/>
      <c r="Y394" s="36">
        <v>44434</v>
      </c>
      <c r="Z394" s="36">
        <v>46624</v>
      </c>
      <c r="AA394" s="36"/>
      <c r="AB394" s="36"/>
      <c r="AC394" s="36"/>
      <c r="AD394" s="36"/>
      <c r="AE394" s="36"/>
      <c r="AF394" s="53" t="s">
        <v>68</v>
      </c>
      <c r="AG394" s="42"/>
      <c r="AH394" s="42"/>
      <c r="AI394" s="43"/>
      <c r="AJ394" s="43"/>
      <c r="AK394" s="43"/>
      <c r="AL394" s="43"/>
      <c r="AM394" s="43"/>
      <c r="AN394" s="42"/>
      <c r="AO394" s="42"/>
      <c r="AP394" s="42"/>
      <c r="AQ394" s="43"/>
      <c r="AR394" s="42"/>
      <c r="AS394" s="42"/>
    </row>
    <row r="395" spans="1:45" ht="15" customHeight="1">
      <c r="A395" s="65" t="s">
        <v>258</v>
      </c>
      <c r="B395" s="21" t="s">
        <v>46</v>
      </c>
      <c r="C395" s="21" t="s">
        <v>188</v>
      </c>
      <c r="D395" s="21" t="s">
        <v>48</v>
      </c>
      <c r="E395" s="66" t="s">
        <v>431</v>
      </c>
      <c r="F395" s="65" t="s">
        <v>432</v>
      </c>
      <c r="G395" s="47" t="s">
        <v>77</v>
      </c>
      <c r="H395" s="45" t="s">
        <v>560</v>
      </c>
      <c r="I395" s="102" t="s">
        <v>78</v>
      </c>
      <c r="J395" s="47" t="s">
        <v>561</v>
      </c>
      <c r="K395" s="47"/>
      <c r="L395" s="48" t="s">
        <v>376</v>
      </c>
      <c r="M395" s="49">
        <v>45126</v>
      </c>
      <c r="N395" s="49" t="s">
        <v>182</v>
      </c>
      <c r="O395" s="61">
        <v>11600</v>
      </c>
      <c r="P395" s="61">
        <v>-7</v>
      </c>
      <c r="Q395" s="30">
        <f t="shared" si="13"/>
        <v>-81200</v>
      </c>
      <c r="R395" s="31">
        <v>202310</v>
      </c>
      <c r="S395" s="108" t="s">
        <v>593</v>
      </c>
      <c r="T395" s="108"/>
      <c r="U395" s="108"/>
      <c r="V395" s="108"/>
      <c r="W395" s="67"/>
      <c r="X395" s="67"/>
      <c r="Y395" s="36">
        <v>44434</v>
      </c>
      <c r="Z395" s="36">
        <v>46624</v>
      </c>
      <c r="AA395" s="36"/>
      <c r="AB395" s="36"/>
      <c r="AC395" s="36"/>
      <c r="AD395" s="36"/>
      <c r="AE395" s="36"/>
      <c r="AF395" s="53" t="s">
        <v>68</v>
      </c>
      <c r="AG395" s="42"/>
      <c r="AH395" s="42"/>
      <c r="AI395" s="43"/>
      <c r="AJ395" s="43"/>
      <c r="AK395" s="43"/>
      <c r="AL395" s="43"/>
      <c r="AM395" s="43"/>
      <c r="AN395" s="42"/>
      <c r="AO395" s="42"/>
      <c r="AP395" s="42"/>
      <c r="AQ395" s="43"/>
      <c r="AR395" s="42"/>
      <c r="AS395" s="42"/>
    </row>
    <row r="396" spans="1:45" ht="15" customHeight="1">
      <c r="A396" s="65" t="s">
        <v>258</v>
      </c>
      <c r="B396" s="21" t="s">
        <v>46</v>
      </c>
      <c r="C396" s="21" t="s">
        <v>188</v>
      </c>
      <c r="D396" s="21" t="s">
        <v>48</v>
      </c>
      <c r="E396" s="66" t="s">
        <v>431</v>
      </c>
      <c r="F396" s="65" t="s">
        <v>432</v>
      </c>
      <c r="G396" s="47" t="s">
        <v>77</v>
      </c>
      <c r="H396" s="45" t="s">
        <v>560</v>
      </c>
      <c r="I396" s="102" t="s">
        <v>78</v>
      </c>
      <c r="J396" s="47" t="s">
        <v>561</v>
      </c>
      <c r="K396" s="47"/>
      <c r="L396" s="48" t="s">
        <v>376</v>
      </c>
      <c r="M396" s="49">
        <v>45129</v>
      </c>
      <c r="N396" s="49" t="s">
        <v>182</v>
      </c>
      <c r="O396" s="61">
        <v>11600</v>
      </c>
      <c r="P396" s="61">
        <v>7</v>
      </c>
      <c r="Q396" s="30">
        <f t="shared" si="13"/>
        <v>81200</v>
      </c>
      <c r="R396" s="31">
        <v>202310</v>
      </c>
      <c r="S396" s="108" t="s">
        <v>593</v>
      </c>
      <c r="T396" s="108"/>
      <c r="U396" s="108"/>
      <c r="V396" s="108"/>
      <c r="W396" s="67"/>
      <c r="X396" s="67"/>
      <c r="Y396" s="36">
        <v>44434</v>
      </c>
      <c r="Z396" s="36">
        <v>46624</v>
      </c>
      <c r="AA396" s="36"/>
      <c r="AB396" s="36"/>
      <c r="AC396" s="36"/>
      <c r="AD396" s="36"/>
      <c r="AE396" s="36"/>
      <c r="AF396" s="53" t="s">
        <v>68</v>
      </c>
      <c r="AG396" s="42"/>
      <c r="AH396" s="42"/>
      <c r="AI396" s="43"/>
      <c r="AJ396" s="43"/>
      <c r="AK396" s="43"/>
      <c r="AL396" s="43"/>
      <c r="AM396" s="43"/>
      <c r="AN396" s="42"/>
      <c r="AO396" s="42"/>
      <c r="AP396" s="42"/>
      <c r="AQ396" s="43"/>
      <c r="AR396" s="42"/>
      <c r="AS396" s="42"/>
    </row>
    <row r="397" spans="1:45" ht="15" customHeight="1">
      <c r="A397" s="65" t="s">
        <v>258</v>
      </c>
      <c r="B397" s="21" t="s">
        <v>46</v>
      </c>
      <c r="C397" s="21" t="s">
        <v>188</v>
      </c>
      <c r="D397" s="21" t="s">
        <v>48</v>
      </c>
      <c r="E397" s="66" t="s">
        <v>431</v>
      </c>
      <c r="F397" s="65" t="s">
        <v>432</v>
      </c>
      <c r="G397" s="47" t="s">
        <v>77</v>
      </c>
      <c r="H397" s="45" t="s">
        <v>560</v>
      </c>
      <c r="I397" s="102" t="s">
        <v>78</v>
      </c>
      <c r="J397" s="47" t="s">
        <v>561</v>
      </c>
      <c r="K397" s="47"/>
      <c r="L397" s="48" t="s">
        <v>376</v>
      </c>
      <c r="M397" s="49">
        <v>45106</v>
      </c>
      <c r="N397" s="49" t="s">
        <v>182</v>
      </c>
      <c r="O397" s="61">
        <v>11600</v>
      </c>
      <c r="P397" s="61">
        <v>16</v>
      </c>
      <c r="Q397" s="51">
        <f>ROUND(O397*P397,2)</f>
        <v>185600</v>
      </c>
      <c r="R397" s="31">
        <v>202310</v>
      </c>
      <c r="S397" s="108" t="s">
        <v>594</v>
      </c>
      <c r="T397" s="108"/>
      <c r="U397" s="108"/>
      <c r="V397" s="108"/>
      <c r="W397" s="67"/>
      <c r="X397" s="67"/>
      <c r="Y397" s="36">
        <v>44434</v>
      </c>
      <c r="Z397" s="36">
        <v>46624</v>
      </c>
      <c r="AA397" s="36"/>
      <c r="AB397" s="36"/>
      <c r="AC397" s="36"/>
      <c r="AD397" s="36"/>
      <c r="AE397" s="36"/>
      <c r="AF397" s="53" t="s">
        <v>68</v>
      </c>
      <c r="AG397" s="42"/>
      <c r="AH397" s="42"/>
      <c r="AI397" s="43"/>
      <c r="AJ397" s="43"/>
      <c r="AK397" s="43"/>
      <c r="AL397" s="43"/>
      <c r="AM397" s="43"/>
      <c r="AN397" s="42"/>
      <c r="AO397" s="42"/>
      <c r="AP397" s="42"/>
      <c r="AQ397" s="43"/>
      <c r="AR397" s="42"/>
      <c r="AS397" s="42"/>
    </row>
    <row r="398" spans="1:45" ht="15" customHeight="1">
      <c r="A398" s="65" t="s">
        <v>258</v>
      </c>
      <c r="B398" s="21" t="s">
        <v>46</v>
      </c>
      <c r="C398" s="21" t="s">
        <v>188</v>
      </c>
      <c r="D398" s="21" t="s">
        <v>48</v>
      </c>
      <c r="E398" s="66" t="s">
        <v>431</v>
      </c>
      <c r="F398" s="65" t="s">
        <v>432</v>
      </c>
      <c r="G398" s="47" t="s">
        <v>77</v>
      </c>
      <c r="H398" s="45" t="s">
        <v>560</v>
      </c>
      <c r="I398" s="102" t="s">
        <v>78</v>
      </c>
      <c r="J398" s="47" t="s">
        <v>561</v>
      </c>
      <c r="K398" s="47"/>
      <c r="L398" s="48" t="s">
        <v>376</v>
      </c>
      <c r="M398" s="49">
        <v>45108</v>
      </c>
      <c r="N398" s="49" t="s">
        <v>182</v>
      </c>
      <c r="O398" s="61">
        <v>11600</v>
      </c>
      <c r="P398" s="61">
        <v>15</v>
      </c>
      <c r="Q398" s="51">
        <f>ROUND(O398*P398,2)</f>
        <v>174000</v>
      </c>
      <c r="R398" s="31">
        <v>202310</v>
      </c>
      <c r="S398" s="108" t="s">
        <v>595</v>
      </c>
      <c r="T398" s="108"/>
      <c r="U398" s="108"/>
      <c r="V398" s="108"/>
      <c r="W398" s="67"/>
      <c r="X398" s="67"/>
      <c r="Y398" s="36">
        <v>44434</v>
      </c>
      <c r="Z398" s="36">
        <v>46624</v>
      </c>
      <c r="AA398" s="36"/>
      <c r="AB398" s="36"/>
      <c r="AC398" s="36"/>
      <c r="AD398" s="36"/>
      <c r="AE398" s="36"/>
      <c r="AF398" s="53" t="s">
        <v>68</v>
      </c>
      <c r="AG398" s="42"/>
      <c r="AH398" s="42"/>
      <c r="AI398" s="43"/>
      <c r="AJ398" s="43"/>
      <c r="AK398" s="43"/>
      <c r="AL398" s="43"/>
      <c r="AM398" s="43"/>
      <c r="AN398" s="42"/>
      <c r="AO398" s="42"/>
      <c r="AP398" s="42"/>
      <c r="AQ398" s="43"/>
      <c r="AR398" s="42"/>
      <c r="AS398" s="42"/>
    </row>
    <row r="399" spans="1:45" ht="15" customHeight="1">
      <c r="A399" s="65" t="s">
        <v>258</v>
      </c>
      <c r="B399" s="21" t="s">
        <v>46</v>
      </c>
      <c r="C399" s="21" t="s">
        <v>188</v>
      </c>
      <c r="D399" s="21" t="s">
        <v>48</v>
      </c>
      <c r="E399" s="66" t="s">
        <v>431</v>
      </c>
      <c r="F399" s="65" t="s">
        <v>432</v>
      </c>
      <c r="G399" s="47" t="s">
        <v>77</v>
      </c>
      <c r="H399" s="45" t="s">
        <v>560</v>
      </c>
      <c r="I399" s="102" t="s">
        <v>78</v>
      </c>
      <c r="J399" s="47" t="s">
        <v>561</v>
      </c>
      <c r="K399" s="47"/>
      <c r="L399" s="48" t="s">
        <v>376</v>
      </c>
      <c r="M399" s="49">
        <v>45112</v>
      </c>
      <c r="N399" s="49" t="s">
        <v>182</v>
      </c>
      <c r="O399" s="61">
        <v>11600</v>
      </c>
      <c r="P399" s="61">
        <v>10</v>
      </c>
      <c r="Q399" s="30">
        <f t="shared" ref="Q399:Q401" si="14">ROUND(O399*P399,2)</f>
        <v>116000</v>
      </c>
      <c r="R399" s="31">
        <v>202310</v>
      </c>
      <c r="S399" s="108" t="s">
        <v>596</v>
      </c>
      <c r="T399" s="108"/>
      <c r="U399" s="108"/>
      <c r="V399" s="108"/>
      <c r="W399" s="67"/>
      <c r="X399" s="67"/>
      <c r="Y399" s="36">
        <v>44434</v>
      </c>
      <c r="Z399" s="36">
        <v>46624</v>
      </c>
      <c r="AA399" s="36"/>
      <c r="AB399" s="36"/>
      <c r="AC399" s="36"/>
      <c r="AD399" s="36"/>
      <c r="AE399" s="36"/>
      <c r="AF399" s="53" t="s">
        <v>68</v>
      </c>
      <c r="AG399" s="42"/>
      <c r="AH399" s="42"/>
      <c r="AI399" s="43"/>
      <c r="AJ399" s="43"/>
      <c r="AK399" s="43"/>
      <c r="AL399" s="43"/>
      <c r="AM399" s="43"/>
      <c r="AN399" s="42"/>
      <c r="AO399" s="42"/>
      <c r="AP399" s="42"/>
      <c r="AQ399" s="43"/>
      <c r="AR399" s="42"/>
      <c r="AS399" s="42"/>
    </row>
    <row r="400" spans="1:45" ht="15" customHeight="1">
      <c r="A400" s="65" t="s">
        <v>258</v>
      </c>
      <c r="B400" s="21" t="s">
        <v>46</v>
      </c>
      <c r="C400" s="21" t="s">
        <v>188</v>
      </c>
      <c r="D400" s="21" t="s">
        <v>48</v>
      </c>
      <c r="E400" s="66" t="s">
        <v>431</v>
      </c>
      <c r="F400" s="65" t="s">
        <v>432</v>
      </c>
      <c r="G400" s="47" t="s">
        <v>77</v>
      </c>
      <c r="H400" s="45" t="s">
        <v>560</v>
      </c>
      <c r="I400" s="102" t="s">
        <v>78</v>
      </c>
      <c r="J400" s="47" t="s">
        <v>561</v>
      </c>
      <c r="K400" s="47"/>
      <c r="L400" s="48" t="s">
        <v>376</v>
      </c>
      <c r="M400" s="49">
        <v>45125</v>
      </c>
      <c r="N400" s="49" t="s">
        <v>182</v>
      </c>
      <c r="O400" s="61">
        <v>11600</v>
      </c>
      <c r="P400" s="61">
        <v>40</v>
      </c>
      <c r="Q400" s="30">
        <f t="shared" si="14"/>
        <v>464000</v>
      </c>
      <c r="R400" s="31">
        <v>202310</v>
      </c>
      <c r="S400" s="108" t="s">
        <v>597</v>
      </c>
      <c r="T400" s="108"/>
      <c r="U400" s="108"/>
      <c r="V400" s="108"/>
      <c r="W400" s="67"/>
      <c r="X400" s="67"/>
      <c r="Y400" s="36">
        <v>44434</v>
      </c>
      <c r="Z400" s="36">
        <v>46624</v>
      </c>
      <c r="AA400" s="36"/>
      <c r="AB400" s="36"/>
      <c r="AC400" s="36"/>
      <c r="AD400" s="36"/>
      <c r="AE400" s="36"/>
      <c r="AF400" s="53" t="s">
        <v>68</v>
      </c>
      <c r="AG400" s="42"/>
      <c r="AH400" s="42"/>
      <c r="AI400" s="43"/>
      <c r="AJ400" s="43"/>
      <c r="AK400" s="43"/>
      <c r="AL400" s="43"/>
      <c r="AM400" s="43"/>
      <c r="AN400" s="42"/>
      <c r="AO400" s="42"/>
      <c r="AP400" s="42"/>
      <c r="AQ400" s="43"/>
      <c r="AR400" s="42"/>
      <c r="AS400" s="42"/>
    </row>
    <row r="401" spans="1:45" ht="15" customHeight="1">
      <c r="A401" s="65" t="s">
        <v>258</v>
      </c>
      <c r="B401" s="21" t="s">
        <v>46</v>
      </c>
      <c r="C401" s="21" t="s">
        <v>188</v>
      </c>
      <c r="D401" s="21" t="s">
        <v>48</v>
      </c>
      <c r="E401" s="66" t="s">
        <v>431</v>
      </c>
      <c r="F401" s="65" t="s">
        <v>432</v>
      </c>
      <c r="G401" s="47" t="s">
        <v>77</v>
      </c>
      <c r="H401" s="45" t="s">
        <v>560</v>
      </c>
      <c r="I401" s="102" t="s">
        <v>78</v>
      </c>
      <c r="J401" s="47" t="s">
        <v>561</v>
      </c>
      <c r="K401" s="47"/>
      <c r="L401" s="48" t="s">
        <v>376</v>
      </c>
      <c r="M401" s="49">
        <v>45108</v>
      </c>
      <c r="N401" s="49" t="s">
        <v>182</v>
      </c>
      <c r="O401" s="61">
        <v>11600</v>
      </c>
      <c r="P401" s="61">
        <v>18</v>
      </c>
      <c r="Q401" s="30">
        <f t="shared" si="14"/>
        <v>208800</v>
      </c>
      <c r="R401" s="31">
        <v>202310</v>
      </c>
      <c r="S401" s="114" t="s">
        <v>598</v>
      </c>
      <c r="T401" s="108"/>
      <c r="U401" s="108"/>
      <c r="V401" s="108"/>
      <c r="W401" s="67"/>
      <c r="X401" s="67"/>
      <c r="Y401" s="36">
        <v>44434</v>
      </c>
      <c r="Z401" s="36">
        <v>46624</v>
      </c>
      <c r="AA401" s="36"/>
      <c r="AB401" s="36"/>
      <c r="AC401" s="36"/>
      <c r="AD401" s="36"/>
      <c r="AE401" s="36"/>
      <c r="AF401" s="53" t="s">
        <v>68</v>
      </c>
      <c r="AG401" s="42"/>
      <c r="AH401" s="42"/>
      <c r="AI401" s="43"/>
      <c r="AJ401" s="43"/>
      <c r="AK401" s="43"/>
      <c r="AL401" s="43"/>
      <c r="AM401" s="43"/>
      <c r="AN401" s="42"/>
      <c r="AO401" s="42"/>
      <c r="AP401" s="42"/>
      <c r="AQ401" s="43"/>
      <c r="AR401" s="42"/>
      <c r="AS401" s="42"/>
    </row>
    <row r="402" spans="1:45" ht="15" customHeight="1">
      <c r="A402" s="21" t="s">
        <v>258</v>
      </c>
      <c r="B402" s="21" t="s">
        <v>46</v>
      </c>
      <c r="C402" s="21" t="s">
        <v>188</v>
      </c>
      <c r="D402" s="21" t="s">
        <v>48</v>
      </c>
      <c r="E402" s="80" t="s">
        <v>431</v>
      </c>
      <c r="F402" s="65" t="s">
        <v>432</v>
      </c>
      <c r="G402" s="101" t="s">
        <v>297</v>
      </c>
      <c r="H402" s="45" t="s">
        <v>560</v>
      </c>
      <c r="I402" s="24" t="s">
        <v>298</v>
      </c>
      <c r="J402" s="47" t="s">
        <v>599</v>
      </c>
      <c r="K402" s="104"/>
      <c r="L402" s="48" t="s">
        <v>376</v>
      </c>
      <c r="M402" s="27"/>
      <c r="N402" s="49"/>
      <c r="O402" s="61">
        <v>5280</v>
      </c>
      <c r="P402" s="106">
        <v>0</v>
      </c>
      <c r="Q402" s="51">
        <f t="shared" si="12"/>
        <v>0</v>
      </c>
      <c r="R402" s="31">
        <v>202310</v>
      </c>
      <c r="S402" s="54" t="s">
        <v>600</v>
      </c>
      <c r="T402" s="54"/>
      <c r="U402" s="54"/>
      <c r="V402" s="54"/>
      <c r="W402" s="67"/>
      <c r="X402" s="67"/>
      <c r="Y402" s="36">
        <v>44434</v>
      </c>
      <c r="Z402" s="36">
        <v>46624</v>
      </c>
      <c r="AA402" s="36"/>
      <c r="AB402" s="36"/>
      <c r="AC402" s="36"/>
      <c r="AD402" s="36"/>
      <c r="AE402" s="36"/>
      <c r="AF402" s="53" t="s">
        <v>68</v>
      </c>
      <c r="AG402" s="42"/>
      <c r="AH402" s="42"/>
      <c r="AI402" s="43"/>
      <c r="AJ402" s="43"/>
      <c r="AK402" s="43"/>
      <c r="AL402" s="43"/>
      <c r="AM402" s="43"/>
      <c r="AN402" s="42"/>
      <c r="AO402" s="42"/>
      <c r="AP402" s="42"/>
      <c r="AQ402" s="43"/>
      <c r="AR402" s="42"/>
      <c r="AS402" s="42"/>
    </row>
    <row r="403" spans="1:45" ht="15" customHeight="1">
      <c r="A403" s="21" t="s">
        <v>258</v>
      </c>
      <c r="B403" s="21" t="s">
        <v>46</v>
      </c>
      <c r="C403" s="21" t="s">
        <v>188</v>
      </c>
      <c r="D403" s="21" t="s">
        <v>48</v>
      </c>
      <c r="E403" s="80" t="s">
        <v>431</v>
      </c>
      <c r="F403" s="21" t="s">
        <v>432</v>
      </c>
      <c r="G403" s="101" t="s">
        <v>77</v>
      </c>
      <c r="H403" s="25" t="s">
        <v>601</v>
      </c>
      <c r="I403" s="102" t="s">
        <v>78</v>
      </c>
      <c r="J403" s="101" t="s">
        <v>602</v>
      </c>
      <c r="K403" s="115"/>
      <c r="L403" s="48" t="s">
        <v>364</v>
      </c>
      <c r="M403" s="116">
        <v>43202</v>
      </c>
      <c r="N403" s="116" t="s">
        <v>177</v>
      </c>
      <c r="O403" s="68">
        <v>3918</v>
      </c>
      <c r="P403" s="68">
        <v>211</v>
      </c>
      <c r="Q403" s="51">
        <f t="shared" si="12"/>
        <v>826698</v>
      </c>
      <c r="R403" s="31">
        <v>202310</v>
      </c>
      <c r="S403" s="117" t="s">
        <v>603</v>
      </c>
      <c r="T403" s="118"/>
      <c r="U403" s="117"/>
      <c r="V403" s="118"/>
      <c r="W403" s="67"/>
      <c r="X403" s="67"/>
      <c r="Y403" s="36"/>
      <c r="Z403" s="36"/>
      <c r="AA403" s="36"/>
      <c r="AB403" s="36"/>
      <c r="AC403" s="36"/>
      <c r="AD403" s="36"/>
      <c r="AE403" s="36"/>
      <c r="AF403" s="53" t="s">
        <v>68</v>
      </c>
      <c r="AG403" s="42"/>
      <c r="AH403" s="42"/>
      <c r="AI403" s="43"/>
      <c r="AJ403" s="43"/>
      <c r="AK403" s="43"/>
      <c r="AL403" s="43"/>
      <c r="AM403" s="43"/>
      <c r="AN403" s="42"/>
      <c r="AO403" s="42"/>
      <c r="AP403" s="42"/>
      <c r="AQ403" s="43"/>
      <c r="AR403" s="42"/>
      <c r="AS403" s="42"/>
    </row>
    <row r="404" spans="1:45" ht="15" customHeight="1">
      <c r="A404" s="21" t="s">
        <v>258</v>
      </c>
      <c r="B404" s="21" t="s">
        <v>46</v>
      </c>
      <c r="C404" s="21" t="s">
        <v>188</v>
      </c>
      <c r="D404" s="21" t="s">
        <v>48</v>
      </c>
      <c r="E404" s="80" t="s">
        <v>431</v>
      </c>
      <c r="F404" s="21" t="s">
        <v>432</v>
      </c>
      <c r="G404" s="101" t="s">
        <v>77</v>
      </c>
      <c r="H404" s="25" t="s">
        <v>601</v>
      </c>
      <c r="I404" s="102" t="s">
        <v>78</v>
      </c>
      <c r="J404" s="101" t="s">
        <v>602</v>
      </c>
      <c r="K404" s="115"/>
      <c r="L404" s="48" t="s">
        <v>364</v>
      </c>
      <c r="M404" s="116">
        <v>44875</v>
      </c>
      <c r="N404" s="116" t="s">
        <v>177</v>
      </c>
      <c r="O404" s="68">
        <v>3918</v>
      </c>
      <c r="P404" s="68">
        <v>-6</v>
      </c>
      <c r="Q404" s="51">
        <f t="shared" si="12"/>
        <v>-23508</v>
      </c>
      <c r="R404" s="31">
        <v>202310</v>
      </c>
      <c r="S404" s="117" t="s">
        <v>604</v>
      </c>
      <c r="T404" s="118"/>
      <c r="U404" s="117"/>
      <c r="V404" s="118"/>
      <c r="W404" s="67"/>
      <c r="X404" s="67"/>
      <c r="Y404" s="36"/>
      <c r="Z404" s="36"/>
      <c r="AA404" s="36"/>
      <c r="AB404" s="36"/>
      <c r="AC404" s="36"/>
      <c r="AD404" s="36"/>
      <c r="AE404" s="36"/>
      <c r="AF404" s="53" t="s">
        <v>68</v>
      </c>
      <c r="AG404" s="42"/>
      <c r="AH404" s="42"/>
      <c r="AI404" s="43"/>
      <c r="AJ404" s="43"/>
      <c r="AK404" s="43"/>
      <c r="AL404" s="43"/>
      <c r="AM404" s="43"/>
      <c r="AN404" s="42"/>
      <c r="AO404" s="42"/>
      <c r="AP404" s="42"/>
      <c r="AQ404" s="43"/>
      <c r="AR404" s="42"/>
      <c r="AS404" s="42"/>
    </row>
    <row r="405" spans="1:45" ht="15" customHeight="1">
      <c r="A405" s="21" t="s">
        <v>258</v>
      </c>
      <c r="B405" s="21" t="s">
        <v>46</v>
      </c>
      <c r="C405" s="21" t="s">
        <v>188</v>
      </c>
      <c r="D405" s="21" t="s">
        <v>48</v>
      </c>
      <c r="E405" s="80" t="s">
        <v>431</v>
      </c>
      <c r="F405" s="21" t="s">
        <v>432</v>
      </c>
      <c r="G405" s="101" t="s">
        <v>77</v>
      </c>
      <c r="H405" s="25" t="s">
        <v>601</v>
      </c>
      <c r="I405" s="102" t="s">
        <v>78</v>
      </c>
      <c r="J405" s="101" t="s">
        <v>602</v>
      </c>
      <c r="K405" s="115"/>
      <c r="L405" s="48" t="s">
        <v>364</v>
      </c>
      <c r="M405" s="49">
        <v>45199</v>
      </c>
      <c r="N405" s="116" t="s">
        <v>177</v>
      </c>
      <c r="O405" s="68">
        <v>3918</v>
      </c>
      <c r="P405" s="119">
        <v>-195</v>
      </c>
      <c r="Q405" s="51">
        <f t="shared" si="12"/>
        <v>-764010</v>
      </c>
      <c r="R405" s="31">
        <v>202310</v>
      </c>
      <c r="S405" s="117" t="s">
        <v>605</v>
      </c>
      <c r="T405" s="118"/>
      <c r="U405" s="25" t="s">
        <v>606</v>
      </c>
      <c r="V405" s="118"/>
      <c r="W405" s="67"/>
      <c r="X405" s="67"/>
      <c r="Y405" s="36"/>
      <c r="Z405" s="36"/>
      <c r="AA405" s="36"/>
      <c r="AB405" s="36"/>
      <c r="AC405" s="36"/>
      <c r="AD405" s="36"/>
      <c r="AE405" s="36"/>
      <c r="AF405" s="53" t="s">
        <v>68</v>
      </c>
      <c r="AG405" s="42"/>
      <c r="AH405" s="42"/>
      <c r="AI405" s="43"/>
      <c r="AJ405" s="43"/>
      <c r="AK405" s="43"/>
      <c r="AL405" s="43"/>
      <c r="AM405" s="43"/>
      <c r="AN405" s="42"/>
      <c r="AO405" s="42"/>
      <c r="AP405" s="42"/>
      <c r="AQ405" s="43"/>
      <c r="AR405" s="42"/>
      <c r="AS405" s="42"/>
    </row>
    <row r="406" spans="1:45" ht="15" customHeight="1">
      <c r="A406" s="21" t="s">
        <v>258</v>
      </c>
      <c r="B406" s="21" t="s">
        <v>46</v>
      </c>
      <c r="C406" s="21" t="s">
        <v>188</v>
      </c>
      <c r="D406" s="21" t="s">
        <v>48</v>
      </c>
      <c r="E406" s="80" t="s">
        <v>431</v>
      </c>
      <c r="F406" s="21" t="s">
        <v>432</v>
      </c>
      <c r="G406" s="101" t="s">
        <v>77</v>
      </c>
      <c r="H406" s="25" t="s">
        <v>601</v>
      </c>
      <c r="I406" s="102" t="s">
        <v>78</v>
      </c>
      <c r="J406" s="101" t="s">
        <v>602</v>
      </c>
      <c r="K406" s="115"/>
      <c r="L406" s="48" t="s">
        <v>364</v>
      </c>
      <c r="M406" s="49">
        <v>45199</v>
      </c>
      <c r="N406" s="116" t="s">
        <v>177</v>
      </c>
      <c r="O406" s="68">
        <v>3918</v>
      </c>
      <c r="P406" s="119">
        <v>-6</v>
      </c>
      <c r="Q406" s="51">
        <f t="shared" si="12"/>
        <v>-23508</v>
      </c>
      <c r="R406" s="31">
        <v>202310</v>
      </c>
      <c r="S406" s="117" t="s">
        <v>607</v>
      </c>
      <c r="T406" s="118"/>
      <c r="U406" s="25" t="s">
        <v>606</v>
      </c>
      <c r="V406" s="118"/>
      <c r="W406" s="67"/>
      <c r="X406" s="67"/>
      <c r="Y406" s="36"/>
      <c r="Z406" s="36"/>
      <c r="AA406" s="36"/>
      <c r="AB406" s="36"/>
      <c r="AC406" s="36"/>
      <c r="AD406" s="36"/>
      <c r="AE406" s="36"/>
      <c r="AF406" s="53" t="s">
        <v>68</v>
      </c>
      <c r="AG406" s="42"/>
      <c r="AH406" s="42"/>
      <c r="AI406" s="43"/>
      <c r="AJ406" s="43"/>
      <c r="AK406" s="43"/>
      <c r="AL406" s="43"/>
      <c r="AM406" s="43"/>
      <c r="AN406" s="42"/>
      <c r="AO406" s="42"/>
      <c r="AP406" s="42"/>
      <c r="AQ406" s="43"/>
      <c r="AR406" s="42"/>
      <c r="AS406" s="42"/>
    </row>
    <row r="407" spans="1:45" ht="15" customHeight="1">
      <c r="A407" s="21" t="s">
        <v>258</v>
      </c>
      <c r="B407" s="21" t="s">
        <v>46</v>
      </c>
      <c r="C407" s="21" t="s">
        <v>188</v>
      </c>
      <c r="D407" s="21" t="s">
        <v>48</v>
      </c>
      <c r="E407" s="80" t="s">
        <v>431</v>
      </c>
      <c r="F407" s="21" t="s">
        <v>432</v>
      </c>
      <c r="G407" s="101" t="s">
        <v>77</v>
      </c>
      <c r="H407" s="25" t="s">
        <v>601</v>
      </c>
      <c r="I407" s="102" t="s">
        <v>78</v>
      </c>
      <c r="J407" s="101" t="s">
        <v>602</v>
      </c>
      <c r="K407" s="115"/>
      <c r="L407" s="48" t="s">
        <v>364</v>
      </c>
      <c r="M407" s="49">
        <v>45199</v>
      </c>
      <c r="N407" s="116" t="s">
        <v>177</v>
      </c>
      <c r="O407" s="68">
        <v>3918</v>
      </c>
      <c r="P407" s="119">
        <v>-2</v>
      </c>
      <c r="Q407" s="51">
        <f t="shared" si="12"/>
        <v>-7836</v>
      </c>
      <c r="R407" s="31">
        <v>202310</v>
      </c>
      <c r="S407" s="117" t="s">
        <v>608</v>
      </c>
      <c r="T407" s="118"/>
      <c r="U407" s="25" t="s">
        <v>606</v>
      </c>
      <c r="V407" s="118"/>
      <c r="W407" s="67"/>
      <c r="X407" s="67"/>
      <c r="Y407" s="36"/>
      <c r="Z407" s="36"/>
      <c r="AA407" s="36"/>
      <c r="AB407" s="36"/>
      <c r="AC407" s="36"/>
      <c r="AD407" s="36"/>
      <c r="AE407" s="36"/>
      <c r="AF407" s="53" t="s">
        <v>68</v>
      </c>
      <c r="AG407" s="42"/>
      <c r="AH407" s="42"/>
      <c r="AI407" s="43"/>
      <c r="AJ407" s="43"/>
      <c r="AK407" s="43"/>
      <c r="AL407" s="43"/>
      <c r="AM407" s="43"/>
      <c r="AN407" s="42"/>
      <c r="AO407" s="42"/>
      <c r="AP407" s="42"/>
      <c r="AQ407" s="43"/>
      <c r="AR407" s="42"/>
      <c r="AS407" s="42"/>
    </row>
    <row r="408" spans="1:45" ht="15" customHeight="1">
      <c r="A408" s="21" t="s">
        <v>258</v>
      </c>
      <c r="B408" s="21" t="s">
        <v>46</v>
      </c>
      <c r="C408" s="21" t="s">
        <v>188</v>
      </c>
      <c r="D408" s="21" t="s">
        <v>48</v>
      </c>
      <c r="E408" s="80" t="s">
        <v>431</v>
      </c>
      <c r="F408" s="21" t="s">
        <v>432</v>
      </c>
      <c r="G408" s="101" t="s">
        <v>77</v>
      </c>
      <c r="H408" s="25" t="s">
        <v>601</v>
      </c>
      <c r="I408" s="102" t="s">
        <v>78</v>
      </c>
      <c r="J408" s="101" t="s">
        <v>602</v>
      </c>
      <c r="K408" s="115"/>
      <c r="L408" s="48" t="s">
        <v>364</v>
      </c>
      <c r="M408" s="49">
        <v>45199</v>
      </c>
      <c r="N408" s="116" t="s">
        <v>177</v>
      </c>
      <c r="O408" s="68">
        <v>3918</v>
      </c>
      <c r="P408" s="119">
        <v>-2</v>
      </c>
      <c r="Q408" s="51">
        <f t="shared" si="12"/>
        <v>-7836</v>
      </c>
      <c r="R408" s="31">
        <v>202310</v>
      </c>
      <c r="S408" s="117" t="s">
        <v>609</v>
      </c>
      <c r="T408" s="118"/>
      <c r="U408" s="25" t="s">
        <v>606</v>
      </c>
      <c r="V408" s="118"/>
      <c r="W408" s="67"/>
      <c r="X408" s="67"/>
      <c r="Y408" s="36"/>
      <c r="Z408" s="36"/>
      <c r="AA408" s="36"/>
      <c r="AB408" s="36"/>
      <c r="AC408" s="36"/>
      <c r="AD408" s="36"/>
      <c r="AE408" s="36"/>
      <c r="AF408" s="53" t="s">
        <v>68</v>
      </c>
      <c r="AG408" s="42"/>
      <c r="AH408" s="42"/>
      <c r="AI408" s="43"/>
      <c r="AJ408" s="43"/>
      <c r="AK408" s="43"/>
      <c r="AL408" s="43"/>
      <c r="AM408" s="43"/>
      <c r="AN408" s="42"/>
      <c r="AO408" s="42"/>
      <c r="AP408" s="42"/>
      <c r="AQ408" s="43"/>
      <c r="AR408" s="42"/>
      <c r="AS408" s="42"/>
    </row>
    <row r="409" spans="1:45" ht="15" customHeight="1">
      <c r="A409" s="65" t="s">
        <v>258</v>
      </c>
      <c r="B409" s="21" t="s">
        <v>46</v>
      </c>
      <c r="C409" s="21" t="s">
        <v>188</v>
      </c>
      <c r="D409" s="21" t="s">
        <v>48</v>
      </c>
      <c r="E409" s="66" t="s">
        <v>431</v>
      </c>
      <c r="F409" s="65" t="s">
        <v>432</v>
      </c>
      <c r="G409" s="47" t="s">
        <v>165</v>
      </c>
      <c r="H409" s="25" t="s">
        <v>610</v>
      </c>
      <c r="I409" s="65" t="s">
        <v>167</v>
      </c>
      <c r="J409" s="47" t="s">
        <v>338</v>
      </c>
      <c r="K409" s="47"/>
      <c r="L409" s="48"/>
      <c r="M409" s="49" t="s">
        <v>611</v>
      </c>
      <c r="N409" s="47" t="s">
        <v>168</v>
      </c>
      <c r="O409" s="61">
        <v>0</v>
      </c>
      <c r="P409" s="61">
        <f>12*256</f>
        <v>3072</v>
      </c>
      <c r="Q409" s="51">
        <f t="shared" si="12"/>
        <v>0</v>
      </c>
      <c r="R409" s="31">
        <v>202310</v>
      </c>
      <c r="S409" s="109" t="s">
        <v>612</v>
      </c>
      <c r="T409" s="120"/>
      <c r="U409" s="109"/>
      <c r="V409" s="120"/>
      <c r="W409" s="67"/>
      <c r="X409" s="67"/>
      <c r="Y409" s="36"/>
      <c r="Z409" s="36"/>
      <c r="AA409" s="36"/>
      <c r="AB409" s="36"/>
      <c r="AC409" s="36"/>
      <c r="AD409" s="36"/>
      <c r="AE409" s="36"/>
      <c r="AF409" s="53" t="s">
        <v>68</v>
      </c>
      <c r="AG409" s="42"/>
      <c r="AH409" s="42"/>
      <c r="AI409" s="43"/>
      <c r="AJ409" s="43"/>
      <c r="AK409" s="43"/>
      <c r="AL409" s="43"/>
      <c r="AM409" s="43"/>
      <c r="AN409" s="42"/>
      <c r="AO409" s="42"/>
      <c r="AP409" s="42"/>
      <c r="AQ409" s="43"/>
      <c r="AR409" s="42"/>
      <c r="AS409" s="42" t="s">
        <v>552</v>
      </c>
    </row>
    <row r="410" spans="1:45" ht="15" customHeight="1">
      <c r="A410" s="65" t="s">
        <v>258</v>
      </c>
      <c r="B410" s="21" t="s">
        <v>46</v>
      </c>
      <c r="C410" s="21" t="s">
        <v>188</v>
      </c>
      <c r="D410" s="21" t="s">
        <v>48</v>
      </c>
      <c r="E410" s="66" t="s">
        <v>431</v>
      </c>
      <c r="F410" s="65" t="s">
        <v>432</v>
      </c>
      <c r="G410" s="47" t="s">
        <v>165</v>
      </c>
      <c r="H410" s="25" t="s">
        <v>610</v>
      </c>
      <c r="I410" s="65" t="s">
        <v>167</v>
      </c>
      <c r="J410" s="47" t="s">
        <v>613</v>
      </c>
      <c r="K410" s="47"/>
      <c r="L410" s="48"/>
      <c r="M410" s="49" t="s">
        <v>611</v>
      </c>
      <c r="N410" s="47" t="s">
        <v>168</v>
      </c>
      <c r="O410" s="61">
        <v>35</v>
      </c>
      <c r="P410" s="61">
        <f>6*256-512</f>
        <v>1024</v>
      </c>
      <c r="Q410" s="51">
        <f t="shared" si="12"/>
        <v>35840</v>
      </c>
      <c r="R410" s="31">
        <v>202310</v>
      </c>
      <c r="S410" s="109" t="s">
        <v>614</v>
      </c>
      <c r="T410" s="120"/>
      <c r="U410" s="109"/>
      <c r="V410" s="120"/>
      <c r="W410" s="67"/>
      <c r="X410" s="67"/>
      <c r="Y410" s="36"/>
      <c r="Z410" s="36"/>
      <c r="AA410" s="36"/>
      <c r="AB410" s="36"/>
      <c r="AC410" s="36"/>
      <c r="AD410" s="36"/>
      <c r="AE410" s="36"/>
      <c r="AF410" s="53" t="s">
        <v>68</v>
      </c>
      <c r="AG410" s="42"/>
      <c r="AH410" s="42"/>
      <c r="AI410" s="43"/>
      <c r="AJ410" s="43"/>
      <c r="AK410" s="43"/>
      <c r="AL410" s="43"/>
      <c r="AM410" s="43"/>
      <c r="AN410" s="42"/>
      <c r="AO410" s="42"/>
      <c r="AP410" s="42"/>
      <c r="AQ410" s="43"/>
      <c r="AR410" s="42"/>
      <c r="AS410" s="42" t="s">
        <v>552</v>
      </c>
    </row>
    <row r="411" spans="1:45" ht="15" customHeight="1">
      <c r="A411" s="65" t="s">
        <v>258</v>
      </c>
      <c r="B411" s="21" t="s">
        <v>46</v>
      </c>
      <c r="C411" s="21" t="s">
        <v>188</v>
      </c>
      <c r="D411" s="21" t="s">
        <v>48</v>
      </c>
      <c r="E411" s="66" t="s">
        <v>431</v>
      </c>
      <c r="F411" s="65" t="s">
        <v>432</v>
      </c>
      <c r="G411" s="47" t="s">
        <v>165</v>
      </c>
      <c r="H411" s="25" t="s">
        <v>610</v>
      </c>
      <c r="I411" s="65" t="s">
        <v>167</v>
      </c>
      <c r="J411" s="47" t="s">
        <v>613</v>
      </c>
      <c r="K411" s="47"/>
      <c r="L411" s="48"/>
      <c r="M411" s="49" t="s">
        <v>611</v>
      </c>
      <c r="N411" s="47" t="s">
        <v>168</v>
      </c>
      <c r="O411" s="61">
        <v>0</v>
      </c>
      <c r="P411" s="61">
        <v>512</v>
      </c>
      <c r="Q411" s="51">
        <f t="shared" si="12"/>
        <v>0</v>
      </c>
      <c r="R411" s="31">
        <v>202310</v>
      </c>
      <c r="S411" s="109" t="s">
        <v>615</v>
      </c>
      <c r="T411" s="120"/>
      <c r="U411" s="109"/>
      <c r="V411" s="120"/>
      <c r="W411" s="67"/>
      <c r="X411" s="67"/>
      <c r="Y411" s="36"/>
      <c r="Z411" s="36"/>
      <c r="AA411" s="36"/>
      <c r="AB411" s="36"/>
      <c r="AC411" s="36"/>
      <c r="AD411" s="36"/>
      <c r="AE411" s="36"/>
      <c r="AF411" s="53" t="s">
        <v>68</v>
      </c>
      <c r="AG411" s="42"/>
      <c r="AH411" s="42"/>
      <c r="AI411" s="43"/>
      <c r="AJ411" s="43"/>
      <c r="AK411" s="43"/>
      <c r="AL411" s="43"/>
      <c r="AM411" s="43"/>
      <c r="AN411" s="42"/>
      <c r="AO411" s="42"/>
      <c r="AP411" s="42"/>
      <c r="AQ411" s="43"/>
      <c r="AR411" s="42"/>
      <c r="AS411" s="42" t="s">
        <v>552</v>
      </c>
    </row>
    <row r="412" spans="1:45" ht="15" customHeight="1">
      <c r="A412" s="65" t="s">
        <v>258</v>
      </c>
      <c r="B412" s="21" t="s">
        <v>46</v>
      </c>
      <c r="C412" s="21" t="s">
        <v>188</v>
      </c>
      <c r="D412" s="21" t="s">
        <v>48</v>
      </c>
      <c r="E412" s="66" t="s">
        <v>431</v>
      </c>
      <c r="F412" s="65" t="s">
        <v>432</v>
      </c>
      <c r="G412" s="47" t="s">
        <v>165</v>
      </c>
      <c r="H412" s="25" t="s">
        <v>610</v>
      </c>
      <c r="I412" s="24" t="s">
        <v>616</v>
      </c>
      <c r="J412" s="47" t="s">
        <v>617</v>
      </c>
      <c r="K412" s="47"/>
      <c r="L412" s="48" t="s">
        <v>339</v>
      </c>
      <c r="M412" s="49">
        <v>43941</v>
      </c>
      <c r="N412" s="49" t="s">
        <v>618</v>
      </c>
      <c r="O412" s="61">
        <v>10</v>
      </c>
      <c r="P412" s="61">
        <v>512</v>
      </c>
      <c r="Q412" s="51">
        <f t="shared" si="12"/>
        <v>5120</v>
      </c>
      <c r="R412" s="31">
        <v>202310</v>
      </c>
      <c r="S412" s="109" t="s">
        <v>619</v>
      </c>
      <c r="T412" s="120"/>
      <c r="U412" s="109"/>
      <c r="V412" s="120"/>
      <c r="W412" s="67"/>
      <c r="X412" s="67"/>
      <c r="Y412" s="36"/>
      <c r="Z412" s="36"/>
      <c r="AA412" s="36"/>
      <c r="AB412" s="36"/>
      <c r="AC412" s="36"/>
      <c r="AD412" s="36"/>
      <c r="AE412" s="36"/>
      <c r="AF412" s="53" t="s">
        <v>68</v>
      </c>
      <c r="AG412" s="42"/>
      <c r="AH412" s="42"/>
      <c r="AI412" s="43"/>
      <c r="AJ412" s="43"/>
      <c r="AK412" s="43"/>
      <c r="AL412" s="43"/>
      <c r="AM412" s="43"/>
      <c r="AN412" s="42"/>
      <c r="AO412" s="42"/>
      <c r="AP412" s="42"/>
      <c r="AQ412" s="43"/>
      <c r="AR412" s="42"/>
      <c r="AS412" s="42" t="s">
        <v>552</v>
      </c>
    </row>
    <row r="413" spans="1:45" ht="15" customHeight="1">
      <c r="A413" s="65" t="s">
        <v>258</v>
      </c>
      <c r="B413" s="21" t="s">
        <v>46</v>
      </c>
      <c r="C413" s="21" t="s">
        <v>188</v>
      </c>
      <c r="D413" s="21" t="s">
        <v>48</v>
      </c>
      <c r="E413" s="66" t="s">
        <v>431</v>
      </c>
      <c r="F413" s="65" t="s">
        <v>432</v>
      </c>
      <c r="G413" s="47" t="s">
        <v>165</v>
      </c>
      <c r="H413" s="25" t="s">
        <v>610</v>
      </c>
      <c r="I413" s="24" t="s">
        <v>616</v>
      </c>
      <c r="J413" s="47" t="s">
        <v>617</v>
      </c>
      <c r="K413" s="47"/>
      <c r="L413" s="48" t="s">
        <v>339</v>
      </c>
      <c r="M413" s="49">
        <v>44166</v>
      </c>
      <c r="N413" s="49" t="s">
        <v>618</v>
      </c>
      <c r="O413" s="61">
        <v>10</v>
      </c>
      <c r="P413" s="61">
        <v>512</v>
      </c>
      <c r="Q413" s="51">
        <f t="shared" si="12"/>
        <v>5120</v>
      </c>
      <c r="R413" s="31">
        <v>202310</v>
      </c>
      <c r="S413" s="109" t="s">
        <v>620</v>
      </c>
      <c r="T413" s="120"/>
      <c r="U413" s="109"/>
      <c r="V413" s="120"/>
      <c r="W413" s="67"/>
      <c r="X413" s="67"/>
      <c r="Y413" s="36"/>
      <c r="Z413" s="36"/>
      <c r="AA413" s="36"/>
      <c r="AB413" s="36"/>
      <c r="AC413" s="36"/>
      <c r="AD413" s="36"/>
      <c r="AE413" s="36"/>
      <c r="AF413" s="53" t="s">
        <v>68</v>
      </c>
      <c r="AG413" s="42"/>
      <c r="AH413" s="42"/>
      <c r="AI413" s="43"/>
      <c r="AJ413" s="43"/>
      <c r="AK413" s="43"/>
      <c r="AL413" s="43"/>
      <c r="AM413" s="43"/>
      <c r="AN413" s="42"/>
      <c r="AO413" s="42"/>
      <c r="AP413" s="42"/>
      <c r="AQ413" s="43"/>
      <c r="AR413" s="42"/>
      <c r="AS413" s="42" t="s">
        <v>552</v>
      </c>
    </row>
    <row r="414" spans="1:45" ht="15" customHeight="1">
      <c r="A414" s="65" t="s">
        <v>258</v>
      </c>
      <c r="B414" s="21" t="s">
        <v>46</v>
      </c>
      <c r="C414" s="21" t="s">
        <v>188</v>
      </c>
      <c r="D414" s="21" t="s">
        <v>48</v>
      </c>
      <c r="E414" s="66" t="s">
        <v>431</v>
      </c>
      <c r="F414" s="65" t="s">
        <v>432</v>
      </c>
      <c r="G414" s="47" t="s">
        <v>165</v>
      </c>
      <c r="H414" s="25" t="s">
        <v>610</v>
      </c>
      <c r="I414" s="24" t="s">
        <v>616</v>
      </c>
      <c r="J414" s="47" t="s">
        <v>617</v>
      </c>
      <c r="K414" s="47"/>
      <c r="L414" s="48" t="s">
        <v>339</v>
      </c>
      <c r="M414" s="49">
        <v>44197</v>
      </c>
      <c r="N414" s="49" t="s">
        <v>621</v>
      </c>
      <c r="O414" s="61">
        <v>10</v>
      </c>
      <c r="P414" s="61">
        <f>256*4</f>
        <v>1024</v>
      </c>
      <c r="Q414" s="51">
        <f t="shared" si="12"/>
        <v>10240</v>
      </c>
      <c r="R414" s="31">
        <v>202310</v>
      </c>
      <c r="S414" s="109" t="s">
        <v>622</v>
      </c>
      <c r="T414" s="120"/>
      <c r="U414" s="109"/>
      <c r="V414" s="120"/>
      <c r="W414" s="67"/>
      <c r="X414" s="67"/>
      <c r="Y414" s="36"/>
      <c r="Z414" s="36"/>
      <c r="AA414" s="36"/>
      <c r="AB414" s="36"/>
      <c r="AC414" s="36"/>
      <c r="AD414" s="36"/>
      <c r="AE414" s="36"/>
      <c r="AF414" s="53" t="s">
        <v>68</v>
      </c>
      <c r="AG414" s="42"/>
      <c r="AH414" s="42"/>
      <c r="AI414" s="43"/>
      <c r="AJ414" s="43"/>
      <c r="AK414" s="43"/>
      <c r="AL414" s="43"/>
      <c r="AM414" s="43"/>
      <c r="AN414" s="42"/>
      <c r="AO414" s="42"/>
      <c r="AP414" s="42"/>
      <c r="AQ414" s="43"/>
      <c r="AR414" s="42"/>
      <c r="AS414" s="42" t="s">
        <v>552</v>
      </c>
    </row>
    <row r="415" spans="1:45" ht="15" customHeight="1">
      <c r="A415" s="65" t="s">
        <v>258</v>
      </c>
      <c r="B415" s="21" t="s">
        <v>46</v>
      </c>
      <c r="C415" s="21" t="s">
        <v>188</v>
      </c>
      <c r="D415" s="21" t="s">
        <v>48</v>
      </c>
      <c r="E415" s="66" t="s">
        <v>431</v>
      </c>
      <c r="F415" s="65" t="s">
        <v>432</v>
      </c>
      <c r="G415" s="47" t="s">
        <v>165</v>
      </c>
      <c r="H415" s="25" t="s">
        <v>610</v>
      </c>
      <c r="I415" s="24" t="s">
        <v>616</v>
      </c>
      <c r="J415" s="47" t="s">
        <v>617</v>
      </c>
      <c r="K415" s="47"/>
      <c r="L415" s="48" t="s">
        <v>339</v>
      </c>
      <c r="M415" s="49">
        <v>44623</v>
      </c>
      <c r="N415" s="49" t="s">
        <v>623</v>
      </c>
      <c r="O415" s="61">
        <v>0</v>
      </c>
      <c r="P415" s="61">
        <f>256*36</f>
        <v>9216</v>
      </c>
      <c r="Q415" s="51">
        <f t="shared" ref="Q415:Q491" si="15">ROUND(O415*P415,2)</f>
        <v>0</v>
      </c>
      <c r="R415" s="31">
        <v>202310</v>
      </c>
      <c r="S415" s="121" t="s">
        <v>624</v>
      </c>
      <c r="T415" s="120"/>
      <c r="U415" s="109"/>
      <c r="V415" s="120"/>
      <c r="W415" s="67"/>
      <c r="X415" s="67"/>
      <c r="Y415" s="36"/>
      <c r="Z415" s="36"/>
      <c r="AA415" s="36"/>
      <c r="AB415" s="36"/>
      <c r="AC415" s="36"/>
      <c r="AD415" s="36"/>
      <c r="AE415" s="36"/>
      <c r="AF415" s="53" t="s">
        <v>68</v>
      </c>
      <c r="AG415" s="42"/>
      <c r="AH415" s="42"/>
      <c r="AI415" s="43"/>
      <c r="AJ415" s="43"/>
      <c r="AK415" s="43"/>
      <c r="AL415" s="43"/>
      <c r="AM415" s="43"/>
      <c r="AN415" s="42"/>
      <c r="AO415" s="42"/>
      <c r="AP415" s="42"/>
      <c r="AQ415" s="43"/>
      <c r="AR415" s="42"/>
      <c r="AS415" s="42" t="s">
        <v>552</v>
      </c>
    </row>
    <row r="416" spans="1:45" ht="15" customHeight="1">
      <c r="A416" s="20" t="s">
        <v>258</v>
      </c>
      <c r="B416" s="21" t="s">
        <v>46</v>
      </c>
      <c r="C416" s="22" t="s">
        <v>188</v>
      </c>
      <c r="D416" s="22" t="s">
        <v>48</v>
      </c>
      <c r="E416" s="23" t="s">
        <v>431</v>
      </c>
      <c r="F416" s="20" t="s">
        <v>432</v>
      </c>
      <c r="G416" s="47" t="s">
        <v>165</v>
      </c>
      <c r="H416" s="25" t="s">
        <v>625</v>
      </c>
      <c r="I416" s="24" t="s">
        <v>491</v>
      </c>
      <c r="J416" s="47" t="s">
        <v>626</v>
      </c>
      <c r="K416" s="26" t="s">
        <v>627</v>
      </c>
      <c r="L416" s="48" t="s">
        <v>628</v>
      </c>
      <c r="M416" s="49">
        <v>44984</v>
      </c>
      <c r="N416" s="49"/>
      <c r="O416" s="50">
        <v>35</v>
      </c>
      <c r="P416" s="51">
        <v>64</v>
      </c>
      <c r="Q416" s="51">
        <f t="shared" si="15"/>
        <v>2240</v>
      </c>
      <c r="R416" s="31">
        <v>202310</v>
      </c>
      <c r="S416" s="109" t="s">
        <v>629</v>
      </c>
      <c r="T416" s="109"/>
      <c r="U416" s="109"/>
      <c r="V416" s="109"/>
      <c r="W416" s="52"/>
      <c r="X416" s="52"/>
      <c r="Y416" s="36"/>
      <c r="Z416" s="36"/>
      <c r="AA416" s="36"/>
      <c r="AB416" s="36"/>
      <c r="AC416" s="36"/>
      <c r="AD416" s="36"/>
      <c r="AE416" s="36"/>
      <c r="AF416" s="40" t="s">
        <v>484</v>
      </c>
      <c r="AG416" s="42"/>
      <c r="AH416" s="42"/>
      <c r="AI416" s="43"/>
      <c r="AJ416" s="43"/>
      <c r="AK416" s="43"/>
      <c r="AL416" s="43"/>
      <c r="AM416" s="43"/>
      <c r="AN416" s="42"/>
      <c r="AO416" s="42"/>
      <c r="AP416" s="42"/>
      <c r="AQ416" s="43"/>
      <c r="AR416" s="42"/>
      <c r="AS416" s="42" t="s">
        <v>552</v>
      </c>
    </row>
    <row r="417" spans="1:45" ht="15" customHeight="1">
      <c r="A417" s="20" t="s">
        <v>258</v>
      </c>
      <c r="B417" s="21" t="s">
        <v>46</v>
      </c>
      <c r="C417" s="22" t="s">
        <v>188</v>
      </c>
      <c r="D417" s="22" t="s">
        <v>48</v>
      </c>
      <c r="E417" s="23" t="s">
        <v>431</v>
      </c>
      <c r="F417" s="20" t="s">
        <v>432</v>
      </c>
      <c r="G417" s="47" t="s">
        <v>165</v>
      </c>
      <c r="H417" s="25" t="s">
        <v>625</v>
      </c>
      <c r="I417" s="24" t="s">
        <v>491</v>
      </c>
      <c r="J417" s="47" t="s">
        <v>626</v>
      </c>
      <c r="K417" s="26" t="s">
        <v>627</v>
      </c>
      <c r="L417" s="48" t="s">
        <v>628</v>
      </c>
      <c r="M417" s="49">
        <v>45036</v>
      </c>
      <c r="N417" s="49"/>
      <c r="O417" s="50">
        <v>35</v>
      </c>
      <c r="P417" s="51">
        <v>36</v>
      </c>
      <c r="Q417" s="51">
        <f t="shared" si="15"/>
        <v>1260</v>
      </c>
      <c r="R417" s="31">
        <v>202310</v>
      </c>
      <c r="S417" s="109" t="s">
        <v>630</v>
      </c>
      <c r="T417" s="109"/>
      <c r="U417" s="109"/>
      <c r="V417" s="109"/>
      <c r="W417" s="52"/>
      <c r="X417" s="52"/>
      <c r="Y417" s="36"/>
      <c r="Z417" s="36"/>
      <c r="AA417" s="36"/>
      <c r="AB417" s="36"/>
      <c r="AC417" s="36"/>
      <c r="AD417" s="36"/>
      <c r="AE417" s="36"/>
      <c r="AF417" s="40" t="s">
        <v>484</v>
      </c>
      <c r="AG417" s="42"/>
      <c r="AH417" s="42"/>
      <c r="AI417" s="43"/>
      <c r="AJ417" s="43"/>
      <c r="AK417" s="43"/>
      <c r="AL417" s="43"/>
      <c r="AM417" s="43"/>
      <c r="AN417" s="42"/>
      <c r="AO417" s="42"/>
      <c r="AP417" s="42"/>
      <c r="AQ417" s="43"/>
      <c r="AR417" s="42"/>
      <c r="AS417" s="42" t="s">
        <v>552</v>
      </c>
    </row>
    <row r="418" spans="1:45" ht="15" customHeight="1">
      <c r="A418" s="20" t="s">
        <v>258</v>
      </c>
      <c r="B418" s="21" t="s">
        <v>46</v>
      </c>
      <c r="C418" s="22" t="s">
        <v>188</v>
      </c>
      <c r="D418" s="22" t="s">
        <v>48</v>
      </c>
      <c r="E418" s="23" t="s">
        <v>431</v>
      </c>
      <c r="F418" s="20" t="s">
        <v>432</v>
      </c>
      <c r="G418" s="47" t="s">
        <v>165</v>
      </c>
      <c r="H418" s="25" t="s">
        <v>625</v>
      </c>
      <c r="I418" s="24" t="s">
        <v>491</v>
      </c>
      <c r="J418" s="47" t="s">
        <v>626</v>
      </c>
      <c r="K418" s="26" t="s">
        <v>627</v>
      </c>
      <c r="L418" s="48" t="s">
        <v>628</v>
      </c>
      <c r="M418" s="49">
        <v>45075</v>
      </c>
      <c r="N418" s="49"/>
      <c r="O418" s="50">
        <v>35</v>
      </c>
      <c r="P418" s="51">
        <v>160</v>
      </c>
      <c r="Q418" s="51">
        <f t="shared" si="15"/>
        <v>5600</v>
      </c>
      <c r="R418" s="31">
        <v>202310</v>
      </c>
      <c r="S418" s="109" t="s">
        <v>631</v>
      </c>
      <c r="T418" s="109"/>
      <c r="U418" s="109"/>
      <c r="V418" s="109"/>
      <c r="W418" s="52"/>
      <c r="X418" s="52"/>
      <c r="Y418" s="36"/>
      <c r="Z418" s="36"/>
      <c r="AA418" s="36"/>
      <c r="AB418" s="36"/>
      <c r="AC418" s="36"/>
      <c r="AD418" s="36"/>
      <c r="AE418" s="36"/>
      <c r="AF418" s="40" t="s">
        <v>484</v>
      </c>
      <c r="AG418" s="42"/>
      <c r="AH418" s="42"/>
      <c r="AI418" s="43"/>
      <c r="AJ418" s="43"/>
      <c r="AK418" s="43"/>
      <c r="AL418" s="43"/>
      <c r="AM418" s="43"/>
      <c r="AN418" s="42"/>
      <c r="AO418" s="42"/>
      <c r="AP418" s="42"/>
      <c r="AQ418" s="43"/>
      <c r="AR418" s="42"/>
      <c r="AS418" s="42" t="s">
        <v>552</v>
      </c>
    </row>
    <row r="419" spans="1:45" ht="15" customHeight="1">
      <c r="A419" s="20" t="s">
        <v>258</v>
      </c>
      <c r="B419" s="21" t="s">
        <v>46</v>
      </c>
      <c r="C419" s="22" t="s">
        <v>188</v>
      </c>
      <c r="D419" s="22" t="s">
        <v>48</v>
      </c>
      <c r="E419" s="23" t="s">
        <v>431</v>
      </c>
      <c r="F419" s="20" t="s">
        <v>432</v>
      </c>
      <c r="G419" s="47" t="s">
        <v>77</v>
      </c>
      <c r="H419" s="25" t="s">
        <v>632</v>
      </c>
      <c r="I419" s="24" t="s">
        <v>479</v>
      </c>
      <c r="J419" s="47" t="s">
        <v>626</v>
      </c>
      <c r="K419" s="26" t="s">
        <v>633</v>
      </c>
      <c r="L419" s="48" t="s">
        <v>634</v>
      </c>
      <c r="M419" s="49" t="s">
        <v>611</v>
      </c>
      <c r="N419" s="49" t="s">
        <v>504</v>
      </c>
      <c r="O419" s="50">
        <v>3000</v>
      </c>
      <c r="P419" s="51">
        <v>11</v>
      </c>
      <c r="Q419" s="51">
        <f t="shared" si="15"/>
        <v>33000</v>
      </c>
      <c r="R419" s="31">
        <v>202310</v>
      </c>
      <c r="S419" s="109" t="s">
        <v>635</v>
      </c>
      <c r="T419" s="109"/>
      <c r="U419" s="109"/>
      <c r="V419" s="109"/>
      <c r="W419" s="52"/>
      <c r="X419" s="52"/>
      <c r="Y419" s="36"/>
      <c r="Z419" s="36"/>
      <c r="AA419" s="36"/>
      <c r="AB419" s="36"/>
      <c r="AC419" s="36"/>
      <c r="AD419" s="36"/>
      <c r="AE419" s="36"/>
      <c r="AF419" s="40" t="s">
        <v>503</v>
      </c>
      <c r="AG419" s="42"/>
      <c r="AH419" s="42"/>
      <c r="AI419" s="43"/>
      <c r="AJ419" s="43"/>
      <c r="AK419" s="43"/>
      <c r="AL419" s="43"/>
      <c r="AM419" s="43"/>
      <c r="AN419" s="42"/>
      <c r="AO419" s="42"/>
      <c r="AP419" s="42"/>
      <c r="AQ419" s="43"/>
      <c r="AR419" s="42"/>
      <c r="AS419" s="42" t="s">
        <v>552</v>
      </c>
    </row>
    <row r="420" spans="1:45" ht="15" customHeight="1">
      <c r="A420" s="20" t="s">
        <v>258</v>
      </c>
      <c r="B420" s="21" t="s">
        <v>46</v>
      </c>
      <c r="C420" s="22" t="s">
        <v>188</v>
      </c>
      <c r="D420" s="22" t="s">
        <v>48</v>
      </c>
      <c r="E420" s="23" t="s">
        <v>431</v>
      </c>
      <c r="F420" s="20" t="s">
        <v>432</v>
      </c>
      <c r="G420" s="47" t="s">
        <v>77</v>
      </c>
      <c r="H420" s="25" t="s">
        <v>632</v>
      </c>
      <c r="I420" s="24" t="s">
        <v>479</v>
      </c>
      <c r="J420" s="47" t="s">
        <v>626</v>
      </c>
      <c r="K420" s="26" t="s">
        <v>633</v>
      </c>
      <c r="L420" s="48" t="s">
        <v>634</v>
      </c>
      <c r="M420" s="49">
        <v>44789</v>
      </c>
      <c r="N420" s="49" t="s">
        <v>504</v>
      </c>
      <c r="O420" s="50">
        <v>3000</v>
      </c>
      <c r="P420" s="51">
        <v>-5</v>
      </c>
      <c r="Q420" s="51">
        <f t="shared" si="15"/>
        <v>-15000</v>
      </c>
      <c r="R420" s="31">
        <v>202310</v>
      </c>
      <c r="S420" s="109" t="s">
        <v>636</v>
      </c>
      <c r="T420" s="109"/>
      <c r="U420" s="109"/>
      <c r="V420" s="109"/>
      <c r="W420" s="52"/>
      <c r="X420" s="52"/>
      <c r="Y420" s="36"/>
      <c r="Z420" s="36"/>
      <c r="AA420" s="36"/>
      <c r="AB420" s="36"/>
      <c r="AC420" s="36"/>
      <c r="AD420" s="36"/>
      <c r="AE420" s="36"/>
      <c r="AF420" s="40" t="s">
        <v>503</v>
      </c>
      <c r="AG420" s="42"/>
      <c r="AH420" s="42"/>
      <c r="AI420" s="43"/>
      <c r="AJ420" s="43"/>
      <c r="AK420" s="43"/>
      <c r="AL420" s="43"/>
      <c r="AM420" s="43"/>
      <c r="AN420" s="42"/>
      <c r="AO420" s="42"/>
      <c r="AP420" s="42"/>
      <c r="AQ420" s="43"/>
      <c r="AR420" s="42"/>
      <c r="AS420" s="42" t="s">
        <v>552</v>
      </c>
    </row>
    <row r="421" spans="1:45" ht="15" customHeight="1">
      <c r="A421" s="20" t="s">
        <v>258</v>
      </c>
      <c r="B421" s="21" t="s">
        <v>46</v>
      </c>
      <c r="C421" s="22" t="s">
        <v>188</v>
      </c>
      <c r="D421" s="22" t="s">
        <v>48</v>
      </c>
      <c r="E421" s="23" t="s">
        <v>431</v>
      </c>
      <c r="F421" s="20" t="s">
        <v>432</v>
      </c>
      <c r="G421" s="47" t="s">
        <v>165</v>
      </c>
      <c r="H421" s="25" t="s">
        <v>632</v>
      </c>
      <c r="I421" s="24" t="s">
        <v>491</v>
      </c>
      <c r="J421" s="47" t="s">
        <v>626</v>
      </c>
      <c r="K421" s="26" t="s">
        <v>633</v>
      </c>
      <c r="L421" s="48"/>
      <c r="M421" s="49" t="s">
        <v>611</v>
      </c>
      <c r="N421" s="49"/>
      <c r="O421" s="50">
        <v>0</v>
      </c>
      <c r="P421" s="51">
        <v>256</v>
      </c>
      <c r="Q421" s="51">
        <f t="shared" si="15"/>
        <v>0</v>
      </c>
      <c r="R421" s="31">
        <v>202310</v>
      </c>
      <c r="S421" s="109" t="s">
        <v>637</v>
      </c>
      <c r="T421" s="109"/>
      <c r="U421" s="109"/>
      <c r="V421" s="109"/>
      <c r="W421" s="52"/>
      <c r="X421" s="52"/>
      <c r="Y421" s="36"/>
      <c r="Z421" s="36"/>
      <c r="AA421" s="36"/>
      <c r="AB421" s="36"/>
      <c r="AC421" s="36"/>
      <c r="AD421" s="36"/>
      <c r="AE421" s="36"/>
      <c r="AF421" s="40" t="s">
        <v>503</v>
      </c>
      <c r="AG421" s="42"/>
      <c r="AH421" s="42"/>
      <c r="AI421" s="43"/>
      <c r="AJ421" s="43"/>
      <c r="AK421" s="43"/>
      <c r="AL421" s="43"/>
      <c r="AM421" s="43"/>
      <c r="AN421" s="42"/>
      <c r="AO421" s="42"/>
      <c r="AP421" s="42"/>
      <c r="AQ421" s="43"/>
      <c r="AR421" s="42"/>
      <c r="AS421" s="42" t="s">
        <v>552</v>
      </c>
    </row>
    <row r="422" spans="1:45" ht="15" customHeight="1">
      <c r="A422" s="20" t="s">
        <v>258</v>
      </c>
      <c r="B422" s="21" t="s">
        <v>46</v>
      </c>
      <c r="C422" s="22" t="s">
        <v>188</v>
      </c>
      <c r="D422" s="22" t="s">
        <v>48</v>
      </c>
      <c r="E422" s="23" t="s">
        <v>431</v>
      </c>
      <c r="F422" s="20" t="s">
        <v>432</v>
      </c>
      <c r="G422" s="47" t="s">
        <v>165</v>
      </c>
      <c r="H422" s="25" t="s">
        <v>632</v>
      </c>
      <c r="I422" s="24" t="s">
        <v>491</v>
      </c>
      <c r="J422" s="47" t="s">
        <v>626</v>
      </c>
      <c r="K422" s="26" t="s">
        <v>633</v>
      </c>
      <c r="L422" s="48"/>
      <c r="M422" s="49">
        <v>45107</v>
      </c>
      <c r="N422" s="49"/>
      <c r="O422" s="50">
        <v>35</v>
      </c>
      <c r="P422" s="51">
        <v>-128</v>
      </c>
      <c r="Q422" s="51">
        <f t="shared" si="15"/>
        <v>-4480</v>
      </c>
      <c r="R422" s="31">
        <v>202310</v>
      </c>
      <c r="S422" s="109" t="s">
        <v>637</v>
      </c>
      <c r="T422" s="109"/>
      <c r="U422" s="109" t="s">
        <v>638</v>
      </c>
      <c r="V422" s="109"/>
      <c r="W422" s="52"/>
      <c r="X422" s="52"/>
      <c r="Y422" s="36"/>
      <c r="Z422" s="36"/>
      <c r="AA422" s="36"/>
      <c r="AB422" s="36"/>
      <c r="AC422" s="36"/>
      <c r="AD422" s="36"/>
      <c r="AE422" s="36"/>
      <c r="AF422" s="40" t="s">
        <v>503</v>
      </c>
      <c r="AG422" s="42"/>
      <c r="AH422" s="42"/>
      <c r="AI422" s="43"/>
      <c r="AJ422" s="43"/>
      <c r="AK422" s="43"/>
      <c r="AL422" s="43"/>
      <c r="AM422" s="43"/>
      <c r="AN422" s="42"/>
      <c r="AO422" s="42"/>
      <c r="AP422" s="42"/>
      <c r="AQ422" s="43"/>
      <c r="AR422" s="42"/>
      <c r="AS422" s="42" t="s">
        <v>552</v>
      </c>
    </row>
    <row r="423" spans="1:45" ht="15" customHeight="1">
      <c r="A423" s="20" t="s">
        <v>258</v>
      </c>
      <c r="B423" s="21" t="s">
        <v>46</v>
      </c>
      <c r="C423" s="22" t="s">
        <v>188</v>
      </c>
      <c r="D423" s="22" t="s">
        <v>48</v>
      </c>
      <c r="E423" s="23" t="s">
        <v>431</v>
      </c>
      <c r="F423" s="20" t="s">
        <v>432</v>
      </c>
      <c r="G423" s="47" t="s">
        <v>165</v>
      </c>
      <c r="H423" s="25" t="s">
        <v>632</v>
      </c>
      <c r="I423" s="24" t="s">
        <v>491</v>
      </c>
      <c r="J423" s="47" t="s">
        <v>626</v>
      </c>
      <c r="K423" s="26" t="s">
        <v>633</v>
      </c>
      <c r="L423" s="48"/>
      <c r="M423" s="49" t="s">
        <v>611</v>
      </c>
      <c r="N423" s="49"/>
      <c r="O423" s="50">
        <v>0</v>
      </c>
      <c r="P423" s="51">
        <v>256</v>
      </c>
      <c r="Q423" s="51">
        <f t="shared" si="15"/>
        <v>0</v>
      </c>
      <c r="R423" s="31">
        <v>202310</v>
      </c>
      <c r="S423" s="109" t="s">
        <v>639</v>
      </c>
      <c r="T423" s="109"/>
      <c r="U423" s="109"/>
      <c r="V423" s="109"/>
      <c r="W423" s="52"/>
      <c r="X423" s="52"/>
      <c r="Y423" s="36"/>
      <c r="Z423" s="36"/>
      <c r="AA423" s="36"/>
      <c r="AB423" s="36"/>
      <c r="AC423" s="36"/>
      <c r="AD423" s="36"/>
      <c r="AE423" s="36"/>
      <c r="AF423" s="40" t="s">
        <v>503</v>
      </c>
      <c r="AG423" s="42"/>
      <c r="AH423" s="42"/>
      <c r="AI423" s="43"/>
      <c r="AJ423" s="43"/>
      <c r="AK423" s="43"/>
      <c r="AL423" s="43"/>
      <c r="AM423" s="43"/>
      <c r="AN423" s="42"/>
      <c r="AO423" s="42"/>
      <c r="AP423" s="42"/>
      <c r="AQ423" s="43"/>
      <c r="AR423" s="42"/>
      <c r="AS423" s="42" t="s">
        <v>552</v>
      </c>
    </row>
    <row r="424" spans="1:45" ht="15" customHeight="1">
      <c r="A424" s="20" t="s">
        <v>258</v>
      </c>
      <c r="B424" s="21" t="s">
        <v>46</v>
      </c>
      <c r="C424" s="22" t="s">
        <v>188</v>
      </c>
      <c r="D424" s="22" t="s">
        <v>48</v>
      </c>
      <c r="E424" s="23" t="s">
        <v>431</v>
      </c>
      <c r="F424" s="20" t="s">
        <v>432</v>
      </c>
      <c r="G424" s="47" t="s">
        <v>165</v>
      </c>
      <c r="H424" s="25" t="s">
        <v>632</v>
      </c>
      <c r="I424" s="24" t="s">
        <v>491</v>
      </c>
      <c r="J424" s="47" t="s">
        <v>626</v>
      </c>
      <c r="K424" s="26" t="s">
        <v>633</v>
      </c>
      <c r="L424" s="48"/>
      <c r="M424" s="49">
        <v>44789</v>
      </c>
      <c r="N424" s="49"/>
      <c r="O424" s="50">
        <v>0</v>
      </c>
      <c r="P424" s="51">
        <v>-256</v>
      </c>
      <c r="Q424" s="51">
        <f t="shared" si="15"/>
        <v>0</v>
      </c>
      <c r="R424" s="31">
        <v>202310</v>
      </c>
      <c r="S424" s="109" t="s">
        <v>640</v>
      </c>
      <c r="T424" s="109"/>
      <c r="U424" s="109"/>
      <c r="V424" s="109"/>
      <c r="W424" s="52"/>
      <c r="X424" s="52"/>
      <c r="Y424" s="36"/>
      <c r="Z424" s="36"/>
      <c r="AA424" s="36"/>
      <c r="AB424" s="36"/>
      <c r="AC424" s="36"/>
      <c r="AD424" s="36"/>
      <c r="AE424" s="36"/>
      <c r="AF424" s="40" t="s">
        <v>503</v>
      </c>
      <c r="AG424" s="42"/>
      <c r="AH424" s="42"/>
      <c r="AI424" s="43"/>
      <c r="AJ424" s="43"/>
      <c r="AK424" s="43"/>
      <c r="AL424" s="43"/>
      <c r="AM424" s="43"/>
      <c r="AN424" s="42"/>
      <c r="AO424" s="42"/>
      <c r="AP424" s="42"/>
      <c r="AQ424" s="43"/>
      <c r="AR424" s="42"/>
      <c r="AS424" s="42" t="s">
        <v>552</v>
      </c>
    </row>
    <row r="425" spans="1:45" ht="15" customHeight="1">
      <c r="A425" s="20" t="s">
        <v>258</v>
      </c>
      <c r="B425" s="21" t="s">
        <v>46</v>
      </c>
      <c r="C425" s="22" t="s">
        <v>188</v>
      </c>
      <c r="D425" s="22" t="s">
        <v>48</v>
      </c>
      <c r="E425" s="23" t="s">
        <v>431</v>
      </c>
      <c r="F425" s="20" t="s">
        <v>432</v>
      </c>
      <c r="G425" s="47" t="s">
        <v>165</v>
      </c>
      <c r="H425" s="25" t="s">
        <v>632</v>
      </c>
      <c r="I425" s="24" t="s">
        <v>491</v>
      </c>
      <c r="J425" s="47" t="s">
        <v>626</v>
      </c>
      <c r="K425" s="26" t="s">
        <v>633</v>
      </c>
      <c r="L425" s="48"/>
      <c r="M425" s="49" t="s">
        <v>611</v>
      </c>
      <c r="N425" s="49"/>
      <c r="O425" s="50">
        <v>0</v>
      </c>
      <c r="P425" s="51">
        <v>32</v>
      </c>
      <c r="Q425" s="51">
        <f t="shared" si="15"/>
        <v>0</v>
      </c>
      <c r="R425" s="31">
        <v>202310</v>
      </c>
      <c r="S425" s="109" t="s">
        <v>641</v>
      </c>
      <c r="T425" s="109"/>
      <c r="U425" s="109"/>
      <c r="V425" s="109"/>
      <c r="W425" s="52"/>
      <c r="X425" s="52"/>
      <c r="Y425" s="36"/>
      <c r="Z425" s="36"/>
      <c r="AA425" s="36"/>
      <c r="AB425" s="36"/>
      <c r="AC425" s="36"/>
      <c r="AD425" s="36"/>
      <c r="AE425" s="36"/>
      <c r="AF425" s="40" t="s">
        <v>503</v>
      </c>
      <c r="AG425" s="42"/>
      <c r="AH425" s="42"/>
      <c r="AI425" s="43"/>
      <c r="AJ425" s="43"/>
      <c r="AK425" s="43"/>
      <c r="AL425" s="43"/>
      <c r="AM425" s="43"/>
      <c r="AN425" s="42"/>
      <c r="AO425" s="42"/>
      <c r="AP425" s="42"/>
      <c r="AQ425" s="43"/>
      <c r="AR425" s="42"/>
      <c r="AS425" s="42" t="s">
        <v>552</v>
      </c>
    </row>
    <row r="426" spans="1:45" ht="15" customHeight="1">
      <c r="A426" s="20" t="s">
        <v>258</v>
      </c>
      <c r="B426" s="21" t="s">
        <v>46</v>
      </c>
      <c r="C426" s="22" t="s">
        <v>188</v>
      </c>
      <c r="D426" s="22" t="s">
        <v>48</v>
      </c>
      <c r="E426" s="23" t="s">
        <v>431</v>
      </c>
      <c r="F426" s="20" t="s">
        <v>432</v>
      </c>
      <c r="G426" s="47" t="s">
        <v>77</v>
      </c>
      <c r="H426" s="25" t="s">
        <v>632</v>
      </c>
      <c r="I426" s="24" t="s">
        <v>479</v>
      </c>
      <c r="J426" s="47" t="s">
        <v>626</v>
      </c>
      <c r="K426" s="26" t="s">
        <v>627</v>
      </c>
      <c r="L426" s="48" t="s">
        <v>628</v>
      </c>
      <c r="M426" s="49">
        <v>44835</v>
      </c>
      <c r="N426" s="49" t="s">
        <v>177</v>
      </c>
      <c r="O426" s="50">
        <v>2900</v>
      </c>
      <c r="P426" s="51">
        <v>13</v>
      </c>
      <c r="Q426" s="51">
        <f t="shared" si="15"/>
        <v>37700</v>
      </c>
      <c r="R426" s="31">
        <v>202310</v>
      </c>
      <c r="S426" s="109" t="s">
        <v>642</v>
      </c>
      <c r="T426" s="109"/>
      <c r="U426" s="109"/>
      <c r="V426" s="109"/>
      <c r="W426" s="52"/>
      <c r="X426" s="52"/>
      <c r="Y426" s="36"/>
      <c r="Z426" s="36"/>
      <c r="AA426" s="36"/>
      <c r="AB426" s="36"/>
      <c r="AC426" s="36"/>
      <c r="AD426" s="36"/>
      <c r="AE426" s="36"/>
      <c r="AF426" s="40" t="s">
        <v>484</v>
      </c>
      <c r="AG426" s="42"/>
      <c r="AH426" s="42"/>
      <c r="AI426" s="43"/>
      <c r="AJ426" s="43"/>
      <c r="AK426" s="43"/>
      <c r="AL426" s="43"/>
      <c r="AM426" s="43"/>
      <c r="AN426" s="42"/>
      <c r="AO426" s="42"/>
      <c r="AP426" s="42"/>
      <c r="AQ426" s="43"/>
      <c r="AR426" s="42"/>
      <c r="AS426" s="42" t="s">
        <v>552</v>
      </c>
    </row>
    <row r="427" spans="1:45" ht="15" customHeight="1">
      <c r="A427" s="20" t="s">
        <v>258</v>
      </c>
      <c r="B427" s="21" t="s">
        <v>46</v>
      </c>
      <c r="C427" s="22" t="s">
        <v>188</v>
      </c>
      <c r="D427" s="22" t="s">
        <v>48</v>
      </c>
      <c r="E427" s="23" t="s">
        <v>431</v>
      </c>
      <c r="F427" s="20" t="s">
        <v>432</v>
      </c>
      <c r="G427" s="47" t="s">
        <v>77</v>
      </c>
      <c r="H427" s="25" t="s">
        <v>632</v>
      </c>
      <c r="I427" s="24" t="s">
        <v>479</v>
      </c>
      <c r="J427" s="47" t="s">
        <v>626</v>
      </c>
      <c r="K427" s="26" t="s">
        <v>627</v>
      </c>
      <c r="L427" s="48" t="s">
        <v>628</v>
      </c>
      <c r="M427" s="49">
        <v>44835</v>
      </c>
      <c r="N427" s="49" t="s">
        <v>177</v>
      </c>
      <c r="O427" s="50">
        <v>2900</v>
      </c>
      <c r="P427" s="51">
        <v>5</v>
      </c>
      <c r="Q427" s="51">
        <f t="shared" si="15"/>
        <v>14500</v>
      </c>
      <c r="R427" s="31">
        <v>202310</v>
      </c>
      <c r="S427" s="109" t="s">
        <v>643</v>
      </c>
      <c r="T427" s="109"/>
      <c r="U427" s="109"/>
      <c r="V427" s="109"/>
      <c r="W427" s="52"/>
      <c r="X427" s="52"/>
      <c r="Y427" s="36"/>
      <c r="Z427" s="36"/>
      <c r="AA427" s="36"/>
      <c r="AB427" s="36"/>
      <c r="AC427" s="36"/>
      <c r="AD427" s="36"/>
      <c r="AE427" s="36"/>
      <c r="AF427" s="40" t="s">
        <v>484</v>
      </c>
      <c r="AG427" s="42"/>
      <c r="AH427" s="42"/>
      <c r="AI427" s="43"/>
      <c r="AJ427" s="43"/>
      <c r="AK427" s="43"/>
      <c r="AL427" s="43"/>
      <c r="AM427" s="43"/>
      <c r="AN427" s="42"/>
      <c r="AO427" s="42"/>
      <c r="AP427" s="42"/>
      <c r="AQ427" s="43"/>
      <c r="AR427" s="42"/>
      <c r="AS427" s="42" t="s">
        <v>552</v>
      </c>
    </row>
    <row r="428" spans="1:45" ht="15" customHeight="1">
      <c r="A428" s="20" t="s">
        <v>258</v>
      </c>
      <c r="B428" s="21" t="s">
        <v>46</v>
      </c>
      <c r="C428" s="22" t="s">
        <v>188</v>
      </c>
      <c r="D428" s="22" t="s">
        <v>48</v>
      </c>
      <c r="E428" s="23" t="s">
        <v>431</v>
      </c>
      <c r="F428" s="20" t="s">
        <v>432</v>
      </c>
      <c r="G428" s="47" t="s">
        <v>165</v>
      </c>
      <c r="H428" s="25" t="s">
        <v>632</v>
      </c>
      <c r="I428" s="24" t="s">
        <v>491</v>
      </c>
      <c r="J428" s="47" t="s">
        <v>626</v>
      </c>
      <c r="K428" s="26" t="s">
        <v>627</v>
      </c>
      <c r="L428" s="48" t="s">
        <v>628</v>
      </c>
      <c r="M428" s="49">
        <v>44835</v>
      </c>
      <c r="N428" s="49"/>
      <c r="O428" s="50">
        <v>0</v>
      </c>
      <c r="P428" s="51">
        <v>256</v>
      </c>
      <c r="Q428" s="51">
        <f t="shared" si="15"/>
        <v>0</v>
      </c>
      <c r="R428" s="31">
        <v>202310</v>
      </c>
      <c r="S428" s="109" t="s">
        <v>644</v>
      </c>
      <c r="T428" s="109"/>
      <c r="U428" s="109"/>
      <c r="V428" s="109"/>
      <c r="W428" s="52"/>
      <c r="X428" s="52"/>
      <c r="Y428" s="36"/>
      <c r="Z428" s="36"/>
      <c r="AA428" s="36"/>
      <c r="AB428" s="36"/>
      <c r="AC428" s="36"/>
      <c r="AD428" s="36"/>
      <c r="AE428" s="36"/>
      <c r="AF428" s="40" t="s">
        <v>484</v>
      </c>
      <c r="AG428" s="42"/>
      <c r="AH428" s="42"/>
      <c r="AI428" s="43"/>
      <c r="AJ428" s="43"/>
      <c r="AK428" s="43"/>
      <c r="AL428" s="43"/>
      <c r="AM428" s="43"/>
      <c r="AN428" s="42"/>
      <c r="AO428" s="42"/>
      <c r="AP428" s="42"/>
      <c r="AQ428" s="43"/>
      <c r="AR428" s="42"/>
      <c r="AS428" s="42" t="s">
        <v>552</v>
      </c>
    </row>
    <row r="429" spans="1:45" ht="15" customHeight="1">
      <c r="A429" s="20" t="s">
        <v>258</v>
      </c>
      <c r="B429" s="21" t="s">
        <v>46</v>
      </c>
      <c r="C429" s="22" t="s">
        <v>188</v>
      </c>
      <c r="D429" s="22" t="s">
        <v>48</v>
      </c>
      <c r="E429" s="23" t="s">
        <v>431</v>
      </c>
      <c r="F429" s="20" t="s">
        <v>432</v>
      </c>
      <c r="G429" s="47" t="s">
        <v>165</v>
      </c>
      <c r="H429" s="25" t="s">
        <v>632</v>
      </c>
      <c r="I429" s="24" t="s">
        <v>491</v>
      </c>
      <c r="J429" s="47" t="s">
        <v>626</v>
      </c>
      <c r="K429" s="26" t="s">
        <v>627</v>
      </c>
      <c r="L429" s="48" t="s">
        <v>628</v>
      </c>
      <c r="M429" s="49">
        <v>44835</v>
      </c>
      <c r="N429" s="49"/>
      <c r="O429" s="50">
        <v>35</v>
      </c>
      <c r="P429" s="51">
        <v>32</v>
      </c>
      <c r="Q429" s="51">
        <f t="shared" si="15"/>
        <v>1120</v>
      </c>
      <c r="R429" s="31">
        <v>202310</v>
      </c>
      <c r="S429" s="109" t="s">
        <v>644</v>
      </c>
      <c r="T429" s="109"/>
      <c r="U429" s="109"/>
      <c r="V429" s="109"/>
      <c r="W429" s="52"/>
      <c r="X429" s="52"/>
      <c r="Y429" s="36"/>
      <c r="Z429" s="36"/>
      <c r="AA429" s="36"/>
      <c r="AB429" s="36"/>
      <c r="AC429" s="36"/>
      <c r="AD429" s="36"/>
      <c r="AE429" s="36"/>
      <c r="AF429" s="40" t="s">
        <v>484</v>
      </c>
      <c r="AG429" s="42"/>
      <c r="AH429" s="42"/>
      <c r="AI429" s="43"/>
      <c r="AJ429" s="43"/>
      <c r="AK429" s="43"/>
      <c r="AL429" s="43"/>
      <c r="AM429" s="43"/>
      <c r="AN429" s="42"/>
      <c r="AO429" s="42"/>
      <c r="AP429" s="42"/>
      <c r="AQ429" s="43"/>
      <c r="AR429" s="42"/>
      <c r="AS429" s="42" t="s">
        <v>552</v>
      </c>
    </row>
    <row r="430" spans="1:45" ht="15" customHeight="1">
      <c r="A430" s="20" t="s">
        <v>258</v>
      </c>
      <c r="B430" s="21" t="s">
        <v>46</v>
      </c>
      <c r="C430" s="22" t="s">
        <v>188</v>
      </c>
      <c r="D430" s="22" t="s">
        <v>48</v>
      </c>
      <c r="E430" s="23" t="s">
        <v>431</v>
      </c>
      <c r="F430" s="20" t="s">
        <v>432</v>
      </c>
      <c r="G430" s="47" t="s">
        <v>165</v>
      </c>
      <c r="H430" s="25" t="s">
        <v>632</v>
      </c>
      <c r="I430" s="24" t="s">
        <v>491</v>
      </c>
      <c r="J430" s="47" t="s">
        <v>626</v>
      </c>
      <c r="K430" s="26" t="s">
        <v>627</v>
      </c>
      <c r="L430" s="48" t="s">
        <v>628</v>
      </c>
      <c r="M430" s="49">
        <v>45086</v>
      </c>
      <c r="N430" s="49"/>
      <c r="O430" s="50">
        <v>35</v>
      </c>
      <c r="P430" s="51">
        <v>16</v>
      </c>
      <c r="Q430" s="51">
        <f>ROUND(O430*P430,2)</f>
        <v>560</v>
      </c>
      <c r="R430" s="31">
        <v>202310</v>
      </c>
      <c r="S430" s="109" t="s">
        <v>645</v>
      </c>
      <c r="T430" s="109"/>
      <c r="U430" s="109"/>
      <c r="V430" s="109"/>
      <c r="W430" s="52"/>
      <c r="X430" s="52"/>
      <c r="Y430" s="36"/>
      <c r="Z430" s="36"/>
      <c r="AA430" s="36"/>
      <c r="AB430" s="36"/>
      <c r="AC430" s="36"/>
      <c r="AD430" s="36"/>
      <c r="AE430" s="36"/>
      <c r="AF430" s="40" t="s">
        <v>484</v>
      </c>
      <c r="AG430" s="42"/>
      <c r="AH430" s="42"/>
      <c r="AI430" s="43"/>
      <c r="AJ430" s="43"/>
      <c r="AK430" s="43"/>
      <c r="AL430" s="43"/>
      <c r="AM430" s="43"/>
      <c r="AN430" s="42"/>
      <c r="AO430" s="42"/>
      <c r="AP430" s="42"/>
      <c r="AQ430" s="43"/>
      <c r="AR430" s="42"/>
      <c r="AS430" s="42" t="s">
        <v>552</v>
      </c>
    </row>
    <row r="431" spans="1:45" ht="15" customHeight="1">
      <c r="A431" s="20" t="s">
        <v>258</v>
      </c>
      <c r="B431" s="21" t="s">
        <v>46</v>
      </c>
      <c r="C431" s="22" t="s">
        <v>188</v>
      </c>
      <c r="D431" s="22" t="s">
        <v>48</v>
      </c>
      <c r="E431" s="23" t="s">
        <v>431</v>
      </c>
      <c r="F431" s="20" t="s">
        <v>432</v>
      </c>
      <c r="G431" s="47" t="s">
        <v>165</v>
      </c>
      <c r="H431" s="25" t="s">
        <v>632</v>
      </c>
      <c r="I431" s="24" t="s">
        <v>491</v>
      </c>
      <c r="J431" s="47" t="s">
        <v>626</v>
      </c>
      <c r="K431" s="26" t="s">
        <v>627</v>
      </c>
      <c r="L431" s="48" t="s">
        <v>628</v>
      </c>
      <c r="M431" s="49">
        <v>45108</v>
      </c>
      <c r="N431" s="49" t="s">
        <v>646</v>
      </c>
      <c r="O431" s="50">
        <v>0</v>
      </c>
      <c r="P431" s="51">
        <v>0</v>
      </c>
      <c r="Q431" s="51">
        <f>ROUND(O431*P431,2)</f>
        <v>0</v>
      </c>
      <c r="R431" s="31">
        <v>202310</v>
      </c>
      <c r="S431" s="109" t="s">
        <v>647</v>
      </c>
      <c r="T431" s="109"/>
      <c r="U431" s="109"/>
      <c r="V431" s="109"/>
      <c r="W431" s="52"/>
      <c r="X431" s="52"/>
      <c r="Y431" s="36"/>
      <c r="Z431" s="36"/>
      <c r="AA431" s="36"/>
      <c r="AB431" s="36"/>
      <c r="AC431" s="36"/>
      <c r="AD431" s="36"/>
      <c r="AE431" s="36"/>
      <c r="AF431" s="40" t="s">
        <v>484</v>
      </c>
      <c r="AG431" s="42"/>
      <c r="AH431" s="42"/>
      <c r="AI431" s="43"/>
      <c r="AJ431" s="43"/>
      <c r="AK431" s="43"/>
      <c r="AL431" s="43"/>
      <c r="AM431" s="43"/>
      <c r="AN431" s="42"/>
      <c r="AO431" s="42"/>
      <c r="AP431" s="42"/>
      <c r="AQ431" s="43"/>
      <c r="AR431" s="42"/>
      <c r="AS431" s="42" t="s">
        <v>552</v>
      </c>
    </row>
    <row r="432" spans="1:45" ht="15" customHeight="1">
      <c r="A432" s="20" t="s">
        <v>258</v>
      </c>
      <c r="B432" s="21" t="s">
        <v>46</v>
      </c>
      <c r="C432" s="22" t="s">
        <v>188</v>
      </c>
      <c r="D432" s="22" t="s">
        <v>48</v>
      </c>
      <c r="E432" s="23" t="s">
        <v>431</v>
      </c>
      <c r="F432" s="20" t="s">
        <v>432</v>
      </c>
      <c r="G432" s="47" t="s">
        <v>77</v>
      </c>
      <c r="H432" s="45" t="s">
        <v>648</v>
      </c>
      <c r="I432" s="24" t="s">
        <v>479</v>
      </c>
      <c r="J432" s="47" t="s">
        <v>649</v>
      </c>
      <c r="K432" s="26" t="s">
        <v>650</v>
      </c>
      <c r="L432" s="48" t="s">
        <v>651</v>
      </c>
      <c r="M432" s="49">
        <v>45026</v>
      </c>
      <c r="N432" s="49" t="s">
        <v>182</v>
      </c>
      <c r="O432" s="50">
        <v>0</v>
      </c>
      <c r="P432" s="51">
        <v>1</v>
      </c>
      <c r="Q432" s="51">
        <f t="shared" si="15"/>
        <v>0</v>
      </c>
      <c r="R432" s="31">
        <v>202310</v>
      </c>
      <c r="S432" s="108" t="s">
        <v>652</v>
      </c>
      <c r="T432" s="108"/>
      <c r="U432" s="108"/>
      <c r="V432" s="108"/>
      <c r="W432" s="52"/>
      <c r="X432" s="52"/>
      <c r="Y432" s="36"/>
      <c r="Z432" s="36"/>
      <c r="AA432" s="36"/>
      <c r="AB432" s="36"/>
      <c r="AC432" s="36"/>
      <c r="AD432" s="36"/>
      <c r="AE432" s="36"/>
      <c r="AF432" s="40" t="s">
        <v>484</v>
      </c>
      <c r="AG432" s="42"/>
      <c r="AH432" s="42"/>
      <c r="AI432" s="43"/>
      <c r="AJ432" s="43"/>
      <c r="AK432" s="43"/>
      <c r="AL432" s="43"/>
      <c r="AM432" s="43"/>
      <c r="AN432" s="42"/>
      <c r="AO432" s="42"/>
      <c r="AP432" s="42"/>
      <c r="AQ432" s="43"/>
      <c r="AR432" s="42"/>
      <c r="AS432" s="42" t="s">
        <v>552</v>
      </c>
    </row>
    <row r="433" spans="1:45" ht="15" customHeight="1">
      <c r="A433" s="20" t="s">
        <v>258</v>
      </c>
      <c r="B433" s="21" t="s">
        <v>46</v>
      </c>
      <c r="C433" s="22" t="s">
        <v>188</v>
      </c>
      <c r="D433" s="22" t="s">
        <v>48</v>
      </c>
      <c r="E433" s="23" t="s">
        <v>431</v>
      </c>
      <c r="F433" s="20" t="s">
        <v>432</v>
      </c>
      <c r="G433" s="47" t="s">
        <v>165</v>
      </c>
      <c r="H433" s="45" t="s">
        <v>648</v>
      </c>
      <c r="I433" s="24" t="s">
        <v>491</v>
      </c>
      <c r="J433" s="47" t="s">
        <v>649</v>
      </c>
      <c r="K433" s="26" t="s">
        <v>650</v>
      </c>
      <c r="L433" s="48" t="s">
        <v>651</v>
      </c>
      <c r="M433" s="49">
        <v>45026</v>
      </c>
      <c r="N433" s="49" t="s">
        <v>653</v>
      </c>
      <c r="O433" s="50">
        <v>0</v>
      </c>
      <c r="P433" s="51">
        <v>80</v>
      </c>
      <c r="Q433" s="51">
        <f t="shared" si="15"/>
        <v>0</v>
      </c>
      <c r="R433" s="31">
        <v>202310</v>
      </c>
      <c r="S433" s="114" t="s">
        <v>654</v>
      </c>
      <c r="T433" s="109"/>
      <c r="U433" s="109"/>
      <c r="V433" s="109"/>
      <c r="W433" s="52"/>
      <c r="X433" s="52"/>
      <c r="Y433" s="36"/>
      <c r="Z433" s="36"/>
      <c r="AA433" s="36"/>
      <c r="AB433" s="36"/>
      <c r="AC433" s="36"/>
      <c r="AD433" s="36"/>
      <c r="AE433" s="36"/>
      <c r="AF433" s="40" t="s">
        <v>484</v>
      </c>
      <c r="AG433" s="42"/>
      <c r="AH433" s="42"/>
      <c r="AI433" s="43"/>
      <c r="AJ433" s="43"/>
      <c r="AK433" s="43"/>
      <c r="AL433" s="43"/>
      <c r="AM433" s="43"/>
      <c r="AN433" s="42"/>
      <c r="AO433" s="42"/>
      <c r="AP433" s="42"/>
      <c r="AQ433" s="43"/>
      <c r="AR433" s="42"/>
      <c r="AS433" s="42" t="s">
        <v>552</v>
      </c>
    </row>
    <row r="434" spans="1:45" ht="15" customHeight="1">
      <c r="A434" s="20" t="s">
        <v>258</v>
      </c>
      <c r="B434" s="21" t="s">
        <v>46</v>
      </c>
      <c r="C434" s="22" t="s">
        <v>188</v>
      </c>
      <c r="D434" s="22" t="s">
        <v>48</v>
      </c>
      <c r="E434" s="23" t="s">
        <v>431</v>
      </c>
      <c r="F434" s="20" t="s">
        <v>432</v>
      </c>
      <c r="G434" s="47" t="s">
        <v>165</v>
      </c>
      <c r="H434" s="45" t="s">
        <v>648</v>
      </c>
      <c r="I434" s="24" t="s">
        <v>491</v>
      </c>
      <c r="J434" s="47" t="s">
        <v>649</v>
      </c>
      <c r="K434" s="26" t="s">
        <v>650</v>
      </c>
      <c r="L434" s="48" t="s">
        <v>651</v>
      </c>
      <c r="M434" s="49">
        <v>45167</v>
      </c>
      <c r="N434" s="49" t="s">
        <v>653</v>
      </c>
      <c r="O434" s="50">
        <v>0</v>
      </c>
      <c r="P434" s="51">
        <v>48</v>
      </c>
      <c r="Q434" s="51">
        <f t="shared" si="15"/>
        <v>0</v>
      </c>
      <c r="R434" s="31">
        <v>202310</v>
      </c>
      <c r="S434" s="114" t="s">
        <v>655</v>
      </c>
      <c r="T434" s="109"/>
      <c r="U434" s="109"/>
      <c r="V434" s="109"/>
      <c r="W434" s="52"/>
      <c r="X434" s="52"/>
      <c r="Y434" s="36"/>
      <c r="Z434" s="36"/>
      <c r="AA434" s="36"/>
      <c r="AB434" s="36"/>
      <c r="AC434" s="36"/>
      <c r="AD434" s="36"/>
      <c r="AE434" s="36"/>
      <c r="AF434" s="40" t="s">
        <v>484</v>
      </c>
      <c r="AG434" s="42"/>
      <c r="AH434" s="42"/>
      <c r="AI434" s="43"/>
      <c r="AJ434" s="43"/>
      <c r="AK434" s="43"/>
      <c r="AL434" s="43"/>
      <c r="AM434" s="43"/>
      <c r="AN434" s="42"/>
      <c r="AO434" s="42"/>
      <c r="AP434" s="42"/>
      <c r="AQ434" s="43"/>
      <c r="AR434" s="42"/>
      <c r="AS434" s="42" t="s">
        <v>552</v>
      </c>
    </row>
    <row r="435" spans="1:45" ht="15" customHeight="1">
      <c r="A435" s="20" t="s">
        <v>258</v>
      </c>
      <c r="B435" s="21" t="s">
        <v>46</v>
      </c>
      <c r="C435" s="22" t="s">
        <v>188</v>
      </c>
      <c r="D435" s="22" t="s">
        <v>48</v>
      </c>
      <c r="E435" s="23" t="s">
        <v>431</v>
      </c>
      <c r="F435" s="20" t="s">
        <v>432</v>
      </c>
      <c r="G435" s="47" t="s">
        <v>165</v>
      </c>
      <c r="H435" s="45" t="s">
        <v>648</v>
      </c>
      <c r="I435" s="24" t="s">
        <v>491</v>
      </c>
      <c r="J435" s="47" t="s">
        <v>649</v>
      </c>
      <c r="K435" s="26" t="s">
        <v>650</v>
      </c>
      <c r="L435" s="48" t="s">
        <v>651</v>
      </c>
      <c r="M435" s="49">
        <v>45026</v>
      </c>
      <c r="N435" s="49" t="s">
        <v>656</v>
      </c>
      <c r="O435" s="50">
        <v>0</v>
      </c>
      <c r="P435" s="51">
        <v>0</v>
      </c>
      <c r="Q435" s="51">
        <f t="shared" si="15"/>
        <v>0</v>
      </c>
      <c r="R435" s="31">
        <v>202310</v>
      </c>
      <c r="S435" s="108" t="s">
        <v>657</v>
      </c>
      <c r="T435" s="109"/>
      <c r="U435" s="109"/>
      <c r="V435" s="109"/>
      <c r="W435" s="52"/>
      <c r="X435" s="52"/>
      <c r="Y435" s="36"/>
      <c r="Z435" s="36"/>
      <c r="AA435" s="36"/>
      <c r="AB435" s="36"/>
      <c r="AC435" s="36"/>
      <c r="AD435" s="36"/>
      <c r="AE435" s="36"/>
      <c r="AF435" s="40" t="s">
        <v>484</v>
      </c>
      <c r="AG435" s="42"/>
      <c r="AH435" s="42"/>
      <c r="AI435" s="43"/>
      <c r="AJ435" s="43"/>
      <c r="AK435" s="43"/>
      <c r="AL435" s="43"/>
      <c r="AM435" s="43"/>
      <c r="AN435" s="42"/>
      <c r="AO435" s="42"/>
      <c r="AP435" s="42"/>
      <c r="AQ435" s="43"/>
      <c r="AR435" s="42"/>
      <c r="AS435" s="42" t="s">
        <v>552</v>
      </c>
    </row>
    <row r="436" spans="1:45" ht="15" customHeight="1">
      <c r="A436" s="21" t="s">
        <v>57</v>
      </c>
      <c r="B436" s="22" t="s">
        <v>83</v>
      </c>
      <c r="C436" s="21" t="s">
        <v>47</v>
      </c>
      <c r="D436" s="22" t="s">
        <v>59</v>
      </c>
      <c r="E436" s="80" t="s">
        <v>658</v>
      </c>
      <c r="F436" s="65" t="s">
        <v>659</v>
      </c>
      <c r="G436" s="101" t="s">
        <v>77</v>
      </c>
      <c r="H436" s="25" t="s">
        <v>660</v>
      </c>
      <c r="I436" s="24" t="s">
        <v>78</v>
      </c>
      <c r="J436" s="47"/>
      <c r="K436" s="104"/>
      <c r="L436" s="48" t="s">
        <v>661</v>
      </c>
      <c r="M436" s="27">
        <v>44311</v>
      </c>
      <c r="N436" s="49" t="s">
        <v>177</v>
      </c>
      <c r="O436" s="61">
        <v>6500</v>
      </c>
      <c r="P436" s="106">
        <v>3</v>
      </c>
      <c r="Q436" s="51">
        <f t="shared" si="15"/>
        <v>19500</v>
      </c>
      <c r="R436" s="31">
        <v>202310</v>
      </c>
      <c r="S436" s="54" t="s">
        <v>662</v>
      </c>
      <c r="T436" s="54"/>
      <c r="U436" s="54"/>
      <c r="V436" s="54"/>
      <c r="W436" s="67"/>
      <c r="X436" s="67"/>
      <c r="Y436" s="36"/>
      <c r="Z436" s="36"/>
      <c r="AA436" s="36"/>
      <c r="AB436" s="36"/>
      <c r="AC436" s="36"/>
      <c r="AD436" s="36"/>
      <c r="AE436" s="36"/>
      <c r="AF436" s="53" t="s">
        <v>68</v>
      </c>
      <c r="AG436" s="42"/>
      <c r="AH436" s="42"/>
      <c r="AI436" s="43"/>
      <c r="AJ436" s="43"/>
      <c r="AK436" s="43"/>
      <c r="AL436" s="43"/>
      <c r="AM436" s="43"/>
      <c r="AN436" s="42"/>
      <c r="AO436" s="42"/>
      <c r="AP436" s="42"/>
      <c r="AQ436" s="43"/>
      <c r="AR436" s="42"/>
      <c r="AS436" s="42"/>
    </row>
    <row r="437" spans="1:45" ht="15" customHeight="1">
      <c r="A437" s="21" t="s">
        <v>57</v>
      </c>
      <c r="B437" s="22" t="s">
        <v>83</v>
      </c>
      <c r="C437" s="21" t="s">
        <v>47</v>
      </c>
      <c r="D437" s="22" t="s">
        <v>59</v>
      </c>
      <c r="E437" s="80" t="s">
        <v>658</v>
      </c>
      <c r="F437" s="65" t="s">
        <v>659</v>
      </c>
      <c r="G437" s="101" t="s">
        <v>77</v>
      </c>
      <c r="H437" s="25" t="s">
        <v>660</v>
      </c>
      <c r="I437" s="24" t="s">
        <v>78</v>
      </c>
      <c r="J437" s="47"/>
      <c r="K437" s="104"/>
      <c r="L437" s="48" t="s">
        <v>661</v>
      </c>
      <c r="M437" s="27">
        <v>44315</v>
      </c>
      <c r="N437" s="49" t="s">
        <v>291</v>
      </c>
      <c r="O437" s="61">
        <v>9000</v>
      </c>
      <c r="P437" s="106">
        <v>2</v>
      </c>
      <c r="Q437" s="51">
        <f t="shared" si="15"/>
        <v>18000</v>
      </c>
      <c r="R437" s="31">
        <v>202310</v>
      </c>
      <c r="S437" s="54" t="s">
        <v>663</v>
      </c>
      <c r="T437" s="54"/>
      <c r="U437" s="54"/>
      <c r="V437" s="54"/>
      <c r="W437" s="67"/>
      <c r="X437" s="67"/>
      <c r="Y437" s="36"/>
      <c r="Z437" s="36"/>
      <c r="AA437" s="36"/>
      <c r="AB437" s="36"/>
      <c r="AC437" s="36"/>
      <c r="AD437" s="36"/>
      <c r="AE437" s="36"/>
      <c r="AF437" s="53" t="s">
        <v>68</v>
      </c>
      <c r="AG437" s="42"/>
      <c r="AH437" s="42"/>
      <c r="AI437" s="43"/>
      <c r="AJ437" s="43"/>
      <c r="AK437" s="43"/>
      <c r="AL437" s="43"/>
      <c r="AM437" s="43"/>
      <c r="AN437" s="42"/>
      <c r="AO437" s="42"/>
      <c r="AP437" s="42"/>
      <c r="AQ437" s="43"/>
      <c r="AR437" s="42"/>
      <c r="AS437" s="42"/>
    </row>
    <row r="438" spans="1:45" ht="15" customHeight="1">
      <c r="A438" s="21" t="s">
        <v>57</v>
      </c>
      <c r="B438" s="22" t="s">
        <v>83</v>
      </c>
      <c r="C438" s="21" t="s">
        <v>47</v>
      </c>
      <c r="D438" s="22" t="s">
        <v>59</v>
      </c>
      <c r="E438" s="80" t="s">
        <v>658</v>
      </c>
      <c r="F438" s="65" t="s">
        <v>659</v>
      </c>
      <c r="G438" s="101" t="s">
        <v>62</v>
      </c>
      <c r="H438" s="25" t="s">
        <v>660</v>
      </c>
      <c r="I438" s="24" t="s">
        <v>64</v>
      </c>
      <c r="J438" s="47" t="s">
        <v>664</v>
      </c>
      <c r="K438" s="104"/>
      <c r="L438" s="48"/>
      <c r="M438" s="27">
        <v>44313</v>
      </c>
      <c r="N438" s="49" t="s">
        <v>66</v>
      </c>
      <c r="O438" s="61">
        <v>250</v>
      </c>
      <c r="P438" s="29">
        <v>1</v>
      </c>
      <c r="Q438" s="51">
        <f t="shared" si="15"/>
        <v>250</v>
      </c>
      <c r="R438" s="31">
        <v>202310</v>
      </c>
      <c r="S438" s="54" t="s">
        <v>665</v>
      </c>
      <c r="T438" s="54"/>
      <c r="U438" s="54"/>
      <c r="V438" s="54"/>
      <c r="W438" s="67"/>
      <c r="X438" s="67"/>
      <c r="Y438" s="36"/>
      <c r="Z438" s="36"/>
      <c r="AA438" s="36"/>
      <c r="AB438" s="36"/>
      <c r="AC438" s="36"/>
      <c r="AD438" s="36"/>
      <c r="AE438" s="36"/>
      <c r="AF438" s="53" t="s">
        <v>68</v>
      </c>
      <c r="AG438" s="42"/>
      <c r="AH438" s="42"/>
      <c r="AI438" s="43"/>
      <c r="AJ438" s="43"/>
      <c r="AK438" s="43"/>
      <c r="AL438" s="43"/>
      <c r="AM438" s="43"/>
      <c r="AN438" s="42"/>
      <c r="AO438" s="42"/>
      <c r="AP438" s="42"/>
      <c r="AQ438" s="43"/>
      <c r="AR438" s="42"/>
      <c r="AS438" s="42"/>
    </row>
    <row r="439" spans="1:45" ht="15" customHeight="1">
      <c r="A439" s="21" t="s">
        <v>57</v>
      </c>
      <c r="B439" s="22" t="s">
        <v>83</v>
      </c>
      <c r="C439" s="21" t="s">
        <v>47</v>
      </c>
      <c r="D439" s="22" t="s">
        <v>59</v>
      </c>
      <c r="E439" s="80" t="s">
        <v>658</v>
      </c>
      <c r="F439" s="65" t="s">
        <v>659</v>
      </c>
      <c r="G439" s="101" t="s">
        <v>62</v>
      </c>
      <c r="H439" s="25" t="s">
        <v>660</v>
      </c>
      <c r="I439" s="24" t="s">
        <v>64</v>
      </c>
      <c r="J439" s="47" t="s">
        <v>666</v>
      </c>
      <c r="K439" s="104"/>
      <c r="L439" s="48"/>
      <c r="M439" s="27">
        <v>44313</v>
      </c>
      <c r="N439" s="49" t="s">
        <v>66</v>
      </c>
      <c r="O439" s="61">
        <v>250</v>
      </c>
      <c r="P439" s="29">
        <v>1</v>
      </c>
      <c r="Q439" s="51">
        <f t="shared" si="15"/>
        <v>250</v>
      </c>
      <c r="R439" s="31">
        <v>202310</v>
      </c>
      <c r="S439" s="54" t="s">
        <v>667</v>
      </c>
      <c r="T439" s="54"/>
      <c r="U439" s="54"/>
      <c r="V439" s="54"/>
      <c r="W439" s="67"/>
      <c r="X439" s="67"/>
      <c r="Y439" s="36"/>
      <c r="Z439" s="36"/>
      <c r="AA439" s="36"/>
      <c r="AB439" s="36"/>
      <c r="AC439" s="36"/>
      <c r="AD439" s="36"/>
      <c r="AE439" s="36"/>
      <c r="AF439" s="53" t="s">
        <v>68</v>
      </c>
      <c r="AG439" s="42"/>
      <c r="AH439" s="42"/>
      <c r="AI439" s="43"/>
      <c r="AJ439" s="43"/>
      <c r="AK439" s="43"/>
      <c r="AL439" s="43"/>
      <c r="AM439" s="43"/>
      <c r="AN439" s="42"/>
      <c r="AO439" s="42"/>
      <c r="AP439" s="42"/>
      <c r="AQ439" s="43"/>
      <c r="AR439" s="42"/>
      <c r="AS439" s="42"/>
    </row>
    <row r="440" spans="1:45" ht="15" customHeight="1">
      <c r="A440" s="21" t="s">
        <v>57</v>
      </c>
      <c r="B440" s="22" t="s">
        <v>83</v>
      </c>
      <c r="C440" s="21" t="s">
        <v>47</v>
      </c>
      <c r="D440" s="22" t="s">
        <v>59</v>
      </c>
      <c r="E440" s="80" t="s">
        <v>658</v>
      </c>
      <c r="F440" s="65" t="s">
        <v>659</v>
      </c>
      <c r="G440" s="101" t="s">
        <v>62</v>
      </c>
      <c r="H440" s="25" t="s">
        <v>660</v>
      </c>
      <c r="I440" s="24" t="s">
        <v>64</v>
      </c>
      <c r="J440" s="47" t="s">
        <v>668</v>
      </c>
      <c r="K440" s="104"/>
      <c r="L440" s="48"/>
      <c r="M440" s="27">
        <v>44330</v>
      </c>
      <c r="N440" s="49" t="s">
        <v>66</v>
      </c>
      <c r="O440" s="61">
        <v>250</v>
      </c>
      <c r="P440" s="29">
        <v>10</v>
      </c>
      <c r="Q440" s="51">
        <f t="shared" si="15"/>
        <v>2500</v>
      </c>
      <c r="R440" s="31">
        <v>202310</v>
      </c>
      <c r="S440" s="54" t="s">
        <v>669</v>
      </c>
      <c r="T440" s="54"/>
      <c r="U440" s="54"/>
      <c r="V440" s="54"/>
      <c r="W440" s="67"/>
      <c r="X440" s="67"/>
      <c r="Y440" s="36"/>
      <c r="Z440" s="36"/>
      <c r="AA440" s="36"/>
      <c r="AB440" s="36"/>
      <c r="AC440" s="36"/>
      <c r="AD440" s="36"/>
      <c r="AE440" s="36"/>
      <c r="AF440" s="53" t="s">
        <v>68</v>
      </c>
      <c r="AG440" s="42"/>
      <c r="AH440" s="42"/>
      <c r="AI440" s="43"/>
      <c r="AJ440" s="43"/>
      <c r="AK440" s="43"/>
      <c r="AL440" s="43"/>
      <c r="AM440" s="43"/>
      <c r="AN440" s="42"/>
      <c r="AO440" s="42"/>
      <c r="AP440" s="42"/>
      <c r="AQ440" s="43"/>
      <c r="AR440" s="42"/>
      <c r="AS440" s="42"/>
    </row>
    <row r="441" spans="1:45" ht="15" customHeight="1">
      <c r="A441" s="21" t="s">
        <v>57</v>
      </c>
      <c r="B441" s="22" t="s">
        <v>83</v>
      </c>
      <c r="C441" s="21" t="s">
        <v>47</v>
      </c>
      <c r="D441" s="22" t="s">
        <v>59</v>
      </c>
      <c r="E441" s="80" t="s">
        <v>658</v>
      </c>
      <c r="F441" s="65" t="s">
        <v>659</v>
      </c>
      <c r="G441" s="101" t="s">
        <v>62</v>
      </c>
      <c r="H441" s="25" t="s">
        <v>660</v>
      </c>
      <c r="I441" s="24" t="s">
        <v>64</v>
      </c>
      <c r="J441" s="47" t="s">
        <v>668</v>
      </c>
      <c r="K441" s="104"/>
      <c r="L441" s="48"/>
      <c r="M441" s="27">
        <v>44917</v>
      </c>
      <c r="N441" s="49" t="s">
        <v>66</v>
      </c>
      <c r="O441" s="61">
        <v>250</v>
      </c>
      <c r="P441" s="29">
        <v>-4</v>
      </c>
      <c r="Q441" s="51">
        <f t="shared" si="15"/>
        <v>-1000</v>
      </c>
      <c r="R441" s="31">
        <v>202310</v>
      </c>
      <c r="S441" s="54" t="s">
        <v>670</v>
      </c>
      <c r="T441" s="54"/>
      <c r="U441" s="54"/>
      <c r="V441" s="54"/>
      <c r="W441" s="67"/>
      <c r="X441" s="67"/>
      <c r="Y441" s="36"/>
      <c r="Z441" s="36"/>
      <c r="AA441" s="36"/>
      <c r="AB441" s="36"/>
      <c r="AC441" s="36"/>
      <c r="AD441" s="36"/>
      <c r="AE441" s="36"/>
      <c r="AF441" s="53" t="s">
        <v>68</v>
      </c>
      <c r="AG441" s="42"/>
      <c r="AH441" s="42"/>
      <c r="AI441" s="43"/>
      <c r="AJ441" s="43"/>
      <c r="AK441" s="43"/>
      <c r="AL441" s="43"/>
      <c r="AM441" s="43"/>
      <c r="AN441" s="42"/>
      <c r="AO441" s="42"/>
      <c r="AP441" s="42"/>
      <c r="AQ441" s="43"/>
      <c r="AR441" s="42"/>
      <c r="AS441" s="42"/>
    </row>
    <row r="442" spans="1:45" ht="15" customHeight="1">
      <c r="A442" s="21" t="s">
        <v>57</v>
      </c>
      <c r="B442" s="22" t="s">
        <v>83</v>
      </c>
      <c r="C442" s="21" t="s">
        <v>47</v>
      </c>
      <c r="D442" s="22" t="s">
        <v>59</v>
      </c>
      <c r="E442" s="80" t="s">
        <v>658</v>
      </c>
      <c r="F442" s="65" t="s">
        <v>659</v>
      </c>
      <c r="G442" s="101" t="s">
        <v>62</v>
      </c>
      <c r="H442" s="25" t="s">
        <v>660</v>
      </c>
      <c r="I442" s="24" t="s">
        <v>64</v>
      </c>
      <c r="J442" s="47" t="s">
        <v>671</v>
      </c>
      <c r="K442" s="104"/>
      <c r="L442" s="48"/>
      <c r="M442" s="27">
        <v>44389</v>
      </c>
      <c r="N442" s="49" t="s">
        <v>66</v>
      </c>
      <c r="O442" s="61">
        <v>250</v>
      </c>
      <c r="P442" s="29">
        <v>1</v>
      </c>
      <c r="Q442" s="51">
        <f t="shared" si="15"/>
        <v>250</v>
      </c>
      <c r="R442" s="31">
        <v>202310</v>
      </c>
      <c r="S442" s="54" t="s">
        <v>672</v>
      </c>
      <c r="T442" s="54"/>
      <c r="U442" s="54"/>
      <c r="V442" s="54"/>
      <c r="W442" s="67"/>
      <c r="X442" s="67"/>
      <c r="Y442" s="36"/>
      <c r="Z442" s="36"/>
      <c r="AA442" s="36"/>
      <c r="AB442" s="36"/>
      <c r="AC442" s="36"/>
      <c r="AD442" s="36"/>
      <c r="AE442" s="36"/>
      <c r="AF442" s="53" t="s">
        <v>68</v>
      </c>
      <c r="AG442" s="42"/>
      <c r="AH442" s="42"/>
      <c r="AI442" s="43"/>
      <c r="AJ442" s="43"/>
      <c r="AK442" s="43"/>
      <c r="AL442" s="43"/>
      <c r="AM442" s="43"/>
      <c r="AN442" s="42"/>
      <c r="AO442" s="42"/>
      <c r="AP442" s="42"/>
      <c r="AQ442" s="43"/>
      <c r="AR442" s="42"/>
      <c r="AS442" s="42"/>
    </row>
    <row r="443" spans="1:45" ht="15" customHeight="1">
      <c r="A443" s="21" t="s">
        <v>57</v>
      </c>
      <c r="B443" s="22" t="s">
        <v>83</v>
      </c>
      <c r="C443" s="21" t="s">
        <v>47</v>
      </c>
      <c r="D443" s="22" t="s">
        <v>59</v>
      </c>
      <c r="E443" s="80" t="s">
        <v>658</v>
      </c>
      <c r="F443" s="65" t="s">
        <v>659</v>
      </c>
      <c r="G443" s="101" t="s">
        <v>62</v>
      </c>
      <c r="H443" s="25" t="s">
        <v>660</v>
      </c>
      <c r="I443" s="24" t="s">
        <v>64</v>
      </c>
      <c r="J443" s="47" t="s">
        <v>671</v>
      </c>
      <c r="K443" s="104"/>
      <c r="L443" s="48"/>
      <c r="M443" s="27">
        <v>44917</v>
      </c>
      <c r="N443" s="49" t="s">
        <v>66</v>
      </c>
      <c r="O443" s="61">
        <v>250</v>
      </c>
      <c r="P443" s="29">
        <v>-1</v>
      </c>
      <c r="Q443" s="51">
        <f t="shared" si="15"/>
        <v>-250</v>
      </c>
      <c r="R443" s="31">
        <v>202310</v>
      </c>
      <c r="S443" s="54" t="s">
        <v>673</v>
      </c>
      <c r="T443" s="54"/>
      <c r="U443" s="54"/>
      <c r="V443" s="54"/>
      <c r="W443" s="67"/>
      <c r="X443" s="67"/>
      <c r="Y443" s="36"/>
      <c r="Z443" s="36"/>
      <c r="AA443" s="36"/>
      <c r="AB443" s="36"/>
      <c r="AC443" s="36"/>
      <c r="AD443" s="36"/>
      <c r="AE443" s="36"/>
      <c r="AF443" s="53" t="s">
        <v>68</v>
      </c>
      <c r="AG443" s="42"/>
      <c r="AH443" s="42"/>
      <c r="AI443" s="43"/>
      <c r="AJ443" s="43"/>
      <c r="AK443" s="43"/>
      <c r="AL443" s="43"/>
      <c r="AM443" s="43"/>
      <c r="AN443" s="42"/>
      <c r="AO443" s="42"/>
      <c r="AP443" s="42"/>
      <c r="AQ443" s="43"/>
      <c r="AR443" s="42"/>
      <c r="AS443" s="42"/>
    </row>
    <row r="444" spans="1:45" ht="15" customHeight="1">
      <c r="A444" s="21" t="s">
        <v>57</v>
      </c>
      <c r="B444" s="22" t="s">
        <v>83</v>
      </c>
      <c r="C444" s="21" t="s">
        <v>47</v>
      </c>
      <c r="D444" s="22" t="s">
        <v>59</v>
      </c>
      <c r="E444" s="80" t="s">
        <v>658</v>
      </c>
      <c r="F444" s="65" t="s">
        <v>659</v>
      </c>
      <c r="G444" s="101" t="s">
        <v>62</v>
      </c>
      <c r="H444" s="25" t="s">
        <v>660</v>
      </c>
      <c r="I444" s="24" t="s">
        <v>64</v>
      </c>
      <c r="J444" s="47" t="s">
        <v>674</v>
      </c>
      <c r="K444" s="104"/>
      <c r="L444" s="48"/>
      <c r="M444" s="27">
        <v>44741</v>
      </c>
      <c r="N444" s="49" t="s">
        <v>66</v>
      </c>
      <c r="O444" s="61">
        <v>250</v>
      </c>
      <c r="P444" s="29">
        <v>1</v>
      </c>
      <c r="Q444" s="51">
        <f t="shared" si="15"/>
        <v>250</v>
      </c>
      <c r="R444" s="31">
        <v>202310</v>
      </c>
      <c r="S444" s="54" t="s">
        <v>675</v>
      </c>
      <c r="T444" s="54"/>
      <c r="U444" s="54"/>
      <c r="V444" s="54"/>
      <c r="W444" s="67"/>
      <c r="X444" s="67"/>
      <c r="Y444" s="36"/>
      <c r="Z444" s="36"/>
      <c r="AA444" s="36"/>
      <c r="AB444" s="36"/>
      <c r="AC444" s="36"/>
      <c r="AD444" s="36"/>
      <c r="AE444" s="36"/>
      <c r="AF444" s="53" t="s">
        <v>68</v>
      </c>
      <c r="AG444" s="42"/>
      <c r="AH444" s="42"/>
      <c r="AI444" s="43"/>
      <c r="AJ444" s="43"/>
      <c r="AK444" s="43"/>
      <c r="AL444" s="43"/>
      <c r="AM444" s="43"/>
      <c r="AN444" s="42"/>
      <c r="AO444" s="42"/>
      <c r="AP444" s="42"/>
      <c r="AQ444" s="43"/>
      <c r="AR444" s="42"/>
      <c r="AS444" s="42"/>
    </row>
    <row r="445" spans="1:45" ht="15" customHeight="1">
      <c r="A445" s="21" t="s">
        <v>57</v>
      </c>
      <c r="B445" s="22" t="s">
        <v>83</v>
      </c>
      <c r="C445" s="21" t="s">
        <v>47</v>
      </c>
      <c r="D445" s="22" t="s">
        <v>59</v>
      </c>
      <c r="E445" s="80" t="s">
        <v>658</v>
      </c>
      <c r="F445" s="65" t="s">
        <v>659</v>
      </c>
      <c r="G445" s="101" t="s">
        <v>62</v>
      </c>
      <c r="H445" s="25" t="s">
        <v>660</v>
      </c>
      <c r="I445" s="24" t="s">
        <v>64</v>
      </c>
      <c r="J445" s="47" t="s">
        <v>676</v>
      </c>
      <c r="K445" s="104"/>
      <c r="L445" s="48"/>
      <c r="M445" s="27">
        <v>44768</v>
      </c>
      <c r="N445" s="49" t="s">
        <v>66</v>
      </c>
      <c r="O445" s="61">
        <v>250</v>
      </c>
      <c r="P445" s="29">
        <v>1</v>
      </c>
      <c r="Q445" s="51">
        <f t="shared" si="15"/>
        <v>250</v>
      </c>
      <c r="R445" s="31">
        <v>202310</v>
      </c>
      <c r="S445" s="54" t="s">
        <v>677</v>
      </c>
      <c r="T445" s="122"/>
      <c r="U445" s="54"/>
      <c r="V445" s="54"/>
      <c r="W445" s="67"/>
      <c r="X445" s="67"/>
      <c r="Y445" s="36"/>
      <c r="Z445" s="36"/>
      <c r="AA445" s="36"/>
      <c r="AB445" s="36"/>
      <c r="AC445" s="36"/>
      <c r="AD445" s="36"/>
      <c r="AE445" s="36"/>
      <c r="AF445" s="53" t="s">
        <v>68</v>
      </c>
      <c r="AG445" s="42"/>
      <c r="AH445" s="42"/>
      <c r="AI445" s="43"/>
      <c r="AJ445" s="43"/>
      <c r="AK445" s="43"/>
      <c r="AL445" s="43"/>
      <c r="AM445" s="43"/>
      <c r="AN445" s="42"/>
      <c r="AO445" s="42"/>
      <c r="AP445" s="42"/>
      <c r="AQ445" s="43"/>
      <c r="AR445" s="42"/>
      <c r="AS445" s="42"/>
    </row>
    <row r="446" spans="1:45" s="100" customFormat="1" ht="15" customHeight="1">
      <c r="A446" s="123" t="s">
        <v>57</v>
      </c>
      <c r="B446" s="83" t="s">
        <v>83</v>
      </c>
      <c r="C446" s="123" t="s">
        <v>47</v>
      </c>
      <c r="D446" s="83" t="s">
        <v>59</v>
      </c>
      <c r="E446" s="124" t="s">
        <v>658</v>
      </c>
      <c r="F446" s="125" t="s">
        <v>659</v>
      </c>
      <c r="G446" s="126" t="s">
        <v>62</v>
      </c>
      <c r="H446" s="127" t="s">
        <v>660</v>
      </c>
      <c r="I446" s="128" t="s">
        <v>64</v>
      </c>
      <c r="J446" s="88" t="s">
        <v>676</v>
      </c>
      <c r="K446" s="129"/>
      <c r="L446" s="89"/>
      <c r="M446" s="111">
        <v>45098</v>
      </c>
      <c r="N446" s="90" t="s">
        <v>66</v>
      </c>
      <c r="O446" s="113">
        <v>250</v>
      </c>
      <c r="P446" s="130">
        <v>1</v>
      </c>
      <c r="Q446" s="92">
        <f t="shared" si="15"/>
        <v>250</v>
      </c>
      <c r="R446" s="93">
        <v>202310</v>
      </c>
      <c r="S446" s="131" t="s">
        <v>678</v>
      </c>
      <c r="T446" s="131" t="s">
        <v>334</v>
      </c>
      <c r="U446" s="131" t="s">
        <v>679</v>
      </c>
      <c r="V446" s="131"/>
      <c r="W446" s="132"/>
      <c r="X446" s="132"/>
      <c r="Y446" s="97"/>
      <c r="Z446" s="97"/>
      <c r="AA446" s="97"/>
      <c r="AB446" s="97"/>
      <c r="AC446" s="97"/>
      <c r="AD446" s="97"/>
      <c r="AE446" s="97"/>
      <c r="AF446" s="98" t="s">
        <v>68</v>
      </c>
      <c r="AG446" s="96"/>
      <c r="AH446" s="96"/>
      <c r="AI446" s="99"/>
      <c r="AJ446" s="99"/>
      <c r="AK446" s="99"/>
      <c r="AL446" s="99"/>
      <c r="AM446" s="99"/>
      <c r="AN446" s="96"/>
      <c r="AO446" s="96"/>
      <c r="AP446" s="96"/>
      <c r="AQ446" s="99"/>
      <c r="AR446" s="96"/>
      <c r="AS446" s="96"/>
    </row>
    <row r="447" spans="1:45" s="100" customFormat="1" ht="15" customHeight="1">
      <c r="A447" s="123" t="s">
        <v>57</v>
      </c>
      <c r="B447" s="83" t="s">
        <v>83</v>
      </c>
      <c r="C447" s="123" t="s">
        <v>47</v>
      </c>
      <c r="D447" s="83" t="s">
        <v>59</v>
      </c>
      <c r="E447" s="124" t="s">
        <v>658</v>
      </c>
      <c r="F447" s="125" t="s">
        <v>659</v>
      </c>
      <c r="G447" s="126" t="s">
        <v>62</v>
      </c>
      <c r="H447" s="127" t="s">
        <v>660</v>
      </c>
      <c r="I447" s="128" t="s">
        <v>64</v>
      </c>
      <c r="J447" s="88" t="s">
        <v>676</v>
      </c>
      <c r="K447" s="129"/>
      <c r="L447" s="89"/>
      <c r="M447" s="111">
        <v>45098</v>
      </c>
      <c r="N447" s="90" t="s">
        <v>66</v>
      </c>
      <c r="O447" s="113">
        <v>250</v>
      </c>
      <c r="P447" s="130">
        <v>1</v>
      </c>
      <c r="Q447" s="92">
        <f t="shared" si="15"/>
        <v>250</v>
      </c>
      <c r="R447" s="93">
        <v>202310</v>
      </c>
      <c r="S447" s="131" t="s">
        <v>680</v>
      </c>
      <c r="T447" s="131" t="s">
        <v>334</v>
      </c>
      <c r="U447" s="131" t="s">
        <v>679</v>
      </c>
      <c r="V447" s="131"/>
      <c r="W447" s="132"/>
      <c r="X447" s="132"/>
      <c r="Y447" s="97"/>
      <c r="Z447" s="97"/>
      <c r="AA447" s="97"/>
      <c r="AB447" s="97"/>
      <c r="AC447" s="97"/>
      <c r="AD447" s="97"/>
      <c r="AE447" s="97"/>
      <c r="AF447" s="98" t="s">
        <v>68</v>
      </c>
      <c r="AG447" s="96"/>
      <c r="AH447" s="96"/>
      <c r="AI447" s="99"/>
      <c r="AJ447" s="99"/>
      <c r="AK447" s="99"/>
      <c r="AL447" s="99"/>
      <c r="AM447" s="99"/>
      <c r="AN447" s="96"/>
      <c r="AO447" s="96"/>
      <c r="AP447" s="96"/>
      <c r="AQ447" s="99"/>
      <c r="AR447" s="96"/>
      <c r="AS447" s="96"/>
    </row>
    <row r="448" spans="1:45" s="100" customFormat="1" ht="15" customHeight="1">
      <c r="A448" s="123" t="s">
        <v>57</v>
      </c>
      <c r="B448" s="83" t="s">
        <v>83</v>
      </c>
      <c r="C448" s="123" t="s">
        <v>47</v>
      </c>
      <c r="D448" s="83" t="s">
        <v>59</v>
      </c>
      <c r="E448" s="124" t="s">
        <v>658</v>
      </c>
      <c r="F448" s="125" t="s">
        <v>659</v>
      </c>
      <c r="G448" s="126" t="s">
        <v>62</v>
      </c>
      <c r="H448" s="127" t="s">
        <v>660</v>
      </c>
      <c r="I448" s="128" t="s">
        <v>64</v>
      </c>
      <c r="J448" s="88" t="s">
        <v>676</v>
      </c>
      <c r="K448" s="129"/>
      <c r="L448" s="89"/>
      <c r="M448" s="111">
        <v>45098</v>
      </c>
      <c r="N448" s="90" t="s">
        <v>66</v>
      </c>
      <c r="O448" s="113">
        <v>250</v>
      </c>
      <c r="P448" s="130">
        <v>1</v>
      </c>
      <c r="Q448" s="92">
        <f t="shared" si="15"/>
        <v>250</v>
      </c>
      <c r="R448" s="93">
        <v>202309</v>
      </c>
      <c r="S448" s="131" t="s">
        <v>681</v>
      </c>
      <c r="T448" s="131" t="s">
        <v>334</v>
      </c>
      <c r="U448" s="131" t="s">
        <v>679</v>
      </c>
      <c r="V448" s="131"/>
      <c r="W448" s="132"/>
      <c r="X448" s="132"/>
      <c r="Y448" s="97"/>
      <c r="Z448" s="97"/>
      <c r="AA448" s="97"/>
      <c r="AB448" s="97"/>
      <c r="AC448" s="97"/>
      <c r="AD448" s="97"/>
      <c r="AE448" s="97"/>
      <c r="AF448" s="98" t="s">
        <v>68</v>
      </c>
      <c r="AG448" s="96"/>
      <c r="AH448" s="96"/>
      <c r="AI448" s="99"/>
      <c r="AJ448" s="99"/>
      <c r="AK448" s="99"/>
      <c r="AL448" s="99"/>
      <c r="AM448" s="99"/>
      <c r="AN448" s="96"/>
      <c r="AO448" s="96"/>
      <c r="AP448" s="96"/>
      <c r="AQ448" s="99"/>
      <c r="AR448" s="96"/>
      <c r="AS448" s="96"/>
    </row>
    <row r="449" spans="1:45" s="100" customFormat="1" ht="15" customHeight="1">
      <c r="A449" s="123" t="s">
        <v>57</v>
      </c>
      <c r="B449" s="83" t="s">
        <v>83</v>
      </c>
      <c r="C449" s="123" t="s">
        <v>47</v>
      </c>
      <c r="D449" s="83" t="s">
        <v>59</v>
      </c>
      <c r="E449" s="124" t="s">
        <v>658</v>
      </c>
      <c r="F449" s="125" t="s">
        <v>659</v>
      </c>
      <c r="G449" s="126" t="s">
        <v>62</v>
      </c>
      <c r="H449" s="127" t="s">
        <v>660</v>
      </c>
      <c r="I449" s="128" t="s">
        <v>64</v>
      </c>
      <c r="J449" s="88" t="s">
        <v>676</v>
      </c>
      <c r="K449" s="129"/>
      <c r="L449" s="89"/>
      <c r="M449" s="111">
        <v>45098</v>
      </c>
      <c r="N449" s="90" t="s">
        <v>66</v>
      </c>
      <c r="O449" s="113">
        <v>250</v>
      </c>
      <c r="P449" s="130">
        <v>1</v>
      </c>
      <c r="Q449" s="92">
        <f t="shared" si="15"/>
        <v>250</v>
      </c>
      <c r="R449" s="93">
        <v>202309</v>
      </c>
      <c r="S449" s="131" t="s">
        <v>682</v>
      </c>
      <c r="T449" s="131" t="s">
        <v>334</v>
      </c>
      <c r="U449" s="131" t="s">
        <v>679</v>
      </c>
      <c r="V449" s="131"/>
      <c r="W449" s="132"/>
      <c r="X449" s="132"/>
      <c r="Y449" s="97"/>
      <c r="Z449" s="97"/>
      <c r="AA449" s="97"/>
      <c r="AB449" s="97"/>
      <c r="AC449" s="97"/>
      <c r="AD449" s="97"/>
      <c r="AE449" s="97"/>
      <c r="AF449" s="98" t="s">
        <v>68</v>
      </c>
      <c r="AG449" s="96"/>
      <c r="AH449" s="96"/>
      <c r="AI449" s="99"/>
      <c r="AJ449" s="99"/>
      <c r="AK449" s="99"/>
      <c r="AL449" s="99"/>
      <c r="AM449" s="99"/>
      <c r="AN449" s="96"/>
      <c r="AO449" s="96"/>
      <c r="AP449" s="96"/>
      <c r="AQ449" s="99"/>
      <c r="AR449" s="96"/>
      <c r="AS449" s="96"/>
    </row>
    <row r="450" spans="1:45" s="100" customFormat="1" ht="15" customHeight="1">
      <c r="A450" s="123" t="s">
        <v>57</v>
      </c>
      <c r="B450" s="83" t="s">
        <v>83</v>
      </c>
      <c r="C450" s="123" t="s">
        <v>47</v>
      </c>
      <c r="D450" s="83" t="s">
        <v>59</v>
      </c>
      <c r="E450" s="124" t="s">
        <v>658</v>
      </c>
      <c r="F450" s="125" t="s">
        <v>659</v>
      </c>
      <c r="G450" s="126" t="s">
        <v>62</v>
      </c>
      <c r="H450" s="127" t="s">
        <v>660</v>
      </c>
      <c r="I450" s="128" t="s">
        <v>64</v>
      </c>
      <c r="J450" s="88" t="s">
        <v>676</v>
      </c>
      <c r="K450" s="129"/>
      <c r="L450" s="89"/>
      <c r="M450" s="111">
        <v>45098</v>
      </c>
      <c r="N450" s="90" t="s">
        <v>66</v>
      </c>
      <c r="O450" s="113">
        <v>250</v>
      </c>
      <c r="P450" s="130">
        <v>1</v>
      </c>
      <c r="Q450" s="92">
        <f t="shared" si="15"/>
        <v>250</v>
      </c>
      <c r="R450" s="93">
        <v>202308</v>
      </c>
      <c r="S450" s="131" t="s">
        <v>683</v>
      </c>
      <c r="T450" s="131" t="s">
        <v>334</v>
      </c>
      <c r="U450" s="131" t="s">
        <v>679</v>
      </c>
      <c r="V450" s="131"/>
      <c r="W450" s="132"/>
      <c r="X450" s="132"/>
      <c r="Y450" s="97"/>
      <c r="Z450" s="97"/>
      <c r="AA450" s="97"/>
      <c r="AB450" s="97"/>
      <c r="AC450" s="97"/>
      <c r="AD450" s="97"/>
      <c r="AE450" s="97"/>
      <c r="AF450" s="98" t="s">
        <v>68</v>
      </c>
      <c r="AG450" s="96"/>
      <c r="AH450" s="96"/>
      <c r="AI450" s="99"/>
      <c r="AJ450" s="99"/>
      <c r="AK450" s="99"/>
      <c r="AL450" s="99"/>
      <c r="AM450" s="99"/>
      <c r="AN450" s="96"/>
      <c r="AO450" s="96"/>
      <c r="AP450" s="96"/>
      <c r="AQ450" s="99"/>
      <c r="AR450" s="96"/>
      <c r="AS450" s="96"/>
    </row>
    <row r="451" spans="1:45" s="100" customFormat="1" ht="15" customHeight="1">
      <c r="A451" s="123" t="s">
        <v>57</v>
      </c>
      <c r="B451" s="83" t="s">
        <v>83</v>
      </c>
      <c r="C451" s="123" t="s">
        <v>47</v>
      </c>
      <c r="D451" s="83" t="s">
        <v>59</v>
      </c>
      <c r="E451" s="124" t="s">
        <v>658</v>
      </c>
      <c r="F451" s="125" t="s">
        <v>659</v>
      </c>
      <c r="G451" s="126" t="s">
        <v>62</v>
      </c>
      <c r="H451" s="127" t="s">
        <v>660</v>
      </c>
      <c r="I451" s="128" t="s">
        <v>64</v>
      </c>
      <c r="J451" s="88" t="s">
        <v>676</v>
      </c>
      <c r="K451" s="129"/>
      <c r="L451" s="89"/>
      <c r="M451" s="111">
        <v>45098</v>
      </c>
      <c r="N451" s="90" t="s">
        <v>66</v>
      </c>
      <c r="O451" s="113">
        <v>250</v>
      </c>
      <c r="P451" s="130">
        <v>1</v>
      </c>
      <c r="Q451" s="92">
        <f t="shared" si="15"/>
        <v>250</v>
      </c>
      <c r="R451" s="93">
        <v>202308</v>
      </c>
      <c r="S451" s="131" t="s">
        <v>684</v>
      </c>
      <c r="T451" s="131" t="s">
        <v>334</v>
      </c>
      <c r="U451" s="131" t="s">
        <v>679</v>
      </c>
      <c r="V451" s="131"/>
      <c r="W451" s="132"/>
      <c r="X451" s="132"/>
      <c r="Y451" s="97"/>
      <c r="Z451" s="97"/>
      <c r="AA451" s="97"/>
      <c r="AB451" s="97"/>
      <c r="AC451" s="97"/>
      <c r="AD451" s="97"/>
      <c r="AE451" s="97"/>
      <c r="AF451" s="98" t="s">
        <v>68</v>
      </c>
      <c r="AG451" s="96"/>
      <c r="AH451" s="96"/>
      <c r="AI451" s="99"/>
      <c r="AJ451" s="99"/>
      <c r="AK451" s="99"/>
      <c r="AL451" s="99"/>
      <c r="AM451" s="99"/>
      <c r="AN451" s="96"/>
      <c r="AO451" s="96"/>
      <c r="AP451" s="96"/>
      <c r="AQ451" s="99"/>
      <c r="AR451" s="96"/>
      <c r="AS451" s="96"/>
    </row>
    <row r="452" spans="1:45" s="100" customFormat="1" ht="15" customHeight="1">
      <c r="A452" s="123" t="s">
        <v>57</v>
      </c>
      <c r="B452" s="83" t="s">
        <v>83</v>
      </c>
      <c r="C452" s="123" t="s">
        <v>47</v>
      </c>
      <c r="D452" s="83" t="s">
        <v>59</v>
      </c>
      <c r="E452" s="124" t="s">
        <v>658</v>
      </c>
      <c r="F452" s="125" t="s">
        <v>659</v>
      </c>
      <c r="G452" s="126" t="s">
        <v>62</v>
      </c>
      <c r="H452" s="127" t="s">
        <v>660</v>
      </c>
      <c r="I452" s="128" t="s">
        <v>64</v>
      </c>
      <c r="J452" s="88" t="s">
        <v>676</v>
      </c>
      <c r="K452" s="129"/>
      <c r="L452" s="89"/>
      <c r="M452" s="111">
        <v>45098</v>
      </c>
      <c r="N452" s="90" t="s">
        <v>66</v>
      </c>
      <c r="O452" s="113">
        <v>250</v>
      </c>
      <c r="P452" s="130">
        <v>1</v>
      </c>
      <c r="Q452" s="92">
        <f t="shared" si="15"/>
        <v>250</v>
      </c>
      <c r="R452" s="93">
        <v>202307</v>
      </c>
      <c r="S452" s="131" t="s">
        <v>685</v>
      </c>
      <c r="T452" s="131" t="s">
        <v>334</v>
      </c>
      <c r="U452" s="131" t="s">
        <v>679</v>
      </c>
      <c r="V452" s="131"/>
      <c r="W452" s="132"/>
      <c r="X452" s="132"/>
      <c r="Y452" s="97"/>
      <c r="Z452" s="97"/>
      <c r="AA452" s="97"/>
      <c r="AB452" s="97"/>
      <c r="AC452" s="97"/>
      <c r="AD452" s="97"/>
      <c r="AE452" s="97"/>
      <c r="AF452" s="98" t="s">
        <v>68</v>
      </c>
      <c r="AG452" s="96"/>
      <c r="AH452" s="96"/>
      <c r="AI452" s="99"/>
      <c r="AJ452" s="99"/>
      <c r="AK452" s="99"/>
      <c r="AL452" s="99"/>
      <c r="AM452" s="99"/>
      <c r="AN452" s="96"/>
      <c r="AO452" s="96"/>
      <c r="AP452" s="96"/>
      <c r="AQ452" s="99"/>
      <c r="AR452" s="96"/>
      <c r="AS452" s="96"/>
    </row>
    <row r="453" spans="1:45" s="100" customFormat="1" ht="15" customHeight="1">
      <c r="A453" s="123" t="s">
        <v>57</v>
      </c>
      <c r="B453" s="83" t="s">
        <v>83</v>
      </c>
      <c r="C453" s="123" t="s">
        <v>47</v>
      </c>
      <c r="D453" s="83" t="s">
        <v>59</v>
      </c>
      <c r="E453" s="124" t="s">
        <v>658</v>
      </c>
      <c r="F453" s="125" t="s">
        <v>659</v>
      </c>
      <c r="G453" s="126" t="s">
        <v>62</v>
      </c>
      <c r="H453" s="127" t="s">
        <v>660</v>
      </c>
      <c r="I453" s="128" t="s">
        <v>64</v>
      </c>
      <c r="J453" s="88" t="s">
        <v>676</v>
      </c>
      <c r="K453" s="129"/>
      <c r="L453" s="89"/>
      <c r="M453" s="111">
        <v>45098</v>
      </c>
      <c r="N453" s="90" t="s">
        <v>66</v>
      </c>
      <c r="O453" s="113">
        <v>250</v>
      </c>
      <c r="P453" s="130">
        <v>1</v>
      </c>
      <c r="Q453" s="92">
        <f t="shared" si="15"/>
        <v>250</v>
      </c>
      <c r="R453" s="93">
        <v>202307</v>
      </c>
      <c r="S453" s="131" t="s">
        <v>686</v>
      </c>
      <c r="T453" s="131" t="s">
        <v>334</v>
      </c>
      <c r="U453" s="131" t="s">
        <v>679</v>
      </c>
      <c r="V453" s="131"/>
      <c r="W453" s="132"/>
      <c r="X453" s="132"/>
      <c r="Y453" s="97"/>
      <c r="Z453" s="97"/>
      <c r="AA453" s="97"/>
      <c r="AB453" s="97"/>
      <c r="AC453" s="97"/>
      <c r="AD453" s="97"/>
      <c r="AE453" s="97"/>
      <c r="AF453" s="98" t="s">
        <v>68</v>
      </c>
      <c r="AG453" s="96"/>
      <c r="AH453" s="96"/>
      <c r="AI453" s="99"/>
      <c r="AJ453" s="99"/>
      <c r="AK453" s="99"/>
      <c r="AL453" s="99"/>
      <c r="AM453" s="99"/>
      <c r="AN453" s="96"/>
      <c r="AO453" s="96"/>
      <c r="AP453" s="96"/>
      <c r="AQ453" s="99"/>
      <c r="AR453" s="96"/>
      <c r="AS453" s="96"/>
    </row>
    <row r="454" spans="1:45" s="100" customFormat="1" ht="15" customHeight="1">
      <c r="A454" s="123" t="s">
        <v>57</v>
      </c>
      <c r="B454" s="83" t="s">
        <v>83</v>
      </c>
      <c r="C454" s="123" t="s">
        <v>47</v>
      </c>
      <c r="D454" s="83" t="s">
        <v>59</v>
      </c>
      <c r="E454" s="124" t="s">
        <v>658</v>
      </c>
      <c r="F454" s="125" t="s">
        <v>659</v>
      </c>
      <c r="G454" s="126" t="s">
        <v>62</v>
      </c>
      <c r="H454" s="127" t="s">
        <v>660</v>
      </c>
      <c r="I454" s="128" t="s">
        <v>64</v>
      </c>
      <c r="J454" s="88" t="s">
        <v>676</v>
      </c>
      <c r="K454" s="129"/>
      <c r="L454" s="89"/>
      <c r="M454" s="111">
        <v>45098</v>
      </c>
      <c r="N454" s="90" t="s">
        <v>66</v>
      </c>
      <c r="O454" s="113">
        <v>250</v>
      </c>
      <c r="P454" s="130">
        <v>1</v>
      </c>
      <c r="Q454" s="92">
        <f>ROUND(O454*P454*10/30,2)</f>
        <v>83.33</v>
      </c>
      <c r="R454" s="93">
        <v>202306</v>
      </c>
      <c r="S454" s="131" t="s">
        <v>687</v>
      </c>
      <c r="T454" s="131" t="s">
        <v>334</v>
      </c>
      <c r="U454" s="131" t="s">
        <v>679</v>
      </c>
      <c r="V454" s="131"/>
      <c r="W454" s="132"/>
      <c r="X454" s="132"/>
      <c r="Y454" s="97"/>
      <c r="Z454" s="97"/>
      <c r="AA454" s="97"/>
      <c r="AB454" s="97"/>
      <c r="AC454" s="97"/>
      <c r="AD454" s="97"/>
      <c r="AE454" s="97"/>
      <c r="AF454" s="98" t="s">
        <v>68</v>
      </c>
      <c r="AG454" s="96"/>
      <c r="AH454" s="96"/>
      <c r="AI454" s="99"/>
      <c r="AJ454" s="99"/>
      <c r="AK454" s="99"/>
      <c r="AL454" s="99"/>
      <c r="AM454" s="99"/>
      <c r="AN454" s="96"/>
      <c r="AO454" s="96"/>
      <c r="AP454" s="96"/>
      <c r="AQ454" s="99"/>
      <c r="AR454" s="96"/>
      <c r="AS454" s="96"/>
    </row>
    <row r="455" spans="1:45" s="100" customFormat="1" ht="15" customHeight="1">
      <c r="A455" s="123" t="s">
        <v>57</v>
      </c>
      <c r="B455" s="83" t="s">
        <v>83</v>
      </c>
      <c r="C455" s="123" t="s">
        <v>47</v>
      </c>
      <c r="D455" s="83" t="s">
        <v>59</v>
      </c>
      <c r="E455" s="124" t="s">
        <v>658</v>
      </c>
      <c r="F455" s="125" t="s">
        <v>659</v>
      </c>
      <c r="G455" s="126" t="s">
        <v>62</v>
      </c>
      <c r="H455" s="127" t="s">
        <v>660</v>
      </c>
      <c r="I455" s="128" t="s">
        <v>64</v>
      </c>
      <c r="J455" s="88" t="s">
        <v>676</v>
      </c>
      <c r="K455" s="129"/>
      <c r="L455" s="89"/>
      <c r="M455" s="111">
        <v>45098</v>
      </c>
      <c r="N455" s="90" t="s">
        <v>66</v>
      </c>
      <c r="O455" s="113">
        <v>250</v>
      </c>
      <c r="P455" s="130">
        <v>1</v>
      </c>
      <c r="Q455" s="92">
        <f>ROUND(O455*P455*10/30,2)</f>
        <v>83.33</v>
      </c>
      <c r="R455" s="93">
        <v>202306</v>
      </c>
      <c r="S455" s="131" t="s">
        <v>688</v>
      </c>
      <c r="T455" s="131" t="s">
        <v>334</v>
      </c>
      <c r="U455" s="131" t="s">
        <v>679</v>
      </c>
      <c r="V455" s="131"/>
      <c r="W455" s="132"/>
      <c r="X455" s="132"/>
      <c r="Y455" s="97"/>
      <c r="Z455" s="97"/>
      <c r="AA455" s="97"/>
      <c r="AB455" s="97"/>
      <c r="AC455" s="97"/>
      <c r="AD455" s="97"/>
      <c r="AE455" s="97"/>
      <c r="AF455" s="98" t="s">
        <v>68</v>
      </c>
      <c r="AG455" s="96"/>
      <c r="AH455" s="96"/>
      <c r="AI455" s="99"/>
      <c r="AJ455" s="99"/>
      <c r="AK455" s="99"/>
      <c r="AL455" s="99"/>
      <c r="AM455" s="99"/>
      <c r="AN455" s="96"/>
      <c r="AO455" s="96"/>
      <c r="AP455" s="96"/>
      <c r="AQ455" s="99"/>
      <c r="AR455" s="96"/>
      <c r="AS455" s="96"/>
    </row>
    <row r="456" spans="1:45" ht="15" customHeight="1">
      <c r="A456" s="21" t="s">
        <v>57</v>
      </c>
      <c r="B456" s="21" t="s">
        <v>46</v>
      </c>
      <c r="C456" s="21" t="s">
        <v>188</v>
      </c>
      <c r="D456" s="22" t="s">
        <v>59</v>
      </c>
      <c r="E456" s="80" t="s">
        <v>689</v>
      </c>
      <c r="F456" s="65" t="s">
        <v>690</v>
      </c>
      <c r="G456" s="101" t="s">
        <v>77</v>
      </c>
      <c r="H456" s="25" t="s">
        <v>691</v>
      </c>
      <c r="I456" s="24" t="s">
        <v>78</v>
      </c>
      <c r="J456" s="47" t="s">
        <v>692</v>
      </c>
      <c r="K456" s="104"/>
      <c r="L456" s="48" t="s">
        <v>693</v>
      </c>
      <c r="M456" s="27">
        <v>44409</v>
      </c>
      <c r="N456" s="49" t="s">
        <v>177</v>
      </c>
      <c r="O456" s="61">
        <v>4900</v>
      </c>
      <c r="P456" s="106">
        <v>4</v>
      </c>
      <c r="Q456" s="51">
        <f t="shared" si="15"/>
        <v>19600</v>
      </c>
      <c r="R456" s="31">
        <v>202310</v>
      </c>
      <c r="S456" s="54" t="s">
        <v>694</v>
      </c>
      <c r="T456" s="54"/>
      <c r="U456" s="54"/>
      <c r="V456" s="54"/>
      <c r="W456" s="67"/>
      <c r="X456" s="67"/>
      <c r="Y456" s="36"/>
      <c r="Z456" s="36"/>
      <c r="AA456" s="36"/>
      <c r="AB456" s="36"/>
      <c r="AC456" s="36"/>
      <c r="AD456" s="36"/>
      <c r="AE456" s="36"/>
      <c r="AF456" s="53" t="s">
        <v>68</v>
      </c>
      <c r="AG456" s="42"/>
      <c r="AH456" s="42"/>
      <c r="AI456" s="43"/>
      <c r="AJ456" s="43"/>
      <c r="AK456" s="43"/>
      <c r="AL456" s="43"/>
      <c r="AM456" s="43"/>
      <c r="AN456" s="42"/>
      <c r="AO456" s="42"/>
      <c r="AP456" s="42"/>
      <c r="AQ456" s="43"/>
      <c r="AR456" s="42"/>
      <c r="AS456" s="42"/>
    </row>
    <row r="457" spans="1:45" ht="15" customHeight="1">
      <c r="A457" s="21" t="s">
        <v>57</v>
      </c>
      <c r="B457" s="21" t="s">
        <v>46</v>
      </c>
      <c r="C457" s="21" t="s">
        <v>188</v>
      </c>
      <c r="D457" s="22" t="s">
        <v>59</v>
      </c>
      <c r="E457" s="80" t="s">
        <v>695</v>
      </c>
      <c r="F457" s="65" t="s">
        <v>696</v>
      </c>
      <c r="G457" s="101" t="s">
        <v>77</v>
      </c>
      <c r="H457" s="133" t="s">
        <v>697</v>
      </c>
      <c r="I457" s="24" t="s">
        <v>698</v>
      </c>
      <c r="J457" s="47" t="s">
        <v>699</v>
      </c>
      <c r="K457" s="104"/>
      <c r="L457" s="48" t="s">
        <v>700</v>
      </c>
      <c r="M457" s="27">
        <v>43210</v>
      </c>
      <c r="N457" s="49" t="s">
        <v>177</v>
      </c>
      <c r="O457" s="61">
        <v>5216.57</v>
      </c>
      <c r="P457" s="106">
        <v>53</v>
      </c>
      <c r="Q457" s="51">
        <f t="shared" si="15"/>
        <v>276478.21000000002</v>
      </c>
      <c r="R457" s="31">
        <v>202310</v>
      </c>
      <c r="S457" s="54"/>
      <c r="T457" s="54"/>
      <c r="U457" s="54"/>
      <c r="V457" s="54"/>
      <c r="W457" s="67"/>
      <c r="X457" s="67"/>
      <c r="Y457" s="36"/>
      <c r="Z457" s="36"/>
      <c r="AA457" s="36"/>
      <c r="AB457" s="36"/>
      <c r="AC457" s="36"/>
      <c r="AD457" s="36"/>
      <c r="AE457" s="36"/>
      <c r="AF457" s="53" t="s">
        <v>68</v>
      </c>
      <c r="AG457" s="42"/>
      <c r="AH457" s="42"/>
      <c r="AI457" s="43"/>
      <c r="AJ457" s="43"/>
      <c r="AK457" s="43"/>
      <c r="AL457" s="43"/>
      <c r="AM457" s="43"/>
      <c r="AN457" s="42"/>
      <c r="AO457" s="42"/>
      <c r="AP457" s="42"/>
      <c r="AQ457" s="43"/>
      <c r="AR457" s="42"/>
      <c r="AS457" s="42"/>
    </row>
    <row r="458" spans="1:45" ht="15" customHeight="1">
      <c r="A458" s="21" t="s">
        <v>57</v>
      </c>
      <c r="B458" s="21" t="s">
        <v>46</v>
      </c>
      <c r="C458" s="21" t="s">
        <v>188</v>
      </c>
      <c r="D458" s="22" t="s">
        <v>59</v>
      </c>
      <c r="E458" s="80" t="s">
        <v>695</v>
      </c>
      <c r="F458" s="65" t="s">
        <v>696</v>
      </c>
      <c r="G458" s="101" t="s">
        <v>77</v>
      </c>
      <c r="H458" s="133" t="s">
        <v>697</v>
      </c>
      <c r="I458" s="24" t="s">
        <v>701</v>
      </c>
      <c r="J458" s="47" t="s">
        <v>699</v>
      </c>
      <c r="K458" s="104"/>
      <c r="L458" s="48" t="s">
        <v>700</v>
      </c>
      <c r="M458" s="27">
        <v>43210</v>
      </c>
      <c r="N458" s="49" t="s">
        <v>356</v>
      </c>
      <c r="O458" s="61">
        <v>15649.71</v>
      </c>
      <c r="P458" s="106">
        <v>12</v>
      </c>
      <c r="Q458" s="51">
        <f t="shared" si="15"/>
        <v>187796.52</v>
      </c>
      <c r="R458" s="31">
        <v>202310</v>
      </c>
      <c r="S458" s="54" t="s">
        <v>702</v>
      </c>
      <c r="T458" s="54"/>
      <c r="U458" s="54"/>
      <c r="V458" s="54"/>
      <c r="W458" s="67"/>
      <c r="X458" s="67"/>
      <c r="Y458" s="36"/>
      <c r="Z458" s="36"/>
      <c r="AA458" s="36"/>
      <c r="AB458" s="36"/>
      <c r="AC458" s="36"/>
      <c r="AD458" s="36"/>
      <c r="AE458" s="36"/>
      <c r="AF458" s="53" t="s">
        <v>68</v>
      </c>
      <c r="AG458" s="42"/>
      <c r="AH458" s="42"/>
      <c r="AI458" s="43"/>
      <c r="AJ458" s="43"/>
      <c r="AK458" s="43"/>
      <c r="AL458" s="43"/>
      <c r="AM458" s="43"/>
      <c r="AN458" s="42"/>
      <c r="AO458" s="42"/>
      <c r="AP458" s="42"/>
      <c r="AQ458" s="43"/>
      <c r="AR458" s="42"/>
      <c r="AS458" s="42"/>
    </row>
    <row r="459" spans="1:45" ht="15" customHeight="1">
      <c r="A459" s="21" t="s">
        <v>57</v>
      </c>
      <c r="B459" s="21" t="s">
        <v>46</v>
      </c>
      <c r="C459" s="21" t="s">
        <v>188</v>
      </c>
      <c r="D459" s="22" t="s">
        <v>59</v>
      </c>
      <c r="E459" s="80" t="s">
        <v>695</v>
      </c>
      <c r="F459" s="65" t="s">
        <v>696</v>
      </c>
      <c r="G459" s="101" t="s">
        <v>77</v>
      </c>
      <c r="H459" s="133" t="s">
        <v>697</v>
      </c>
      <c r="I459" s="24" t="s">
        <v>703</v>
      </c>
      <c r="J459" s="47" t="s">
        <v>699</v>
      </c>
      <c r="K459" s="104"/>
      <c r="L459" s="48" t="s">
        <v>700</v>
      </c>
      <c r="M459" s="27">
        <v>43210</v>
      </c>
      <c r="N459" s="49" t="s">
        <v>704</v>
      </c>
      <c r="O459" s="61">
        <v>10433.14</v>
      </c>
      <c r="P459" s="106">
        <v>4</v>
      </c>
      <c r="Q459" s="51">
        <f t="shared" si="15"/>
        <v>41732.559999999998</v>
      </c>
      <c r="R459" s="31">
        <v>202310</v>
      </c>
      <c r="S459" s="54"/>
      <c r="T459" s="54"/>
      <c r="U459" s="54"/>
      <c r="V459" s="54"/>
      <c r="W459" s="67"/>
      <c r="X459" s="67"/>
      <c r="Y459" s="36"/>
      <c r="Z459" s="36"/>
      <c r="AA459" s="36"/>
      <c r="AB459" s="36"/>
      <c r="AC459" s="36"/>
      <c r="AD459" s="36"/>
      <c r="AE459" s="36"/>
      <c r="AF459" s="53" t="s">
        <v>68</v>
      </c>
      <c r="AG459" s="42"/>
      <c r="AH459" s="42"/>
      <c r="AI459" s="43"/>
      <c r="AJ459" s="43"/>
      <c r="AK459" s="43"/>
      <c r="AL459" s="43"/>
      <c r="AM459" s="43"/>
      <c r="AN459" s="42"/>
      <c r="AO459" s="42"/>
      <c r="AP459" s="42"/>
      <c r="AQ459" s="43"/>
      <c r="AR459" s="42"/>
      <c r="AS459" s="42"/>
    </row>
    <row r="460" spans="1:45" ht="15" customHeight="1">
      <c r="A460" s="21" t="s">
        <v>57</v>
      </c>
      <c r="B460" s="21" t="s">
        <v>46</v>
      </c>
      <c r="C460" s="21" t="s">
        <v>188</v>
      </c>
      <c r="D460" s="22" t="s">
        <v>59</v>
      </c>
      <c r="E460" s="80" t="s">
        <v>695</v>
      </c>
      <c r="F460" s="65" t="s">
        <v>696</v>
      </c>
      <c r="G460" s="101" t="s">
        <v>77</v>
      </c>
      <c r="H460" s="133" t="s">
        <v>697</v>
      </c>
      <c r="I460" s="24" t="s">
        <v>705</v>
      </c>
      <c r="J460" s="47" t="s">
        <v>699</v>
      </c>
      <c r="K460" s="104"/>
      <c r="L460" s="48" t="s">
        <v>700</v>
      </c>
      <c r="M460" s="27">
        <v>43217</v>
      </c>
      <c r="N460" s="49" t="s">
        <v>177</v>
      </c>
      <c r="O460" s="61">
        <v>5216.57</v>
      </c>
      <c r="P460" s="106">
        <v>1</v>
      </c>
      <c r="Q460" s="51">
        <f t="shared" si="15"/>
        <v>5216.57</v>
      </c>
      <c r="R460" s="31">
        <v>202310</v>
      </c>
      <c r="S460" s="54"/>
      <c r="T460" s="54"/>
      <c r="U460" s="54"/>
      <c r="V460" s="54"/>
      <c r="W460" s="67"/>
      <c r="X460" s="67"/>
      <c r="Y460" s="36"/>
      <c r="Z460" s="36"/>
      <c r="AA460" s="36"/>
      <c r="AB460" s="36"/>
      <c r="AC460" s="36"/>
      <c r="AD460" s="36"/>
      <c r="AE460" s="36"/>
      <c r="AF460" s="53" t="s">
        <v>68</v>
      </c>
      <c r="AG460" s="42"/>
      <c r="AH460" s="42"/>
      <c r="AI460" s="43"/>
      <c r="AJ460" s="43"/>
      <c r="AK460" s="43"/>
      <c r="AL460" s="43"/>
      <c r="AM460" s="43"/>
      <c r="AN460" s="42"/>
      <c r="AO460" s="42"/>
      <c r="AP460" s="42"/>
      <c r="AQ460" s="43"/>
      <c r="AR460" s="42"/>
      <c r="AS460" s="42"/>
    </row>
    <row r="461" spans="1:45" ht="15" customHeight="1">
      <c r="A461" s="21" t="s">
        <v>57</v>
      </c>
      <c r="B461" s="21" t="s">
        <v>46</v>
      </c>
      <c r="C461" s="21" t="s">
        <v>188</v>
      </c>
      <c r="D461" s="22" t="s">
        <v>59</v>
      </c>
      <c r="E461" s="80" t="s">
        <v>695</v>
      </c>
      <c r="F461" s="65" t="s">
        <v>696</v>
      </c>
      <c r="G461" s="101" t="s">
        <v>77</v>
      </c>
      <c r="H461" s="133" t="s">
        <v>697</v>
      </c>
      <c r="I461" s="24" t="s">
        <v>705</v>
      </c>
      <c r="J461" s="47" t="s">
        <v>699</v>
      </c>
      <c r="K461" s="104"/>
      <c r="L461" s="48" t="s">
        <v>700</v>
      </c>
      <c r="M461" s="27">
        <v>43231</v>
      </c>
      <c r="N461" s="49" t="s">
        <v>177</v>
      </c>
      <c r="O461" s="61">
        <v>5216.57</v>
      </c>
      <c r="P461" s="106">
        <v>12</v>
      </c>
      <c r="Q461" s="51">
        <f t="shared" si="15"/>
        <v>62598.84</v>
      </c>
      <c r="R461" s="31">
        <v>202310</v>
      </c>
      <c r="S461" s="54"/>
      <c r="T461" s="54"/>
      <c r="U461" s="54"/>
      <c r="V461" s="54"/>
      <c r="W461" s="67"/>
      <c r="X461" s="67"/>
      <c r="Y461" s="36"/>
      <c r="Z461" s="36"/>
      <c r="AA461" s="36"/>
      <c r="AB461" s="36"/>
      <c r="AC461" s="36"/>
      <c r="AD461" s="36"/>
      <c r="AE461" s="36"/>
      <c r="AF461" s="53" t="s">
        <v>68</v>
      </c>
      <c r="AG461" s="42"/>
      <c r="AH461" s="42"/>
      <c r="AI461" s="43"/>
      <c r="AJ461" s="43"/>
      <c r="AK461" s="43"/>
      <c r="AL461" s="43"/>
      <c r="AM461" s="43"/>
      <c r="AN461" s="42"/>
      <c r="AO461" s="42"/>
      <c r="AP461" s="42"/>
      <c r="AQ461" s="43"/>
      <c r="AR461" s="42"/>
      <c r="AS461" s="42"/>
    </row>
    <row r="462" spans="1:45" ht="15" customHeight="1">
      <c r="A462" s="21" t="s">
        <v>57</v>
      </c>
      <c r="B462" s="21" t="s">
        <v>46</v>
      </c>
      <c r="C462" s="21" t="s">
        <v>188</v>
      </c>
      <c r="D462" s="22" t="s">
        <v>59</v>
      </c>
      <c r="E462" s="80" t="s">
        <v>695</v>
      </c>
      <c r="F462" s="65" t="s">
        <v>696</v>
      </c>
      <c r="G462" s="101" t="s">
        <v>77</v>
      </c>
      <c r="H462" s="133" t="s">
        <v>697</v>
      </c>
      <c r="I462" s="24" t="s">
        <v>705</v>
      </c>
      <c r="J462" s="47" t="s">
        <v>699</v>
      </c>
      <c r="K462" s="104"/>
      <c r="L462" s="48" t="s">
        <v>700</v>
      </c>
      <c r="M462" s="27">
        <v>43234</v>
      </c>
      <c r="N462" s="49" t="s">
        <v>177</v>
      </c>
      <c r="O462" s="61">
        <v>5216.57</v>
      </c>
      <c r="P462" s="106">
        <v>17</v>
      </c>
      <c r="Q462" s="51">
        <f t="shared" si="15"/>
        <v>88681.69</v>
      </c>
      <c r="R462" s="31">
        <v>202310</v>
      </c>
      <c r="S462" s="54"/>
      <c r="T462" s="54"/>
      <c r="U462" s="54"/>
      <c r="V462" s="54"/>
      <c r="W462" s="67"/>
      <c r="X462" s="67"/>
      <c r="Y462" s="36"/>
      <c r="Z462" s="36"/>
      <c r="AA462" s="36"/>
      <c r="AB462" s="36"/>
      <c r="AC462" s="36"/>
      <c r="AD462" s="36"/>
      <c r="AE462" s="36"/>
      <c r="AF462" s="53" t="s">
        <v>68</v>
      </c>
      <c r="AG462" s="42"/>
      <c r="AH462" s="42"/>
      <c r="AI462" s="43"/>
      <c r="AJ462" s="43"/>
      <c r="AK462" s="43"/>
      <c r="AL462" s="43"/>
      <c r="AM462" s="43"/>
      <c r="AN462" s="42"/>
      <c r="AO462" s="42"/>
      <c r="AP462" s="42"/>
      <c r="AQ462" s="43"/>
      <c r="AR462" s="42"/>
      <c r="AS462" s="42"/>
    </row>
    <row r="463" spans="1:45" ht="15" customHeight="1">
      <c r="A463" s="21" t="s">
        <v>57</v>
      </c>
      <c r="B463" s="21" t="s">
        <v>46</v>
      </c>
      <c r="C463" s="21" t="s">
        <v>188</v>
      </c>
      <c r="D463" s="22" t="s">
        <v>59</v>
      </c>
      <c r="E463" s="80" t="s">
        <v>695</v>
      </c>
      <c r="F463" s="65" t="s">
        <v>696</v>
      </c>
      <c r="G463" s="101" t="s">
        <v>77</v>
      </c>
      <c r="H463" s="133" t="s">
        <v>697</v>
      </c>
      <c r="I463" s="24" t="s">
        <v>705</v>
      </c>
      <c r="J463" s="47" t="s">
        <v>699</v>
      </c>
      <c r="K463" s="104"/>
      <c r="L463" s="48" t="s">
        <v>700</v>
      </c>
      <c r="M463" s="27">
        <v>43235</v>
      </c>
      <c r="N463" s="49" t="s">
        <v>177</v>
      </c>
      <c r="O463" s="61">
        <v>5216.57</v>
      </c>
      <c r="P463" s="106">
        <v>1</v>
      </c>
      <c r="Q463" s="51">
        <f t="shared" si="15"/>
        <v>5216.57</v>
      </c>
      <c r="R463" s="31">
        <v>202310</v>
      </c>
      <c r="S463" s="54"/>
      <c r="T463" s="54"/>
      <c r="U463" s="54"/>
      <c r="V463" s="54"/>
      <c r="W463" s="67"/>
      <c r="X463" s="67"/>
      <c r="Y463" s="36"/>
      <c r="Z463" s="36"/>
      <c r="AA463" s="36"/>
      <c r="AB463" s="36"/>
      <c r="AC463" s="36"/>
      <c r="AD463" s="36"/>
      <c r="AE463" s="36"/>
      <c r="AF463" s="53" t="s">
        <v>68</v>
      </c>
      <c r="AG463" s="42"/>
      <c r="AH463" s="42"/>
      <c r="AI463" s="43"/>
      <c r="AJ463" s="43"/>
      <c r="AK463" s="43"/>
      <c r="AL463" s="43"/>
      <c r="AM463" s="43"/>
      <c r="AN463" s="42"/>
      <c r="AO463" s="42"/>
      <c r="AP463" s="42"/>
      <c r="AQ463" s="43"/>
      <c r="AR463" s="42"/>
      <c r="AS463" s="42"/>
    </row>
    <row r="464" spans="1:45" ht="15" customHeight="1">
      <c r="A464" s="21" t="s">
        <v>57</v>
      </c>
      <c r="B464" s="21" t="s">
        <v>46</v>
      </c>
      <c r="C464" s="21" t="s">
        <v>188</v>
      </c>
      <c r="D464" s="22" t="s">
        <v>59</v>
      </c>
      <c r="E464" s="80" t="s">
        <v>695</v>
      </c>
      <c r="F464" s="65" t="s">
        <v>696</v>
      </c>
      <c r="G464" s="101" t="s">
        <v>77</v>
      </c>
      <c r="H464" s="133" t="s">
        <v>697</v>
      </c>
      <c r="I464" s="24" t="s">
        <v>705</v>
      </c>
      <c r="J464" s="47" t="s">
        <v>699</v>
      </c>
      <c r="K464" s="104"/>
      <c r="L464" s="48" t="s">
        <v>700</v>
      </c>
      <c r="M464" s="27">
        <v>43238</v>
      </c>
      <c r="N464" s="49" t="s">
        <v>177</v>
      </c>
      <c r="O464" s="61">
        <v>5216.57</v>
      </c>
      <c r="P464" s="106">
        <v>27</v>
      </c>
      <c r="Q464" s="51">
        <f t="shared" si="15"/>
        <v>140847.39000000001</v>
      </c>
      <c r="R464" s="31">
        <v>202310</v>
      </c>
      <c r="S464" s="54"/>
      <c r="T464" s="54"/>
      <c r="U464" s="54"/>
      <c r="V464" s="54"/>
      <c r="W464" s="67"/>
      <c r="X464" s="67"/>
      <c r="Y464" s="36"/>
      <c r="Z464" s="36"/>
      <c r="AA464" s="36"/>
      <c r="AB464" s="36"/>
      <c r="AC464" s="36"/>
      <c r="AD464" s="36"/>
      <c r="AE464" s="36"/>
      <c r="AF464" s="53" t="s">
        <v>68</v>
      </c>
      <c r="AG464" s="42"/>
      <c r="AH464" s="42"/>
      <c r="AI464" s="43"/>
      <c r="AJ464" s="43"/>
      <c r="AK464" s="43"/>
      <c r="AL464" s="43"/>
      <c r="AM464" s="43"/>
      <c r="AN464" s="42"/>
      <c r="AO464" s="42"/>
      <c r="AP464" s="42"/>
      <c r="AQ464" s="43"/>
      <c r="AR464" s="42"/>
      <c r="AS464" s="42"/>
    </row>
    <row r="465" spans="1:45" ht="15" customHeight="1">
      <c r="A465" s="21" t="s">
        <v>57</v>
      </c>
      <c r="B465" s="21" t="s">
        <v>46</v>
      </c>
      <c r="C465" s="21" t="s">
        <v>188</v>
      </c>
      <c r="D465" s="22" t="s">
        <v>59</v>
      </c>
      <c r="E465" s="80" t="s">
        <v>695</v>
      </c>
      <c r="F465" s="65" t="s">
        <v>696</v>
      </c>
      <c r="G465" s="101" t="s">
        <v>77</v>
      </c>
      <c r="H465" s="133" t="s">
        <v>697</v>
      </c>
      <c r="I465" s="24" t="s">
        <v>705</v>
      </c>
      <c r="J465" s="47" t="s">
        <v>699</v>
      </c>
      <c r="K465" s="104"/>
      <c r="L465" s="48" t="s">
        <v>700</v>
      </c>
      <c r="M465" s="27">
        <v>43241</v>
      </c>
      <c r="N465" s="49" t="s">
        <v>177</v>
      </c>
      <c r="O465" s="61">
        <v>5216.57</v>
      </c>
      <c r="P465" s="106">
        <v>2</v>
      </c>
      <c r="Q465" s="51">
        <f t="shared" si="15"/>
        <v>10433.14</v>
      </c>
      <c r="R465" s="31">
        <v>202310</v>
      </c>
      <c r="S465" s="54"/>
      <c r="T465" s="54"/>
      <c r="U465" s="54"/>
      <c r="V465" s="54"/>
      <c r="W465" s="67"/>
      <c r="X465" s="67"/>
      <c r="Y465" s="36"/>
      <c r="Z465" s="36"/>
      <c r="AA465" s="36"/>
      <c r="AB465" s="36"/>
      <c r="AC465" s="36"/>
      <c r="AD465" s="36"/>
      <c r="AE465" s="36"/>
      <c r="AF465" s="53" t="s">
        <v>68</v>
      </c>
      <c r="AG465" s="42"/>
      <c r="AH465" s="42"/>
      <c r="AI465" s="43"/>
      <c r="AJ465" s="43"/>
      <c r="AK465" s="43"/>
      <c r="AL465" s="43"/>
      <c r="AM465" s="43"/>
      <c r="AN465" s="42"/>
      <c r="AO465" s="42"/>
      <c r="AP465" s="42"/>
      <c r="AQ465" s="43"/>
      <c r="AR465" s="42"/>
      <c r="AS465" s="42"/>
    </row>
    <row r="466" spans="1:45" ht="15" customHeight="1">
      <c r="A466" s="21" t="s">
        <v>57</v>
      </c>
      <c r="B466" s="21" t="s">
        <v>46</v>
      </c>
      <c r="C466" s="21" t="s">
        <v>188</v>
      </c>
      <c r="D466" s="22" t="s">
        <v>59</v>
      </c>
      <c r="E466" s="80" t="s">
        <v>695</v>
      </c>
      <c r="F466" s="65" t="s">
        <v>696</v>
      </c>
      <c r="G466" s="101" t="s">
        <v>77</v>
      </c>
      <c r="H466" s="133" t="s">
        <v>697</v>
      </c>
      <c r="I466" s="24" t="s">
        <v>705</v>
      </c>
      <c r="J466" s="47" t="s">
        <v>699</v>
      </c>
      <c r="K466" s="104"/>
      <c r="L466" s="48" t="s">
        <v>700</v>
      </c>
      <c r="M466" s="27">
        <v>43242</v>
      </c>
      <c r="N466" s="49" t="s">
        <v>177</v>
      </c>
      <c r="O466" s="61">
        <v>5216.57</v>
      </c>
      <c r="P466" s="106">
        <v>2</v>
      </c>
      <c r="Q466" s="51">
        <f t="shared" si="15"/>
        <v>10433.14</v>
      </c>
      <c r="R466" s="31">
        <v>202310</v>
      </c>
      <c r="S466" s="54"/>
      <c r="T466" s="54"/>
      <c r="U466" s="54"/>
      <c r="V466" s="54"/>
      <c r="W466" s="67"/>
      <c r="X466" s="67"/>
      <c r="Y466" s="36"/>
      <c r="Z466" s="36"/>
      <c r="AA466" s="36"/>
      <c r="AB466" s="36"/>
      <c r="AC466" s="36"/>
      <c r="AD466" s="36"/>
      <c r="AE466" s="36"/>
      <c r="AF466" s="53" t="s">
        <v>68</v>
      </c>
      <c r="AG466" s="42"/>
      <c r="AH466" s="42"/>
      <c r="AI466" s="43"/>
      <c r="AJ466" s="43"/>
      <c r="AK466" s="43"/>
      <c r="AL466" s="43"/>
      <c r="AM466" s="43"/>
      <c r="AN466" s="42"/>
      <c r="AO466" s="42"/>
      <c r="AP466" s="42"/>
      <c r="AQ466" s="43"/>
      <c r="AR466" s="42"/>
      <c r="AS466" s="42"/>
    </row>
    <row r="467" spans="1:45" ht="15" customHeight="1">
      <c r="A467" s="21" t="s">
        <v>57</v>
      </c>
      <c r="B467" s="21" t="s">
        <v>46</v>
      </c>
      <c r="C467" s="21" t="s">
        <v>188</v>
      </c>
      <c r="D467" s="22" t="s">
        <v>59</v>
      </c>
      <c r="E467" s="80" t="s">
        <v>695</v>
      </c>
      <c r="F467" s="65" t="s">
        <v>696</v>
      </c>
      <c r="G467" s="101" t="s">
        <v>77</v>
      </c>
      <c r="H467" s="133" t="s">
        <v>697</v>
      </c>
      <c r="I467" s="24" t="s">
        <v>705</v>
      </c>
      <c r="J467" s="47" t="s">
        <v>699</v>
      </c>
      <c r="K467" s="104"/>
      <c r="L467" s="48" t="s">
        <v>700</v>
      </c>
      <c r="M467" s="27">
        <v>43244</v>
      </c>
      <c r="N467" s="49" t="s">
        <v>177</v>
      </c>
      <c r="O467" s="61">
        <v>5216.57</v>
      </c>
      <c r="P467" s="106">
        <v>7</v>
      </c>
      <c r="Q467" s="51">
        <f t="shared" si="15"/>
        <v>36515.99</v>
      </c>
      <c r="R467" s="31">
        <v>202310</v>
      </c>
      <c r="S467" s="54"/>
      <c r="T467" s="54"/>
      <c r="U467" s="54"/>
      <c r="V467" s="54"/>
      <c r="W467" s="67"/>
      <c r="X467" s="67"/>
      <c r="Y467" s="36"/>
      <c r="Z467" s="36"/>
      <c r="AA467" s="36"/>
      <c r="AB467" s="36"/>
      <c r="AC467" s="36"/>
      <c r="AD467" s="36"/>
      <c r="AE467" s="36"/>
      <c r="AF467" s="53" t="s">
        <v>68</v>
      </c>
      <c r="AG467" s="42"/>
      <c r="AH467" s="42"/>
      <c r="AI467" s="43"/>
      <c r="AJ467" s="43"/>
      <c r="AK467" s="43"/>
      <c r="AL467" s="43"/>
      <c r="AM467" s="43"/>
      <c r="AN467" s="42"/>
      <c r="AO467" s="42"/>
      <c r="AP467" s="42"/>
      <c r="AQ467" s="43"/>
      <c r="AR467" s="42"/>
      <c r="AS467" s="42"/>
    </row>
    <row r="468" spans="1:45" ht="15" customHeight="1">
      <c r="A468" s="21" t="s">
        <v>57</v>
      </c>
      <c r="B468" s="21" t="s">
        <v>46</v>
      </c>
      <c r="C468" s="21" t="s">
        <v>188</v>
      </c>
      <c r="D468" s="22" t="s">
        <v>59</v>
      </c>
      <c r="E468" s="80" t="s">
        <v>695</v>
      </c>
      <c r="F468" s="65" t="s">
        <v>696</v>
      </c>
      <c r="G468" s="101" t="s">
        <v>77</v>
      </c>
      <c r="H468" s="133" t="s">
        <v>697</v>
      </c>
      <c r="I468" s="24" t="s">
        <v>705</v>
      </c>
      <c r="J468" s="47" t="s">
        <v>699</v>
      </c>
      <c r="K468" s="104"/>
      <c r="L468" s="48" t="s">
        <v>700</v>
      </c>
      <c r="M468" s="27">
        <v>43252</v>
      </c>
      <c r="N468" s="49" t="s">
        <v>177</v>
      </c>
      <c r="O468" s="61">
        <v>5216.57</v>
      </c>
      <c r="P468" s="106">
        <v>4</v>
      </c>
      <c r="Q468" s="51">
        <f t="shared" si="15"/>
        <v>20866.28</v>
      </c>
      <c r="R468" s="31">
        <v>202310</v>
      </c>
      <c r="S468" s="54"/>
      <c r="T468" s="54"/>
      <c r="U468" s="54"/>
      <c r="V468" s="54"/>
      <c r="W468" s="67"/>
      <c r="X468" s="67"/>
      <c r="Y468" s="36"/>
      <c r="Z468" s="36"/>
      <c r="AA468" s="36"/>
      <c r="AB468" s="36"/>
      <c r="AC468" s="36"/>
      <c r="AD468" s="36"/>
      <c r="AE468" s="36"/>
      <c r="AF468" s="53" t="s">
        <v>68</v>
      </c>
      <c r="AG468" s="42"/>
      <c r="AH468" s="42"/>
      <c r="AI468" s="43"/>
      <c r="AJ468" s="43"/>
      <c r="AK468" s="43"/>
      <c r="AL468" s="43"/>
      <c r="AM468" s="43"/>
      <c r="AN468" s="42"/>
      <c r="AO468" s="42"/>
      <c r="AP468" s="42"/>
      <c r="AQ468" s="43"/>
      <c r="AR468" s="42"/>
      <c r="AS468" s="42"/>
    </row>
    <row r="469" spans="1:45" ht="15" customHeight="1">
      <c r="A469" s="21" t="s">
        <v>57</v>
      </c>
      <c r="B469" s="21" t="s">
        <v>46</v>
      </c>
      <c r="C469" s="21" t="s">
        <v>188</v>
      </c>
      <c r="D469" s="22" t="s">
        <v>59</v>
      </c>
      <c r="E469" s="80" t="s">
        <v>695</v>
      </c>
      <c r="F469" s="65" t="s">
        <v>696</v>
      </c>
      <c r="G469" s="101" t="s">
        <v>77</v>
      </c>
      <c r="H469" s="133" t="s">
        <v>697</v>
      </c>
      <c r="I469" s="24" t="s">
        <v>705</v>
      </c>
      <c r="J469" s="47" t="s">
        <v>699</v>
      </c>
      <c r="K469" s="104"/>
      <c r="L469" s="48" t="s">
        <v>700</v>
      </c>
      <c r="M469" s="27">
        <v>43256</v>
      </c>
      <c r="N469" s="49" t="s">
        <v>177</v>
      </c>
      <c r="O469" s="61">
        <v>5216.57</v>
      </c>
      <c r="P469" s="106">
        <v>11</v>
      </c>
      <c r="Q469" s="51">
        <f t="shared" si="15"/>
        <v>57382.27</v>
      </c>
      <c r="R469" s="31">
        <v>202310</v>
      </c>
      <c r="S469" s="54"/>
      <c r="T469" s="54"/>
      <c r="U469" s="54"/>
      <c r="V469" s="54"/>
      <c r="W469" s="67"/>
      <c r="X469" s="67"/>
      <c r="Y469" s="36"/>
      <c r="Z469" s="36"/>
      <c r="AA469" s="36"/>
      <c r="AB469" s="36"/>
      <c r="AC469" s="36"/>
      <c r="AD469" s="36"/>
      <c r="AE469" s="36"/>
      <c r="AF469" s="53" t="s">
        <v>68</v>
      </c>
      <c r="AG469" s="42"/>
      <c r="AH469" s="42"/>
      <c r="AI469" s="43"/>
      <c r="AJ469" s="43"/>
      <c r="AK469" s="43"/>
      <c r="AL469" s="43"/>
      <c r="AM469" s="43"/>
      <c r="AN469" s="42"/>
      <c r="AO469" s="42"/>
      <c r="AP469" s="42"/>
      <c r="AQ469" s="43"/>
      <c r="AR469" s="42"/>
      <c r="AS469" s="42"/>
    </row>
    <row r="470" spans="1:45" ht="15" customHeight="1">
      <c r="A470" s="21" t="s">
        <v>57</v>
      </c>
      <c r="B470" s="21" t="s">
        <v>46</v>
      </c>
      <c r="C470" s="21" t="s">
        <v>188</v>
      </c>
      <c r="D470" s="22" t="s">
        <v>59</v>
      </c>
      <c r="E470" s="80" t="s">
        <v>695</v>
      </c>
      <c r="F470" s="65" t="s">
        <v>696</v>
      </c>
      <c r="G470" s="101" t="s">
        <v>77</v>
      </c>
      <c r="H470" s="133" t="s">
        <v>697</v>
      </c>
      <c r="I470" s="24" t="s">
        <v>705</v>
      </c>
      <c r="J470" s="47" t="s">
        <v>699</v>
      </c>
      <c r="K470" s="104"/>
      <c r="L470" s="48" t="s">
        <v>700</v>
      </c>
      <c r="M470" s="27">
        <v>43272</v>
      </c>
      <c r="N470" s="49" t="s">
        <v>177</v>
      </c>
      <c r="O470" s="61">
        <v>5216.57</v>
      </c>
      <c r="P470" s="106">
        <v>5</v>
      </c>
      <c r="Q470" s="51">
        <f t="shared" si="15"/>
        <v>26082.85</v>
      </c>
      <c r="R470" s="31">
        <v>202310</v>
      </c>
      <c r="S470" s="54"/>
      <c r="T470" s="54"/>
      <c r="U470" s="54"/>
      <c r="V470" s="54"/>
      <c r="W470" s="67"/>
      <c r="X470" s="67"/>
      <c r="Y470" s="36"/>
      <c r="Z470" s="36"/>
      <c r="AA470" s="36"/>
      <c r="AB470" s="36"/>
      <c r="AC470" s="36"/>
      <c r="AD470" s="36"/>
      <c r="AE470" s="36"/>
      <c r="AF470" s="53" t="s">
        <v>68</v>
      </c>
      <c r="AG470" s="42"/>
      <c r="AH470" s="42"/>
      <c r="AI470" s="43"/>
      <c r="AJ470" s="43"/>
      <c r="AK470" s="43"/>
      <c r="AL470" s="43"/>
      <c r="AM470" s="43"/>
      <c r="AN470" s="42"/>
      <c r="AO470" s="42"/>
      <c r="AP470" s="42"/>
      <c r="AQ470" s="43"/>
      <c r="AR470" s="42"/>
      <c r="AS470" s="42"/>
    </row>
    <row r="471" spans="1:45" ht="15" customHeight="1">
      <c r="A471" s="21" t="s">
        <v>57</v>
      </c>
      <c r="B471" s="21" t="s">
        <v>46</v>
      </c>
      <c r="C471" s="21" t="s">
        <v>188</v>
      </c>
      <c r="D471" s="22" t="s">
        <v>59</v>
      </c>
      <c r="E471" s="80" t="s">
        <v>695</v>
      </c>
      <c r="F471" s="65" t="s">
        <v>696</v>
      </c>
      <c r="G471" s="101" t="s">
        <v>77</v>
      </c>
      <c r="H471" s="133" t="s">
        <v>697</v>
      </c>
      <c r="I471" s="24" t="s">
        <v>705</v>
      </c>
      <c r="J471" s="47" t="s">
        <v>699</v>
      </c>
      <c r="K471" s="104"/>
      <c r="L471" s="48" t="s">
        <v>700</v>
      </c>
      <c r="M471" s="27">
        <v>43284</v>
      </c>
      <c r="N471" s="49" t="s">
        <v>177</v>
      </c>
      <c r="O471" s="61">
        <v>5216.57</v>
      </c>
      <c r="P471" s="106">
        <v>2</v>
      </c>
      <c r="Q471" s="51">
        <f t="shared" si="15"/>
        <v>10433.14</v>
      </c>
      <c r="R471" s="31">
        <v>202310</v>
      </c>
      <c r="S471" s="54"/>
      <c r="T471" s="54"/>
      <c r="U471" s="54"/>
      <c r="V471" s="54"/>
      <c r="W471" s="67"/>
      <c r="X471" s="67"/>
      <c r="Y471" s="36"/>
      <c r="Z471" s="36"/>
      <c r="AA471" s="36"/>
      <c r="AB471" s="36"/>
      <c r="AC471" s="36"/>
      <c r="AD471" s="36"/>
      <c r="AE471" s="36"/>
      <c r="AF471" s="53" t="s">
        <v>68</v>
      </c>
      <c r="AG471" s="42"/>
      <c r="AH471" s="42"/>
      <c r="AI471" s="43"/>
      <c r="AJ471" s="43"/>
      <c r="AK471" s="43"/>
      <c r="AL471" s="43"/>
      <c r="AM471" s="43"/>
      <c r="AN471" s="42"/>
      <c r="AO471" s="42"/>
      <c r="AP471" s="42"/>
      <c r="AQ471" s="43"/>
      <c r="AR471" s="42"/>
      <c r="AS471" s="42"/>
    </row>
    <row r="472" spans="1:45" ht="15" customHeight="1">
      <c r="A472" s="21" t="s">
        <v>57</v>
      </c>
      <c r="B472" s="21" t="s">
        <v>46</v>
      </c>
      <c r="C472" s="21" t="s">
        <v>188</v>
      </c>
      <c r="D472" s="22" t="s">
        <v>59</v>
      </c>
      <c r="E472" s="80" t="s">
        <v>695</v>
      </c>
      <c r="F472" s="65" t="s">
        <v>696</v>
      </c>
      <c r="G472" s="101" t="s">
        <v>77</v>
      </c>
      <c r="H472" s="133" t="s">
        <v>697</v>
      </c>
      <c r="I472" s="24" t="s">
        <v>705</v>
      </c>
      <c r="J472" s="47" t="s">
        <v>699</v>
      </c>
      <c r="K472" s="104"/>
      <c r="L472" s="48" t="s">
        <v>700</v>
      </c>
      <c r="M472" s="27">
        <v>43292</v>
      </c>
      <c r="N472" s="49" t="s">
        <v>177</v>
      </c>
      <c r="O472" s="61">
        <v>5216.57</v>
      </c>
      <c r="P472" s="106">
        <v>1</v>
      </c>
      <c r="Q472" s="51">
        <f t="shared" si="15"/>
        <v>5216.57</v>
      </c>
      <c r="R472" s="31">
        <v>202310</v>
      </c>
      <c r="S472" s="54"/>
      <c r="T472" s="54"/>
      <c r="U472" s="54"/>
      <c r="V472" s="54"/>
      <c r="W472" s="67"/>
      <c r="X472" s="67"/>
      <c r="Y472" s="36"/>
      <c r="Z472" s="36"/>
      <c r="AA472" s="36"/>
      <c r="AB472" s="36"/>
      <c r="AC472" s="36"/>
      <c r="AD472" s="36"/>
      <c r="AE472" s="36"/>
      <c r="AF472" s="53" t="s">
        <v>68</v>
      </c>
      <c r="AG472" s="42"/>
      <c r="AH472" s="42"/>
      <c r="AI472" s="43"/>
      <c r="AJ472" s="43"/>
      <c r="AK472" s="43"/>
      <c r="AL472" s="43"/>
      <c r="AM472" s="43"/>
      <c r="AN472" s="42"/>
      <c r="AO472" s="42"/>
      <c r="AP472" s="42"/>
      <c r="AQ472" s="43"/>
      <c r="AR472" s="42"/>
      <c r="AS472" s="42"/>
    </row>
    <row r="473" spans="1:45" ht="15" customHeight="1">
      <c r="A473" s="21" t="s">
        <v>57</v>
      </c>
      <c r="B473" s="21" t="s">
        <v>46</v>
      </c>
      <c r="C473" s="21" t="s">
        <v>188</v>
      </c>
      <c r="D473" s="22" t="s">
        <v>59</v>
      </c>
      <c r="E473" s="80" t="s">
        <v>695</v>
      </c>
      <c r="F473" s="65" t="s">
        <v>696</v>
      </c>
      <c r="G473" s="101" t="s">
        <v>77</v>
      </c>
      <c r="H473" s="133" t="s">
        <v>697</v>
      </c>
      <c r="I473" s="24" t="s">
        <v>705</v>
      </c>
      <c r="J473" s="47" t="s">
        <v>699</v>
      </c>
      <c r="K473" s="104"/>
      <c r="L473" s="48" t="s">
        <v>700</v>
      </c>
      <c r="M473" s="27">
        <v>43293</v>
      </c>
      <c r="N473" s="49" t="s">
        <v>177</v>
      </c>
      <c r="O473" s="61">
        <v>5216.57</v>
      </c>
      <c r="P473" s="106">
        <v>8</v>
      </c>
      <c r="Q473" s="51">
        <f t="shared" si="15"/>
        <v>41732.559999999998</v>
      </c>
      <c r="R473" s="31">
        <v>202310</v>
      </c>
      <c r="S473" s="54"/>
      <c r="T473" s="54"/>
      <c r="U473" s="54"/>
      <c r="V473" s="54"/>
      <c r="W473" s="67"/>
      <c r="X473" s="67"/>
      <c r="Y473" s="36"/>
      <c r="Z473" s="36"/>
      <c r="AA473" s="36"/>
      <c r="AB473" s="36"/>
      <c r="AC473" s="36"/>
      <c r="AD473" s="36"/>
      <c r="AE473" s="36"/>
      <c r="AF473" s="53" t="s">
        <v>68</v>
      </c>
      <c r="AG473" s="42"/>
      <c r="AH473" s="42"/>
      <c r="AI473" s="43"/>
      <c r="AJ473" s="43"/>
      <c r="AK473" s="43"/>
      <c r="AL473" s="43"/>
      <c r="AM473" s="43"/>
      <c r="AN473" s="42"/>
      <c r="AO473" s="42"/>
      <c r="AP473" s="42"/>
      <c r="AQ473" s="43"/>
      <c r="AR473" s="42"/>
      <c r="AS473" s="42"/>
    </row>
    <row r="474" spans="1:45" ht="15" customHeight="1">
      <c r="A474" s="21" t="s">
        <v>57</v>
      </c>
      <c r="B474" s="21" t="s">
        <v>46</v>
      </c>
      <c r="C474" s="21" t="s">
        <v>188</v>
      </c>
      <c r="D474" s="22" t="s">
        <v>59</v>
      </c>
      <c r="E474" s="80" t="s">
        <v>695</v>
      </c>
      <c r="F474" s="65" t="s">
        <v>696</v>
      </c>
      <c r="G474" s="101" t="s">
        <v>77</v>
      </c>
      <c r="H474" s="133" t="s">
        <v>697</v>
      </c>
      <c r="I474" s="24" t="s">
        <v>705</v>
      </c>
      <c r="J474" s="47" t="s">
        <v>699</v>
      </c>
      <c r="K474" s="104"/>
      <c r="L474" s="48" t="s">
        <v>700</v>
      </c>
      <c r="M474" s="27">
        <v>43299</v>
      </c>
      <c r="N474" s="49" t="s">
        <v>177</v>
      </c>
      <c r="O474" s="61">
        <v>5216.57</v>
      </c>
      <c r="P474" s="106">
        <v>31</v>
      </c>
      <c r="Q474" s="51">
        <f t="shared" si="15"/>
        <v>161713.67000000001</v>
      </c>
      <c r="R474" s="31">
        <v>202310</v>
      </c>
      <c r="S474" s="54"/>
      <c r="T474" s="54"/>
      <c r="U474" s="54"/>
      <c r="V474" s="54"/>
      <c r="W474" s="67"/>
      <c r="X474" s="67"/>
      <c r="Y474" s="36"/>
      <c r="Z474" s="36"/>
      <c r="AA474" s="36"/>
      <c r="AB474" s="36"/>
      <c r="AC474" s="36"/>
      <c r="AD474" s="36"/>
      <c r="AE474" s="36"/>
      <c r="AF474" s="53" t="s">
        <v>68</v>
      </c>
      <c r="AG474" s="42"/>
      <c r="AH474" s="42"/>
      <c r="AI474" s="43"/>
      <c r="AJ474" s="43"/>
      <c r="AK474" s="43"/>
      <c r="AL474" s="43"/>
      <c r="AM474" s="43"/>
      <c r="AN474" s="42"/>
      <c r="AO474" s="42"/>
      <c r="AP474" s="42"/>
      <c r="AQ474" s="43"/>
      <c r="AR474" s="42"/>
      <c r="AS474" s="42"/>
    </row>
    <row r="475" spans="1:45" ht="15" customHeight="1">
      <c r="A475" s="21" t="s">
        <v>57</v>
      </c>
      <c r="B475" s="21" t="s">
        <v>46</v>
      </c>
      <c r="C475" s="21" t="s">
        <v>188</v>
      </c>
      <c r="D475" s="22" t="s">
        <v>59</v>
      </c>
      <c r="E475" s="80" t="s">
        <v>695</v>
      </c>
      <c r="F475" s="65" t="s">
        <v>696</v>
      </c>
      <c r="G475" s="101" t="s">
        <v>77</v>
      </c>
      <c r="H475" s="133" t="s">
        <v>697</v>
      </c>
      <c r="I475" s="24" t="s">
        <v>705</v>
      </c>
      <c r="J475" s="47" t="s">
        <v>699</v>
      </c>
      <c r="K475" s="104"/>
      <c r="L475" s="48" t="s">
        <v>700</v>
      </c>
      <c r="M475" s="27">
        <v>43298</v>
      </c>
      <c r="N475" s="49" t="s">
        <v>177</v>
      </c>
      <c r="O475" s="61">
        <v>5216.57</v>
      </c>
      <c r="P475" s="106">
        <v>25</v>
      </c>
      <c r="Q475" s="51">
        <f t="shared" si="15"/>
        <v>130414.25</v>
      </c>
      <c r="R475" s="31">
        <v>202310</v>
      </c>
      <c r="S475" s="54"/>
      <c r="T475" s="54"/>
      <c r="U475" s="54"/>
      <c r="V475" s="54"/>
      <c r="W475" s="67"/>
      <c r="X475" s="67"/>
      <c r="Y475" s="36"/>
      <c r="Z475" s="36"/>
      <c r="AA475" s="36"/>
      <c r="AB475" s="36"/>
      <c r="AC475" s="36"/>
      <c r="AD475" s="36"/>
      <c r="AE475" s="36"/>
      <c r="AF475" s="53" t="s">
        <v>68</v>
      </c>
      <c r="AG475" s="42"/>
      <c r="AH475" s="42"/>
      <c r="AI475" s="43"/>
      <c r="AJ475" s="43"/>
      <c r="AK475" s="43"/>
      <c r="AL475" s="43"/>
      <c r="AM475" s="43"/>
      <c r="AN475" s="42"/>
      <c r="AO475" s="42"/>
      <c r="AP475" s="42"/>
      <c r="AQ475" s="43"/>
      <c r="AR475" s="42"/>
      <c r="AS475" s="42"/>
    </row>
    <row r="476" spans="1:45" ht="15" customHeight="1">
      <c r="A476" s="21" t="s">
        <v>57</v>
      </c>
      <c r="B476" s="21" t="s">
        <v>46</v>
      </c>
      <c r="C476" s="21" t="s">
        <v>188</v>
      </c>
      <c r="D476" s="22" t="s">
        <v>59</v>
      </c>
      <c r="E476" s="80" t="s">
        <v>695</v>
      </c>
      <c r="F476" s="65" t="s">
        <v>696</v>
      </c>
      <c r="G476" s="101" t="s">
        <v>77</v>
      </c>
      <c r="H476" s="133" t="s">
        <v>697</v>
      </c>
      <c r="I476" s="24" t="s">
        <v>705</v>
      </c>
      <c r="J476" s="47" t="s">
        <v>699</v>
      </c>
      <c r="K476" s="104"/>
      <c r="L476" s="48" t="s">
        <v>700</v>
      </c>
      <c r="M476" s="27">
        <v>43300</v>
      </c>
      <c r="N476" s="49" t="s">
        <v>177</v>
      </c>
      <c r="O476" s="61">
        <v>5216.57</v>
      </c>
      <c r="P476" s="106">
        <v>2</v>
      </c>
      <c r="Q476" s="51">
        <f t="shared" si="15"/>
        <v>10433.14</v>
      </c>
      <c r="R476" s="31">
        <v>202310</v>
      </c>
      <c r="S476" s="54"/>
      <c r="T476" s="54"/>
      <c r="U476" s="54"/>
      <c r="V476" s="54"/>
      <c r="W476" s="67"/>
      <c r="X476" s="67"/>
      <c r="Y476" s="36"/>
      <c r="Z476" s="36"/>
      <c r="AA476" s="36"/>
      <c r="AB476" s="36"/>
      <c r="AC476" s="36"/>
      <c r="AD476" s="36"/>
      <c r="AE476" s="36"/>
      <c r="AF476" s="53" t="s">
        <v>68</v>
      </c>
      <c r="AG476" s="42"/>
      <c r="AH476" s="42"/>
      <c r="AI476" s="43"/>
      <c r="AJ476" s="43"/>
      <c r="AK476" s="43"/>
      <c r="AL476" s="43"/>
      <c r="AM476" s="43"/>
      <c r="AN476" s="42"/>
      <c r="AO476" s="42"/>
      <c r="AP476" s="42"/>
      <c r="AQ476" s="43"/>
      <c r="AR476" s="42"/>
      <c r="AS476" s="42"/>
    </row>
    <row r="477" spans="1:45" ht="15" customHeight="1">
      <c r="A477" s="21" t="s">
        <v>57</v>
      </c>
      <c r="B477" s="21" t="s">
        <v>46</v>
      </c>
      <c r="C477" s="21" t="s">
        <v>188</v>
      </c>
      <c r="D477" s="22" t="s">
        <v>59</v>
      </c>
      <c r="E477" s="80" t="s">
        <v>695</v>
      </c>
      <c r="F477" s="65" t="s">
        <v>696</v>
      </c>
      <c r="G477" s="101" t="s">
        <v>77</v>
      </c>
      <c r="H477" s="133" t="s">
        <v>697</v>
      </c>
      <c r="I477" s="24" t="s">
        <v>705</v>
      </c>
      <c r="J477" s="47" t="s">
        <v>699</v>
      </c>
      <c r="K477" s="104"/>
      <c r="L477" s="48" t="s">
        <v>700</v>
      </c>
      <c r="M477" s="27">
        <v>43304</v>
      </c>
      <c r="N477" s="49" t="s">
        <v>177</v>
      </c>
      <c r="O477" s="61">
        <v>5216.57</v>
      </c>
      <c r="P477" s="106">
        <v>2</v>
      </c>
      <c r="Q477" s="51">
        <f t="shared" si="15"/>
        <v>10433.14</v>
      </c>
      <c r="R477" s="31">
        <v>202310</v>
      </c>
      <c r="S477" s="54"/>
      <c r="T477" s="54"/>
      <c r="U477" s="54"/>
      <c r="V477" s="54"/>
      <c r="W477" s="67"/>
      <c r="X477" s="67"/>
      <c r="Y477" s="36"/>
      <c r="Z477" s="36"/>
      <c r="AA477" s="36"/>
      <c r="AB477" s="36"/>
      <c r="AC477" s="36"/>
      <c r="AD477" s="36"/>
      <c r="AE477" s="36"/>
      <c r="AF477" s="53" t="s">
        <v>68</v>
      </c>
      <c r="AG477" s="42"/>
      <c r="AH477" s="42"/>
      <c r="AI477" s="43"/>
      <c r="AJ477" s="43"/>
      <c r="AK477" s="43"/>
      <c r="AL477" s="43"/>
      <c r="AM477" s="43"/>
      <c r="AN477" s="42"/>
      <c r="AO477" s="42"/>
      <c r="AP477" s="42"/>
      <c r="AQ477" s="43"/>
      <c r="AR477" s="42"/>
      <c r="AS477" s="42"/>
    </row>
    <row r="478" spans="1:45" ht="15" customHeight="1">
      <c r="A478" s="21" t="s">
        <v>57</v>
      </c>
      <c r="B478" s="21" t="s">
        <v>46</v>
      </c>
      <c r="C478" s="21" t="s">
        <v>188</v>
      </c>
      <c r="D478" s="22" t="s">
        <v>59</v>
      </c>
      <c r="E478" s="80" t="s">
        <v>695</v>
      </c>
      <c r="F478" s="65" t="s">
        <v>696</v>
      </c>
      <c r="G478" s="101" t="s">
        <v>77</v>
      </c>
      <c r="H478" s="133" t="s">
        <v>697</v>
      </c>
      <c r="I478" s="24" t="s">
        <v>705</v>
      </c>
      <c r="J478" s="47" t="s">
        <v>699</v>
      </c>
      <c r="K478" s="104"/>
      <c r="L478" s="48" t="s">
        <v>700</v>
      </c>
      <c r="M478" s="27">
        <v>43304</v>
      </c>
      <c r="N478" s="49" t="s">
        <v>177</v>
      </c>
      <c r="O478" s="61">
        <v>5216.57</v>
      </c>
      <c r="P478" s="106">
        <v>17</v>
      </c>
      <c r="Q478" s="51">
        <f t="shared" si="15"/>
        <v>88681.69</v>
      </c>
      <c r="R478" s="31">
        <v>202310</v>
      </c>
      <c r="S478" s="54"/>
      <c r="T478" s="54"/>
      <c r="U478" s="54"/>
      <c r="V478" s="54"/>
      <c r="W478" s="67"/>
      <c r="X478" s="67"/>
      <c r="Y478" s="36"/>
      <c r="Z478" s="36"/>
      <c r="AA478" s="36"/>
      <c r="AB478" s="36"/>
      <c r="AC478" s="36"/>
      <c r="AD478" s="36"/>
      <c r="AE478" s="36"/>
      <c r="AF478" s="53" t="s">
        <v>68</v>
      </c>
      <c r="AG478" s="42"/>
      <c r="AH478" s="42"/>
      <c r="AI478" s="43"/>
      <c r="AJ478" s="43"/>
      <c r="AK478" s="43"/>
      <c r="AL478" s="43"/>
      <c r="AM478" s="43"/>
      <c r="AN478" s="42"/>
      <c r="AO478" s="42"/>
      <c r="AP478" s="42"/>
      <c r="AQ478" s="43"/>
      <c r="AR478" s="42"/>
      <c r="AS478" s="42"/>
    </row>
    <row r="479" spans="1:45" ht="15" customHeight="1">
      <c r="A479" s="21" t="s">
        <v>57</v>
      </c>
      <c r="B479" s="21" t="s">
        <v>46</v>
      </c>
      <c r="C479" s="21" t="s">
        <v>188</v>
      </c>
      <c r="D479" s="22" t="s">
        <v>59</v>
      </c>
      <c r="E479" s="80" t="s">
        <v>695</v>
      </c>
      <c r="F479" s="65" t="s">
        <v>696</v>
      </c>
      <c r="G479" s="101" t="s">
        <v>77</v>
      </c>
      <c r="H479" s="133" t="s">
        <v>697</v>
      </c>
      <c r="I479" s="24" t="s">
        <v>705</v>
      </c>
      <c r="J479" s="47" t="s">
        <v>699</v>
      </c>
      <c r="K479" s="104"/>
      <c r="L479" s="48" t="s">
        <v>700</v>
      </c>
      <c r="M479" s="27">
        <v>43307</v>
      </c>
      <c r="N479" s="49" t="s">
        <v>177</v>
      </c>
      <c r="O479" s="61">
        <v>5216.57</v>
      </c>
      <c r="P479" s="106">
        <v>14</v>
      </c>
      <c r="Q479" s="51">
        <f t="shared" si="15"/>
        <v>73031.98</v>
      </c>
      <c r="R479" s="31">
        <v>202310</v>
      </c>
      <c r="S479" s="54"/>
      <c r="T479" s="54"/>
      <c r="U479" s="54"/>
      <c r="V479" s="54"/>
      <c r="W479" s="67"/>
      <c r="X479" s="67"/>
      <c r="Y479" s="36"/>
      <c r="Z479" s="36"/>
      <c r="AA479" s="36"/>
      <c r="AB479" s="36"/>
      <c r="AC479" s="36"/>
      <c r="AD479" s="36"/>
      <c r="AE479" s="36"/>
      <c r="AF479" s="53" t="s">
        <v>68</v>
      </c>
      <c r="AG479" s="42"/>
      <c r="AH479" s="42"/>
      <c r="AI479" s="43"/>
      <c r="AJ479" s="43"/>
      <c r="AK479" s="43"/>
      <c r="AL479" s="43"/>
      <c r="AM479" s="43"/>
      <c r="AN479" s="42"/>
      <c r="AO479" s="42"/>
      <c r="AP479" s="42"/>
      <c r="AQ479" s="43"/>
      <c r="AR479" s="42"/>
      <c r="AS479" s="42"/>
    </row>
    <row r="480" spans="1:45" ht="15" customHeight="1">
      <c r="A480" s="21" t="s">
        <v>57</v>
      </c>
      <c r="B480" s="21" t="s">
        <v>46</v>
      </c>
      <c r="C480" s="21" t="s">
        <v>188</v>
      </c>
      <c r="D480" s="22" t="s">
        <v>59</v>
      </c>
      <c r="E480" s="80" t="s">
        <v>695</v>
      </c>
      <c r="F480" s="65" t="s">
        <v>696</v>
      </c>
      <c r="G480" s="101" t="s">
        <v>77</v>
      </c>
      <c r="H480" s="133" t="s">
        <v>697</v>
      </c>
      <c r="I480" s="24" t="s">
        <v>705</v>
      </c>
      <c r="J480" s="47" t="s">
        <v>699</v>
      </c>
      <c r="K480" s="104"/>
      <c r="L480" s="48" t="s">
        <v>700</v>
      </c>
      <c r="M480" s="27">
        <v>43311</v>
      </c>
      <c r="N480" s="49" t="s">
        <v>177</v>
      </c>
      <c r="O480" s="61">
        <v>5216.57</v>
      </c>
      <c r="P480" s="106">
        <v>8</v>
      </c>
      <c r="Q480" s="51">
        <f t="shared" si="15"/>
        <v>41732.559999999998</v>
      </c>
      <c r="R480" s="31">
        <v>202310</v>
      </c>
      <c r="S480" s="54"/>
      <c r="T480" s="54"/>
      <c r="U480" s="54"/>
      <c r="V480" s="54"/>
      <c r="W480" s="67"/>
      <c r="X480" s="67"/>
      <c r="Y480" s="36"/>
      <c r="Z480" s="36"/>
      <c r="AA480" s="36"/>
      <c r="AB480" s="36"/>
      <c r="AC480" s="36"/>
      <c r="AD480" s="36"/>
      <c r="AE480" s="36"/>
      <c r="AF480" s="53" t="s">
        <v>68</v>
      </c>
      <c r="AG480" s="42"/>
      <c r="AH480" s="42"/>
      <c r="AI480" s="43"/>
      <c r="AJ480" s="43"/>
      <c r="AK480" s="43"/>
      <c r="AL480" s="43"/>
      <c r="AM480" s="43"/>
      <c r="AN480" s="42"/>
      <c r="AO480" s="42"/>
      <c r="AP480" s="42"/>
      <c r="AQ480" s="43"/>
      <c r="AR480" s="42"/>
      <c r="AS480" s="42"/>
    </row>
    <row r="481" spans="1:45" ht="15" customHeight="1">
      <c r="A481" s="21" t="s">
        <v>57</v>
      </c>
      <c r="B481" s="21" t="s">
        <v>46</v>
      </c>
      <c r="C481" s="21" t="s">
        <v>188</v>
      </c>
      <c r="D481" s="22" t="s">
        <v>59</v>
      </c>
      <c r="E481" s="80" t="s">
        <v>695</v>
      </c>
      <c r="F481" s="65" t="s">
        <v>696</v>
      </c>
      <c r="G481" s="101" t="s">
        <v>77</v>
      </c>
      <c r="H481" s="133" t="s">
        <v>697</v>
      </c>
      <c r="I481" s="24" t="s">
        <v>705</v>
      </c>
      <c r="J481" s="47" t="s">
        <v>699</v>
      </c>
      <c r="K481" s="104"/>
      <c r="L481" s="48" t="s">
        <v>700</v>
      </c>
      <c r="M481" s="27">
        <v>43313</v>
      </c>
      <c r="N481" s="49" t="s">
        <v>177</v>
      </c>
      <c r="O481" s="61">
        <v>5216.57</v>
      </c>
      <c r="P481" s="106">
        <v>13</v>
      </c>
      <c r="Q481" s="51">
        <f t="shared" si="15"/>
        <v>67815.41</v>
      </c>
      <c r="R481" s="31">
        <v>202310</v>
      </c>
      <c r="S481" s="54"/>
      <c r="T481" s="54"/>
      <c r="U481" s="54"/>
      <c r="V481" s="54"/>
      <c r="W481" s="67"/>
      <c r="X481" s="67"/>
      <c r="Y481" s="36"/>
      <c r="Z481" s="36"/>
      <c r="AA481" s="36"/>
      <c r="AB481" s="36"/>
      <c r="AC481" s="36"/>
      <c r="AD481" s="36"/>
      <c r="AE481" s="36"/>
      <c r="AF481" s="53" t="s">
        <v>68</v>
      </c>
      <c r="AG481" s="42"/>
      <c r="AH481" s="42"/>
      <c r="AI481" s="43"/>
      <c r="AJ481" s="43"/>
      <c r="AK481" s="43"/>
      <c r="AL481" s="43"/>
      <c r="AM481" s="43"/>
      <c r="AN481" s="42"/>
      <c r="AO481" s="42"/>
      <c r="AP481" s="42"/>
      <c r="AQ481" s="43"/>
      <c r="AR481" s="42"/>
      <c r="AS481" s="42"/>
    </row>
    <row r="482" spans="1:45" ht="15" customHeight="1">
      <c r="A482" s="21" t="s">
        <v>57</v>
      </c>
      <c r="B482" s="21" t="s">
        <v>46</v>
      </c>
      <c r="C482" s="21" t="s">
        <v>188</v>
      </c>
      <c r="D482" s="22" t="s">
        <v>59</v>
      </c>
      <c r="E482" s="80" t="s">
        <v>695</v>
      </c>
      <c r="F482" s="65" t="s">
        <v>696</v>
      </c>
      <c r="G482" s="101" t="s">
        <v>77</v>
      </c>
      <c r="H482" s="133" t="s">
        <v>697</v>
      </c>
      <c r="I482" s="24" t="s">
        <v>705</v>
      </c>
      <c r="J482" s="47" t="s">
        <v>699</v>
      </c>
      <c r="K482" s="104"/>
      <c r="L482" s="48" t="s">
        <v>700</v>
      </c>
      <c r="M482" s="27">
        <v>43322</v>
      </c>
      <c r="N482" s="49" t="s">
        <v>177</v>
      </c>
      <c r="O482" s="61">
        <v>5216.57</v>
      </c>
      <c r="P482" s="106">
        <v>5</v>
      </c>
      <c r="Q482" s="51">
        <f t="shared" si="15"/>
        <v>26082.85</v>
      </c>
      <c r="R482" s="31">
        <v>202310</v>
      </c>
      <c r="S482" s="54"/>
      <c r="T482" s="54"/>
      <c r="U482" s="54"/>
      <c r="V482" s="54"/>
      <c r="W482" s="67"/>
      <c r="X482" s="67"/>
      <c r="Y482" s="36"/>
      <c r="Z482" s="36"/>
      <c r="AA482" s="36"/>
      <c r="AB482" s="36"/>
      <c r="AC482" s="36"/>
      <c r="AD482" s="36"/>
      <c r="AE482" s="36"/>
      <c r="AF482" s="53" t="s">
        <v>68</v>
      </c>
      <c r="AG482" s="42"/>
      <c r="AH482" s="42"/>
      <c r="AI482" s="43"/>
      <c r="AJ482" s="43"/>
      <c r="AK482" s="43"/>
      <c r="AL482" s="43"/>
      <c r="AM482" s="43"/>
      <c r="AN482" s="42"/>
      <c r="AO482" s="42"/>
      <c r="AP482" s="42"/>
      <c r="AQ482" s="43"/>
      <c r="AR482" s="42"/>
      <c r="AS482" s="42"/>
    </row>
    <row r="483" spans="1:45" ht="15" customHeight="1">
      <c r="A483" s="21" t="s">
        <v>57</v>
      </c>
      <c r="B483" s="21" t="s">
        <v>46</v>
      </c>
      <c r="C483" s="21" t="s">
        <v>188</v>
      </c>
      <c r="D483" s="22" t="s">
        <v>59</v>
      </c>
      <c r="E483" s="80" t="s">
        <v>695</v>
      </c>
      <c r="F483" s="65" t="s">
        <v>696</v>
      </c>
      <c r="G483" s="101" t="s">
        <v>77</v>
      </c>
      <c r="H483" s="133" t="s">
        <v>697</v>
      </c>
      <c r="I483" s="24" t="s">
        <v>705</v>
      </c>
      <c r="J483" s="47" t="s">
        <v>699</v>
      </c>
      <c r="K483" s="104"/>
      <c r="L483" s="48" t="s">
        <v>700</v>
      </c>
      <c r="M483" s="27">
        <v>43318</v>
      </c>
      <c r="N483" s="49" t="s">
        <v>177</v>
      </c>
      <c r="O483" s="61">
        <v>5216.57</v>
      </c>
      <c r="P483" s="106">
        <v>2</v>
      </c>
      <c r="Q483" s="51">
        <f t="shared" si="15"/>
        <v>10433.14</v>
      </c>
      <c r="R483" s="31">
        <v>202310</v>
      </c>
      <c r="S483" s="54"/>
      <c r="T483" s="54"/>
      <c r="U483" s="54"/>
      <c r="V483" s="54"/>
      <c r="W483" s="67"/>
      <c r="X483" s="67"/>
      <c r="Y483" s="36"/>
      <c r="Z483" s="36"/>
      <c r="AA483" s="36"/>
      <c r="AB483" s="36"/>
      <c r="AC483" s="36"/>
      <c r="AD483" s="36"/>
      <c r="AE483" s="36"/>
      <c r="AF483" s="53" t="s">
        <v>68</v>
      </c>
      <c r="AG483" s="42"/>
      <c r="AH483" s="42"/>
      <c r="AI483" s="43"/>
      <c r="AJ483" s="43"/>
      <c r="AK483" s="43"/>
      <c r="AL483" s="43"/>
      <c r="AM483" s="43"/>
      <c r="AN483" s="42"/>
      <c r="AO483" s="42"/>
      <c r="AP483" s="42"/>
      <c r="AQ483" s="43"/>
      <c r="AR483" s="42"/>
      <c r="AS483" s="42"/>
    </row>
    <row r="484" spans="1:45" ht="15" customHeight="1">
      <c r="A484" s="21" t="s">
        <v>57</v>
      </c>
      <c r="B484" s="21" t="s">
        <v>46</v>
      </c>
      <c r="C484" s="21" t="s">
        <v>188</v>
      </c>
      <c r="D484" s="22" t="s">
        <v>59</v>
      </c>
      <c r="E484" s="80" t="s">
        <v>695</v>
      </c>
      <c r="F484" s="65" t="s">
        <v>696</v>
      </c>
      <c r="G484" s="101" t="s">
        <v>77</v>
      </c>
      <c r="H484" s="133" t="s">
        <v>697</v>
      </c>
      <c r="I484" s="24" t="s">
        <v>705</v>
      </c>
      <c r="J484" s="47" t="s">
        <v>699</v>
      </c>
      <c r="K484" s="104"/>
      <c r="L484" s="48" t="s">
        <v>700</v>
      </c>
      <c r="M484" s="27">
        <v>43321</v>
      </c>
      <c r="N484" s="49" t="s">
        <v>177</v>
      </c>
      <c r="O484" s="61">
        <v>5216.57</v>
      </c>
      <c r="P484" s="106">
        <v>1</v>
      </c>
      <c r="Q484" s="51">
        <f t="shared" si="15"/>
        <v>5216.57</v>
      </c>
      <c r="R484" s="31">
        <v>202310</v>
      </c>
      <c r="S484" s="54"/>
      <c r="T484" s="54"/>
      <c r="U484" s="54"/>
      <c r="V484" s="54"/>
      <c r="W484" s="67"/>
      <c r="X484" s="67"/>
      <c r="Y484" s="36"/>
      <c r="Z484" s="36"/>
      <c r="AA484" s="36"/>
      <c r="AB484" s="36"/>
      <c r="AC484" s="36"/>
      <c r="AD484" s="36"/>
      <c r="AE484" s="36"/>
      <c r="AF484" s="53" t="s">
        <v>68</v>
      </c>
      <c r="AG484" s="42"/>
      <c r="AH484" s="42"/>
      <c r="AI484" s="43"/>
      <c r="AJ484" s="43"/>
      <c r="AK484" s="43"/>
      <c r="AL484" s="43"/>
      <c r="AM484" s="43"/>
      <c r="AN484" s="42"/>
      <c r="AO484" s="42"/>
      <c r="AP484" s="42"/>
      <c r="AQ484" s="43"/>
      <c r="AR484" s="42"/>
      <c r="AS484" s="42"/>
    </row>
    <row r="485" spans="1:45" ht="15" customHeight="1">
      <c r="A485" s="21" t="s">
        <v>57</v>
      </c>
      <c r="B485" s="21" t="s">
        <v>46</v>
      </c>
      <c r="C485" s="21" t="s">
        <v>188</v>
      </c>
      <c r="D485" s="22" t="s">
        <v>59</v>
      </c>
      <c r="E485" s="80" t="s">
        <v>695</v>
      </c>
      <c r="F485" s="65" t="s">
        <v>696</v>
      </c>
      <c r="G485" s="101" t="s">
        <v>77</v>
      </c>
      <c r="H485" s="133" t="s">
        <v>697</v>
      </c>
      <c r="I485" s="24" t="s">
        <v>705</v>
      </c>
      <c r="J485" s="47" t="s">
        <v>699</v>
      </c>
      <c r="K485" s="104"/>
      <c r="L485" s="48" t="s">
        <v>700</v>
      </c>
      <c r="M485" s="27">
        <v>43322</v>
      </c>
      <c r="N485" s="49" t="s">
        <v>177</v>
      </c>
      <c r="O485" s="61">
        <v>5216.57</v>
      </c>
      <c r="P485" s="106">
        <v>1</v>
      </c>
      <c r="Q485" s="51">
        <f t="shared" si="15"/>
        <v>5216.57</v>
      </c>
      <c r="R485" s="31">
        <v>202310</v>
      </c>
      <c r="S485" s="54"/>
      <c r="T485" s="54"/>
      <c r="U485" s="54"/>
      <c r="V485" s="54"/>
      <c r="W485" s="67"/>
      <c r="X485" s="67"/>
      <c r="Y485" s="36"/>
      <c r="Z485" s="36"/>
      <c r="AA485" s="36"/>
      <c r="AB485" s="36"/>
      <c r="AC485" s="36"/>
      <c r="AD485" s="36"/>
      <c r="AE485" s="36"/>
      <c r="AF485" s="53" t="s">
        <v>68</v>
      </c>
      <c r="AG485" s="42"/>
      <c r="AH485" s="42"/>
      <c r="AI485" s="43"/>
      <c r="AJ485" s="43"/>
      <c r="AK485" s="43"/>
      <c r="AL485" s="43"/>
      <c r="AM485" s="43"/>
      <c r="AN485" s="42"/>
      <c r="AO485" s="42"/>
      <c r="AP485" s="42"/>
      <c r="AQ485" s="43"/>
      <c r="AR485" s="42"/>
      <c r="AS485" s="42"/>
    </row>
    <row r="486" spans="1:45" ht="15" customHeight="1">
      <c r="A486" s="21" t="s">
        <v>57</v>
      </c>
      <c r="B486" s="21" t="s">
        <v>46</v>
      </c>
      <c r="C486" s="21" t="s">
        <v>188</v>
      </c>
      <c r="D486" s="22" t="s">
        <v>59</v>
      </c>
      <c r="E486" s="80" t="s">
        <v>695</v>
      </c>
      <c r="F486" s="65" t="s">
        <v>696</v>
      </c>
      <c r="G486" s="101" t="s">
        <v>77</v>
      </c>
      <c r="H486" s="133" t="s">
        <v>697</v>
      </c>
      <c r="I486" s="24" t="s">
        <v>705</v>
      </c>
      <c r="J486" s="47" t="s">
        <v>699</v>
      </c>
      <c r="K486" s="104"/>
      <c r="L486" s="48" t="s">
        <v>700</v>
      </c>
      <c r="M486" s="27">
        <v>43329</v>
      </c>
      <c r="N486" s="49" t="s">
        <v>177</v>
      </c>
      <c r="O486" s="61">
        <v>5216.57</v>
      </c>
      <c r="P486" s="106">
        <v>6</v>
      </c>
      <c r="Q486" s="51">
        <f t="shared" si="15"/>
        <v>31299.42</v>
      </c>
      <c r="R486" s="31">
        <v>202310</v>
      </c>
      <c r="S486" s="54"/>
      <c r="T486" s="54"/>
      <c r="U486" s="54"/>
      <c r="V486" s="54"/>
      <c r="W486" s="67"/>
      <c r="X486" s="67"/>
      <c r="Y486" s="36"/>
      <c r="Z486" s="36"/>
      <c r="AA486" s="36"/>
      <c r="AB486" s="36"/>
      <c r="AC486" s="36"/>
      <c r="AD486" s="36"/>
      <c r="AE486" s="36"/>
      <c r="AF486" s="53" t="s">
        <v>68</v>
      </c>
      <c r="AG486" s="42"/>
      <c r="AH486" s="42"/>
      <c r="AI486" s="43"/>
      <c r="AJ486" s="43"/>
      <c r="AK486" s="43"/>
      <c r="AL486" s="43"/>
      <c r="AM486" s="43"/>
      <c r="AN486" s="42"/>
      <c r="AO486" s="42"/>
      <c r="AP486" s="42"/>
      <c r="AQ486" s="43"/>
      <c r="AR486" s="42"/>
      <c r="AS486" s="42"/>
    </row>
    <row r="487" spans="1:45" ht="15" customHeight="1">
      <c r="A487" s="21" t="s">
        <v>57</v>
      </c>
      <c r="B487" s="21" t="s">
        <v>46</v>
      </c>
      <c r="C487" s="21" t="s">
        <v>188</v>
      </c>
      <c r="D487" s="22" t="s">
        <v>59</v>
      </c>
      <c r="E487" s="80" t="s">
        <v>695</v>
      </c>
      <c r="F487" s="65" t="s">
        <v>696</v>
      </c>
      <c r="G487" s="101" t="s">
        <v>77</v>
      </c>
      <c r="H487" s="133" t="s">
        <v>697</v>
      </c>
      <c r="I487" s="24" t="s">
        <v>705</v>
      </c>
      <c r="J487" s="47" t="s">
        <v>699</v>
      </c>
      <c r="K487" s="104"/>
      <c r="L487" s="48" t="s">
        <v>700</v>
      </c>
      <c r="M487" s="27">
        <v>43332</v>
      </c>
      <c r="N487" s="49" t="s">
        <v>177</v>
      </c>
      <c r="O487" s="61">
        <v>5216.57</v>
      </c>
      <c r="P487" s="106">
        <v>11</v>
      </c>
      <c r="Q487" s="51">
        <f t="shared" si="15"/>
        <v>57382.27</v>
      </c>
      <c r="R487" s="31">
        <v>202310</v>
      </c>
      <c r="S487" s="54"/>
      <c r="T487" s="54"/>
      <c r="U487" s="54"/>
      <c r="V487" s="54"/>
      <c r="W487" s="67"/>
      <c r="X487" s="67"/>
      <c r="Y487" s="36"/>
      <c r="Z487" s="36"/>
      <c r="AA487" s="36"/>
      <c r="AB487" s="36"/>
      <c r="AC487" s="36"/>
      <c r="AD487" s="36"/>
      <c r="AE487" s="36"/>
      <c r="AF487" s="53" t="s">
        <v>68</v>
      </c>
      <c r="AG487" s="42"/>
      <c r="AH487" s="42"/>
      <c r="AI487" s="43"/>
      <c r="AJ487" s="43"/>
      <c r="AK487" s="43"/>
      <c r="AL487" s="43"/>
      <c r="AM487" s="43"/>
      <c r="AN487" s="42"/>
      <c r="AO487" s="42"/>
      <c r="AP487" s="42"/>
      <c r="AQ487" s="43"/>
      <c r="AR487" s="42"/>
      <c r="AS487" s="42"/>
    </row>
    <row r="488" spans="1:45" ht="15" customHeight="1">
      <c r="A488" s="21" t="s">
        <v>57</v>
      </c>
      <c r="B488" s="21" t="s">
        <v>46</v>
      </c>
      <c r="C488" s="21" t="s">
        <v>188</v>
      </c>
      <c r="D488" s="22" t="s">
        <v>59</v>
      </c>
      <c r="E488" s="80" t="s">
        <v>695</v>
      </c>
      <c r="F488" s="65" t="s">
        <v>696</v>
      </c>
      <c r="G488" s="101" t="s">
        <v>77</v>
      </c>
      <c r="H488" s="133" t="s">
        <v>697</v>
      </c>
      <c r="I488" s="24" t="s">
        <v>705</v>
      </c>
      <c r="J488" s="47" t="s">
        <v>699</v>
      </c>
      <c r="K488" s="104"/>
      <c r="L488" s="48" t="s">
        <v>700</v>
      </c>
      <c r="M488" s="27">
        <v>43333</v>
      </c>
      <c r="N488" s="49" t="s">
        <v>177</v>
      </c>
      <c r="O488" s="61">
        <v>5216.57</v>
      </c>
      <c r="P488" s="106">
        <v>1</v>
      </c>
      <c r="Q488" s="51">
        <f t="shared" si="15"/>
        <v>5216.57</v>
      </c>
      <c r="R488" s="31">
        <v>202310</v>
      </c>
      <c r="S488" s="54"/>
      <c r="T488" s="54"/>
      <c r="U488" s="54"/>
      <c r="V488" s="54"/>
      <c r="W488" s="67"/>
      <c r="X488" s="67"/>
      <c r="Y488" s="36"/>
      <c r="Z488" s="36"/>
      <c r="AA488" s="36"/>
      <c r="AB488" s="36"/>
      <c r="AC488" s="36"/>
      <c r="AD488" s="36"/>
      <c r="AE488" s="36"/>
      <c r="AF488" s="53" t="s">
        <v>68</v>
      </c>
      <c r="AG488" s="42"/>
      <c r="AH488" s="42"/>
      <c r="AI488" s="43"/>
      <c r="AJ488" s="43"/>
      <c r="AK488" s="43"/>
      <c r="AL488" s="43"/>
      <c r="AM488" s="43"/>
      <c r="AN488" s="42"/>
      <c r="AO488" s="42"/>
      <c r="AP488" s="42"/>
      <c r="AQ488" s="43"/>
      <c r="AR488" s="42"/>
      <c r="AS488" s="42"/>
    </row>
    <row r="489" spans="1:45" ht="15" customHeight="1">
      <c r="A489" s="21" t="s">
        <v>57</v>
      </c>
      <c r="B489" s="21" t="s">
        <v>46</v>
      </c>
      <c r="C489" s="21" t="s">
        <v>188</v>
      </c>
      <c r="D489" s="22" t="s">
        <v>59</v>
      </c>
      <c r="E489" s="80" t="s">
        <v>695</v>
      </c>
      <c r="F489" s="65" t="s">
        <v>696</v>
      </c>
      <c r="G489" s="101" t="s">
        <v>77</v>
      </c>
      <c r="H489" s="133" t="s">
        <v>697</v>
      </c>
      <c r="I489" s="24" t="s">
        <v>705</v>
      </c>
      <c r="J489" s="47" t="s">
        <v>699</v>
      </c>
      <c r="K489" s="104"/>
      <c r="L489" s="48" t="s">
        <v>700</v>
      </c>
      <c r="M489" s="27">
        <v>43335</v>
      </c>
      <c r="N489" s="49" t="s">
        <v>177</v>
      </c>
      <c r="O489" s="61">
        <v>5216.57</v>
      </c>
      <c r="P489" s="106">
        <v>2</v>
      </c>
      <c r="Q489" s="51">
        <f t="shared" si="15"/>
        <v>10433.14</v>
      </c>
      <c r="R489" s="31">
        <v>202310</v>
      </c>
      <c r="S489" s="54"/>
      <c r="T489" s="54"/>
      <c r="U489" s="54"/>
      <c r="V489" s="54"/>
      <c r="W489" s="67"/>
      <c r="X489" s="67"/>
      <c r="Y489" s="36"/>
      <c r="Z489" s="36"/>
      <c r="AA489" s="36"/>
      <c r="AB489" s="36"/>
      <c r="AC489" s="36"/>
      <c r="AD489" s="36"/>
      <c r="AE489" s="36"/>
      <c r="AF489" s="53" t="s">
        <v>68</v>
      </c>
      <c r="AG489" s="42"/>
      <c r="AH489" s="42"/>
      <c r="AI489" s="43"/>
      <c r="AJ489" s="43"/>
      <c r="AK489" s="43"/>
      <c r="AL489" s="43"/>
      <c r="AM489" s="43"/>
      <c r="AN489" s="42"/>
      <c r="AO489" s="42"/>
      <c r="AP489" s="42"/>
      <c r="AQ489" s="43"/>
      <c r="AR489" s="42"/>
      <c r="AS489" s="42"/>
    </row>
    <row r="490" spans="1:45" ht="15" customHeight="1">
      <c r="A490" s="21" t="s">
        <v>57</v>
      </c>
      <c r="B490" s="21" t="s">
        <v>46</v>
      </c>
      <c r="C490" s="21" t="s">
        <v>188</v>
      </c>
      <c r="D490" s="22" t="s">
        <v>59</v>
      </c>
      <c r="E490" s="80" t="s">
        <v>695</v>
      </c>
      <c r="F490" s="65" t="s">
        <v>696</v>
      </c>
      <c r="G490" s="101" t="s">
        <v>77</v>
      </c>
      <c r="H490" s="133" t="s">
        <v>697</v>
      </c>
      <c r="I490" s="24" t="s">
        <v>705</v>
      </c>
      <c r="J490" s="47" t="s">
        <v>699</v>
      </c>
      <c r="K490" s="104"/>
      <c r="L490" s="48" t="s">
        <v>700</v>
      </c>
      <c r="M490" s="27">
        <v>43336</v>
      </c>
      <c r="N490" s="49" t="s">
        <v>177</v>
      </c>
      <c r="O490" s="61">
        <v>5216.57</v>
      </c>
      <c r="P490" s="106">
        <v>36</v>
      </c>
      <c r="Q490" s="51">
        <f t="shared" si="15"/>
        <v>187796.52</v>
      </c>
      <c r="R490" s="31">
        <v>202310</v>
      </c>
      <c r="S490" s="54"/>
      <c r="T490" s="54"/>
      <c r="U490" s="54"/>
      <c r="V490" s="54"/>
      <c r="W490" s="67"/>
      <c r="X490" s="67"/>
      <c r="Y490" s="36"/>
      <c r="Z490" s="36"/>
      <c r="AA490" s="36"/>
      <c r="AB490" s="36"/>
      <c r="AC490" s="36"/>
      <c r="AD490" s="36"/>
      <c r="AE490" s="36"/>
      <c r="AF490" s="53" t="s">
        <v>68</v>
      </c>
      <c r="AG490" s="42"/>
      <c r="AH490" s="42"/>
      <c r="AI490" s="43"/>
      <c r="AJ490" s="43"/>
      <c r="AK490" s="43"/>
      <c r="AL490" s="43"/>
      <c r="AM490" s="43"/>
      <c r="AN490" s="42"/>
      <c r="AO490" s="42"/>
      <c r="AP490" s="42"/>
      <c r="AQ490" s="43"/>
      <c r="AR490" s="42"/>
      <c r="AS490" s="42"/>
    </row>
    <row r="491" spans="1:45" ht="15" customHeight="1">
      <c r="A491" s="21" t="s">
        <v>57</v>
      </c>
      <c r="B491" s="21" t="s">
        <v>46</v>
      </c>
      <c r="C491" s="21" t="s">
        <v>188</v>
      </c>
      <c r="D491" s="22" t="s">
        <v>59</v>
      </c>
      <c r="E491" s="80" t="s">
        <v>695</v>
      </c>
      <c r="F491" s="65" t="s">
        <v>696</v>
      </c>
      <c r="G491" s="101" t="s">
        <v>77</v>
      </c>
      <c r="H491" s="133" t="s">
        <v>697</v>
      </c>
      <c r="I491" s="24" t="s">
        <v>705</v>
      </c>
      <c r="J491" s="47" t="s">
        <v>699</v>
      </c>
      <c r="K491" s="104"/>
      <c r="L491" s="48" t="s">
        <v>700</v>
      </c>
      <c r="M491" s="27">
        <v>43320</v>
      </c>
      <c r="N491" s="49" t="s">
        <v>177</v>
      </c>
      <c r="O491" s="61">
        <v>5216.57</v>
      </c>
      <c r="P491" s="106">
        <v>2</v>
      </c>
      <c r="Q491" s="51">
        <f t="shared" si="15"/>
        <v>10433.14</v>
      </c>
      <c r="R491" s="31">
        <v>202310</v>
      </c>
      <c r="S491" s="54"/>
      <c r="T491" s="54"/>
      <c r="U491" s="54"/>
      <c r="V491" s="54"/>
      <c r="W491" s="67"/>
      <c r="X491" s="67"/>
      <c r="Y491" s="36"/>
      <c r="Z491" s="36"/>
      <c r="AA491" s="36"/>
      <c r="AB491" s="36"/>
      <c r="AC491" s="36"/>
      <c r="AD491" s="36"/>
      <c r="AE491" s="36"/>
      <c r="AF491" s="53" t="s">
        <v>68</v>
      </c>
      <c r="AG491" s="42"/>
      <c r="AH491" s="42"/>
      <c r="AI491" s="43"/>
      <c r="AJ491" s="43"/>
      <c r="AK491" s="43"/>
      <c r="AL491" s="43"/>
      <c r="AM491" s="43"/>
      <c r="AN491" s="42"/>
      <c r="AO491" s="42"/>
      <c r="AP491" s="42"/>
      <c r="AQ491" s="43"/>
      <c r="AR491" s="42"/>
      <c r="AS491" s="42"/>
    </row>
    <row r="492" spans="1:45" ht="15" customHeight="1">
      <c r="A492" s="21" t="s">
        <v>57</v>
      </c>
      <c r="B492" s="21" t="s">
        <v>46</v>
      </c>
      <c r="C492" s="21" t="s">
        <v>188</v>
      </c>
      <c r="D492" s="22" t="s">
        <v>59</v>
      </c>
      <c r="E492" s="80" t="s">
        <v>695</v>
      </c>
      <c r="F492" s="65" t="s">
        <v>696</v>
      </c>
      <c r="G492" s="101" t="s">
        <v>77</v>
      </c>
      <c r="H492" s="133" t="s">
        <v>697</v>
      </c>
      <c r="I492" s="24" t="s">
        <v>705</v>
      </c>
      <c r="J492" s="47" t="s">
        <v>699</v>
      </c>
      <c r="K492" s="104"/>
      <c r="L492" s="48" t="s">
        <v>700</v>
      </c>
      <c r="M492" s="27">
        <v>43336</v>
      </c>
      <c r="N492" s="49" t="s">
        <v>177</v>
      </c>
      <c r="O492" s="61">
        <v>5216.57</v>
      </c>
      <c r="P492" s="106">
        <v>166</v>
      </c>
      <c r="Q492" s="51">
        <f t="shared" ref="Q492:Q558" si="16">ROUND(O492*P492,2)</f>
        <v>865950.62</v>
      </c>
      <c r="R492" s="31">
        <v>202310</v>
      </c>
      <c r="S492" s="54"/>
      <c r="T492" s="54"/>
      <c r="U492" s="54"/>
      <c r="V492" s="54"/>
      <c r="W492" s="67"/>
      <c r="X492" s="67"/>
      <c r="Y492" s="36"/>
      <c r="Z492" s="36"/>
      <c r="AA492" s="36"/>
      <c r="AB492" s="36"/>
      <c r="AC492" s="36"/>
      <c r="AD492" s="36"/>
      <c r="AE492" s="36"/>
      <c r="AF492" s="53" t="s">
        <v>68</v>
      </c>
      <c r="AG492" s="42"/>
      <c r="AH492" s="42"/>
      <c r="AI492" s="43"/>
      <c r="AJ492" s="43"/>
      <c r="AK492" s="43"/>
      <c r="AL492" s="43"/>
      <c r="AM492" s="43"/>
      <c r="AN492" s="42"/>
      <c r="AO492" s="42"/>
      <c r="AP492" s="42"/>
      <c r="AQ492" s="43"/>
      <c r="AR492" s="42"/>
      <c r="AS492" s="42"/>
    </row>
    <row r="493" spans="1:45" ht="15" customHeight="1">
      <c r="A493" s="21" t="s">
        <v>57</v>
      </c>
      <c r="B493" s="21" t="s">
        <v>46</v>
      </c>
      <c r="C493" s="21" t="s">
        <v>188</v>
      </c>
      <c r="D493" s="22" t="s">
        <v>59</v>
      </c>
      <c r="E493" s="80" t="s">
        <v>695</v>
      </c>
      <c r="F493" s="65" t="s">
        <v>696</v>
      </c>
      <c r="G493" s="101" t="s">
        <v>77</v>
      </c>
      <c r="H493" s="133" t="s">
        <v>697</v>
      </c>
      <c r="I493" s="24" t="s">
        <v>705</v>
      </c>
      <c r="J493" s="47" t="s">
        <v>699</v>
      </c>
      <c r="K493" s="104"/>
      <c r="L493" s="48" t="s">
        <v>700</v>
      </c>
      <c r="M493" s="27">
        <v>43342</v>
      </c>
      <c r="N493" s="49" t="s">
        <v>177</v>
      </c>
      <c r="O493" s="61">
        <v>5216.57</v>
      </c>
      <c r="P493" s="106">
        <v>59</v>
      </c>
      <c r="Q493" s="51">
        <f t="shared" si="16"/>
        <v>307777.63</v>
      </c>
      <c r="R493" s="31">
        <v>202310</v>
      </c>
      <c r="S493" s="54"/>
      <c r="T493" s="54"/>
      <c r="U493" s="54"/>
      <c r="V493" s="54"/>
      <c r="W493" s="67"/>
      <c r="X493" s="67"/>
      <c r="Y493" s="36"/>
      <c r="Z493" s="36"/>
      <c r="AA493" s="36"/>
      <c r="AB493" s="36"/>
      <c r="AC493" s="36"/>
      <c r="AD493" s="36"/>
      <c r="AE493" s="36"/>
      <c r="AF493" s="53" t="s">
        <v>68</v>
      </c>
      <c r="AG493" s="42"/>
      <c r="AH493" s="42"/>
      <c r="AI493" s="43"/>
      <c r="AJ493" s="43"/>
      <c r="AK493" s="43"/>
      <c r="AL493" s="43"/>
      <c r="AM493" s="43"/>
      <c r="AN493" s="42"/>
      <c r="AO493" s="42"/>
      <c r="AP493" s="42"/>
      <c r="AQ493" s="43"/>
      <c r="AR493" s="42"/>
      <c r="AS493" s="42"/>
    </row>
    <row r="494" spans="1:45" ht="15" customHeight="1">
      <c r="A494" s="21" t="s">
        <v>57</v>
      </c>
      <c r="B494" s="21" t="s">
        <v>46</v>
      </c>
      <c r="C494" s="21" t="s">
        <v>188</v>
      </c>
      <c r="D494" s="22" t="s">
        <v>59</v>
      </c>
      <c r="E494" s="80" t="s">
        <v>695</v>
      </c>
      <c r="F494" s="65" t="s">
        <v>696</v>
      </c>
      <c r="G494" s="101" t="s">
        <v>77</v>
      </c>
      <c r="H494" s="133" t="s">
        <v>697</v>
      </c>
      <c r="I494" s="24" t="s">
        <v>705</v>
      </c>
      <c r="J494" s="47" t="s">
        <v>699</v>
      </c>
      <c r="K494" s="104"/>
      <c r="L494" s="48" t="s">
        <v>700</v>
      </c>
      <c r="M494" s="27">
        <v>43343</v>
      </c>
      <c r="N494" s="49" t="s">
        <v>177</v>
      </c>
      <c r="O494" s="61">
        <v>5216.57</v>
      </c>
      <c r="P494" s="106">
        <v>45</v>
      </c>
      <c r="Q494" s="51">
        <f t="shared" si="16"/>
        <v>234745.65</v>
      </c>
      <c r="R494" s="31">
        <v>202310</v>
      </c>
      <c r="S494" s="54"/>
      <c r="T494" s="54"/>
      <c r="U494" s="54"/>
      <c r="V494" s="54"/>
      <c r="W494" s="67"/>
      <c r="X494" s="67"/>
      <c r="Y494" s="36"/>
      <c r="Z494" s="36"/>
      <c r="AA494" s="36"/>
      <c r="AB494" s="36"/>
      <c r="AC494" s="36"/>
      <c r="AD494" s="36"/>
      <c r="AE494" s="36"/>
      <c r="AF494" s="53" t="s">
        <v>68</v>
      </c>
      <c r="AG494" s="42"/>
      <c r="AH494" s="42"/>
      <c r="AI494" s="43"/>
      <c r="AJ494" s="43"/>
      <c r="AK494" s="43"/>
      <c r="AL494" s="43"/>
      <c r="AM494" s="43"/>
      <c r="AN494" s="42"/>
      <c r="AO494" s="42"/>
      <c r="AP494" s="42"/>
      <c r="AQ494" s="43"/>
      <c r="AR494" s="42"/>
      <c r="AS494" s="42"/>
    </row>
    <row r="495" spans="1:45" ht="15" customHeight="1">
      <c r="A495" s="21" t="s">
        <v>57</v>
      </c>
      <c r="B495" s="21" t="s">
        <v>46</v>
      </c>
      <c r="C495" s="21" t="s">
        <v>188</v>
      </c>
      <c r="D495" s="22" t="s">
        <v>59</v>
      </c>
      <c r="E495" s="80" t="s">
        <v>695</v>
      </c>
      <c r="F495" s="65" t="s">
        <v>696</v>
      </c>
      <c r="G495" s="101" t="s">
        <v>77</v>
      </c>
      <c r="H495" s="133" t="s">
        <v>697</v>
      </c>
      <c r="I495" s="24" t="s">
        <v>705</v>
      </c>
      <c r="J495" s="47" t="s">
        <v>699</v>
      </c>
      <c r="K495" s="104"/>
      <c r="L495" s="48" t="s">
        <v>700</v>
      </c>
      <c r="M495" s="27">
        <v>43350</v>
      </c>
      <c r="N495" s="49" t="s">
        <v>177</v>
      </c>
      <c r="O495" s="61">
        <v>5216.57</v>
      </c>
      <c r="P495" s="106">
        <v>3</v>
      </c>
      <c r="Q495" s="51">
        <f t="shared" si="16"/>
        <v>15649.71</v>
      </c>
      <c r="R495" s="31">
        <v>202310</v>
      </c>
      <c r="S495" s="54"/>
      <c r="T495" s="54"/>
      <c r="U495" s="54"/>
      <c r="V495" s="54"/>
      <c r="W495" s="67"/>
      <c r="X495" s="67"/>
      <c r="Y495" s="36"/>
      <c r="Z495" s="36"/>
      <c r="AA495" s="36"/>
      <c r="AB495" s="36"/>
      <c r="AC495" s="36"/>
      <c r="AD495" s="36"/>
      <c r="AE495" s="36"/>
      <c r="AF495" s="53" t="s">
        <v>68</v>
      </c>
      <c r="AG495" s="42"/>
      <c r="AH495" s="42"/>
      <c r="AI495" s="43"/>
      <c r="AJ495" s="43"/>
      <c r="AK495" s="43"/>
      <c r="AL495" s="43"/>
      <c r="AM495" s="43"/>
      <c r="AN495" s="42"/>
      <c r="AO495" s="42"/>
      <c r="AP495" s="42"/>
      <c r="AQ495" s="43"/>
      <c r="AR495" s="42"/>
      <c r="AS495" s="42"/>
    </row>
    <row r="496" spans="1:45" ht="15" customHeight="1">
      <c r="A496" s="21" t="s">
        <v>57</v>
      </c>
      <c r="B496" s="21" t="s">
        <v>46</v>
      </c>
      <c r="C496" s="21" t="s">
        <v>188</v>
      </c>
      <c r="D496" s="22" t="s">
        <v>59</v>
      </c>
      <c r="E496" s="80" t="s">
        <v>695</v>
      </c>
      <c r="F496" s="65" t="s">
        <v>696</v>
      </c>
      <c r="G496" s="101" t="s">
        <v>77</v>
      </c>
      <c r="H496" s="133" t="s">
        <v>697</v>
      </c>
      <c r="I496" s="24" t="s">
        <v>705</v>
      </c>
      <c r="J496" s="47" t="s">
        <v>699</v>
      </c>
      <c r="K496" s="104"/>
      <c r="L496" s="48" t="s">
        <v>700</v>
      </c>
      <c r="M496" s="27">
        <v>43346</v>
      </c>
      <c r="N496" s="49" t="s">
        <v>177</v>
      </c>
      <c r="O496" s="61">
        <v>5216.57</v>
      </c>
      <c r="P496" s="106">
        <v>9</v>
      </c>
      <c r="Q496" s="51">
        <f t="shared" si="16"/>
        <v>46949.13</v>
      </c>
      <c r="R496" s="31">
        <v>202310</v>
      </c>
      <c r="S496" s="54"/>
      <c r="T496" s="54"/>
      <c r="U496" s="54"/>
      <c r="V496" s="54"/>
      <c r="W496" s="67"/>
      <c r="X496" s="67"/>
      <c r="Y496" s="36"/>
      <c r="Z496" s="36"/>
      <c r="AA496" s="36"/>
      <c r="AB496" s="36"/>
      <c r="AC496" s="36"/>
      <c r="AD496" s="36"/>
      <c r="AE496" s="36"/>
      <c r="AF496" s="53" t="s">
        <v>68</v>
      </c>
      <c r="AG496" s="42"/>
      <c r="AH496" s="42"/>
      <c r="AI496" s="43"/>
      <c r="AJ496" s="43"/>
      <c r="AK496" s="43"/>
      <c r="AL496" s="43"/>
      <c r="AM496" s="43"/>
      <c r="AN496" s="42"/>
      <c r="AO496" s="42"/>
      <c r="AP496" s="42"/>
      <c r="AQ496" s="43"/>
      <c r="AR496" s="42"/>
      <c r="AS496" s="42"/>
    </row>
    <row r="497" spans="1:45" ht="15" customHeight="1">
      <c r="A497" s="21" t="s">
        <v>57</v>
      </c>
      <c r="B497" s="21" t="s">
        <v>46</v>
      </c>
      <c r="C497" s="21" t="s">
        <v>188</v>
      </c>
      <c r="D497" s="22" t="s">
        <v>59</v>
      </c>
      <c r="E497" s="80" t="s">
        <v>695</v>
      </c>
      <c r="F497" s="65" t="s">
        <v>696</v>
      </c>
      <c r="G497" s="101" t="s">
        <v>77</v>
      </c>
      <c r="H497" s="133" t="s">
        <v>697</v>
      </c>
      <c r="I497" s="24" t="s">
        <v>705</v>
      </c>
      <c r="J497" s="47" t="s">
        <v>699</v>
      </c>
      <c r="K497" s="104"/>
      <c r="L497" s="48" t="s">
        <v>700</v>
      </c>
      <c r="M497" s="27">
        <v>43348</v>
      </c>
      <c r="N497" s="49" t="s">
        <v>177</v>
      </c>
      <c r="O497" s="61">
        <v>5216.57</v>
      </c>
      <c r="P497" s="106">
        <v>34</v>
      </c>
      <c r="Q497" s="51">
        <f t="shared" si="16"/>
        <v>177363.38</v>
      </c>
      <c r="R497" s="31">
        <v>202310</v>
      </c>
      <c r="S497" s="54"/>
      <c r="T497" s="54"/>
      <c r="U497" s="54"/>
      <c r="V497" s="54"/>
      <c r="W497" s="67"/>
      <c r="X497" s="67"/>
      <c r="Y497" s="36"/>
      <c r="Z497" s="36"/>
      <c r="AA497" s="36"/>
      <c r="AB497" s="36"/>
      <c r="AC497" s="36"/>
      <c r="AD497" s="36"/>
      <c r="AE497" s="36"/>
      <c r="AF497" s="53" t="s">
        <v>68</v>
      </c>
      <c r="AG497" s="42"/>
      <c r="AH497" s="42"/>
      <c r="AI497" s="43"/>
      <c r="AJ497" s="43"/>
      <c r="AK497" s="43"/>
      <c r="AL497" s="43"/>
      <c r="AM497" s="43"/>
      <c r="AN497" s="42"/>
      <c r="AO497" s="42"/>
      <c r="AP497" s="42"/>
      <c r="AQ497" s="43"/>
      <c r="AR497" s="42"/>
      <c r="AS497" s="42"/>
    </row>
    <row r="498" spans="1:45" ht="15" customHeight="1">
      <c r="A498" s="21" t="s">
        <v>57</v>
      </c>
      <c r="B498" s="21" t="s">
        <v>46</v>
      </c>
      <c r="C498" s="21" t="s">
        <v>188</v>
      </c>
      <c r="D498" s="22" t="s">
        <v>59</v>
      </c>
      <c r="E498" s="80" t="s">
        <v>695</v>
      </c>
      <c r="F498" s="65" t="s">
        <v>696</v>
      </c>
      <c r="G498" s="101" t="s">
        <v>77</v>
      </c>
      <c r="H498" s="133" t="s">
        <v>697</v>
      </c>
      <c r="I498" s="24" t="s">
        <v>705</v>
      </c>
      <c r="J498" s="47" t="s">
        <v>699</v>
      </c>
      <c r="K498" s="104"/>
      <c r="L498" s="48" t="s">
        <v>700</v>
      </c>
      <c r="M498" s="27">
        <v>43350</v>
      </c>
      <c r="N498" s="49" t="s">
        <v>177</v>
      </c>
      <c r="O498" s="61">
        <v>5216.57</v>
      </c>
      <c r="P498" s="106">
        <v>6</v>
      </c>
      <c r="Q498" s="51">
        <f t="shared" si="16"/>
        <v>31299.42</v>
      </c>
      <c r="R498" s="31">
        <v>202310</v>
      </c>
      <c r="S498" s="54"/>
      <c r="T498" s="54"/>
      <c r="U498" s="54"/>
      <c r="V498" s="54"/>
      <c r="W498" s="67"/>
      <c r="X498" s="67"/>
      <c r="Y498" s="36"/>
      <c r="Z498" s="36"/>
      <c r="AA498" s="36"/>
      <c r="AB498" s="36"/>
      <c r="AC498" s="36"/>
      <c r="AD498" s="36"/>
      <c r="AE498" s="36"/>
      <c r="AF498" s="53" t="s">
        <v>68</v>
      </c>
      <c r="AG498" s="42"/>
      <c r="AH498" s="42"/>
      <c r="AI498" s="43"/>
      <c r="AJ498" s="43"/>
      <c r="AK498" s="43"/>
      <c r="AL498" s="43"/>
      <c r="AM498" s="43"/>
      <c r="AN498" s="42"/>
      <c r="AO498" s="42"/>
      <c r="AP498" s="42"/>
      <c r="AQ498" s="43"/>
      <c r="AR498" s="42"/>
      <c r="AS498" s="42"/>
    </row>
    <row r="499" spans="1:45" ht="15" customHeight="1">
      <c r="A499" s="21" t="s">
        <v>57</v>
      </c>
      <c r="B499" s="21" t="s">
        <v>46</v>
      </c>
      <c r="C499" s="21" t="s">
        <v>188</v>
      </c>
      <c r="D499" s="22" t="s">
        <v>59</v>
      </c>
      <c r="E499" s="80" t="s">
        <v>695</v>
      </c>
      <c r="F499" s="65" t="s">
        <v>696</v>
      </c>
      <c r="G499" s="101" t="s">
        <v>77</v>
      </c>
      <c r="H499" s="133" t="s">
        <v>697</v>
      </c>
      <c r="I499" s="24" t="s">
        <v>705</v>
      </c>
      <c r="J499" s="47" t="s">
        <v>699</v>
      </c>
      <c r="K499" s="104"/>
      <c r="L499" s="48" t="s">
        <v>700</v>
      </c>
      <c r="M499" s="27">
        <v>43353</v>
      </c>
      <c r="N499" s="49" t="s">
        <v>177</v>
      </c>
      <c r="O499" s="61">
        <v>5216.57</v>
      </c>
      <c r="P499" s="106">
        <v>13</v>
      </c>
      <c r="Q499" s="51">
        <f t="shared" si="16"/>
        <v>67815.41</v>
      </c>
      <c r="R499" s="31">
        <v>202310</v>
      </c>
      <c r="S499" s="54"/>
      <c r="T499" s="54"/>
      <c r="U499" s="54"/>
      <c r="V499" s="54"/>
      <c r="W499" s="67"/>
      <c r="X499" s="67"/>
      <c r="Y499" s="36"/>
      <c r="Z499" s="36"/>
      <c r="AA499" s="36"/>
      <c r="AB499" s="36"/>
      <c r="AC499" s="36"/>
      <c r="AD499" s="36"/>
      <c r="AE499" s="36"/>
      <c r="AF499" s="53" t="s">
        <v>68</v>
      </c>
      <c r="AG499" s="42"/>
      <c r="AH499" s="42"/>
      <c r="AI499" s="43"/>
      <c r="AJ499" s="43"/>
      <c r="AK499" s="43"/>
      <c r="AL499" s="43"/>
      <c r="AM499" s="43"/>
      <c r="AN499" s="42"/>
      <c r="AO499" s="42"/>
      <c r="AP499" s="42"/>
      <c r="AQ499" s="43"/>
      <c r="AR499" s="42"/>
      <c r="AS499" s="42"/>
    </row>
    <row r="500" spans="1:45" ht="15" customHeight="1">
      <c r="A500" s="21" t="s">
        <v>57</v>
      </c>
      <c r="B500" s="21" t="s">
        <v>46</v>
      </c>
      <c r="C500" s="21" t="s">
        <v>188</v>
      </c>
      <c r="D500" s="22" t="s">
        <v>59</v>
      </c>
      <c r="E500" s="80" t="s">
        <v>695</v>
      </c>
      <c r="F500" s="65" t="s">
        <v>696</v>
      </c>
      <c r="G500" s="101" t="s">
        <v>77</v>
      </c>
      <c r="H500" s="133" t="s">
        <v>697</v>
      </c>
      <c r="I500" s="24" t="s">
        <v>705</v>
      </c>
      <c r="J500" s="47" t="s">
        <v>699</v>
      </c>
      <c r="K500" s="104"/>
      <c r="L500" s="48" t="s">
        <v>700</v>
      </c>
      <c r="M500" s="27">
        <v>43354</v>
      </c>
      <c r="N500" s="49" t="s">
        <v>177</v>
      </c>
      <c r="O500" s="61">
        <v>5216.57</v>
      </c>
      <c r="P500" s="106">
        <v>7</v>
      </c>
      <c r="Q500" s="51">
        <f t="shared" si="16"/>
        <v>36515.99</v>
      </c>
      <c r="R500" s="31">
        <v>202310</v>
      </c>
      <c r="S500" s="54"/>
      <c r="T500" s="54"/>
      <c r="U500" s="54"/>
      <c r="V500" s="54"/>
      <c r="W500" s="67"/>
      <c r="X500" s="67"/>
      <c r="Y500" s="36"/>
      <c r="Z500" s="36"/>
      <c r="AA500" s="36"/>
      <c r="AB500" s="36"/>
      <c r="AC500" s="36"/>
      <c r="AD500" s="36"/>
      <c r="AE500" s="36"/>
      <c r="AF500" s="53" t="s">
        <v>68</v>
      </c>
      <c r="AG500" s="42"/>
      <c r="AH500" s="42"/>
      <c r="AI500" s="43"/>
      <c r="AJ500" s="43"/>
      <c r="AK500" s="43"/>
      <c r="AL500" s="43"/>
      <c r="AM500" s="43"/>
      <c r="AN500" s="42"/>
      <c r="AO500" s="42"/>
      <c r="AP500" s="42"/>
      <c r="AQ500" s="43"/>
      <c r="AR500" s="42"/>
      <c r="AS500" s="42"/>
    </row>
    <row r="501" spans="1:45" ht="15" customHeight="1">
      <c r="A501" s="21" t="s">
        <v>57</v>
      </c>
      <c r="B501" s="21" t="s">
        <v>46</v>
      </c>
      <c r="C501" s="21" t="s">
        <v>188</v>
      </c>
      <c r="D501" s="22" t="s">
        <v>59</v>
      </c>
      <c r="E501" s="80" t="s">
        <v>695</v>
      </c>
      <c r="F501" s="65" t="s">
        <v>696</v>
      </c>
      <c r="G501" s="101" t="s">
        <v>77</v>
      </c>
      <c r="H501" s="133" t="s">
        <v>697</v>
      </c>
      <c r="I501" s="24" t="s">
        <v>705</v>
      </c>
      <c r="J501" s="47" t="s">
        <v>699</v>
      </c>
      <c r="K501" s="104"/>
      <c r="L501" s="48" t="s">
        <v>700</v>
      </c>
      <c r="M501" s="27">
        <v>43356</v>
      </c>
      <c r="N501" s="49" t="s">
        <v>177</v>
      </c>
      <c r="O501" s="61">
        <v>5216.57</v>
      </c>
      <c r="P501" s="106">
        <v>1</v>
      </c>
      <c r="Q501" s="51">
        <f t="shared" si="16"/>
        <v>5216.57</v>
      </c>
      <c r="R501" s="31">
        <v>202310</v>
      </c>
      <c r="S501" s="54"/>
      <c r="T501" s="54"/>
      <c r="U501" s="54"/>
      <c r="V501" s="54"/>
      <c r="W501" s="67"/>
      <c r="X501" s="67"/>
      <c r="Y501" s="36"/>
      <c r="Z501" s="36"/>
      <c r="AA501" s="36"/>
      <c r="AB501" s="36"/>
      <c r="AC501" s="36"/>
      <c r="AD501" s="36"/>
      <c r="AE501" s="36"/>
      <c r="AF501" s="53" t="s">
        <v>68</v>
      </c>
      <c r="AG501" s="42"/>
      <c r="AH501" s="42"/>
      <c r="AI501" s="43"/>
      <c r="AJ501" s="43"/>
      <c r="AK501" s="43"/>
      <c r="AL501" s="43"/>
      <c r="AM501" s="43"/>
      <c r="AN501" s="42"/>
      <c r="AO501" s="42"/>
      <c r="AP501" s="42"/>
      <c r="AQ501" s="43"/>
      <c r="AR501" s="42"/>
      <c r="AS501" s="42"/>
    </row>
    <row r="502" spans="1:45" ht="15" customHeight="1">
      <c r="A502" s="21" t="s">
        <v>57</v>
      </c>
      <c r="B502" s="21" t="s">
        <v>46</v>
      </c>
      <c r="C502" s="21" t="s">
        <v>188</v>
      </c>
      <c r="D502" s="22" t="s">
        <v>59</v>
      </c>
      <c r="E502" s="80" t="s">
        <v>695</v>
      </c>
      <c r="F502" s="65" t="s">
        <v>696</v>
      </c>
      <c r="G502" s="101" t="s">
        <v>77</v>
      </c>
      <c r="H502" s="133" t="s">
        <v>697</v>
      </c>
      <c r="I502" s="24" t="s">
        <v>705</v>
      </c>
      <c r="J502" s="47" t="s">
        <v>699</v>
      </c>
      <c r="K502" s="104"/>
      <c r="L502" s="48" t="s">
        <v>700</v>
      </c>
      <c r="M502" s="27">
        <v>43358</v>
      </c>
      <c r="N502" s="49" t="s">
        <v>177</v>
      </c>
      <c r="O502" s="61">
        <v>5216.57</v>
      </c>
      <c r="P502" s="106">
        <v>2</v>
      </c>
      <c r="Q502" s="51">
        <f t="shared" si="16"/>
        <v>10433.14</v>
      </c>
      <c r="R502" s="31">
        <v>202310</v>
      </c>
      <c r="S502" s="54"/>
      <c r="T502" s="54"/>
      <c r="U502" s="54"/>
      <c r="V502" s="54"/>
      <c r="W502" s="67"/>
      <c r="X502" s="67"/>
      <c r="Y502" s="36"/>
      <c r="Z502" s="36"/>
      <c r="AA502" s="36"/>
      <c r="AB502" s="36"/>
      <c r="AC502" s="36"/>
      <c r="AD502" s="36"/>
      <c r="AE502" s="36"/>
      <c r="AF502" s="53" t="s">
        <v>68</v>
      </c>
      <c r="AG502" s="42"/>
      <c r="AH502" s="42"/>
      <c r="AI502" s="43"/>
      <c r="AJ502" s="43"/>
      <c r="AK502" s="43"/>
      <c r="AL502" s="43"/>
      <c r="AM502" s="43"/>
      <c r="AN502" s="42"/>
      <c r="AO502" s="42"/>
      <c r="AP502" s="42"/>
      <c r="AQ502" s="43"/>
      <c r="AR502" s="42"/>
      <c r="AS502" s="42"/>
    </row>
    <row r="503" spans="1:45" ht="15" customHeight="1">
      <c r="A503" s="21" t="s">
        <v>57</v>
      </c>
      <c r="B503" s="21" t="s">
        <v>46</v>
      </c>
      <c r="C503" s="21" t="s">
        <v>188</v>
      </c>
      <c r="D503" s="22" t="s">
        <v>59</v>
      </c>
      <c r="E503" s="80" t="s">
        <v>695</v>
      </c>
      <c r="F503" s="65" t="s">
        <v>696</v>
      </c>
      <c r="G503" s="101" t="s">
        <v>77</v>
      </c>
      <c r="H503" s="133" t="s">
        <v>697</v>
      </c>
      <c r="I503" s="24" t="s">
        <v>705</v>
      </c>
      <c r="J503" s="47" t="s">
        <v>699</v>
      </c>
      <c r="K503" s="104"/>
      <c r="L503" s="48" t="s">
        <v>700</v>
      </c>
      <c r="M503" s="27">
        <v>43357</v>
      </c>
      <c r="N503" s="49" t="s">
        <v>177</v>
      </c>
      <c r="O503" s="61">
        <v>5216.57</v>
      </c>
      <c r="P503" s="106">
        <v>4</v>
      </c>
      <c r="Q503" s="51">
        <f t="shared" si="16"/>
        <v>20866.28</v>
      </c>
      <c r="R503" s="31">
        <v>202310</v>
      </c>
      <c r="S503" s="54"/>
      <c r="T503" s="54"/>
      <c r="U503" s="54"/>
      <c r="V503" s="54"/>
      <c r="W503" s="67"/>
      <c r="X503" s="67"/>
      <c r="Y503" s="36"/>
      <c r="Z503" s="36"/>
      <c r="AA503" s="36"/>
      <c r="AB503" s="36"/>
      <c r="AC503" s="36"/>
      <c r="AD503" s="36"/>
      <c r="AE503" s="36"/>
      <c r="AF503" s="53" t="s">
        <v>68</v>
      </c>
      <c r="AG503" s="42"/>
      <c r="AH503" s="42"/>
      <c r="AI503" s="43"/>
      <c r="AJ503" s="43"/>
      <c r="AK503" s="43"/>
      <c r="AL503" s="43"/>
      <c r="AM503" s="43"/>
      <c r="AN503" s="42"/>
      <c r="AO503" s="42"/>
      <c r="AP503" s="42"/>
      <c r="AQ503" s="43"/>
      <c r="AR503" s="42"/>
      <c r="AS503" s="42"/>
    </row>
    <row r="504" spans="1:45" ht="15" customHeight="1">
      <c r="A504" s="21" t="s">
        <v>57</v>
      </c>
      <c r="B504" s="21" t="s">
        <v>46</v>
      </c>
      <c r="C504" s="21" t="s">
        <v>188</v>
      </c>
      <c r="D504" s="22" t="s">
        <v>59</v>
      </c>
      <c r="E504" s="80" t="s">
        <v>695</v>
      </c>
      <c r="F504" s="65" t="s">
        <v>696</v>
      </c>
      <c r="G504" s="101" t="s">
        <v>77</v>
      </c>
      <c r="H504" s="133" t="s">
        <v>697</v>
      </c>
      <c r="I504" s="24" t="s">
        <v>705</v>
      </c>
      <c r="J504" s="47" t="s">
        <v>699</v>
      </c>
      <c r="K504" s="104"/>
      <c r="L504" s="48" t="s">
        <v>700</v>
      </c>
      <c r="M504" s="27">
        <v>43341</v>
      </c>
      <c r="N504" s="49" t="s">
        <v>177</v>
      </c>
      <c r="O504" s="61">
        <v>5216.57</v>
      </c>
      <c r="P504" s="106">
        <v>16</v>
      </c>
      <c r="Q504" s="51">
        <f t="shared" si="16"/>
        <v>83465.119999999995</v>
      </c>
      <c r="R504" s="31">
        <v>202310</v>
      </c>
      <c r="S504" s="54"/>
      <c r="T504" s="54"/>
      <c r="U504" s="54"/>
      <c r="V504" s="54"/>
      <c r="W504" s="67"/>
      <c r="X504" s="67"/>
      <c r="Y504" s="36"/>
      <c r="Z504" s="36"/>
      <c r="AA504" s="36"/>
      <c r="AB504" s="36"/>
      <c r="AC504" s="36"/>
      <c r="AD504" s="36"/>
      <c r="AE504" s="36"/>
      <c r="AF504" s="53" t="s">
        <v>68</v>
      </c>
      <c r="AG504" s="42"/>
      <c r="AH504" s="42"/>
      <c r="AI504" s="43"/>
      <c r="AJ504" s="43"/>
      <c r="AK504" s="43"/>
      <c r="AL504" s="43"/>
      <c r="AM504" s="43"/>
      <c r="AN504" s="42"/>
      <c r="AO504" s="42"/>
      <c r="AP504" s="42"/>
      <c r="AQ504" s="43"/>
      <c r="AR504" s="42"/>
      <c r="AS504" s="42"/>
    </row>
    <row r="505" spans="1:45" ht="15" customHeight="1">
      <c r="A505" s="21" t="s">
        <v>57</v>
      </c>
      <c r="B505" s="21" t="s">
        <v>46</v>
      </c>
      <c r="C505" s="21" t="s">
        <v>188</v>
      </c>
      <c r="D505" s="22" t="s">
        <v>59</v>
      </c>
      <c r="E505" s="80" t="s">
        <v>695</v>
      </c>
      <c r="F505" s="65" t="s">
        <v>696</v>
      </c>
      <c r="G505" s="101" t="s">
        <v>77</v>
      </c>
      <c r="H505" s="133" t="s">
        <v>697</v>
      </c>
      <c r="I505" s="24" t="s">
        <v>705</v>
      </c>
      <c r="J505" s="47" t="s">
        <v>699</v>
      </c>
      <c r="K505" s="104"/>
      <c r="L505" s="48" t="s">
        <v>700</v>
      </c>
      <c r="M505" s="27">
        <v>43350</v>
      </c>
      <c r="N505" s="49" t="s">
        <v>177</v>
      </c>
      <c r="O505" s="61">
        <v>5216.57</v>
      </c>
      <c r="P505" s="106">
        <v>3</v>
      </c>
      <c r="Q505" s="51">
        <f t="shared" si="16"/>
        <v>15649.71</v>
      </c>
      <c r="R505" s="31">
        <v>202310</v>
      </c>
      <c r="S505" s="54"/>
      <c r="T505" s="54"/>
      <c r="U505" s="54"/>
      <c r="V505" s="54"/>
      <c r="W505" s="67"/>
      <c r="X505" s="67"/>
      <c r="Y505" s="36"/>
      <c r="Z505" s="36"/>
      <c r="AA505" s="36"/>
      <c r="AB505" s="36"/>
      <c r="AC505" s="36"/>
      <c r="AD505" s="36"/>
      <c r="AE505" s="36"/>
      <c r="AF505" s="53" t="s">
        <v>68</v>
      </c>
      <c r="AG505" s="42"/>
      <c r="AH505" s="42"/>
      <c r="AI505" s="43"/>
      <c r="AJ505" s="43"/>
      <c r="AK505" s="43"/>
      <c r="AL505" s="43"/>
      <c r="AM505" s="43"/>
      <c r="AN505" s="42"/>
      <c r="AO505" s="42"/>
      <c r="AP505" s="42"/>
      <c r="AQ505" s="43"/>
      <c r="AR505" s="42"/>
      <c r="AS505" s="42"/>
    </row>
    <row r="506" spans="1:45" ht="15" customHeight="1">
      <c r="A506" s="21" t="s">
        <v>57</v>
      </c>
      <c r="B506" s="21" t="s">
        <v>46</v>
      </c>
      <c r="C506" s="21" t="s">
        <v>188</v>
      </c>
      <c r="D506" s="22" t="s">
        <v>59</v>
      </c>
      <c r="E506" s="80" t="s">
        <v>695</v>
      </c>
      <c r="F506" s="65" t="s">
        <v>696</v>
      </c>
      <c r="G506" s="101" t="s">
        <v>77</v>
      </c>
      <c r="H506" s="133" t="s">
        <v>697</v>
      </c>
      <c r="I506" s="24" t="s">
        <v>705</v>
      </c>
      <c r="J506" s="47" t="s">
        <v>699</v>
      </c>
      <c r="K506" s="104"/>
      <c r="L506" s="48" t="s">
        <v>700</v>
      </c>
      <c r="M506" s="27">
        <v>43350</v>
      </c>
      <c r="N506" s="49" t="s">
        <v>177</v>
      </c>
      <c r="O506" s="61">
        <v>5216.57</v>
      </c>
      <c r="P506" s="106">
        <v>6</v>
      </c>
      <c r="Q506" s="51">
        <f t="shared" si="16"/>
        <v>31299.42</v>
      </c>
      <c r="R506" s="31">
        <v>202310</v>
      </c>
      <c r="S506" s="54"/>
      <c r="T506" s="54"/>
      <c r="U506" s="54"/>
      <c r="V506" s="54"/>
      <c r="W506" s="67"/>
      <c r="X506" s="67"/>
      <c r="Y506" s="36"/>
      <c r="Z506" s="36"/>
      <c r="AA506" s="36"/>
      <c r="AB506" s="36"/>
      <c r="AC506" s="36"/>
      <c r="AD506" s="36"/>
      <c r="AE506" s="36"/>
      <c r="AF506" s="53" t="s">
        <v>68</v>
      </c>
      <c r="AG506" s="42"/>
      <c r="AH506" s="42"/>
      <c r="AI506" s="43"/>
      <c r="AJ506" s="43"/>
      <c r="AK506" s="43"/>
      <c r="AL506" s="43"/>
      <c r="AM506" s="43"/>
      <c r="AN506" s="42"/>
      <c r="AO506" s="42"/>
      <c r="AP506" s="42"/>
      <c r="AQ506" s="43"/>
      <c r="AR506" s="42"/>
      <c r="AS506" s="42"/>
    </row>
    <row r="507" spans="1:45" ht="15" customHeight="1">
      <c r="A507" s="21" t="s">
        <v>57</v>
      </c>
      <c r="B507" s="21" t="s">
        <v>46</v>
      </c>
      <c r="C507" s="21" t="s">
        <v>188</v>
      </c>
      <c r="D507" s="22" t="s">
        <v>59</v>
      </c>
      <c r="E507" s="80" t="s">
        <v>695</v>
      </c>
      <c r="F507" s="65" t="s">
        <v>696</v>
      </c>
      <c r="G507" s="101" t="s">
        <v>77</v>
      </c>
      <c r="H507" s="133" t="s">
        <v>697</v>
      </c>
      <c r="I507" s="24" t="s">
        <v>705</v>
      </c>
      <c r="J507" s="47" t="s">
        <v>699</v>
      </c>
      <c r="K507" s="104"/>
      <c r="L507" s="48" t="s">
        <v>700</v>
      </c>
      <c r="M507" s="27">
        <v>43353</v>
      </c>
      <c r="N507" s="49" t="s">
        <v>177</v>
      </c>
      <c r="O507" s="61">
        <v>5216.57</v>
      </c>
      <c r="P507" s="106">
        <v>8</v>
      </c>
      <c r="Q507" s="51">
        <f t="shared" si="16"/>
        <v>41732.559999999998</v>
      </c>
      <c r="R507" s="31">
        <v>202310</v>
      </c>
      <c r="S507" s="54"/>
      <c r="T507" s="54"/>
      <c r="U507" s="54"/>
      <c r="V507" s="54"/>
      <c r="W507" s="67"/>
      <c r="X507" s="67"/>
      <c r="Y507" s="36"/>
      <c r="Z507" s="36"/>
      <c r="AA507" s="36"/>
      <c r="AB507" s="36"/>
      <c r="AC507" s="36"/>
      <c r="AD507" s="36"/>
      <c r="AE507" s="36"/>
      <c r="AF507" s="53" t="s">
        <v>68</v>
      </c>
      <c r="AG507" s="42"/>
      <c r="AH507" s="42"/>
      <c r="AI507" s="43"/>
      <c r="AJ507" s="43"/>
      <c r="AK507" s="43"/>
      <c r="AL507" s="43"/>
      <c r="AM507" s="43"/>
      <c r="AN507" s="42"/>
      <c r="AO507" s="42"/>
      <c r="AP507" s="42"/>
      <c r="AQ507" s="43"/>
      <c r="AR507" s="42"/>
      <c r="AS507" s="42"/>
    </row>
    <row r="508" spans="1:45" ht="15" customHeight="1">
      <c r="A508" s="21" t="s">
        <v>57</v>
      </c>
      <c r="B508" s="21" t="s">
        <v>46</v>
      </c>
      <c r="C508" s="21" t="s">
        <v>188</v>
      </c>
      <c r="D508" s="22" t="s">
        <v>59</v>
      </c>
      <c r="E508" s="80" t="s">
        <v>695</v>
      </c>
      <c r="F508" s="65" t="s">
        <v>696</v>
      </c>
      <c r="G508" s="101" t="s">
        <v>77</v>
      </c>
      <c r="H508" s="133" t="s">
        <v>697</v>
      </c>
      <c r="I508" s="24" t="s">
        <v>705</v>
      </c>
      <c r="J508" s="47" t="s">
        <v>699</v>
      </c>
      <c r="K508" s="104"/>
      <c r="L508" s="48" t="s">
        <v>700</v>
      </c>
      <c r="M508" s="27">
        <v>43354</v>
      </c>
      <c r="N508" s="49" t="s">
        <v>177</v>
      </c>
      <c r="O508" s="61">
        <v>5216.57</v>
      </c>
      <c r="P508" s="106">
        <v>12</v>
      </c>
      <c r="Q508" s="51">
        <f t="shared" si="16"/>
        <v>62598.84</v>
      </c>
      <c r="R508" s="31">
        <v>202310</v>
      </c>
      <c r="S508" s="54"/>
      <c r="T508" s="54"/>
      <c r="U508" s="54"/>
      <c r="V508" s="54"/>
      <c r="W508" s="67"/>
      <c r="X508" s="67"/>
      <c r="Y508" s="36"/>
      <c r="Z508" s="36"/>
      <c r="AA508" s="36"/>
      <c r="AB508" s="36"/>
      <c r="AC508" s="36"/>
      <c r="AD508" s="36"/>
      <c r="AE508" s="36"/>
      <c r="AF508" s="53" t="s">
        <v>68</v>
      </c>
      <c r="AG508" s="42"/>
      <c r="AH508" s="42"/>
      <c r="AI508" s="43"/>
      <c r="AJ508" s="43"/>
      <c r="AK508" s="43"/>
      <c r="AL508" s="43"/>
      <c r="AM508" s="43"/>
      <c r="AN508" s="42"/>
      <c r="AO508" s="42"/>
      <c r="AP508" s="42"/>
      <c r="AQ508" s="43"/>
      <c r="AR508" s="42"/>
      <c r="AS508" s="42"/>
    </row>
    <row r="509" spans="1:45" ht="15" customHeight="1">
      <c r="A509" s="21" t="s">
        <v>57</v>
      </c>
      <c r="B509" s="21" t="s">
        <v>46</v>
      </c>
      <c r="C509" s="21" t="s">
        <v>188</v>
      </c>
      <c r="D509" s="22" t="s">
        <v>59</v>
      </c>
      <c r="E509" s="80" t="s">
        <v>695</v>
      </c>
      <c r="F509" s="65" t="s">
        <v>696</v>
      </c>
      <c r="G509" s="101" t="s">
        <v>77</v>
      </c>
      <c r="H509" s="133" t="s">
        <v>697</v>
      </c>
      <c r="I509" s="24" t="s">
        <v>705</v>
      </c>
      <c r="J509" s="47" t="s">
        <v>699</v>
      </c>
      <c r="K509" s="104"/>
      <c r="L509" s="48" t="s">
        <v>700</v>
      </c>
      <c r="M509" s="27">
        <v>43356</v>
      </c>
      <c r="N509" s="49" t="s">
        <v>177</v>
      </c>
      <c r="O509" s="61">
        <v>5216.57</v>
      </c>
      <c r="P509" s="106">
        <v>4</v>
      </c>
      <c r="Q509" s="51">
        <f t="shared" si="16"/>
        <v>20866.28</v>
      </c>
      <c r="R509" s="31">
        <v>202310</v>
      </c>
      <c r="S509" s="54"/>
      <c r="T509" s="54"/>
      <c r="U509" s="54"/>
      <c r="V509" s="54"/>
      <c r="W509" s="67"/>
      <c r="X509" s="67"/>
      <c r="Y509" s="36"/>
      <c r="Z509" s="36"/>
      <c r="AA509" s="36"/>
      <c r="AB509" s="36"/>
      <c r="AC509" s="36"/>
      <c r="AD509" s="36"/>
      <c r="AE509" s="36"/>
      <c r="AF509" s="53" t="s">
        <v>68</v>
      </c>
      <c r="AG509" s="42"/>
      <c r="AH509" s="42"/>
      <c r="AI509" s="43"/>
      <c r="AJ509" s="43"/>
      <c r="AK509" s="43"/>
      <c r="AL509" s="43"/>
      <c r="AM509" s="43"/>
      <c r="AN509" s="42"/>
      <c r="AO509" s="42"/>
      <c r="AP509" s="42"/>
      <c r="AQ509" s="43"/>
      <c r="AR509" s="42"/>
      <c r="AS509" s="42"/>
    </row>
    <row r="510" spans="1:45" ht="15" customHeight="1">
      <c r="A510" s="21" t="s">
        <v>57</v>
      </c>
      <c r="B510" s="21" t="s">
        <v>46</v>
      </c>
      <c r="C510" s="21" t="s">
        <v>188</v>
      </c>
      <c r="D510" s="22" t="s">
        <v>59</v>
      </c>
      <c r="E510" s="80" t="s">
        <v>695</v>
      </c>
      <c r="F510" s="65" t="s">
        <v>696</v>
      </c>
      <c r="G510" s="101" t="s">
        <v>77</v>
      </c>
      <c r="H510" s="133" t="s">
        <v>697</v>
      </c>
      <c r="I510" s="24" t="s">
        <v>705</v>
      </c>
      <c r="J510" s="47" t="s">
        <v>699</v>
      </c>
      <c r="K510" s="104"/>
      <c r="L510" s="48" t="s">
        <v>700</v>
      </c>
      <c r="M510" s="27">
        <v>43357</v>
      </c>
      <c r="N510" s="49" t="s">
        <v>177</v>
      </c>
      <c r="O510" s="61">
        <v>5216.57</v>
      </c>
      <c r="P510" s="106">
        <v>5</v>
      </c>
      <c r="Q510" s="51">
        <f t="shared" si="16"/>
        <v>26082.85</v>
      </c>
      <c r="R510" s="31">
        <v>202310</v>
      </c>
      <c r="S510" s="54"/>
      <c r="T510" s="54"/>
      <c r="U510" s="54"/>
      <c r="V510" s="54"/>
      <c r="W510" s="67"/>
      <c r="X510" s="67"/>
      <c r="Y510" s="36"/>
      <c r="Z510" s="36"/>
      <c r="AA510" s="36"/>
      <c r="AB510" s="36"/>
      <c r="AC510" s="36"/>
      <c r="AD510" s="36"/>
      <c r="AE510" s="36"/>
      <c r="AF510" s="53" t="s">
        <v>68</v>
      </c>
      <c r="AG510" s="42"/>
      <c r="AH510" s="42"/>
      <c r="AI510" s="43"/>
      <c r="AJ510" s="43"/>
      <c r="AK510" s="43"/>
      <c r="AL510" s="43"/>
      <c r="AM510" s="43"/>
      <c r="AN510" s="42"/>
      <c r="AO510" s="42"/>
      <c r="AP510" s="42"/>
      <c r="AQ510" s="43"/>
      <c r="AR510" s="42"/>
      <c r="AS510" s="42"/>
    </row>
    <row r="511" spans="1:45" ht="15" customHeight="1">
      <c r="A511" s="21" t="s">
        <v>57</v>
      </c>
      <c r="B511" s="21" t="s">
        <v>46</v>
      </c>
      <c r="C511" s="21" t="s">
        <v>188</v>
      </c>
      <c r="D511" s="22" t="s">
        <v>59</v>
      </c>
      <c r="E511" s="80" t="s">
        <v>695</v>
      </c>
      <c r="F511" s="65" t="s">
        <v>696</v>
      </c>
      <c r="G511" s="101" t="s">
        <v>77</v>
      </c>
      <c r="H511" s="133" t="s">
        <v>697</v>
      </c>
      <c r="I511" s="24" t="s">
        <v>705</v>
      </c>
      <c r="J511" s="47" t="s">
        <v>699</v>
      </c>
      <c r="K511" s="104"/>
      <c r="L511" s="48" t="s">
        <v>700</v>
      </c>
      <c r="M511" s="27">
        <v>43362</v>
      </c>
      <c r="N511" s="49" t="s">
        <v>177</v>
      </c>
      <c r="O511" s="61">
        <v>5216.57</v>
      </c>
      <c r="P511" s="106">
        <v>4</v>
      </c>
      <c r="Q511" s="51">
        <f t="shared" si="16"/>
        <v>20866.28</v>
      </c>
      <c r="R511" s="31">
        <v>202310</v>
      </c>
      <c r="S511" s="54"/>
      <c r="T511" s="54"/>
      <c r="U511" s="54"/>
      <c r="V511" s="54"/>
      <c r="W511" s="67"/>
      <c r="X511" s="67"/>
      <c r="Y511" s="36"/>
      <c r="Z511" s="36"/>
      <c r="AA511" s="36"/>
      <c r="AB511" s="36"/>
      <c r="AC511" s="36"/>
      <c r="AD511" s="36"/>
      <c r="AE511" s="36"/>
      <c r="AF511" s="53" t="s">
        <v>68</v>
      </c>
      <c r="AG511" s="42"/>
      <c r="AH511" s="42"/>
      <c r="AI511" s="43"/>
      <c r="AJ511" s="43"/>
      <c r="AK511" s="43"/>
      <c r="AL511" s="43"/>
      <c r="AM511" s="43"/>
      <c r="AN511" s="42"/>
      <c r="AO511" s="42"/>
      <c r="AP511" s="42"/>
      <c r="AQ511" s="43"/>
      <c r="AR511" s="42"/>
      <c r="AS511" s="42"/>
    </row>
    <row r="512" spans="1:45" ht="15" customHeight="1">
      <c r="A512" s="21" t="s">
        <v>57</v>
      </c>
      <c r="B512" s="21" t="s">
        <v>46</v>
      </c>
      <c r="C512" s="21" t="s">
        <v>188</v>
      </c>
      <c r="D512" s="22" t="s">
        <v>59</v>
      </c>
      <c r="E512" s="80" t="s">
        <v>695</v>
      </c>
      <c r="F512" s="65" t="s">
        <v>696</v>
      </c>
      <c r="G512" s="101" t="s">
        <v>77</v>
      </c>
      <c r="H512" s="133" t="s">
        <v>697</v>
      </c>
      <c r="I512" s="24" t="s">
        <v>705</v>
      </c>
      <c r="J512" s="47" t="s">
        <v>699</v>
      </c>
      <c r="K512" s="104"/>
      <c r="L512" s="48" t="s">
        <v>700</v>
      </c>
      <c r="M512" s="27">
        <v>43363</v>
      </c>
      <c r="N512" s="49" t="s">
        <v>177</v>
      </c>
      <c r="O512" s="61">
        <v>5216.57</v>
      </c>
      <c r="P512" s="106">
        <v>7</v>
      </c>
      <c r="Q512" s="51">
        <f t="shared" si="16"/>
        <v>36515.99</v>
      </c>
      <c r="R512" s="31">
        <v>202310</v>
      </c>
      <c r="S512" s="54"/>
      <c r="T512" s="54"/>
      <c r="U512" s="54"/>
      <c r="V512" s="54"/>
      <c r="W512" s="67"/>
      <c r="X512" s="67"/>
      <c r="Y512" s="36"/>
      <c r="Z512" s="36"/>
      <c r="AA512" s="36"/>
      <c r="AB512" s="36"/>
      <c r="AC512" s="36"/>
      <c r="AD512" s="36"/>
      <c r="AE512" s="36"/>
      <c r="AF512" s="53" t="s">
        <v>68</v>
      </c>
      <c r="AG512" s="42"/>
      <c r="AH512" s="42"/>
      <c r="AI512" s="43"/>
      <c r="AJ512" s="43"/>
      <c r="AK512" s="43"/>
      <c r="AL512" s="43"/>
      <c r="AM512" s="43"/>
      <c r="AN512" s="42"/>
      <c r="AO512" s="42"/>
      <c r="AP512" s="42"/>
      <c r="AQ512" s="43"/>
      <c r="AR512" s="42"/>
      <c r="AS512" s="42"/>
    </row>
    <row r="513" spans="1:45" ht="15" customHeight="1">
      <c r="A513" s="21" t="s">
        <v>57</v>
      </c>
      <c r="B513" s="21" t="s">
        <v>46</v>
      </c>
      <c r="C513" s="21" t="s">
        <v>188</v>
      </c>
      <c r="D513" s="22" t="s">
        <v>59</v>
      </c>
      <c r="E513" s="80" t="s">
        <v>695</v>
      </c>
      <c r="F513" s="65" t="s">
        <v>696</v>
      </c>
      <c r="G513" s="101" t="s">
        <v>77</v>
      </c>
      <c r="H513" s="133" t="s">
        <v>697</v>
      </c>
      <c r="I513" s="24" t="s">
        <v>705</v>
      </c>
      <c r="J513" s="47" t="s">
        <v>699</v>
      </c>
      <c r="K513" s="104"/>
      <c r="L513" s="48" t="s">
        <v>700</v>
      </c>
      <c r="M513" s="27">
        <v>43369</v>
      </c>
      <c r="N513" s="49" t="s">
        <v>177</v>
      </c>
      <c r="O513" s="61">
        <v>5216.57</v>
      </c>
      <c r="P513" s="106">
        <v>3</v>
      </c>
      <c r="Q513" s="51">
        <f t="shared" si="16"/>
        <v>15649.71</v>
      </c>
      <c r="R513" s="31">
        <v>202310</v>
      </c>
      <c r="S513" s="54"/>
      <c r="T513" s="54"/>
      <c r="U513" s="54"/>
      <c r="V513" s="54"/>
      <c r="W513" s="67"/>
      <c r="X513" s="67"/>
      <c r="Y513" s="36"/>
      <c r="Z513" s="36"/>
      <c r="AA513" s="36"/>
      <c r="AB513" s="36"/>
      <c r="AC513" s="36"/>
      <c r="AD513" s="36"/>
      <c r="AE513" s="36"/>
      <c r="AF513" s="53" t="s">
        <v>68</v>
      </c>
      <c r="AG513" s="42"/>
      <c r="AH513" s="42"/>
      <c r="AI513" s="43"/>
      <c r="AJ513" s="43"/>
      <c r="AK513" s="43"/>
      <c r="AL513" s="43"/>
      <c r="AM513" s="43"/>
      <c r="AN513" s="42"/>
      <c r="AO513" s="42"/>
      <c r="AP513" s="42"/>
      <c r="AQ513" s="43"/>
      <c r="AR513" s="42"/>
      <c r="AS513" s="42"/>
    </row>
    <row r="514" spans="1:45" ht="15" customHeight="1">
      <c r="A514" s="21" t="s">
        <v>57</v>
      </c>
      <c r="B514" s="21" t="s">
        <v>46</v>
      </c>
      <c r="C514" s="21" t="s">
        <v>188</v>
      </c>
      <c r="D514" s="22" t="s">
        <v>59</v>
      </c>
      <c r="E514" s="80" t="s">
        <v>695</v>
      </c>
      <c r="F514" s="65" t="s">
        <v>696</v>
      </c>
      <c r="G514" s="101" t="s">
        <v>77</v>
      </c>
      <c r="H514" s="133" t="s">
        <v>697</v>
      </c>
      <c r="I514" s="24" t="s">
        <v>705</v>
      </c>
      <c r="J514" s="47" t="s">
        <v>699</v>
      </c>
      <c r="K514" s="104"/>
      <c r="L514" s="48" t="s">
        <v>700</v>
      </c>
      <c r="M514" s="27">
        <v>43371</v>
      </c>
      <c r="N514" s="49" t="s">
        <v>177</v>
      </c>
      <c r="O514" s="61">
        <v>5216.57</v>
      </c>
      <c r="P514" s="106">
        <v>19</v>
      </c>
      <c r="Q514" s="51">
        <f t="shared" si="16"/>
        <v>99114.83</v>
      </c>
      <c r="R514" s="31">
        <v>202310</v>
      </c>
      <c r="S514" s="54"/>
      <c r="T514" s="54"/>
      <c r="U514" s="54"/>
      <c r="V514" s="54"/>
      <c r="W514" s="67"/>
      <c r="X514" s="67"/>
      <c r="Y514" s="36"/>
      <c r="Z514" s="36"/>
      <c r="AA514" s="36"/>
      <c r="AB514" s="36"/>
      <c r="AC514" s="36"/>
      <c r="AD514" s="36"/>
      <c r="AE514" s="36"/>
      <c r="AF514" s="53" t="s">
        <v>68</v>
      </c>
      <c r="AG514" s="42"/>
      <c r="AH514" s="42"/>
      <c r="AI514" s="43"/>
      <c r="AJ514" s="43"/>
      <c r="AK514" s="43"/>
      <c r="AL514" s="43"/>
      <c r="AM514" s="43"/>
      <c r="AN514" s="42"/>
      <c r="AO514" s="42"/>
      <c r="AP514" s="42"/>
      <c r="AQ514" s="43"/>
      <c r="AR514" s="42"/>
      <c r="AS514" s="42"/>
    </row>
    <row r="515" spans="1:45" ht="15" customHeight="1">
      <c r="A515" s="21" t="s">
        <v>57</v>
      </c>
      <c r="B515" s="21" t="s">
        <v>46</v>
      </c>
      <c r="C515" s="21" t="s">
        <v>188</v>
      </c>
      <c r="D515" s="22" t="s">
        <v>59</v>
      </c>
      <c r="E515" s="80" t="s">
        <v>695</v>
      </c>
      <c r="F515" s="65" t="s">
        <v>696</v>
      </c>
      <c r="G515" s="101" t="s">
        <v>77</v>
      </c>
      <c r="H515" s="133" t="s">
        <v>697</v>
      </c>
      <c r="I515" s="24" t="s">
        <v>705</v>
      </c>
      <c r="J515" s="47" t="s">
        <v>699</v>
      </c>
      <c r="K515" s="104"/>
      <c r="L515" s="48" t="s">
        <v>700</v>
      </c>
      <c r="M515" s="27">
        <v>43381</v>
      </c>
      <c r="N515" s="49" t="s">
        <v>177</v>
      </c>
      <c r="O515" s="61">
        <v>5216.57</v>
      </c>
      <c r="P515" s="106">
        <v>11</v>
      </c>
      <c r="Q515" s="51">
        <f t="shared" si="16"/>
        <v>57382.27</v>
      </c>
      <c r="R515" s="31">
        <v>202310</v>
      </c>
      <c r="S515" s="54"/>
      <c r="T515" s="54"/>
      <c r="U515" s="54"/>
      <c r="V515" s="54"/>
      <c r="W515" s="67"/>
      <c r="X515" s="67"/>
      <c r="Y515" s="36"/>
      <c r="Z515" s="36"/>
      <c r="AA515" s="36"/>
      <c r="AB515" s="36"/>
      <c r="AC515" s="36"/>
      <c r="AD515" s="36"/>
      <c r="AE515" s="36"/>
      <c r="AF515" s="53" t="s">
        <v>68</v>
      </c>
      <c r="AG515" s="42"/>
      <c r="AH515" s="42"/>
      <c r="AI515" s="43"/>
      <c r="AJ515" s="43"/>
      <c r="AK515" s="43"/>
      <c r="AL515" s="43"/>
      <c r="AM515" s="43"/>
      <c r="AN515" s="42"/>
      <c r="AO515" s="42"/>
      <c r="AP515" s="42"/>
      <c r="AQ515" s="43"/>
      <c r="AR515" s="42"/>
      <c r="AS515" s="42"/>
    </row>
    <row r="516" spans="1:45" ht="15" customHeight="1">
      <c r="A516" s="21" t="s">
        <v>57</v>
      </c>
      <c r="B516" s="21" t="s">
        <v>46</v>
      </c>
      <c r="C516" s="21" t="s">
        <v>188</v>
      </c>
      <c r="D516" s="22" t="s">
        <v>59</v>
      </c>
      <c r="E516" s="80" t="s">
        <v>695</v>
      </c>
      <c r="F516" s="65" t="s">
        <v>696</v>
      </c>
      <c r="G516" s="101" t="s">
        <v>77</v>
      </c>
      <c r="H516" s="133" t="s">
        <v>697</v>
      </c>
      <c r="I516" s="24" t="s">
        <v>705</v>
      </c>
      <c r="J516" s="47" t="s">
        <v>699</v>
      </c>
      <c r="K516" s="104"/>
      <c r="L516" s="48" t="s">
        <v>700</v>
      </c>
      <c r="M516" s="27">
        <v>43388</v>
      </c>
      <c r="N516" s="49" t="s">
        <v>177</v>
      </c>
      <c r="O516" s="61">
        <v>5216.57</v>
      </c>
      <c r="P516" s="106">
        <v>1</v>
      </c>
      <c r="Q516" s="51">
        <f t="shared" si="16"/>
        <v>5216.57</v>
      </c>
      <c r="R516" s="31">
        <v>202310</v>
      </c>
      <c r="S516" s="54"/>
      <c r="T516" s="54"/>
      <c r="U516" s="54"/>
      <c r="V516" s="54"/>
      <c r="W516" s="67"/>
      <c r="X516" s="67"/>
      <c r="Y516" s="36"/>
      <c r="Z516" s="36"/>
      <c r="AA516" s="36"/>
      <c r="AB516" s="36"/>
      <c r="AC516" s="36"/>
      <c r="AD516" s="36"/>
      <c r="AE516" s="36"/>
      <c r="AF516" s="53" t="s">
        <v>68</v>
      </c>
      <c r="AG516" s="42"/>
      <c r="AH516" s="42"/>
      <c r="AI516" s="43"/>
      <c r="AJ516" s="43"/>
      <c r="AK516" s="43"/>
      <c r="AL516" s="43"/>
      <c r="AM516" s="43"/>
      <c r="AN516" s="42"/>
      <c r="AO516" s="42"/>
      <c r="AP516" s="42"/>
      <c r="AQ516" s="43"/>
      <c r="AR516" s="42"/>
      <c r="AS516" s="42"/>
    </row>
    <row r="517" spans="1:45" ht="15" customHeight="1">
      <c r="A517" s="21" t="s">
        <v>57</v>
      </c>
      <c r="B517" s="21" t="s">
        <v>46</v>
      </c>
      <c r="C517" s="21" t="s">
        <v>188</v>
      </c>
      <c r="D517" s="22" t="s">
        <v>59</v>
      </c>
      <c r="E517" s="80" t="s">
        <v>695</v>
      </c>
      <c r="F517" s="65" t="s">
        <v>696</v>
      </c>
      <c r="G517" s="101" t="s">
        <v>77</v>
      </c>
      <c r="H517" s="133" t="s">
        <v>697</v>
      </c>
      <c r="I517" s="24" t="s">
        <v>705</v>
      </c>
      <c r="J517" s="47" t="s">
        <v>699</v>
      </c>
      <c r="K517" s="104"/>
      <c r="L517" s="48" t="s">
        <v>700</v>
      </c>
      <c r="M517" s="27">
        <v>43416</v>
      </c>
      <c r="N517" s="49" t="s">
        <v>177</v>
      </c>
      <c r="O517" s="61">
        <v>5216.57</v>
      </c>
      <c r="P517" s="106">
        <v>4</v>
      </c>
      <c r="Q517" s="51">
        <f t="shared" si="16"/>
        <v>20866.28</v>
      </c>
      <c r="R517" s="31">
        <v>202310</v>
      </c>
      <c r="S517" s="54"/>
      <c r="T517" s="54"/>
      <c r="U517" s="54"/>
      <c r="V517" s="54"/>
      <c r="W517" s="67"/>
      <c r="X517" s="67"/>
      <c r="Y517" s="36"/>
      <c r="Z517" s="36"/>
      <c r="AA517" s="36"/>
      <c r="AB517" s="36"/>
      <c r="AC517" s="36"/>
      <c r="AD517" s="36"/>
      <c r="AE517" s="36"/>
      <c r="AF517" s="53" t="s">
        <v>68</v>
      </c>
      <c r="AG517" s="42"/>
      <c r="AH517" s="42"/>
      <c r="AI517" s="43"/>
      <c r="AJ517" s="43"/>
      <c r="AK517" s="43"/>
      <c r="AL517" s="43"/>
      <c r="AM517" s="43"/>
      <c r="AN517" s="42"/>
      <c r="AO517" s="42"/>
      <c r="AP517" s="42"/>
      <c r="AQ517" s="43"/>
      <c r="AR517" s="42"/>
      <c r="AS517" s="42"/>
    </row>
    <row r="518" spans="1:45" ht="15" customHeight="1">
      <c r="A518" s="21" t="s">
        <v>57</v>
      </c>
      <c r="B518" s="21" t="s">
        <v>46</v>
      </c>
      <c r="C518" s="21" t="s">
        <v>188</v>
      </c>
      <c r="D518" s="22" t="s">
        <v>59</v>
      </c>
      <c r="E518" s="80" t="s">
        <v>695</v>
      </c>
      <c r="F518" s="65" t="s">
        <v>696</v>
      </c>
      <c r="G518" s="101" t="s">
        <v>77</v>
      </c>
      <c r="H518" s="133" t="s">
        <v>697</v>
      </c>
      <c r="I518" s="24" t="s">
        <v>705</v>
      </c>
      <c r="J518" s="47" t="s">
        <v>699</v>
      </c>
      <c r="K518" s="104"/>
      <c r="L518" s="48" t="s">
        <v>700</v>
      </c>
      <c r="M518" s="27">
        <v>43420</v>
      </c>
      <c r="N518" s="49" t="s">
        <v>177</v>
      </c>
      <c r="O518" s="61">
        <v>5216.57</v>
      </c>
      <c r="P518" s="106">
        <v>3</v>
      </c>
      <c r="Q518" s="51">
        <f t="shared" si="16"/>
        <v>15649.71</v>
      </c>
      <c r="R518" s="31">
        <v>202310</v>
      </c>
      <c r="S518" s="54"/>
      <c r="T518" s="54"/>
      <c r="U518" s="54"/>
      <c r="V518" s="54"/>
      <c r="W518" s="67"/>
      <c r="X518" s="67"/>
      <c r="Y518" s="36"/>
      <c r="Z518" s="36"/>
      <c r="AA518" s="36"/>
      <c r="AB518" s="36"/>
      <c r="AC518" s="36"/>
      <c r="AD518" s="36"/>
      <c r="AE518" s="36"/>
      <c r="AF518" s="53" t="s">
        <v>68</v>
      </c>
      <c r="AG518" s="42"/>
      <c r="AH518" s="42"/>
      <c r="AI518" s="43"/>
      <c r="AJ518" s="43"/>
      <c r="AK518" s="43"/>
      <c r="AL518" s="43"/>
      <c r="AM518" s="43"/>
      <c r="AN518" s="42"/>
      <c r="AO518" s="42"/>
      <c r="AP518" s="42"/>
      <c r="AQ518" s="43"/>
      <c r="AR518" s="42"/>
      <c r="AS518" s="42"/>
    </row>
    <row r="519" spans="1:45" ht="15" customHeight="1">
      <c r="A519" s="21" t="s">
        <v>57</v>
      </c>
      <c r="B519" s="21" t="s">
        <v>46</v>
      </c>
      <c r="C519" s="21" t="s">
        <v>188</v>
      </c>
      <c r="D519" s="22" t="s">
        <v>59</v>
      </c>
      <c r="E519" s="80" t="s">
        <v>695</v>
      </c>
      <c r="F519" s="65" t="s">
        <v>696</v>
      </c>
      <c r="G519" s="101" t="s">
        <v>77</v>
      </c>
      <c r="H519" s="133" t="s">
        <v>697</v>
      </c>
      <c r="I519" s="24" t="s">
        <v>705</v>
      </c>
      <c r="J519" s="47" t="s">
        <v>699</v>
      </c>
      <c r="K519" s="104"/>
      <c r="L519" s="48" t="s">
        <v>700</v>
      </c>
      <c r="M519" s="27">
        <v>43427</v>
      </c>
      <c r="N519" s="49" t="s">
        <v>177</v>
      </c>
      <c r="O519" s="61">
        <v>5216.57</v>
      </c>
      <c r="P519" s="106">
        <v>3</v>
      </c>
      <c r="Q519" s="51">
        <f t="shared" si="16"/>
        <v>15649.71</v>
      </c>
      <c r="R519" s="31">
        <v>202310</v>
      </c>
      <c r="S519" s="54"/>
      <c r="T519" s="54"/>
      <c r="U519" s="54"/>
      <c r="V519" s="54"/>
      <c r="W519" s="67"/>
      <c r="X519" s="67"/>
      <c r="Y519" s="36"/>
      <c r="Z519" s="36"/>
      <c r="AA519" s="36"/>
      <c r="AB519" s="36"/>
      <c r="AC519" s="36"/>
      <c r="AD519" s="36"/>
      <c r="AE519" s="36"/>
      <c r="AF519" s="53" t="s">
        <v>68</v>
      </c>
      <c r="AG519" s="42"/>
      <c r="AH519" s="42"/>
      <c r="AI519" s="43"/>
      <c r="AJ519" s="43"/>
      <c r="AK519" s="43"/>
      <c r="AL519" s="43"/>
      <c r="AM519" s="43"/>
      <c r="AN519" s="42"/>
      <c r="AO519" s="42"/>
      <c r="AP519" s="42"/>
      <c r="AQ519" s="43"/>
      <c r="AR519" s="42"/>
      <c r="AS519" s="42"/>
    </row>
    <row r="520" spans="1:45" ht="15" customHeight="1">
      <c r="A520" s="21" t="s">
        <v>57</v>
      </c>
      <c r="B520" s="21" t="s">
        <v>46</v>
      </c>
      <c r="C520" s="21" t="s">
        <v>188</v>
      </c>
      <c r="D520" s="22" t="s">
        <v>59</v>
      </c>
      <c r="E520" s="80" t="s">
        <v>695</v>
      </c>
      <c r="F520" s="65" t="s">
        <v>696</v>
      </c>
      <c r="G520" s="101" t="s">
        <v>77</v>
      </c>
      <c r="H520" s="133" t="s">
        <v>697</v>
      </c>
      <c r="I520" s="24" t="s">
        <v>705</v>
      </c>
      <c r="J520" s="47" t="s">
        <v>699</v>
      </c>
      <c r="K520" s="104"/>
      <c r="L520" s="48" t="s">
        <v>700</v>
      </c>
      <c r="M520" s="27">
        <v>43406</v>
      </c>
      <c r="N520" s="49" t="s">
        <v>177</v>
      </c>
      <c r="O520" s="61">
        <v>5216.57</v>
      </c>
      <c r="P520" s="106">
        <v>2</v>
      </c>
      <c r="Q520" s="51">
        <f t="shared" si="16"/>
        <v>10433.14</v>
      </c>
      <c r="R520" s="31">
        <v>202310</v>
      </c>
      <c r="S520" s="54"/>
      <c r="T520" s="54"/>
      <c r="U520" s="54"/>
      <c r="V520" s="54"/>
      <c r="W520" s="67"/>
      <c r="X520" s="67"/>
      <c r="Y520" s="36"/>
      <c r="Z520" s="36"/>
      <c r="AA520" s="36"/>
      <c r="AB520" s="36"/>
      <c r="AC520" s="36"/>
      <c r="AD520" s="36"/>
      <c r="AE520" s="36"/>
      <c r="AF520" s="53" t="s">
        <v>68</v>
      </c>
      <c r="AG520" s="42"/>
      <c r="AH520" s="42"/>
      <c r="AI520" s="43"/>
      <c r="AJ520" s="43"/>
      <c r="AK520" s="43"/>
      <c r="AL520" s="43"/>
      <c r="AM520" s="43"/>
      <c r="AN520" s="42"/>
      <c r="AO520" s="42"/>
      <c r="AP520" s="42"/>
      <c r="AQ520" s="43"/>
      <c r="AR520" s="42"/>
      <c r="AS520" s="42"/>
    </row>
    <row r="521" spans="1:45" ht="15" customHeight="1">
      <c r="A521" s="21" t="s">
        <v>57</v>
      </c>
      <c r="B521" s="21" t="s">
        <v>46</v>
      </c>
      <c r="C521" s="21" t="s">
        <v>188</v>
      </c>
      <c r="D521" s="22" t="s">
        <v>59</v>
      </c>
      <c r="E521" s="80" t="s">
        <v>695</v>
      </c>
      <c r="F521" s="65" t="s">
        <v>696</v>
      </c>
      <c r="G521" s="101" t="s">
        <v>77</v>
      </c>
      <c r="H521" s="133" t="s">
        <v>697</v>
      </c>
      <c r="I521" s="24" t="s">
        <v>705</v>
      </c>
      <c r="J521" s="47" t="s">
        <v>699</v>
      </c>
      <c r="K521" s="104"/>
      <c r="L521" s="48" t="s">
        <v>700</v>
      </c>
      <c r="M521" s="27">
        <v>43409</v>
      </c>
      <c r="N521" s="49" t="s">
        <v>177</v>
      </c>
      <c r="O521" s="61">
        <v>5216.57</v>
      </c>
      <c r="P521" s="106">
        <v>28</v>
      </c>
      <c r="Q521" s="51">
        <f t="shared" si="16"/>
        <v>146063.96</v>
      </c>
      <c r="R521" s="31">
        <v>202310</v>
      </c>
      <c r="S521" s="54"/>
      <c r="T521" s="54"/>
      <c r="U521" s="54"/>
      <c r="V521" s="54"/>
      <c r="W521" s="67"/>
      <c r="X521" s="67"/>
      <c r="Y521" s="36"/>
      <c r="Z521" s="36"/>
      <c r="AA521" s="36"/>
      <c r="AB521" s="36"/>
      <c r="AC521" s="36"/>
      <c r="AD521" s="36"/>
      <c r="AE521" s="36"/>
      <c r="AF521" s="53" t="s">
        <v>68</v>
      </c>
      <c r="AG521" s="42"/>
      <c r="AH521" s="42"/>
      <c r="AI521" s="43"/>
      <c r="AJ521" s="43"/>
      <c r="AK521" s="43"/>
      <c r="AL521" s="43"/>
      <c r="AM521" s="43"/>
      <c r="AN521" s="42"/>
      <c r="AO521" s="42"/>
      <c r="AP521" s="42"/>
      <c r="AQ521" s="43"/>
      <c r="AR521" s="42"/>
      <c r="AS521" s="42"/>
    </row>
    <row r="522" spans="1:45" ht="15" customHeight="1">
      <c r="A522" s="21" t="s">
        <v>57</v>
      </c>
      <c r="B522" s="21" t="s">
        <v>46</v>
      </c>
      <c r="C522" s="21" t="s">
        <v>188</v>
      </c>
      <c r="D522" s="22" t="s">
        <v>59</v>
      </c>
      <c r="E522" s="80" t="s">
        <v>695</v>
      </c>
      <c r="F522" s="65" t="s">
        <v>696</v>
      </c>
      <c r="G522" s="101" t="s">
        <v>77</v>
      </c>
      <c r="H522" s="133" t="s">
        <v>697</v>
      </c>
      <c r="I522" s="24" t="s">
        <v>705</v>
      </c>
      <c r="J522" s="47" t="s">
        <v>699</v>
      </c>
      <c r="K522" s="104"/>
      <c r="L522" s="48" t="s">
        <v>700</v>
      </c>
      <c r="M522" s="27">
        <v>43410</v>
      </c>
      <c r="N522" s="49" t="s">
        <v>177</v>
      </c>
      <c r="O522" s="61">
        <v>5216.57</v>
      </c>
      <c r="P522" s="106">
        <v>2</v>
      </c>
      <c r="Q522" s="51">
        <f t="shared" si="16"/>
        <v>10433.14</v>
      </c>
      <c r="R522" s="31">
        <v>202310</v>
      </c>
      <c r="S522" s="54"/>
      <c r="T522" s="54"/>
      <c r="U522" s="54"/>
      <c r="V522" s="54"/>
      <c r="W522" s="67"/>
      <c r="X522" s="67"/>
      <c r="Y522" s="36"/>
      <c r="Z522" s="36"/>
      <c r="AA522" s="36"/>
      <c r="AB522" s="36"/>
      <c r="AC522" s="36"/>
      <c r="AD522" s="36"/>
      <c r="AE522" s="36"/>
      <c r="AF522" s="53" t="s">
        <v>68</v>
      </c>
      <c r="AG522" s="42"/>
      <c r="AH522" s="42"/>
      <c r="AI522" s="43"/>
      <c r="AJ522" s="43"/>
      <c r="AK522" s="43"/>
      <c r="AL522" s="43"/>
      <c r="AM522" s="43"/>
      <c r="AN522" s="42"/>
      <c r="AO522" s="42"/>
      <c r="AP522" s="42"/>
      <c r="AQ522" s="43"/>
      <c r="AR522" s="42"/>
      <c r="AS522" s="42"/>
    </row>
    <row r="523" spans="1:45" ht="15" customHeight="1">
      <c r="A523" s="21" t="s">
        <v>57</v>
      </c>
      <c r="B523" s="21" t="s">
        <v>46</v>
      </c>
      <c r="C523" s="21" t="s">
        <v>188</v>
      </c>
      <c r="D523" s="22" t="s">
        <v>59</v>
      </c>
      <c r="E523" s="80" t="s">
        <v>695</v>
      </c>
      <c r="F523" s="65" t="s">
        <v>696</v>
      </c>
      <c r="G523" s="101" t="s">
        <v>77</v>
      </c>
      <c r="H523" s="133" t="s">
        <v>697</v>
      </c>
      <c r="I523" s="24" t="s">
        <v>705</v>
      </c>
      <c r="J523" s="47" t="s">
        <v>699</v>
      </c>
      <c r="K523" s="104"/>
      <c r="L523" s="48" t="s">
        <v>700</v>
      </c>
      <c r="M523" s="27">
        <v>43412</v>
      </c>
      <c r="N523" s="49" t="s">
        <v>177</v>
      </c>
      <c r="O523" s="61">
        <v>5216.57</v>
      </c>
      <c r="P523" s="106">
        <v>1</v>
      </c>
      <c r="Q523" s="51">
        <f t="shared" si="16"/>
        <v>5216.57</v>
      </c>
      <c r="R523" s="31">
        <v>202310</v>
      </c>
      <c r="S523" s="54"/>
      <c r="T523" s="54"/>
      <c r="U523" s="54"/>
      <c r="V523" s="54"/>
      <c r="W523" s="67"/>
      <c r="X523" s="67"/>
      <c r="Y523" s="36"/>
      <c r="Z523" s="36"/>
      <c r="AA523" s="36"/>
      <c r="AB523" s="36"/>
      <c r="AC523" s="36"/>
      <c r="AD523" s="36"/>
      <c r="AE523" s="36"/>
      <c r="AF523" s="53" t="s">
        <v>68</v>
      </c>
      <c r="AG523" s="42"/>
      <c r="AH523" s="42"/>
      <c r="AI523" s="43"/>
      <c r="AJ523" s="43"/>
      <c r="AK523" s="43"/>
      <c r="AL523" s="43"/>
      <c r="AM523" s="43"/>
      <c r="AN523" s="42"/>
      <c r="AO523" s="42"/>
      <c r="AP523" s="42"/>
      <c r="AQ523" s="43"/>
      <c r="AR523" s="42"/>
      <c r="AS523" s="42"/>
    </row>
    <row r="524" spans="1:45" ht="15" customHeight="1">
      <c r="A524" s="21" t="s">
        <v>57</v>
      </c>
      <c r="B524" s="21" t="s">
        <v>46</v>
      </c>
      <c r="C524" s="21" t="s">
        <v>188</v>
      </c>
      <c r="D524" s="22" t="s">
        <v>59</v>
      </c>
      <c r="E524" s="80" t="s">
        <v>695</v>
      </c>
      <c r="F524" s="65" t="s">
        <v>696</v>
      </c>
      <c r="G524" s="101" t="s">
        <v>77</v>
      </c>
      <c r="H524" s="133" t="s">
        <v>697</v>
      </c>
      <c r="I524" s="24" t="s">
        <v>705</v>
      </c>
      <c r="J524" s="47" t="s">
        <v>699</v>
      </c>
      <c r="K524" s="104"/>
      <c r="L524" s="48" t="s">
        <v>700</v>
      </c>
      <c r="M524" s="27">
        <v>43423</v>
      </c>
      <c r="N524" s="49" t="s">
        <v>177</v>
      </c>
      <c r="O524" s="61">
        <v>5216.57</v>
      </c>
      <c r="P524" s="106">
        <v>8</v>
      </c>
      <c r="Q524" s="51">
        <f t="shared" si="16"/>
        <v>41732.559999999998</v>
      </c>
      <c r="R524" s="31">
        <v>202310</v>
      </c>
      <c r="S524" s="54"/>
      <c r="T524" s="54"/>
      <c r="U524" s="54"/>
      <c r="V524" s="54"/>
      <c r="W524" s="67"/>
      <c r="X524" s="67"/>
      <c r="Y524" s="36"/>
      <c r="Z524" s="36"/>
      <c r="AA524" s="36"/>
      <c r="AB524" s="36"/>
      <c r="AC524" s="36"/>
      <c r="AD524" s="36"/>
      <c r="AE524" s="36"/>
      <c r="AF524" s="53" t="s">
        <v>68</v>
      </c>
      <c r="AG524" s="42"/>
      <c r="AH524" s="42"/>
      <c r="AI524" s="43"/>
      <c r="AJ524" s="43"/>
      <c r="AK524" s="43"/>
      <c r="AL524" s="43"/>
      <c r="AM524" s="43"/>
      <c r="AN524" s="42"/>
      <c r="AO524" s="42"/>
      <c r="AP524" s="42"/>
      <c r="AQ524" s="43"/>
      <c r="AR524" s="42"/>
      <c r="AS524" s="42"/>
    </row>
    <row r="525" spans="1:45" ht="15" customHeight="1">
      <c r="A525" s="21" t="s">
        <v>57</v>
      </c>
      <c r="B525" s="21" t="s">
        <v>46</v>
      </c>
      <c r="C525" s="21" t="s">
        <v>188</v>
      </c>
      <c r="D525" s="22" t="s">
        <v>59</v>
      </c>
      <c r="E525" s="80" t="s">
        <v>695</v>
      </c>
      <c r="F525" s="65" t="s">
        <v>696</v>
      </c>
      <c r="G525" s="101" t="s">
        <v>77</v>
      </c>
      <c r="H525" s="133" t="s">
        <v>697</v>
      </c>
      <c r="I525" s="24" t="s">
        <v>705</v>
      </c>
      <c r="J525" s="47" t="s">
        <v>699</v>
      </c>
      <c r="K525" s="104"/>
      <c r="L525" s="48" t="s">
        <v>700</v>
      </c>
      <c r="M525" s="27">
        <v>43427</v>
      </c>
      <c r="N525" s="49" t="s">
        <v>177</v>
      </c>
      <c r="O525" s="61">
        <v>5216.57</v>
      </c>
      <c r="P525" s="106">
        <v>2</v>
      </c>
      <c r="Q525" s="51">
        <f t="shared" si="16"/>
        <v>10433.14</v>
      </c>
      <c r="R525" s="31">
        <v>202310</v>
      </c>
      <c r="S525" s="54"/>
      <c r="T525" s="54"/>
      <c r="U525" s="54"/>
      <c r="V525" s="54"/>
      <c r="W525" s="67"/>
      <c r="X525" s="67"/>
      <c r="Y525" s="36"/>
      <c r="Z525" s="36"/>
      <c r="AA525" s="36"/>
      <c r="AB525" s="36"/>
      <c r="AC525" s="36"/>
      <c r="AD525" s="36"/>
      <c r="AE525" s="36"/>
      <c r="AF525" s="53" t="s">
        <v>68</v>
      </c>
      <c r="AG525" s="42"/>
      <c r="AH525" s="42"/>
      <c r="AI525" s="43"/>
      <c r="AJ525" s="43"/>
      <c r="AK525" s="43"/>
      <c r="AL525" s="43"/>
      <c r="AM525" s="43"/>
      <c r="AN525" s="42"/>
      <c r="AO525" s="42"/>
      <c r="AP525" s="42"/>
      <c r="AQ525" s="43"/>
      <c r="AR525" s="42"/>
      <c r="AS525" s="42"/>
    </row>
    <row r="526" spans="1:45" ht="15" customHeight="1">
      <c r="A526" s="21" t="s">
        <v>57</v>
      </c>
      <c r="B526" s="21" t="s">
        <v>46</v>
      </c>
      <c r="C526" s="21" t="s">
        <v>188</v>
      </c>
      <c r="D526" s="22" t="s">
        <v>59</v>
      </c>
      <c r="E526" s="80" t="s">
        <v>695</v>
      </c>
      <c r="F526" s="65" t="s">
        <v>696</v>
      </c>
      <c r="G526" s="101" t="s">
        <v>77</v>
      </c>
      <c r="H526" s="133" t="s">
        <v>697</v>
      </c>
      <c r="I526" s="24" t="s">
        <v>705</v>
      </c>
      <c r="J526" s="47" t="s">
        <v>699</v>
      </c>
      <c r="K526" s="104"/>
      <c r="L526" s="48" t="s">
        <v>700</v>
      </c>
      <c r="M526" s="27">
        <v>43447</v>
      </c>
      <c r="N526" s="49" t="s">
        <v>177</v>
      </c>
      <c r="O526" s="61">
        <v>5216.57</v>
      </c>
      <c r="P526" s="106">
        <v>2</v>
      </c>
      <c r="Q526" s="51">
        <f t="shared" si="16"/>
        <v>10433.14</v>
      </c>
      <c r="R526" s="31">
        <v>202310</v>
      </c>
      <c r="S526" s="54"/>
      <c r="T526" s="54"/>
      <c r="U526" s="54"/>
      <c r="V526" s="54"/>
      <c r="W526" s="67"/>
      <c r="X526" s="67"/>
      <c r="Y526" s="36"/>
      <c r="Z526" s="36"/>
      <c r="AA526" s="36"/>
      <c r="AB526" s="36"/>
      <c r="AC526" s="36"/>
      <c r="AD526" s="36"/>
      <c r="AE526" s="36"/>
      <c r="AF526" s="53" t="s">
        <v>68</v>
      </c>
      <c r="AG526" s="42"/>
      <c r="AH526" s="42"/>
      <c r="AI526" s="43"/>
      <c r="AJ526" s="43"/>
      <c r="AK526" s="43"/>
      <c r="AL526" s="43"/>
      <c r="AM526" s="43"/>
      <c r="AN526" s="42"/>
      <c r="AO526" s="42"/>
      <c r="AP526" s="42"/>
      <c r="AQ526" s="43"/>
      <c r="AR526" s="42"/>
      <c r="AS526" s="42"/>
    </row>
    <row r="527" spans="1:45" ht="15" customHeight="1">
      <c r="A527" s="21" t="s">
        <v>57</v>
      </c>
      <c r="B527" s="21" t="s">
        <v>46</v>
      </c>
      <c r="C527" s="21" t="s">
        <v>188</v>
      </c>
      <c r="D527" s="22" t="s">
        <v>59</v>
      </c>
      <c r="E527" s="80" t="s">
        <v>695</v>
      </c>
      <c r="F527" s="65" t="s">
        <v>696</v>
      </c>
      <c r="G527" s="101" t="s">
        <v>77</v>
      </c>
      <c r="H527" s="133" t="s">
        <v>697</v>
      </c>
      <c r="I527" s="24" t="s">
        <v>705</v>
      </c>
      <c r="J527" s="47" t="s">
        <v>699</v>
      </c>
      <c r="K527" s="104"/>
      <c r="L527" s="48" t="s">
        <v>700</v>
      </c>
      <c r="M527" s="27">
        <v>43444</v>
      </c>
      <c r="N527" s="49" t="s">
        <v>177</v>
      </c>
      <c r="O527" s="61">
        <v>5216.57</v>
      </c>
      <c r="P527" s="106">
        <v>4</v>
      </c>
      <c r="Q527" s="51">
        <f t="shared" si="16"/>
        <v>20866.28</v>
      </c>
      <c r="R527" s="31">
        <v>202310</v>
      </c>
      <c r="S527" s="54"/>
      <c r="T527" s="54"/>
      <c r="U527" s="54"/>
      <c r="V527" s="54"/>
      <c r="W527" s="67"/>
      <c r="X527" s="67"/>
      <c r="Y527" s="36"/>
      <c r="Z527" s="36"/>
      <c r="AA527" s="36"/>
      <c r="AB527" s="36"/>
      <c r="AC527" s="36"/>
      <c r="AD527" s="36"/>
      <c r="AE527" s="36"/>
      <c r="AF527" s="53" t="s">
        <v>68</v>
      </c>
      <c r="AG527" s="42"/>
      <c r="AH527" s="42"/>
      <c r="AI527" s="43"/>
      <c r="AJ527" s="43"/>
      <c r="AK527" s="43"/>
      <c r="AL527" s="43"/>
      <c r="AM527" s="43"/>
      <c r="AN527" s="42"/>
      <c r="AO527" s="42"/>
      <c r="AP527" s="42"/>
      <c r="AQ527" s="43"/>
      <c r="AR527" s="42"/>
      <c r="AS527" s="42"/>
    </row>
    <row r="528" spans="1:45" ht="15" customHeight="1">
      <c r="A528" s="21" t="s">
        <v>57</v>
      </c>
      <c r="B528" s="21" t="s">
        <v>46</v>
      </c>
      <c r="C528" s="21" t="s">
        <v>188</v>
      </c>
      <c r="D528" s="22" t="s">
        <v>59</v>
      </c>
      <c r="E528" s="80" t="s">
        <v>695</v>
      </c>
      <c r="F528" s="65" t="s">
        <v>696</v>
      </c>
      <c r="G528" s="101" t="s">
        <v>77</v>
      </c>
      <c r="H528" s="133" t="s">
        <v>697</v>
      </c>
      <c r="I528" s="24" t="s">
        <v>705</v>
      </c>
      <c r="J528" s="47" t="s">
        <v>699</v>
      </c>
      <c r="K528" s="104"/>
      <c r="L528" s="48" t="s">
        <v>700</v>
      </c>
      <c r="M528" s="27">
        <v>43447</v>
      </c>
      <c r="N528" s="49" t="s">
        <v>177</v>
      </c>
      <c r="O528" s="61">
        <v>5216.57</v>
      </c>
      <c r="P528" s="106">
        <v>8</v>
      </c>
      <c r="Q528" s="51">
        <f t="shared" si="16"/>
        <v>41732.559999999998</v>
      </c>
      <c r="R528" s="31">
        <v>202310</v>
      </c>
      <c r="S528" s="54"/>
      <c r="T528" s="54"/>
      <c r="U528" s="54"/>
      <c r="V528" s="54"/>
      <c r="W528" s="67"/>
      <c r="X528" s="67"/>
      <c r="Y528" s="36"/>
      <c r="Z528" s="36"/>
      <c r="AA528" s="36"/>
      <c r="AB528" s="36"/>
      <c r="AC528" s="36"/>
      <c r="AD528" s="36"/>
      <c r="AE528" s="36"/>
      <c r="AF528" s="53" t="s">
        <v>68</v>
      </c>
      <c r="AG528" s="42"/>
      <c r="AH528" s="42"/>
      <c r="AI528" s="43"/>
      <c r="AJ528" s="43"/>
      <c r="AK528" s="43"/>
      <c r="AL528" s="43"/>
      <c r="AM528" s="43"/>
      <c r="AN528" s="42"/>
      <c r="AO528" s="42"/>
      <c r="AP528" s="42"/>
      <c r="AQ528" s="43"/>
      <c r="AR528" s="42"/>
      <c r="AS528" s="42"/>
    </row>
    <row r="529" spans="1:45" ht="15" customHeight="1">
      <c r="A529" s="21" t="s">
        <v>57</v>
      </c>
      <c r="B529" s="21" t="s">
        <v>46</v>
      </c>
      <c r="C529" s="21" t="s">
        <v>188</v>
      </c>
      <c r="D529" s="22" t="s">
        <v>59</v>
      </c>
      <c r="E529" s="80" t="s">
        <v>695</v>
      </c>
      <c r="F529" s="65" t="s">
        <v>696</v>
      </c>
      <c r="G529" s="101" t="s">
        <v>77</v>
      </c>
      <c r="H529" s="133" t="s">
        <v>697</v>
      </c>
      <c r="I529" s="24" t="s">
        <v>705</v>
      </c>
      <c r="J529" s="47" t="s">
        <v>699</v>
      </c>
      <c r="K529" s="104"/>
      <c r="L529" s="48" t="s">
        <v>700</v>
      </c>
      <c r="M529" s="27">
        <v>43462</v>
      </c>
      <c r="N529" s="49" t="s">
        <v>177</v>
      </c>
      <c r="O529" s="61">
        <v>5216.57</v>
      </c>
      <c r="P529" s="106">
        <v>1</v>
      </c>
      <c r="Q529" s="51">
        <f t="shared" si="16"/>
        <v>5216.57</v>
      </c>
      <c r="R529" s="31">
        <v>202310</v>
      </c>
      <c r="S529" s="54"/>
      <c r="T529" s="54"/>
      <c r="U529" s="54"/>
      <c r="V529" s="54"/>
      <c r="W529" s="67"/>
      <c r="X529" s="67"/>
      <c r="Y529" s="36"/>
      <c r="Z529" s="36"/>
      <c r="AA529" s="36"/>
      <c r="AB529" s="36"/>
      <c r="AC529" s="36"/>
      <c r="AD529" s="36"/>
      <c r="AE529" s="36"/>
      <c r="AF529" s="53" t="s">
        <v>68</v>
      </c>
      <c r="AG529" s="42"/>
      <c r="AH529" s="42"/>
      <c r="AI529" s="43"/>
      <c r="AJ529" s="43"/>
      <c r="AK529" s="43"/>
      <c r="AL529" s="43"/>
      <c r="AM529" s="43"/>
      <c r="AN529" s="42"/>
      <c r="AO529" s="42"/>
      <c r="AP529" s="42"/>
      <c r="AQ529" s="43"/>
      <c r="AR529" s="42"/>
      <c r="AS529" s="42"/>
    </row>
    <row r="530" spans="1:45" ht="15" customHeight="1">
      <c r="A530" s="21" t="s">
        <v>57</v>
      </c>
      <c r="B530" s="21" t="s">
        <v>46</v>
      </c>
      <c r="C530" s="21" t="s">
        <v>188</v>
      </c>
      <c r="D530" s="22" t="s">
        <v>59</v>
      </c>
      <c r="E530" s="80" t="s">
        <v>695</v>
      </c>
      <c r="F530" s="65" t="s">
        <v>696</v>
      </c>
      <c r="G530" s="101" t="s">
        <v>77</v>
      </c>
      <c r="H530" s="133" t="s">
        <v>697</v>
      </c>
      <c r="I530" s="24" t="s">
        <v>705</v>
      </c>
      <c r="J530" s="47" t="s">
        <v>699</v>
      </c>
      <c r="K530" s="104"/>
      <c r="L530" s="48" t="s">
        <v>700</v>
      </c>
      <c r="M530" s="27">
        <v>43476</v>
      </c>
      <c r="N530" s="49" t="s">
        <v>177</v>
      </c>
      <c r="O530" s="61">
        <v>5216.57</v>
      </c>
      <c r="P530" s="106">
        <v>3</v>
      </c>
      <c r="Q530" s="51">
        <f t="shared" si="16"/>
        <v>15649.71</v>
      </c>
      <c r="R530" s="31">
        <v>202310</v>
      </c>
      <c r="S530" s="54"/>
      <c r="T530" s="54"/>
      <c r="U530" s="54"/>
      <c r="V530" s="54"/>
      <c r="W530" s="67"/>
      <c r="X530" s="67"/>
      <c r="Y530" s="36"/>
      <c r="Z530" s="36"/>
      <c r="AA530" s="36"/>
      <c r="AB530" s="36"/>
      <c r="AC530" s="36"/>
      <c r="AD530" s="36"/>
      <c r="AE530" s="36"/>
      <c r="AF530" s="53" t="s">
        <v>68</v>
      </c>
      <c r="AG530" s="42"/>
      <c r="AH530" s="42"/>
      <c r="AI530" s="43"/>
      <c r="AJ530" s="43"/>
      <c r="AK530" s="43"/>
      <c r="AL530" s="43"/>
      <c r="AM530" s="43"/>
      <c r="AN530" s="42"/>
      <c r="AO530" s="42"/>
      <c r="AP530" s="42"/>
      <c r="AQ530" s="43"/>
      <c r="AR530" s="42"/>
      <c r="AS530" s="42"/>
    </row>
    <row r="531" spans="1:45" ht="15" customHeight="1">
      <c r="A531" s="21" t="s">
        <v>57</v>
      </c>
      <c r="B531" s="21" t="s">
        <v>46</v>
      </c>
      <c r="C531" s="21" t="s">
        <v>188</v>
      </c>
      <c r="D531" s="22" t="s">
        <v>59</v>
      </c>
      <c r="E531" s="80" t="s">
        <v>695</v>
      </c>
      <c r="F531" s="65" t="s">
        <v>696</v>
      </c>
      <c r="G531" s="101" t="s">
        <v>77</v>
      </c>
      <c r="H531" s="133" t="s">
        <v>697</v>
      </c>
      <c r="I531" s="24" t="s">
        <v>705</v>
      </c>
      <c r="J531" s="47" t="s">
        <v>699</v>
      </c>
      <c r="K531" s="104"/>
      <c r="L531" s="48" t="s">
        <v>700</v>
      </c>
      <c r="M531" s="27">
        <v>43480</v>
      </c>
      <c r="N531" s="49" t="s">
        <v>177</v>
      </c>
      <c r="O531" s="61">
        <v>5216.57</v>
      </c>
      <c r="P531" s="106">
        <v>4</v>
      </c>
      <c r="Q531" s="51">
        <f t="shared" si="16"/>
        <v>20866.28</v>
      </c>
      <c r="R531" s="31">
        <v>202310</v>
      </c>
      <c r="S531" s="54"/>
      <c r="T531" s="54"/>
      <c r="U531" s="54"/>
      <c r="V531" s="54"/>
      <c r="W531" s="67"/>
      <c r="X531" s="67"/>
      <c r="Y531" s="36"/>
      <c r="Z531" s="36"/>
      <c r="AA531" s="36"/>
      <c r="AB531" s="36"/>
      <c r="AC531" s="36"/>
      <c r="AD531" s="36"/>
      <c r="AE531" s="36"/>
      <c r="AF531" s="53" t="s">
        <v>68</v>
      </c>
      <c r="AG531" s="42"/>
      <c r="AH531" s="42"/>
      <c r="AI531" s="43"/>
      <c r="AJ531" s="43"/>
      <c r="AK531" s="43"/>
      <c r="AL531" s="43"/>
      <c r="AM531" s="43"/>
      <c r="AN531" s="42"/>
      <c r="AO531" s="42"/>
      <c r="AP531" s="42"/>
      <c r="AQ531" s="43"/>
      <c r="AR531" s="42"/>
      <c r="AS531" s="42"/>
    </row>
    <row r="532" spans="1:45" ht="15" customHeight="1">
      <c r="A532" s="21" t="s">
        <v>57</v>
      </c>
      <c r="B532" s="21" t="s">
        <v>46</v>
      </c>
      <c r="C532" s="21" t="s">
        <v>188</v>
      </c>
      <c r="D532" s="22" t="s">
        <v>59</v>
      </c>
      <c r="E532" s="80" t="s">
        <v>695</v>
      </c>
      <c r="F532" s="65" t="s">
        <v>696</v>
      </c>
      <c r="G532" s="101" t="s">
        <v>77</v>
      </c>
      <c r="H532" s="133" t="s">
        <v>697</v>
      </c>
      <c r="I532" s="24" t="s">
        <v>705</v>
      </c>
      <c r="J532" s="47" t="s">
        <v>699</v>
      </c>
      <c r="K532" s="104"/>
      <c r="L532" s="48" t="s">
        <v>700</v>
      </c>
      <c r="M532" s="27">
        <v>43481</v>
      </c>
      <c r="N532" s="49" t="s">
        <v>177</v>
      </c>
      <c r="O532" s="61">
        <v>5216.57</v>
      </c>
      <c r="P532" s="106">
        <v>1</v>
      </c>
      <c r="Q532" s="51">
        <f t="shared" si="16"/>
        <v>5216.57</v>
      </c>
      <c r="R532" s="31">
        <v>202310</v>
      </c>
      <c r="S532" s="54"/>
      <c r="T532" s="54"/>
      <c r="U532" s="54"/>
      <c r="V532" s="54"/>
      <c r="W532" s="67"/>
      <c r="X532" s="67"/>
      <c r="Y532" s="36"/>
      <c r="Z532" s="36"/>
      <c r="AA532" s="36"/>
      <c r="AB532" s="36"/>
      <c r="AC532" s="36"/>
      <c r="AD532" s="36"/>
      <c r="AE532" s="36"/>
      <c r="AF532" s="53" t="s">
        <v>68</v>
      </c>
      <c r="AG532" s="42"/>
      <c r="AH532" s="42"/>
      <c r="AI532" s="43"/>
      <c r="AJ532" s="43"/>
      <c r="AK532" s="43"/>
      <c r="AL532" s="43"/>
      <c r="AM532" s="43"/>
      <c r="AN532" s="42"/>
      <c r="AO532" s="42"/>
      <c r="AP532" s="42"/>
      <c r="AQ532" s="43"/>
      <c r="AR532" s="42"/>
      <c r="AS532" s="42"/>
    </row>
    <row r="533" spans="1:45" ht="15" customHeight="1">
      <c r="A533" s="21" t="s">
        <v>57</v>
      </c>
      <c r="B533" s="21" t="s">
        <v>46</v>
      </c>
      <c r="C533" s="21" t="s">
        <v>188</v>
      </c>
      <c r="D533" s="22" t="s">
        <v>59</v>
      </c>
      <c r="E533" s="80" t="s">
        <v>695</v>
      </c>
      <c r="F533" s="65" t="s">
        <v>696</v>
      </c>
      <c r="G533" s="101" t="s">
        <v>77</v>
      </c>
      <c r="H533" s="133" t="s">
        <v>697</v>
      </c>
      <c r="I533" s="24" t="s">
        <v>705</v>
      </c>
      <c r="J533" s="47" t="s">
        <v>699</v>
      </c>
      <c r="K533" s="104"/>
      <c r="L533" s="48" t="s">
        <v>700</v>
      </c>
      <c r="M533" s="27">
        <v>43493</v>
      </c>
      <c r="N533" s="49" t="s">
        <v>177</v>
      </c>
      <c r="O533" s="61">
        <v>5216.57</v>
      </c>
      <c r="P533" s="106">
        <v>1</v>
      </c>
      <c r="Q533" s="51">
        <f t="shared" si="16"/>
        <v>5216.57</v>
      </c>
      <c r="R533" s="31">
        <v>202310</v>
      </c>
      <c r="S533" s="54"/>
      <c r="T533" s="54"/>
      <c r="U533" s="54"/>
      <c r="V533" s="54"/>
      <c r="W533" s="67"/>
      <c r="X533" s="67"/>
      <c r="Y533" s="36"/>
      <c r="Z533" s="36"/>
      <c r="AA533" s="36"/>
      <c r="AB533" s="36"/>
      <c r="AC533" s="36"/>
      <c r="AD533" s="36"/>
      <c r="AE533" s="36"/>
      <c r="AF533" s="53" t="s">
        <v>68</v>
      </c>
      <c r="AG533" s="42"/>
      <c r="AH533" s="42"/>
      <c r="AI533" s="43"/>
      <c r="AJ533" s="43"/>
      <c r="AK533" s="43"/>
      <c r="AL533" s="43"/>
      <c r="AM533" s="43"/>
      <c r="AN533" s="42"/>
      <c r="AO533" s="42"/>
      <c r="AP533" s="42"/>
      <c r="AQ533" s="43"/>
      <c r="AR533" s="42"/>
      <c r="AS533" s="42"/>
    </row>
    <row r="534" spans="1:45" ht="15" customHeight="1">
      <c r="A534" s="21" t="s">
        <v>57</v>
      </c>
      <c r="B534" s="21" t="s">
        <v>46</v>
      </c>
      <c r="C534" s="21" t="s">
        <v>188</v>
      </c>
      <c r="D534" s="22" t="s">
        <v>59</v>
      </c>
      <c r="E534" s="80" t="s">
        <v>695</v>
      </c>
      <c r="F534" s="65" t="s">
        <v>696</v>
      </c>
      <c r="G534" s="101" t="s">
        <v>77</v>
      </c>
      <c r="H534" s="133" t="s">
        <v>697</v>
      </c>
      <c r="I534" s="24" t="s">
        <v>705</v>
      </c>
      <c r="J534" s="47" t="s">
        <v>699</v>
      </c>
      <c r="K534" s="104"/>
      <c r="L534" s="48" t="s">
        <v>700</v>
      </c>
      <c r="M534" s="27">
        <v>43127</v>
      </c>
      <c r="N534" s="49" t="s">
        <v>177</v>
      </c>
      <c r="O534" s="61">
        <v>5216.57</v>
      </c>
      <c r="P534" s="106">
        <v>3</v>
      </c>
      <c r="Q534" s="51">
        <f t="shared" si="16"/>
        <v>15649.71</v>
      </c>
      <c r="R534" s="31">
        <v>202310</v>
      </c>
      <c r="S534" s="54"/>
      <c r="T534" s="54"/>
      <c r="U534" s="54"/>
      <c r="V534" s="54"/>
      <c r="W534" s="67"/>
      <c r="X534" s="67"/>
      <c r="Y534" s="36"/>
      <c r="Z534" s="36"/>
      <c r="AA534" s="36"/>
      <c r="AB534" s="36"/>
      <c r="AC534" s="36"/>
      <c r="AD534" s="36"/>
      <c r="AE534" s="36"/>
      <c r="AF534" s="53" t="s">
        <v>68</v>
      </c>
      <c r="AG534" s="42"/>
      <c r="AH534" s="42"/>
      <c r="AI534" s="43"/>
      <c r="AJ534" s="43"/>
      <c r="AK534" s="43"/>
      <c r="AL534" s="43"/>
      <c r="AM534" s="43"/>
      <c r="AN534" s="42"/>
      <c r="AO534" s="42"/>
      <c r="AP534" s="42"/>
      <c r="AQ534" s="43"/>
      <c r="AR534" s="42"/>
      <c r="AS534" s="42"/>
    </row>
    <row r="535" spans="1:45" ht="15" customHeight="1">
      <c r="A535" s="21" t="s">
        <v>57</v>
      </c>
      <c r="B535" s="21" t="s">
        <v>46</v>
      </c>
      <c r="C535" s="21" t="s">
        <v>188</v>
      </c>
      <c r="D535" s="22" t="s">
        <v>59</v>
      </c>
      <c r="E535" s="80" t="s">
        <v>695</v>
      </c>
      <c r="F535" s="65" t="s">
        <v>696</v>
      </c>
      <c r="G535" s="101" t="s">
        <v>77</v>
      </c>
      <c r="H535" s="133" t="s">
        <v>697</v>
      </c>
      <c r="I535" s="24" t="s">
        <v>705</v>
      </c>
      <c r="J535" s="47" t="s">
        <v>699</v>
      </c>
      <c r="K535" s="104"/>
      <c r="L535" s="48" t="s">
        <v>700</v>
      </c>
      <c r="M535" s="27">
        <v>43484</v>
      </c>
      <c r="N535" s="49" t="s">
        <v>177</v>
      </c>
      <c r="O535" s="61">
        <v>5216.57</v>
      </c>
      <c r="P535" s="106">
        <v>10</v>
      </c>
      <c r="Q535" s="51">
        <f t="shared" si="16"/>
        <v>52165.7</v>
      </c>
      <c r="R535" s="31">
        <v>202310</v>
      </c>
      <c r="S535" s="54"/>
      <c r="T535" s="54"/>
      <c r="U535" s="54"/>
      <c r="V535" s="54"/>
      <c r="W535" s="67"/>
      <c r="X535" s="67"/>
      <c r="Y535" s="36"/>
      <c r="Z535" s="36"/>
      <c r="AA535" s="36"/>
      <c r="AB535" s="36"/>
      <c r="AC535" s="36"/>
      <c r="AD535" s="36"/>
      <c r="AE535" s="36"/>
      <c r="AF535" s="53" t="s">
        <v>68</v>
      </c>
      <c r="AG535" s="42"/>
      <c r="AH535" s="42"/>
      <c r="AI535" s="43"/>
      <c r="AJ535" s="43"/>
      <c r="AK535" s="43"/>
      <c r="AL535" s="43"/>
      <c r="AM535" s="43"/>
      <c r="AN535" s="42"/>
      <c r="AO535" s="42"/>
      <c r="AP535" s="42"/>
      <c r="AQ535" s="43"/>
      <c r="AR535" s="42"/>
      <c r="AS535" s="42"/>
    </row>
    <row r="536" spans="1:45" ht="15" customHeight="1">
      <c r="A536" s="21" t="s">
        <v>57</v>
      </c>
      <c r="B536" s="21" t="s">
        <v>46</v>
      </c>
      <c r="C536" s="21" t="s">
        <v>188</v>
      </c>
      <c r="D536" s="22" t="s">
        <v>59</v>
      </c>
      <c r="E536" s="80" t="s">
        <v>695</v>
      </c>
      <c r="F536" s="65" t="s">
        <v>696</v>
      </c>
      <c r="G536" s="101" t="s">
        <v>77</v>
      </c>
      <c r="H536" s="133" t="s">
        <v>697</v>
      </c>
      <c r="I536" s="24" t="s">
        <v>705</v>
      </c>
      <c r="J536" s="47" t="s">
        <v>699</v>
      </c>
      <c r="K536" s="104"/>
      <c r="L536" s="48" t="s">
        <v>700</v>
      </c>
      <c r="M536" s="27">
        <v>43494</v>
      </c>
      <c r="N536" s="49" t="s">
        <v>177</v>
      </c>
      <c r="O536" s="61">
        <v>5216.57</v>
      </c>
      <c r="P536" s="106">
        <v>1</v>
      </c>
      <c r="Q536" s="51">
        <f t="shared" si="16"/>
        <v>5216.57</v>
      </c>
      <c r="R536" s="31">
        <v>202310</v>
      </c>
      <c r="S536" s="54"/>
      <c r="T536" s="54"/>
      <c r="U536" s="54"/>
      <c r="V536" s="54"/>
      <c r="W536" s="67"/>
      <c r="X536" s="67"/>
      <c r="Y536" s="36"/>
      <c r="Z536" s="36"/>
      <c r="AA536" s="36"/>
      <c r="AB536" s="36"/>
      <c r="AC536" s="36"/>
      <c r="AD536" s="36"/>
      <c r="AE536" s="36"/>
      <c r="AF536" s="53" t="s">
        <v>68</v>
      </c>
      <c r="AG536" s="42"/>
      <c r="AH536" s="42"/>
      <c r="AI536" s="43"/>
      <c r="AJ536" s="43"/>
      <c r="AK536" s="43"/>
      <c r="AL536" s="43"/>
      <c r="AM536" s="43"/>
      <c r="AN536" s="42"/>
      <c r="AO536" s="42"/>
      <c r="AP536" s="42"/>
      <c r="AQ536" s="43"/>
      <c r="AR536" s="42"/>
      <c r="AS536" s="42"/>
    </row>
    <row r="537" spans="1:45" ht="15" customHeight="1">
      <c r="A537" s="21" t="s">
        <v>57</v>
      </c>
      <c r="B537" s="21" t="s">
        <v>46</v>
      </c>
      <c r="C537" s="21" t="s">
        <v>188</v>
      </c>
      <c r="D537" s="22" t="s">
        <v>59</v>
      </c>
      <c r="E537" s="80" t="s">
        <v>695</v>
      </c>
      <c r="F537" s="65" t="s">
        <v>696</v>
      </c>
      <c r="G537" s="101" t="s">
        <v>77</v>
      </c>
      <c r="H537" s="133" t="s">
        <v>697</v>
      </c>
      <c r="I537" s="24" t="s">
        <v>705</v>
      </c>
      <c r="J537" s="47" t="s">
        <v>699</v>
      </c>
      <c r="K537" s="104"/>
      <c r="L537" s="48" t="s">
        <v>700</v>
      </c>
      <c r="M537" s="27">
        <v>43516</v>
      </c>
      <c r="N537" s="49" t="s">
        <v>177</v>
      </c>
      <c r="O537" s="61">
        <v>5216.57</v>
      </c>
      <c r="P537" s="106">
        <v>1</v>
      </c>
      <c r="Q537" s="51">
        <f t="shared" si="16"/>
        <v>5216.57</v>
      </c>
      <c r="R537" s="31">
        <v>202310</v>
      </c>
      <c r="S537" s="54"/>
      <c r="T537" s="54"/>
      <c r="U537" s="54"/>
      <c r="V537" s="54"/>
      <c r="W537" s="67"/>
      <c r="X537" s="67"/>
      <c r="Y537" s="36"/>
      <c r="Z537" s="36"/>
      <c r="AA537" s="36"/>
      <c r="AB537" s="36"/>
      <c r="AC537" s="36"/>
      <c r="AD537" s="36"/>
      <c r="AE537" s="36"/>
      <c r="AF537" s="53" t="s">
        <v>68</v>
      </c>
      <c r="AG537" s="42"/>
      <c r="AH537" s="42"/>
      <c r="AI537" s="43"/>
      <c r="AJ537" s="43"/>
      <c r="AK537" s="43"/>
      <c r="AL537" s="43"/>
      <c r="AM537" s="43"/>
      <c r="AN537" s="42"/>
      <c r="AO537" s="42"/>
      <c r="AP537" s="42"/>
      <c r="AQ537" s="43"/>
      <c r="AR537" s="42"/>
      <c r="AS537" s="42"/>
    </row>
    <row r="538" spans="1:45" ht="15" customHeight="1">
      <c r="A538" s="21" t="s">
        <v>57</v>
      </c>
      <c r="B538" s="21" t="s">
        <v>46</v>
      </c>
      <c r="C538" s="21" t="s">
        <v>188</v>
      </c>
      <c r="D538" s="22" t="s">
        <v>59</v>
      </c>
      <c r="E538" s="80" t="s">
        <v>695</v>
      </c>
      <c r="F538" s="65" t="s">
        <v>696</v>
      </c>
      <c r="G538" s="101" t="s">
        <v>77</v>
      </c>
      <c r="H538" s="133" t="s">
        <v>697</v>
      </c>
      <c r="I538" s="24" t="s">
        <v>705</v>
      </c>
      <c r="J538" s="47" t="s">
        <v>699</v>
      </c>
      <c r="K538" s="104"/>
      <c r="L538" s="48" t="s">
        <v>700</v>
      </c>
      <c r="M538" s="27">
        <v>43525</v>
      </c>
      <c r="N538" s="49" t="s">
        <v>177</v>
      </c>
      <c r="O538" s="61">
        <v>5216.57</v>
      </c>
      <c r="P538" s="106">
        <v>1</v>
      </c>
      <c r="Q538" s="51">
        <f t="shared" si="16"/>
        <v>5216.57</v>
      </c>
      <c r="R538" s="31">
        <v>202310</v>
      </c>
      <c r="S538" s="54"/>
      <c r="T538" s="54"/>
      <c r="U538" s="54"/>
      <c r="V538" s="54"/>
      <c r="W538" s="67"/>
      <c r="X538" s="67"/>
      <c r="Y538" s="36"/>
      <c r="Z538" s="36"/>
      <c r="AA538" s="36"/>
      <c r="AB538" s="36"/>
      <c r="AC538" s="36"/>
      <c r="AD538" s="36"/>
      <c r="AE538" s="36"/>
      <c r="AF538" s="53" t="s">
        <v>68</v>
      </c>
      <c r="AG538" s="42"/>
      <c r="AH538" s="42"/>
      <c r="AI538" s="43"/>
      <c r="AJ538" s="43"/>
      <c r="AK538" s="43"/>
      <c r="AL538" s="43"/>
      <c r="AM538" s="43"/>
      <c r="AN538" s="42"/>
      <c r="AO538" s="42"/>
      <c r="AP538" s="42"/>
      <c r="AQ538" s="43"/>
      <c r="AR538" s="42"/>
      <c r="AS538" s="42"/>
    </row>
    <row r="539" spans="1:45" ht="15" customHeight="1">
      <c r="A539" s="21" t="s">
        <v>57</v>
      </c>
      <c r="B539" s="21" t="s">
        <v>46</v>
      </c>
      <c r="C539" s="21" t="s">
        <v>188</v>
      </c>
      <c r="D539" s="22" t="s">
        <v>59</v>
      </c>
      <c r="E539" s="80" t="s">
        <v>695</v>
      </c>
      <c r="F539" s="65" t="s">
        <v>696</v>
      </c>
      <c r="G539" s="101" t="s">
        <v>77</v>
      </c>
      <c r="H539" s="133" t="s">
        <v>697</v>
      </c>
      <c r="I539" s="24" t="s">
        <v>705</v>
      </c>
      <c r="J539" s="47" t="s">
        <v>699</v>
      </c>
      <c r="K539" s="104"/>
      <c r="L539" s="48" t="s">
        <v>700</v>
      </c>
      <c r="M539" s="27">
        <v>43521</v>
      </c>
      <c r="N539" s="49" t="s">
        <v>177</v>
      </c>
      <c r="O539" s="61">
        <v>5216.57</v>
      </c>
      <c r="P539" s="106">
        <v>10</v>
      </c>
      <c r="Q539" s="51">
        <f t="shared" si="16"/>
        <v>52165.7</v>
      </c>
      <c r="R539" s="31">
        <v>202310</v>
      </c>
      <c r="S539" s="54"/>
      <c r="T539" s="54"/>
      <c r="U539" s="54"/>
      <c r="V539" s="54"/>
      <c r="W539" s="67"/>
      <c r="X539" s="67"/>
      <c r="Y539" s="36"/>
      <c r="Z539" s="36"/>
      <c r="AA539" s="36"/>
      <c r="AB539" s="36"/>
      <c r="AC539" s="36"/>
      <c r="AD539" s="36"/>
      <c r="AE539" s="36"/>
      <c r="AF539" s="53" t="s">
        <v>68</v>
      </c>
      <c r="AG539" s="42"/>
      <c r="AH539" s="42"/>
      <c r="AI539" s="43"/>
      <c r="AJ539" s="43"/>
      <c r="AK539" s="43"/>
      <c r="AL539" s="43"/>
      <c r="AM539" s="43"/>
      <c r="AN539" s="42"/>
      <c r="AO539" s="42"/>
      <c r="AP539" s="42"/>
      <c r="AQ539" s="43"/>
      <c r="AR539" s="42"/>
      <c r="AS539" s="42"/>
    </row>
    <row r="540" spans="1:45" ht="15" customHeight="1">
      <c r="A540" s="21" t="s">
        <v>57</v>
      </c>
      <c r="B540" s="21" t="s">
        <v>46</v>
      </c>
      <c r="C540" s="21" t="s">
        <v>188</v>
      </c>
      <c r="D540" s="22" t="s">
        <v>59</v>
      </c>
      <c r="E540" s="80" t="s">
        <v>695</v>
      </c>
      <c r="F540" s="65" t="s">
        <v>696</v>
      </c>
      <c r="G540" s="101" t="s">
        <v>77</v>
      </c>
      <c r="H540" s="133" t="s">
        <v>697</v>
      </c>
      <c r="I540" s="24" t="s">
        <v>705</v>
      </c>
      <c r="J540" s="47" t="s">
        <v>699</v>
      </c>
      <c r="K540" s="104"/>
      <c r="L540" s="48" t="s">
        <v>700</v>
      </c>
      <c r="M540" s="27">
        <v>43636</v>
      </c>
      <c r="N540" s="49" t="s">
        <v>177</v>
      </c>
      <c r="O540" s="61">
        <v>5216.57</v>
      </c>
      <c r="P540" s="106">
        <v>2</v>
      </c>
      <c r="Q540" s="51">
        <f t="shared" si="16"/>
        <v>10433.14</v>
      </c>
      <c r="R540" s="31">
        <v>202310</v>
      </c>
      <c r="S540" s="54"/>
      <c r="T540" s="54"/>
      <c r="U540" s="54"/>
      <c r="V540" s="54"/>
      <c r="W540" s="67"/>
      <c r="X540" s="67"/>
      <c r="Y540" s="36"/>
      <c r="Z540" s="36"/>
      <c r="AA540" s="36"/>
      <c r="AB540" s="36"/>
      <c r="AC540" s="36"/>
      <c r="AD540" s="36"/>
      <c r="AE540" s="36"/>
      <c r="AF540" s="53" t="s">
        <v>68</v>
      </c>
      <c r="AG540" s="42"/>
      <c r="AH540" s="42"/>
      <c r="AI540" s="43"/>
      <c r="AJ540" s="43"/>
      <c r="AK540" s="43"/>
      <c r="AL540" s="43"/>
      <c r="AM540" s="43"/>
      <c r="AN540" s="42"/>
      <c r="AO540" s="42"/>
      <c r="AP540" s="42"/>
      <c r="AQ540" s="43"/>
      <c r="AR540" s="42"/>
      <c r="AS540" s="42"/>
    </row>
    <row r="541" spans="1:45" ht="15" customHeight="1">
      <c r="A541" s="21" t="s">
        <v>57</v>
      </c>
      <c r="B541" s="21" t="s">
        <v>46</v>
      </c>
      <c r="C541" s="21" t="s">
        <v>188</v>
      </c>
      <c r="D541" s="22" t="s">
        <v>59</v>
      </c>
      <c r="E541" s="80" t="s">
        <v>695</v>
      </c>
      <c r="F541" s="65" t="s">
        <v>696</v>
      </c>
      <c r="G541" s="101" t="s">
        <v>77</v>
      </c>
      <c r="H541" s="133" t="s">
        <v>697</v>
      </c>
      <c r="I541" s="24" t="s">
        <v>705</v>
      </c>
      <c r="J541" s="47" t="s">
        <v>699</v>
      </c>
      <c r="K541" s="104"/>
      <c r="L541" s="48" t="s">
        <v>700</v>
      </c>
      <c r="M541" s="27">
        <v>43636</v>
      </c>
      <c r="N541" s="49" t="s">
        <v>177</v>
      </c>
      <c r="O541" s="61">
        <v>5216.57</v>
      </c>
      <c r="P541" s="106">
        <v>1</v>
      </c>
      <c r="Q541" s="51">
        <f t="shared" si="16"/>
        <v>5216.57</v>
      </c>
      <c r="R541" s="31">
        <v>202310</v>
      </c>
      <c r="S541" s="54"/>
      <c r="T541" s="54"/>
      <c r="U541" s="54"/>
      <c r="V541" s="54"/>
      <c r="W541" s="67"/>
      <c r="X541" s="67"/>
      <c r="Y541" s="36"/>
      <c r="Z541" s="36"/>
      <c r="AA541" s="36"/>
      <c r="AB541" s="36"/>
      <c r="AC541" s="36"/>
      <c r="AD541" s="36"/>
      <c r="AE541" s="36"/>
      <c r="AF541" s="53" t="s">
        <v>68</v>
      </c>
      <c r="AG541" s="42"/>
      <c r="AH541" s="42"/>
      <c r="AI541" s="43"/>
      <c r="AJ541" s="43"/>
      <c r="AK541" s="43"/>
      <c r="AL541" s="43"/>
      <c r="AM541" s="43"/>
      <c r="AN541" s="42"/>
      <c r="AO541" s="42"/>
      <c r="AP541" s="42"/>
      <c r="AQ541" s="43"/>
      <c r="AR541" s="42"/>
      <c r="AS541" s="42"/>
    </row>
    <row r="542" spans="1:45" ht="15" customHeight="1">
      <c r="A542" s="21" t="s">
        <v>57</v>
      </c>
      <c r="B542" s="21" t="s">
        <v>46</v>
      </c>
      <c r="C542" s="21" t="s">
        <v>188</v>
      </c>
      <c r="D542" s="22" t="s">
        <v>59</v>
      </c>
      <c r="E542" s="80" t="s">
        <v>695</v>
      </c>
      <c r="F542" s="65" t="s">
        <v>696</v>
      </c>
      <c r="G542" s="101" t="s">
        <v>77</v>
      </c>
      <c r="H542" s="133" t="s">
        <v>697</v>
      </c>
      <c r="I542" s="24" t="s">
        <v>705</v>
      </c>
      <c r="J542" s="47" t="s">
        <v>699</v>
      </c>
      <c r="K542" s="104"/>
      <c r="L542" s="48" t="s">
        <v>700</v>
      </c>
      <c r="M542" s="27">
        <v>43584</v>
      </c>
      <c r="N542" s="49" t="s">
        <v>177</v>
      </c>
      <c r="O542" s="61">
        <v>5216.57</v>
      </c>
      <c r="P542" s="106">
        <v>2</v>
      </c>
      <c r="Q542" s="51">
        <f t="shared" si="16"/>
        <v>10433.14</v>
      </c>
      <c r="R542" s="31">
        <v>202310</v>
      </c>
      <c r="S542" s="54"/>
      <c r="T542" s="54"/>
      <c r="U542" s="54"/>
      <c r="V542" s="54"/>
      <c r="W542" s="67"/>
      <c r="X542" s="67"/>
      <c r="Y542" s="36"/>
      <c r="Z542" s="36"/>
      <c r="AA542" s="36"/>
      <c r="AB542" s="36"/>
      <c r="AC542" s="36"/>
      <c r="AD542" s="36"/>
      <c r="AE542" s="36"/>
      <c r="AF542" s="53" t="s">
        <v>68</v>
      </c>
      <c r="AG542" s="42"/>
      <c r="AH542" s="42"/>
      <c r="AI542" s="43"/>
      <c r="AJ542" s="43"/>
      <c r="AK542" s="43"/>
      <c r="AL542" s="43"/>
      <c r="AM542" s="43"/>
      <c r="AN542" s="42"/>
      <c r="AO542" s="42"/>
      <c r="AP542" s="42"/>
      <c r="AQ542" s="43"/>
      <c r="AR542" s="42"/>
      <c r="AS542" s="42"/>
    </row>
    <row r="543" spans="1:45" ht="15" customHeight="1">
      <c r="A543" s="21" t="s">
        <v>57</v>
      </c>
      <c r="B543" s="21" t="s">
        <v>46</v>
      </c>
      <c r="C543" s="21" t="s">
        <v>188</v>
      </c>
      <c r="D543" s="22" t="s">
        <v>59</v>
      </c>
      <c r="E543" s="80" t="s">
        <v>695</v>
      </c>
      <c r="F543" s="65" t="s">
        <v>696</v>
      </c>
      <c r="G543" s="101" t="s">
        <v>77</v>
      </c>
      <c r="H543" s="133" t="s">
        <v>697</v>
      </c>
      <c r="I543" s="24" t="s">
        <v>705</v>
      </c>
      <c r="J543" s="47" t="s">
        <v>699</v>
      </c>
      <c r="K543" s="104"/>
      <c r="L543" s="48" t="s">
        <v>700</v>
      </c>
      <c r="M543" s="27">
        <v>43595</v>
      </c>
      <c r="N543" s="49" t="s">
        <v>177</v>
      </c>
      <c r="O543" s="61">
        <v>5216.57</v>
      </c>
      <c r="P543" s="106">
        <v>2</v>
      </c>
      <c r="Q543" s="51">
        <f t="shared" si="16"/>
        <v>10433.14</v>
      </c>
      <c r="R543" s="31">
        <v>202310</v>
      </c>
      <c r="S543" s="54"/>
      <c r="T543" s="54"/>
      <c r="U543" s="54"/>
      <c r="V543" s="54"/>
      <c r="W543" s="67"/>
      <c r="X543" s="67"/>
      <c r="Y543" s="36"/>
      <c r="Z543" s="36"/>
      <c r="AA543" s="36"/>
      <c r="AB543" s="36"/>
      <c r="AC543" s="36"/>
      <c r="AD543" s="36"/>
      <c r="AE543" s="36"/>
      <c r="AF543" s="53" t="s">
        <v>68</v>
      </c>
      <c r="AG543" s="42"/>
      <c r="AH543" s="42"/>
      <c r="AI543" s="43"/>
      <c r="AJ543" s="43"/>
      <c r="AK543" s="43"/>
      <c r="AL543" s="43"/>
      <c r="AM543" s="43"/>
      <c r="AN543" s="42"/>
      <c r="AO543" s="42"/>
      <c r="AP543" s="42"/>
      <c r="AQ543" s="43"/>
      <c r="AR543" s="42"/>
      <c r="AS543" s="42"/>
    </row>
    <row r="544" spans="1:45" ht="15" customHeight="1">
      <c r="A544" s="21" t="s">
        <v>57</v>
      </c>
      <c r="B544" s="21" t="s">
        <v>46</v>
      </c>
      <c r="C544" s="21" t="s">
        <v>188</v>
      </c>
      <c r="D544" s="22" t="s">
        <v>59</v>
      </c>
      <c r="E544" s="80" t="s">
        <v>695</v>
      </c>
      <c r="F544" s="65" t="s">
        <v>696</v>
      </c>
      <c r="G544" s="101" t="s">
        <v>77</v>
      </c>
      <c r="H544" s="133" t="s">
        <v>697</v>
      </c>
      <c r="I544" s="24" t="s">
        <v>705</v>
      </c>
      <c r="J544" s="47" t="s">
        <v>699</v>
      </c>
      <c r="K544" s="104"/>
      <c r="L544" s="48" t="s">
        <v>700</v>
      </c>
      <c r="M544" s="27">
        <v>43619</v>
      </c>
      <c r="N544" s="49" t="s">
        <v>177</v>
      </c>
      <c r="O544" s="61">
        <v>5216.57</v>
      </c>
      <c r="P544" s="106">
        <v>2</v>
      </c>
      <c r="Q544" s="51">
        <f t="shared" si="16"/>
        <v>10433.14</v>
      </c>
      <c r="R544" s="31">
        <v>202310</v>
      </c>
      <c r="S544" s="54"/>
      <c r="T544" s="54"/>
      <c r="U544" s="54"/>
      <c r="V544" s="54"/>
      <c r="W544" s="67"/>
      <c r="X544" s="67"/>
      <c r="Y544" s="36"/>
      <c r="Z544" s="36"/>
      <c r="AA544" s="36"/>
      <c r="AB544" s="36"/>
      <c r="AC544" s="36"/>
      <c r="AD544" s="36"/>
      <c r="AE544" s="36"/>
      <c r="AF544" s="53" t="s">
        <v>68</v>
      </c>
      <c r="AG544" s="42"/>
      <c r="AH544" s="42"/>
      <c r="AI544" s="43"/>
      <c r="AJ544" s="43"/>
      <c r="AK544" s="43"/>
      <c r="AL544" s="43"/>
      <c r="AM544" s="43"/>
      <c r="AN544" s="42"/>
      <c r="AO544" s="42"/>
      <c r="AP544" s="42"/>
      <c r="AQ544" s="43"/>
      <c r="AR544" s="42"/>
      <c r="AS544" s="42"/>
    </row>
    <row r="545" spans="1:45" ht="15" customHeight="1">
      <c r="A545" s="21" t="s">
        <v>57</v>
      </c>
      <c r="B545" s="21" t="s">
        <v>46</v>
      </c>
      <c r="C545" s="21" t="s">
        <v>188</v>
      </c>
      <c r="D545" s="22" t="s">
        <v>59</v>
      </c>
      <c r="E545" s="80" t="s">
        <v>695</v>
      </c>
      <c r="F545" s="65" t="s">
        <v>696</v>
      </c>
      <c r="G545" s="101" t="s">
        <v>77</v>
      </c>
      <c r="H545" s="133" t="s">
        <v>697</v>
      </c>
      <c r="I545" s="24" t="s">
        <v>705</v>
      </c>
      <c r="J545" s="47" t="s">
        <v>699</v>
      </c>
      <c r="K545" s="104"/>
      <c r="L545" s="48" t="s">
        <v>700</v>
      </c>
      <c r="M545" s="27">
        <v>43642</v>
      </c>
      <c r="N545" s="49" t="s">
        <v>177</v>
      </c>
      <c r="O545" s="61">
        <v>5216.57</v>
      </c>
      <c r="P545" s="106">
        <v>11</v>
      </c>
      <c r="Q545" s="51">
        <f t="shared" si="16"/>
        <v>57382.27</v>
      </c>
      <c r="R545" s="31">
        <v>202310</v>
      </c>
      <c r="S545" s="54" t="s">
        <v>706</v>
      </c>
      <c r="T545" s="54"/>
      <c r="U545" s="54"/>
      <c r="V545" s="54"/>
      <c r="W545" s="67"/>
      <c r="X545" s="67"/>
      <c r="Y545" s="36"/>
      <c r="Z545" s="36"/>
      <c r="AA545" s="36"/>
      <c r="AB545" s="36"/>
      <c r="AC545" s="36"/>
      <c r="AD545" s="36"/>
      <c r="AE545" s="36"/>
      <c r="AF545" s="53" t="s">
        <v>68</v>
      </c>
      <c r="AG545" s="42"/>
      <c r="AH545" s="42"/>
      <c r="AI545" s="43"/>
      <c r="AJ545" s="43"/>
      <c r="AK545" s="43"/>
      <c r="AL545" s="43"/>
      <c r="AM545" s="43"/>
      <c r="AN545" s="42"/>
      <c r="AO545" s="42"/>
      <c r="AP545" s="42"/>
      <c r="AQ545" s="43"/>
      <c r="AR545" s="42"/>
      <c r="AS545" s="42"/>
    </row>
    <row r="546" spans="1:45" ht="15" customHeight="1">
      <c r="A546" s="21" t="s">
        <v>57</v>
      </c>
      <c r="B546" s="21" t="s">
        <v>46</v>
      </c>
      <c r="C546" s="21" t="s">
        <v>188</v>
      </c>
      <c r="D546" s="22" t="s">
        <v>59</v>
      </c>
      <c r="E546" s="80" t="s">
        <v>695</v>
      </c>
      <c r="F546" s="65" t="s">
        <v>696</v>
      </c>
      <c r="G546" s="101" t="s">
        <v>77</v>
      </c>
      <c r="H546" s="133" t="s">
        <v>697</v>
      </c>
      <c r="I546" s="24" t="s">
        <v>705</v>
      </c>
      <c r="J546" s="47" t="s">
        <v>699</v>
      </c>
      <c r="K546" s="104"/>
      <c r="L546" s="48" t="s">
        <v>700</v>
      </c>
      <c r="M546" s="27">
        <v>43647</v>
      </c>
      <c r="N546" s="49" t="s">
        <v>177</v>
      </c>
      <c r="O546" s="61">
        <v>5216.57</v>
      </c>
      <c r="P546" s="106">
        <v>7</v>
      </c>
      <c r="Q546" s="51">
        <f t="shared" si="16"/>
        <v>36515.99</v>
      </c>
      <c r="R546" s="31">
        <v>202310</v>
      </c>
      <c r="S546" s="54" t="s">
        <v>707</v>
      </c>
      <c r="T546" s="54"/>
      <c r="U546" s="54"/>
      <c r="V546" s="54"/>
      <c r="W546" s="67"/>
      <c r="X546" s="67"/>
      <c r="Y546" s="36"/>
      <c r="Z546" s="36"/>
      <c r="AA546" s="36"/>
      <c r="AB546" s="36"/>
      <c r="AC546" s="36"/>
      <c r="AD546" s="36"/>
      <c r="AE546" s="36"/>
      <c r="AF546" s="53" t="s">
        <v>68</v>
      </c>
      <c r="AG546" s="42"/>
      <c r="AH546" s="42"/>
      <c r="AI546" s="43"/>
      <c r="AJ546" s="43"/>
      <c r="AK546" s="43"/>
      <c r="AL546" s="43"/>
      <c r="AM546" s="43"/>
      <c r="AN546" s="42"/>
      <c r="AO546" s="42"/>
      <c r="AP546" s="42"/>
      <c r="AQ546" s="43"/>
      <c r="AR546" s="42"/>
      <c r="AS546" s="42"/>
    </row>
    <row r="547" spans="1:45" ht="15" customHeight="1">
      <c r="A547" s="21" t="s">
        <v>57</v>
      </c>
      <c r="B547" s="21" t="s">
        <v>46</v>
      </c>
      <c r="C547" s="21" t="s">
        <v>188</v>
      </c>
      <c r="D547" s="22" t="s">
        <v>59</v>
      </c>
      <c r="E547" s="80" t="s">
        <v>695</v>
      </c>
      <c r="F547" s="65" t="s">
        <v>696</v>
      </c>
      <c r="G547" s="101" t="s">
        <v>77</v>
      </c>
      <c r="H547" s="133" t="s">
        <v>697</v>
      </c>
      <c r="I547" s="24" t="s">
        <v>705</v>
      </c>
      <c r="J547" s="47" t="s">
        <v>699</v>
      </c>
      <c r="K547" s="104"/>
      <c r="L547" s="48" t="s">
        <v>700</v>
      </c>
      <c r="M547" s="27">
        <v>43667</v>
      </c>
      <c r="N547" s="49" t="s">
        <v>177</v>
      </c>
      <c r="O547" s="61">
        <v>5216.57</v>
      </c>
      <c r="P547" s="106">
        <v>1</v>
      </c>
      <c r="Q547" s="51">
        <f t="shared" si="16"/>
        <v>5216.57</v>
      </c>
      <c r="R547" s="31">
        <v>202310</v>
      </c>
      <c r="S547" s="54" t="s">
        <v>708</v>
      </c>
      <c r="T547" s="54"/>
      <c r="U547" s="54"/>
      <c r="V547" s="54"/>
      <c r="W547" s="67"/>
      <c r="X547" s="67"/>
      <c r="Y547" s="36"/>
      <c r="Z547" s="36"/>
      <c r="AA547" s="36"/>
      <c r="AB547" s="36"/>
      <c r="AC547" s="36"/>
      <c r="AD547" s="36"/>
      <c r="AE547" s="36"/>
      <c r="AF547" s="53" t="s">
        <v>68</v>
      </c>
      <c r="AG547" s="42"/>
      <c r="AH547" s="42"/>
      <c r="AI547" s="43"/>
      <c r="AJ547" s="43"/>
      <c r="AK547" s="43"/>
      <c r="AL547" s="43"/>
      <c r="AM547" s="43"/>
      <c r="AN547" s="42"/>
      <c r="AO547" s="42"/>
      <c r="AP547" s="42"/>
      <c r="AQ547" s="43"/>
      <c r="AR547" s="42"/>
      <c r="AS547" s="42"/>
    </row>
    <row r="548" spans="1:45" ht="15" customHeight="1">
      <c r="A548" s="21" t="s">
        <v>57</v>
      </c>
      <c r="B548" s="21" t="s">
        <v>46</v>
      </c>
      <c r="C548" s="21" t="s">
        <v>188</v>
      </c>
      <c r="D548" s="22" t="s">
        <v>59</v>
      </c>
      <c r="E548" s="80" t="s">
        <v>695</v>
      </c>
      <c r="F548" s="65" t="s">
        <v>696</v>
      </c>
      <c r="G548" s="101" t="s">
        <v>77</v>
      </c>
      <c r="H548" s="133" t="s">
        <v>697</v>
      </c>
      <c r="I548" s="24" t="s">
        <v>705</v>
      </c>
      <c r="J548" s="47" t="s">
        <v>699</v>
      </c>
      <c r="K548" s="104"/>
      <c r="L548" s="48" t="s">
        <v>700</v>
      </c>
      <c r="M548" s="27">
        <v>43693</v>
      </c>
      <c r="N548" s="49" t="s">
        <v>177</v>
      </c>
      <c r="O548" s="61">
        <v>5216.57</v>
      </c>
      <c r="P548" s="106">
        <v>4</v>
      </c>
      <c r="Q548" s="51">
        <f t="shared" si="16"/>
        <v>20866.28</v>
      </c>
      <c r="R548" s="31">
        <v>202310</v>
      </c>
      <c r="S548" s="54" t="s">
        <v>709</v>
      </c>
      <c r="T548" s="54"/>
      <c r="U548" s="54"/>
      <c r="V548" s="54"/>
      <c r="W548" s="67"/>
      <c r="X548" s="67"/>
      <c r="Y548" s="36"/>
      <c r="Z548" s="36"/>
      <c r="AA548" s="36"/>
      <c r="AB548" s="36"/>
      <c r="AC548" s="36"/>
      <c r="AD548" s="36"/>
      <c r="AE548" s="36"/>
      <c r="AF548" s="53" t="s">
        <v>68</v>
      </c>
      <c r="AG548" s="42"/>
      <c r="AH548" s="42"/>
      <c r="AI548" s="43"/>
      <c r="AJ548" s="43"/>
      <c r="AK548" s="43"/>
      <c r="AL548" s="43"/>
      <c r="AM548" s="43"/>
      <c r="AN548" s="42"/>
      <c r="AO548" s="42"/>
      <c r="AP548" s="42"/>
      <c r="AQ548" s="43"/>
      <c r="AR548" s="42"/>
      <c r="AS548" s="42"/>
    </row>
    <row r="549" spans="1:45" ht="15" customHeight="1">
      <c r="A549" s="21" t="s">
        <v>57</v>
      </c>
      <c r="B549" s="21" t="s">
        <v>46</v>
      </c>
      <c r="C549" s="21" t="s">
        <v>188</v>
      </c>
      <c r="D549" s="22" t="s">
        <v>59</v>
      </c>
      <c r="E549" s="80" t="s">
        <v>695</v>
      </c>
      <c r="F549" s="65" t="s">
        <v>696</v>
      </c>
      <c r="G549" s="101" t="s">
        <v>77</v>
      </c>
      <c r="H549" s="133" t="s">
        <v>697</v>
      </c>
      <c r="I549" s="24" t="s">
        <v>705</v>
      </c>
      <c r="J549" s="47" t="s">
        <v>699</v>
      </c>
      <c r="K549" s="104"/>
      <c r="L549" s="48" t="s">
        <v>700</v>
      </c>
      <c r="M549" s="27">
        <v>43698</v>
      </c>
      <c r="N549" s="49" t="s">
        <v>177</v>
      </c>
      <c r="O549" s="61">
        <v>5216.57</v>
      </c>
      <c r="P549" s="106">
        <v>2</v>
      </c>
      <c r="Q549" s="51">
        <f t="shared" si="16"/>
        <v>10433.14</v>
      </c>
      <c r="R549" s="31">
        <v>202310</v>
      </c>
      <c r="S549" s="54" t="s">
        <v>710</v>
      </c>
      <c r="T549" s="54"/>
      <c r="U549" s="54"/>
      <c r="V549" s="54"/>
      <c r="W549" s="67"/>
      <c r="X549" s="67"/>
      <c r="Y549" s="36"/>
      <c r="Z549" s="36"/>
      <c r="AA549" s="36"/>
      <c r="AB549" s="36"/>
      <c r="AC549" s="36"/>
      <c r="AD549" s="36"/>
      <c r="AE549" s="36"/>
      <c r="AF549" s="53" t="s">
        <v>68</v>
      </c>
      <c r="AG549" s="42"/>
      <c r="AH549" s="42"/>
      <c r="AI549" s="43"/>
      <c r="AJ549" s="43"/>
      <c r="AK549" s="43"/>
      <c r="AL549" s="43"/>
      <c r="AM549" s="43"/>
      <c r="AN549" s="42"/>
      <c r="AO549" s="42"/>
      <c r="AP549" s="42"/>
      <c r="AQ549" s="43"/>
      <c r="AR549" s="42"/>
      <c r="AS549" s="42"/>
    </row>
    <row r="550" spans="1:45" ht="15" customHeight="1">
      <c r="A550" s="21" t="s">
        <v>57</v>
      </c>
      <c r="B550" s="21" t="s">
        <v>46</v>
      </c>
      <c r="C550" s="21" t="s">
        <v>188</v>
      </c>
      <c r="D550" s="22" t="s">
        <v>59</v>
      </c>
      <c r="E550" s="80" t="s">
        <v>695</v>
      </c>
      <c r="F550" s="65" t="s">
        <v>696</v>
      </c>
      <c r="G550" s="101" t="s">
        <v>77</v>
      </c>
      <c r="H550" s="133" t="s">
        <v>697</v>
      </c>
      <c r="I550" s="24" t="s">
        <v>705</v>
      </c>
      <c r="J550" s="47" t="s">
        <v>699</v>
      </c>
      <c r="K550" s="104"/>
      <c r="L550" s="48" t="s">
        <v>700</v>
      </c>
      <c r="M550" s="27">
        <v>43700</v>
      </c>
      <c r="N550" s="49" t="s">
        <v>177</v>
      </c>
      <c r="O550" s="61">
        <v>5216.57</v>
      </c>
      <c r="P550" s="106">
        <v>1</v>
      </c>
      <c r="Q550" s="51">
        <f t="shared" si="16"/>
        <v>5216.57</v>
      </c>
      <c r="R550" s="31">
        <v>202310</v>
      </c>
      <c r="S550" s="54" t="s">
        <v>711</v>
      </c>
      <c r="T550" s="54"/>
      <c r="U550" s="54"/>
      <c r="V550" s="54"/>
      <c r="W550" s="67"/>
      <c r="X550" s="67"/>
      <c r="Y550" s="36"/>
      <c r="Z550" s="36"/>
      <c r="AA550" s="36"/>
      <c r="AB550" s="36"/>
      <c r="AC550" s="36"/>
      <c r="AD550" s="36"/>
      <c r="AE550" s="36"/>
      <c r="AF550" s="53" t="s">
        <v>68</v>
      </c>
      <c r="AG550" s="42"/>
      <c r="AH550" s="42"/>
      <c r="AI550" s="43"/>
      <c r="AJ550" s="43"/>
      <c r="AK550" s="43"/>
      <c r="AL550" s="43"/>
      <c r="AM550" s="43"/>
      <c r="AN550" s="42"/>
      <c r="AO550" s="42"/>
      <c r="AP550" s="42"/>
      <c r="AQ550" s="43"/>
      <c r="AR550" s="42"/>
      <c r="AS550" s="42"/>
    </row>
    <row r="551" spans="1:45" ht="15" customHeight="1">
      <c r="A551" s="21" t="s">
        <v>57</v>
      </c>
      <c r="B551" s="21" t="s">
        <v>46</v>
      </c>
      <c r="C551" s="21" t="s">
        <v>188</v>
      </c>
      <c r="D551" s="22" t="s">
        <v>59</v>
      </c>
      <c r="E551" s="80" t="s">
        <v>695</v>
      </c>
      <c r="F551" s="65" t="s">
        <v>696</v>
      </c>
      <c r="G551" s="101" t="s">
        <v>77</v>
      </c>
      <c r="H551" s="133" t="s">
        <v>697</v>
      </c>
      <c r="I551" s="24" t="s">
        <v>705</v>
      </c>
      <c r="J551" s="47" t="s">
        <v>699</v>
      </c>
      <c r="K551" s="104"/>
      <c r="L551" s="48" t="s">
        <v>700</v>
      </c>
      <c r="M551" s="27">
        <v>43708</v>
      </c>
      <c r="N551" s="49" t="s">
        <v>177</v>
      </c>
      <c r="O551" s="61">
        <v>5216.57</v>
      </c>
      <c r="P551" s="106">
        <v>4</v>
      </c>
      <c r="Q551" s="51">
        <f t="shared" si="16"/>
        <v>20866.28</v>
      </c>
      <c r="R551" s="31">
        <v>202310</v>
      </c>
      <c r="S551" s="54" t="s">
        <v>712</v>
      </c>
      <c r="T551" s="54"/>
      <c r="U551" s="54"/>
      <c r="V551" s="54"/>
      <c r="W551" s="67"/>
      <c r="X551" s="67"/>
      <c r="Y551" s="36"/>
      <c r="Z551" s="36"/>
      <c r="AA551" s="36"/>
      <c r="AB551" s="36"/>
      <c r="AC551" s="36"/>
      <c r="AD551" s="36"/>
      <c r="AE551" s="36"/>
      <c r="AF551" s="53" t="s">
        <v>68</v>
      </c>
      <c r="AG551" s="42"/>
      <c r="AH551" s="42"/>
      <c r="AI551" s="43"/>
      <c r="AJ551" s="43"/>
      <c r="AK551" s="43"/>
      <c r="AL551" s="43"/>
      <c r="AM551" s="43"/>
      <c r="AN551" s="42"/>
      <c r="AO551" s="42"/>
      <c r="AP551" s="42"/>
      <c r="AQ551" s="43"/>
      <c r="AR551" s="42"/>
      <c r="AS551" s="42"/>
    </row>
    <row r="552" spans="1:45" ht="15" customHeight="1">
      <c r="A552" s="21" t="s">
        <v>57</v>
      </c>
      <c r="B552" s="21" t="s">
        <v>46</v>
      </c>
      <c r="C552" s="21" t="s">
        <v>188</v>
      </c>
      <c r="D552" s="22" t="s">
        <v>59</v>
      </c>
      <c r="E552" s="80" t="s">
        <v>695</v>
      </c>
      <c r="F552" s="65" t="s">
        <v>696</v>
      </c>
      <c r="G552" s="101" t="s">
        <v>77</v>
      </c>
      <c r="H552" s="133" t="s">
        <v>697</v>
      </c>
      <c r="I552" s="24" t="s">
        <v>705</v>
      </c>
      <c r="J552" s="47" t="s">
        <v>699</v>
      </c>
      <c r="K552" s="104"/>
      <c r="L552" s="48" t="s">
        <v>700</v>
      </c>
      <c r="M552" s="27">
        <v>43727</v>
      </c>
      <c r="N552" s="49" t="s">
        <v>177</v>
      </c>
      <c r="O552" s="61">
        <v>5216.57</v>
      </c>
      <c r="P552" s="106">
        <v>1</v>
      </c>
      <c r="Q552" s="51">
        <f t="shared" si="16"/>
        <v>5216.57</v>
      </c>
      <c r="R552" s="31">
        <v>202310</v>
      </c>
      <c r="S552" s="54" t="s">
        <v>713</v>
      </c>
      <c r="T552" s="54"/>
      <c r="U552" s="54"/>
      <c r="V552" s="54"/>
      <c r="W552" s="67"/>
      <c r="X552" s="67"/>
      <c r="Y552" s="36"/>
      <c r="Z552" s="36"/>
      <c r="AA552" s="36"/>
      <c r="AB552" s="36"/>
      <c r="AC552" s="36"/>
      <c r="AD552" s="36"/>
      <c r="AE552" s="36"/>
      <c r="AF552" s="53" t="s">
        <v>68</v>
      </c>
      <c r="AG552" s="42"/>
      <c r="AH552" s="42"/>
      <c r="AI552" s="43"/>
      <c r="AJ552" s="43"/>
      <c r="AK552" s="43"/>
      <c r="AL552" s="43"/>
      <c r="AM552" s="43"/>
      <c r="AN552" s="42"/>
      <c r="AO552" s="42"/>
      <c r="AP552" s="42"/>
      <c r="AQ552" s="43"/>
      <c r="AR552" s="42"/>
      <c r="AS552" s="42"/>
    </row>
    <row r="553" spans="1:45" ht="15" customHeight="1">
      <c r="A553" s="21" t="s">
        <v>57</v>
      </c>
      <c r="B553" s="21" t="s">
        <v>46</v>
      </c>
      <c r="C553" s="21" t="s">
        <v>188</v>
      </c>
      <c r="D553" s="22" t="s">
        <v>59</v>
      </c>
      <c r="E553" s="80" t="s">
        <v>695</v>
      </c>
      <c r="F553" s="65" t="s">
        <v>696</v>
      </c>
      <c r="G553" s="101" t="s">
        <v>77</v>
      </c>
      <c r="H553" s="133" t="s">
        <v>697</v>
      </c>
      <c r="I553" s="24" t="s">
        <v>705</v>
      </c>
      <c r="J553" s="47" t="s">
        <v>699</v>
      </c>
      <c r="K553" s="104"/>
      <c r="L553" s="48" t="s">
        <v>700</v>
      </c>
      <c r="M553" s="27">
        <v>43728</v>
      </c>
      <c r="N553" s="49" t="s">
        <v>177</v>
      </c>
      <c r="O553" s="61">
        <v>5216.57</v>
      </c>
      <c r="P553" s="106">
        <v>29</v>
      </c>
      <c r="Q553" s="51">
        <f t="shared" si="16"/>
        <v>151280.53</v>
      </c>
      <c r="R553" s="31">
        <v>202310</v>
      </c>
      <c r="S553" s="54" t="s">
        <v>714</v>
      </c>
      <c r="T553" s="54"/>
      <c r="U553" s="54"/>
      <c r="V553" s="54"/>
      <c r="W553" s="67"/>
      <c r="X553" s="67"/>
      <c r="Y553" s="36"/>
      <c r="Z553" s="36"/>
      <c r="AA553" s="36"/>
      <c r="AB553" s="36"/>
      <c r="AC553" s="36"/>
      <c r="AD553" s="36"/>
      <c r="AE553" s="36"/>
      <c r="AF553" s="53" t="s">
        <v>68</v>
      </c>
      <c r="AG553" s="42"/>
      <c r="AH553" s="42"/>
      <c r="AI553" s="43"/>
      <c r="AJ553" s="43"/>
      <c r="AK553" s="43"/>
      <c r="AL553" s="43"/>
      <c r="AM553" s="43"/>
      <c r="AN553" s="42"/>
      <c r="AO553" s="42"/>
      <c r="AP553" s="42"/>
      <c r="AQ553" s="43"/>
      <c r="AR553" s="42"/>
      <c r="AS553" s="42"/>
    </row>
    <row r="554" spans="1:45" ht="15" customHeight="1">
      <c r="A554" s="21" t="s">
        <v>57</v>
      </c>
      <c r="B554" s="21" t="s">
        <v>46</v>
      </c>
      <c r="C554" s="21" t="s">
        <v>188</v>
      </c>
      <c r="D554" s="22" t="s">
        <v>59</v>
      </c>
      <c r="E554" s="80" t="s">
        <v>695</v>
      </c>
      <c r="F554" s="65" t="s">
        <v>696</v>
      </c>
      <c r="G554" s="101" t="s">
        <v>77</v>
      </c>
      <c r="H554" s="133" t="s">
        <v>697</v>
      </c>
      <c r="I554" s="24" t="s">
        <v>705</v>
      </c>
      <c r="J554" s="47" t="s">
        <v>699</v>
      </c>
      <c r="K554" s="104"/>
      <c r="L554" s="48" t="s">
        <v>700</v>
      </c>
      <c r="M554" s="27">
        <v>43734</v>
      </c>
      <c r="N554" s="49" t="s">
        <v>177</v>
      </c>
      <c r="O554" s="61">
        <v>5216.57</v>
      </c>
      <c r="P554" s="106">
        <v>2</v>
      </c>
      <c r="Q554" s="51">
        <f t="shared" si="16"/>
        <v>10433.14</v>
      </c>
      <c r="R554" s="31">
        <v>202310</v>
      </c>
      <c r="S554" s="54" t="s">
        <v>715</v>
      </c>
      <c r="T554" s="54"/>
      <c r="U554" s="54"/>
      <c r="V554" s="54"/>
      <c r="W554" s="67"/>
      <c r="X554" s="67"/>
      <c r="Y554" s="36"/>
      <c r="Z554" s="36"/>
      <c r="AA554" s="36"/>
      <c r="AB554" s="36"/>
      <c r="AC554" s="36"/>
      <c r="AD554" s="36"/>
      <c r="AE554" s="36"/>
      <c r="AF554" s="53" t="s">
        <v>68</v>
      </c>
      <c r="AG554" s="42"/>
      <c r="AH554" s="42"/>
      <c r="AI554" s="43"/>
      <c r="AJ554" s="43"/>
      <c r="AK554" s="43"/>
      <c r="AL554" s="43"/>
      <c r="AM554" s="43"/>
      <c r="AN554" s="42"/>
      <c r="AO554" s="42"/>
      <c r="AP554" s="42"/>
      <c r="AQ554" s="43"/>
      <c r="AR554" s="42"/>
      <c r="AS554" s="42"/>
    </row>
    <row r="555" spans="1:45" ht="15" customHeight="1">
      <c r="A555" s="21" t="s">
        <v>57</v>
      </c>
      <c r="B555" s="21" t="s">
        <v>46</v>
      </c>
      <c r="C555" s="21" t="s">
        <v>188</v>
      </c>
      <c r="D555" s="22" t="s">
        <v>59</v>
      </c>
      <c r="E555" s="80" t="s">
        <v>695</v>
      </c>
      <c r="F555" s="65" t="s">
        <v>696</v>
      </c>
      <c r="G555" s="101" t="s">
        <v>77</v>
      </c>
      <c r="H555" s="133" t="s">
        <v>697</v>
      </c>
      <c r="I555" s="24" t="s">
        <v>705</v>
      </c>
      <c r="J555" s="47" t="s">
        <v>699</v>
      </c>
      <c r="K555" s="104"/>
      <c r="L555" s="48" t="s">
        <v>700</v>
      </c>
      <c r="M555" s="27">
        <v>43750</v>
      </c>
      <c r="N555" s="49" t="s">
        <v>177</v>
      </c>
      <c r="O555" s="61">
        <v>5216.57</v>
      </c>
      <c r="P555" s="106">
        <v>10</v>
      </c>
      <c r="Q555" s="51">
        <f t="shared" si="16"/>
        <v>52165.7</v>
      </c>
      <c r="R555" s="31">
        <v>202310</v>
      </c>
      <c r="S555" s="54" t="s">
        <v>716</v>
      </c>
      <c r="T555" s="54"/>
      <c r="U555" s="54"/>
      <c r="V555" s="54"/>
      <c r="W555" s="67"/>
      <c r="X555" s="67"/>
      <c r="Y555" s="36"/>
      <c r="Z555" s="36"/>
      <c r="AA555" s="36"/>
      <c r="AB555" s="36"/>
      <c r="AC555" s="36"/>
      <c r="AD555" s="36"/>
      <c r="AE555" s="36"/>
      <c r="AF555" s="53" t="s">
        <v>68</v>
      </c>
      <c r="AG555" s="42"/>
      <c r="AH555" s="42"/>
      <c r="AI555" s="43"/>
      <c r="AJ555" s="43"/>
      <c r="AK555" s="43"/>
      <c r="AL555" s="43"/>
      <c r="AM555" s="43"/>
      <c r="AN555" s="42"/>
      <c r="AO555" s="42"/>
      <c r="AP555" s="42"/>
      <c r="AQ555" s="43"/>
      <c r="AR555" s="42"/>
      <c r="AS555" s="42"/>
    </row>
    <row r="556" spans="1:45" ht="15" customHeight="1">
      <c r="A556" s="21" t="s">
        <v>57</v>
      </c>
      <c r="B556" s="21" t="s">
        <v>46</v>
      </c>
      <c r="C556" s="21" t="s">
        <v>188</v>
      </c>
      <c r="D556" s="22" t="s">
        <v>59</v>
      </c>
      <c r="E556" s="80" t="s">
        <v>695</v>
      </c>
      <c r="F556" s="65" t="s">
        <v>696</v>
      </c>
      <c r="G556" s="101" t="s">
        <v>77</v>
      </c>
      <c r="H556" s="133" t="s">
        <v>697</v>
      </c>
      <c r="I556" s="24" t="s">
        <v>705</v>
      </c>
      <c r="J556" s="47" t="s">
        <v>699</v>
      </c>
      <c r="K556" s="104"/>
      <c r="L556" s="48" t="s">
        <v>700</v>
      </c>
      <c r="M556" s="27">
        <v>43756</v>
      </c>
      <c r="N556" s="49" t="s">
        <v>177</v>
      </c>
      <c r="O556" s="61">
        <v>5216.57</v>
      </c>
      <c r="P556" s="106">
        <v>2</v>
      </c>
      <c r="Q556" s="51">
        <f t="shared" si="16"/>
        <v>10433.14</v>
      </c>
      <c r="R556" s="31">
        <v>202310</v>
      </c>
      <c r="S556" s="54" t="s">
        <v>717</v>
      </c>
      <c r="T556" s="54"/>
      <c r="U556" s="54"/>
      <c r="V556" s="54"/>
      <c r="W556" s="67"/>
      <c r="X556" s="67"/>
      <c r="Y556" s="36"/>
      <c r="Z556" s="36"/>
      <c r="AA556" s="36"/>
      <c r="AB556" s="36"/>
      <c r="AC556" s="36"/>
      <c r="AD556" s="36"/>
      <c r="AE556" s="36"/>
      <c r="AF556" s="53" t="s">
        <v>68</v>
      </c>
      <c r="AG556" s="42"/>
      <c r="AH556" s="42"/>
      <c r="AI556" s="43"/>
      <c r="AJ556" s="43"/>
      <c r="AK556" s="43"/>
      <c r="AL556" s="43"/>
      <c r="AM556" s="43"/>
      <c r="AN556" s="42"/>
      <c r="AO556" s="42"/>
      <c r="AP556" s="42"/>
      <c r="AQ556" s="43"/>
      <c r="AR556" s="42"/>
      <c r="AS556" s="42"/>
    </row>
    <row r="557" spans="1:45" ht="15" customHeight="1">
      <c r="A557" s="21" t="s">
        <v>57</v>
      </c>
      <c r="B557" s="21" t="s">
        <v>46</v>
      </c>
      <c r="C557" s="21" t="s">
        <v>188</v>
      </c>
      <c r="D557" s="22" t="s">
        <v>59</v>
      </c>
      <c r="E557" s="80" t="s">
        <v>695</v>
      </c>
      <c r="F557" s="65" t="s">
        <v>696</v>
      </c>
      <c r="G557" s="101" t="s">
        <v>77</v>
      </c>
      <c r="H557" s="133" t="s">
        <v>697</v>
      </c>
      <c r="I557" s="24" t="s">
        <v>705</v>
      </c>
      <c r="J557" s="47" t="s">
        <v>699</v>
      </c>
      <c r="K557" s="104"/>
      <c r="L557" s="48" t="s">
        <v>700</v>
      </c>
      <c r="M557" s="27">
        <v>43764</v>
      </c>
      <c r="N557" s="49" t="s">
        <v>177</v>
      </c>
      <c r="O557" s="61">
        <v>5216.57</v>
      </c>
      <c r="P557" s="106">
        <v>4</v>
      </c>
      <c r="Q557" s="51">
        <f t="shared" si="16"/>
        <v>20866.28</v>
      </c>
      <c r="R557" s="31">
        <v>202310</v>
      </c>
      <c r="S557" s="54" t="s">
        <v>718</v>
      </c>
      <c r="T557" s="54"/>
      <c r="U557" s="54"/>
      <c r="V557" s="54"/>
      <c r="W557" s="67"/>
      <c r="X557" s="67"/>
      <c r="Y557" s="36"/>
      <c r="Z557" s="36"/>
      <c r="AA557" s="36"/>
      <c r="AB557" s="36"/>
      <c r="AC557" s="36"/>
      <c r="AD557" s="36"/>
      <c r="AE557" s="36"/>
      <c r="AF557" s="53" t="s">
        <v>68</v>
      </c>
      <c r="AG557" s="42"/>
      <c r="AH557" s="42"/>
      <c r="AI557" s="43"/>
      <c r="AJ557" s="43"/>
      <c r="AK557" s="43"/>
      <c r="AL557" s="43"/>
      <c r="AM557" s="43"/>
      <c r="AN557" s="42"/>
      <c r="AO557" s="42"/>
      <c r="AP557" s="42"/>
      <c r="AQ557" s="43"/>
      <c r="AR557" s="42"/>
      <c r="AS557" s="42"/>
    </row>
    <row r="558" spans="1:45" ht="15" customHeight="1">
      <c r="A558" s="21" t="s">
        <v>57</v>
      </c>
      <c r="B558" s="21" t="s">
        <v>46</v>
      </c>
      <c r="C558" s="21" t="s">
        <v>188</v>
      </c>
      <c r="D558" s="22" t="s">
        <v>59</v>
      </c>
      <c r="E558" s="80" t="s">
        <v>695</v>
      </c>
      <c r="F558" s="65" t="s">
        <v>696</v>
      </c>
      <c r="G558" s="101" t="s">
        <v>77</v>
      </c>
      <c r="H558" s="133" t="s">
        <v>697</v>
      </c>
      <c r="I558" s="24" t="s">
        <v>705</v>
      </c>
      <c r="J558" s="47" t="s">
        <v>699</v>
      </c>
      <c r="K558" s="104"/>
      <c r="L558" s="48" t="s">
        <v>700</v>
      </c>
      <c r="M558" s="27">
        <v>43795</v>
      </c>
      <c r="N558" s="49" t="s">
        <v>177</v>
      </c>
      <c r="O558" s="61">
        <v>5216.57</v>
      </c>
      <c r="P558" s="106">
        <v>9</v>
      </c>
      <c r="Q558" s="51">
        <f t="shared" si="16"/>
        <v>46949.13</v>
      </c>
      <c r="R558" s="31">
        <v>202310</v>
      </c>
      <c r="S558" s="54" t="s">
        <v>719</v>
      </c>
      <c r="T558" s="54"/>
      <c r="U558" s="54"/>
      <c r="V558" s="54"/>
      <c r="W558" s="67"/>
      <c r="X558" s="67"/>
      <c r="Y558" s="36"/>
      <c r="Z558" s="36"/>
      <c r="AA558" s="36"/>
      <c r="AB558" s="36"/>
      <c r="AC558" s="36"/>
      <c r="AD558" s="36"/>
      <c r="AE558" s="36"/>
      <c r="AF558" s="53" t="s">
        <v>68</v>
      </c>
      <c r="AG558" s="42"/>
      <c r="AH558" s="42"/>
      <c r="AI558" s="43"/>
      <c r="AJ558" s="43"/>
      <c r="AK558" s="43"/>
      <c r="AL558" s="43"/>
      <c r="AM558" s="43"/>
      <c r="AN558" s="42"/>
      <c r="AO558" s="42"/>
      <c r="AP558" s="42"/>
      <c r="AQ558" s="43"/>
      <c r="AR558" s="42"/>
      <c r="AS558" s="42"/>
    </row>
    <row r="559" spans="1:45" ht="15" customHeight="1">
      <c r="A559" s="21" t="s">
        <v>57</v>
      </c>
      <c r="B559" s="21" t="s">
        <v>46</v>
      </c>
      <c r="C559" s="21" t="s">
        <v>188</v>
      </c>
      <c r="D559" s="22" t="s">
        <v>59</v>
      </c>
      <c r="E559" s="80" t="s">
        <v>695</v>
      </c>
      <c r="F559" s="65" t="s">
        <v>696</v>
      </c>
      <c r="G559" s="101" t="s">
        <v>77</v>
      </c>
      <c r="H559" s="133" t="s">
        <v>697</v>
      </c>
      <c r="I559" s="24" t="s">
        <v>705</v>
      </c>
      <c r="J559" s="47" t="s">
        <v>699</v>
      </c>
      <c r="K559" s="104"/>
      <c r="L559" s="48" t="s">
        <v>700</v>
      </c>
      <c r="M559" s="27">
        <v>43805</v>
      </c>
      <c r="N559" s="49" t="s">
        <v>177</v>
      </c>
      <c r="O559" s="61">
        <v>5216.57</v>
      </c>
      <c r="P559" s="106">
        <v>4</v>
      </c>
      <c r="Q559" s="51">
        <f t="shared" ref="Q559:Q625" si="17">ROUND(O559*P559,2)</f>
        <v>20866.28</v>
      </c>
      <c r="R559" s="31">
        <v>202310</v>
      </c>
      <c r="S559" s="54" t="s">
        <v>720</v>
      </c>
      <c r="T559" s="54"/>
      <c r="U559" s="54"/>
      <c r="V559" s="54"/>
      <c r="W559" s="67"/>
      <c r="X559" s="67"/>
      <c r="Y559" s="36"/>
      <c r="Z559" s="36"/>
      <c r="AA559" s="36"/>
      <c r="AB559" s="36"/>
      <c r="AC559" s="36"/>
      <c r="AD559" s="36"/>
      <c r="AE559" s="36"/>
      <c r="AF559" s="53" t="s">
        <v>68</v>
      </c>
      <c r="AG559" s="42"/>
      <c r="AH559" s="42"/>
      <c r="AI559" s="43"/>
      <c r="AJ559" s="43"/>
      <c r="AK559" s="43"/>
      <c r="AL559" s="43"/>
      <c r="AM559" s="43"/>
      <c r="AN559" s="42"/>
      <c r="AO559" s="42"/>
      <c r="AP559" s="42"/>
      <c r="AQ559" s="43"/>
      <c r="AR559" s="42"/>
      <c r="AS559" s="42"/>
    </row>
    <row r="560" spans="1:45" ht="15" customHeight="1">
      <c r="A560" s="21" t="s">
        <v>57</v>
      </c>
      <c r="B560" s="21" t="s">
        <v>46</v>
      </c>
      <c r="C560" s="21" t="s">
        <v>188</v>
      </c>
      <c r="D560" s="22" t="s">
        <v>59</v>
      </c>
      <c r="E560" s="80" t="s">
        <v>695</v>
      </c>
      <c r="F560" s="65" t="s">
        <v>696</v>
      </c>
      <c r="G560" s="101" t="s">
        <v>77</v>
      </c>
      <c r="H560" s="133" t="s">
        <v>697</v>
      </c>
      <c r="I560" s="24" t="s">
        <v>705</v>
      </c>
      <c r="J560" s="47" t="s">
        <v>699</v>
      </c>
      <c r="K560" s="104"/>
      <c r="L560" s="48" t="s">
        <v>700</v>
      </c>
      <c r="M560" s="27">
        <v>43941</v>
      </c>
      <c r="N560" s="49" t="s">
        <v>177</v>
      </c>
      <c r="O560" s="61">
        <v>5216.57</v>
      </c>
      <c r="P560" s="106">
        <v>3</v>
      </c>
      <c r="Q560" s="51">
        <f t="shared" si="17"/>
        <v>15649.71</v>
      </c>
      <c r="R560" s="31">
        <v>202310</v>
      </c>
      <c r="S560" s="54" t="s">
        <v>721</v>
      </c>
      <c r="T560" s="54"/>
      <c r="U560" s="54"/>
      <c r="V560" s="54"/>
      <c r="W560" s="67"/>
      <c r="X560" s="67"/>
      <c r="Y560" s="36"/>
      <c r="Z560" s="36"/>
      <c r="AA560" s="36"/>
      <c r="AB560" s="36"/>
      <c r="AC560" s="36"/>
      <c r="AD560" s="36"/>
      <c r="AE560" s="36"/>
      <c r="AF560" s="53" t="s">
        <v>68</v>
      </c>
      <c r="AG560" s="42"/>
      <c r="AH560" s="42"/>
      <c r="AI560" s="43"/>
      <c r="AJ560" s="43"/>
      <c r="AK560" s="43"/>
      <c r="AL560" s="43"/>
      <c r="AM560" s="43"/>
      <c r="AN560" s="42"/>
      <c r="AO560" s="42"/>
      <c r="AP560" s="42"/>
      <c r="AQ560" s="43"/>
      <c r="AR560" s="42"/>
      <c r="AS560" s="42"/>
    </row>
    <row r="561" spans="1:45" ht="15" customHeight="1">
      <c r="A561" s="21" t="s">
        <v>57</v>
      </c>
      <c r="B561" s="21" t="s">
        <v>46</v>
      </c>
      <c r="C561" s="21" t="s">
        <v>188</v>
      </c>
      <c r="D561" s="22" t="s">
        <v>59</v>
      </c>
      <c r="E561" s="80" t="s">
        <v>695</v>
      </c>
      <c r="F561" s="65" t="s">
        <v>696</v>
      </c>
      <c r="G561" s="101" t="s">
        <v>77</v>
      </c>
      <c r="H561" s="133" t="s">
        <v>697</v>
      </c>
      <c r="I561" s="24" t="s">
        <v>705</v>
      </c>
      <c r="J561" s="47" t="s">
        <v>699</v>
      </c>
      <c r="K561" s="104"/>
      <c r="L561" s="48" t="s">
        <v>700</v>
      </c>
      <c r="M561" s="27">
        <v>43983</v>
      </c>
      <c r="N561" s="49" t="s">
        <v>177</v>
      </c>
      <c r="O561" s="61">
        <v>5216.57</v>
      </c>
      <c r="P561" s="106">
        <v>1</v>
      </c>
      <c r="Q561" s="51">
        <f t="shared" si="17"/>
        <v>5216.57</v>
      </c>
      <c r="R561" s="31">
        <v>202310</v>
      </c>
      <c r="S561" s="54" t="s">
        <v>722</v>
      </c>
      <c r="T561" s="54"/>
      <c r="U561" s="54"/>
      <c r="V561" s="54"/>
      <c r="W561" s="67"/>
      <c r="X561" s="67"/>
      <c r="Y561" s="36"/>
      <c r="Z561" s="36"/>
      <c r="AA561" s="36"/>
      <c r="AB561" s="36"/>
      <c r="AC561" s="36"/>
      <c r="AD561" s="36"/>
      <c r="AE561" s="36"/>
      <c r="AF561" s="53" t="s">
        <v>68</v>
      </c>
      <c r="AG561" s="42"/>
      <c r="AH561" s="42"/>
      <c r="AI561" s="43"/>
      <c r="AJ561" s="43"/>
      <c r="AK561" s="43"/>
      <c r="AL561" s="43"/>
      <c r="AM561" s="43"/>
      <c r="AN561" s="42"/>
      <c r="AO561" s="42"/>
      <c r="AP561" s="42"/>
      <c r="AQ561" s="43"/>
      <c r="AR561" s="42"/>
      <c r="AS561" s="42"/>
    </row>
    <row r="562" spans="1:45" ht="15" customHeight="1">
      <c r="A562" s="21" t="s">
        <v>57</v>
      </c>
      <c r="B562" s="21" t="s">
        <v>46</v>
      </c>
      <c r="C562" s="21" t="s">
        <v>188</v>
      </c>
      <c r="D562" s="22" t="s">
        <v>59</v>
      </c>
      <c r="E562" s="80" t="s">
        <v>695</v>
      </c>
      <c r="F562" s="65" t="s">
        <v>696</v>
      </c>
      <c r="G562" s="101" t="s">
        <v>77</v>
      </c>
      <c r="H562" s="133" t="s">
        <v>697</v>
      </c>
      <c r="I562" s="24" t="s">
        <v>705</v>
      </c>
      <c r="J562" s="47" t="s">
        <v>699</v>
      </c>
      <c r="K562" s="104"/>
      <c r="L562" s="48" t="s">
        <v>700</v>
      </c>
      <c r="M562" s="27">
        <v>44033</v>
      </c>
      <c r="N562" s="49" t="s">
        <v>177</v>
      </c>
      <c r="O562" s="61">
        <v>5216.57</v>
      </c>
      <c r="P562" s="106">
        <v>2</v>
      </c>
      <c r="Q562" s="51">
        <f t="shared" si="17"/>
        <v>10433.14</v>
      </c>
      <c r="R562" s="31">
        <v>202310</v>
      </c>
      <c r="S562" s="54" t="s">
        <v>723</v>
      </c>
      <c r="T562" s="54"/>
      <c r="U562" s="54"/>
      <c r="V562" s="54"/>
      <c r="W562" s="67"/>
      <c r="X562" s="67"/>
      <c r="Y562" s="36"/>
      <c r="Z562" s="36"/>
      <c r="AA562" s="36"/>
      <c r="AB562" s="36"/>
      <c r="AC562" s="36"/>
      <c r="AD562" s="36"/>
      <c r="AE562" s="36"/>
      <c r="AF562" s="53" t="s">
        <v>68</v>
      </c>
      <c r="AG562" s="42"/>
      <c r="AH562" s="42"/>
      <c r="AI562" s="43"/>
      <c r="AJ562" s="43"/>
      <c r="AK562" s="43"/>
      <c r="AL562" s="43"/>
      <c r="AM562" s="43"/>
      <c r="AN562" s="42"/>
      <c r="AO562" s="42"/>
      <c r="AP562" s="42"/>
      <c r="AQ562" s="43"/>
      <c r="AR562" s="42"/>
      <c r="AS562" s="42"/>
    </row>
    <row r="563" spans="1:45" ht="15" customHeight="1">
      <c r="A563" s="21" t="s">
        <v>57</v>
      </c>
      <c r="B563" s="21" t="s">
        <v>46</v>
      </c>
      <c r="C563" s="21" t="s">
        <v>188</v>
      </c>
      <c r="D563" s="22" t="s">
        <v>59</v>
      </c>
      <c r="E563" s="80" t="s">
        <v>695</v>
      </c>
      <c r="F563" s="65" t="s">
        <v>696</v>
      </c>
      <c r="G563" s="101" t="s">
        <v>77</v>
      </c>
      <c r="H563" s="133" t="s">
        <v>697</v>
      </c>
      <c r="I563" s="24" t="s">
        <v>705</v>
      </c>
      <c r="J563" s="47" t="s">
        <v>699</v>
      </c>
      <c r="K563" s="104"/>
      <c r="L563" s="48" t="s">
        <v>700</v>
      </c>
      <c r="M563" s="27">
        <v>44137</v>
      </c>
      <c r="N563" s="49" t="s">
        <v>177</v>
      </c>
      <c r="O563" s="61">
        <v>5216.57</v>
      </c>
      <c r="P563" s="106">
        <v>1</v>
      </c>
      <c r="Q563" s="51">
        <f t="shared" si="17"/>
        <v>5216.57</v>
      </c>
      <c r="R563" s="31">
        <v>202310</v>
      </c>
      <c r="S563" s="54" t="s">
        <v>724</v>
      </c>
      <c r="T563" s="54"/>
      <c r="U563" s="54"/>
      <c r="V563" s="54"/>
      <c r="W563" s="67"/>
      <c r="X563" s="67"/>
      <c r="Y563" s="36"/>
      <c r="Z563" s="36"/>
      <c r="AA563" s="36"/>
      <c r="AB563" s="36"/>
      <c r="AC563" s="36"/>
      <c r="AD563" s="36"/>
      <c r="AE563" s="36"/>
      <c r="AF563" s="53" t="s">
        <v>68</v>
      </c>
      <c r="AG563" s="42"/>
      <c r="AH563" s="42"/>
      <c r="AI563" s="43"/>
      <c r="AJ563" s="43"/>
      <c r="AK563" s="43"/>
      <c r="AL563" s="43"/>
      <c r="AM563" s="43"/>
      <c r="AN563" s="42"/>
      <c r="AO563" s="42"/>
      <c r="AP563" s="42"/>
      <c r="AQ563" s="43"/>
      <c r="AR563" s="42"/>
      <c r="AS563" s="42"/>
    </row>
    <row r="564" spans="1:45" ht="15" customHeight="1">
      <c r="A564" s="21" t="s">
        <v>57</v>
      </c>
      <c r="B564" s="21" t="s">
        <v>46</v>
      </c>
      <c r="C564" s="21" t="s">
        <v>188</v>
      </c>
      <c r="D564" s="22" t="s">
        <v>59</v>
      </c>
      <c r="E564" s="80" t="s">
        <v>695</v>
      </c>
      <c r="F564" s="65" t="s">
        <v>696</v>
      </c>
      <c r="G564" s="101" t="s">
        <v>77</v>
      </c>
      <c r="H564" s="133" t="s">
        <v>697</v>
      </c>
      <c r="I564" s="24" t="s">
        <v>705</v>
      </c>
      <c r="J564" s="47" t="s">
        <v>699</v>
      </c>
      <c r="K564" s="104"/>
      <c r="L564" s="48" t="s">
        <v>700</v>
      </c>
      <c r="M564" s="27">
        <v>44140</v>
      </c>
      <c r="N564" s="49" t="s">
        <v>177</v>
      </c>
      <c r="O564" s="61">
        <v>5216.57</v>
      </c>
      <c r="P564" s="106">
        <v>2</v>
      </c>
      <c r="Q564" s="51">
        <f t="shared" si="17"/>
        <v>10433.14</v>
      </c>
      <c r="R564" s="31">
        <v>202310</v>
      </c>
      <c r="S564" s="54" t="s">
        <v>725</v>
      </c>
      <c r="T564" s="54"/>
      <c r="U564" s="54"/>
      <c r="V564" s="54"/>
      <c r="W564" s="67"/>
      <c r="X564" s="67"/>
      <c r="Y564" s="36"/>
      <c r="Z564" s="36"/>
      <c r="AA564" s="36"/>
      <c r="AB564" s="36"/>
      <c r="AC564" s="36"/>
      <c r="AD564" s="36"/>
      <c r="AE564" s="36"/>
      <c r="AF564" s="53" t="s">
        <v>68</v>
      </c>
      <c r="AG564" s="42"/>
      <c r="AH564" s="42"/>
      <c r="AI564" s="43"/>
      <c r="AJ564" s="43"/>
      <c r="AK564" s="43"/>
      <c r="AL564" s="43"/>
      <c r="AM564" s="43"/>
      <c r="AN564" s="42"/>
      <c r="AO564" s="42"/>
      <c r="AP564" s="42"/>
      <c r="AQ564" s="43"/>
      <c r="AR564" s="42"/>
      <c r="AS564" s="42"/>
    </row>
    <row r="565" spans="1:45" ht="15" customHeight="1">
      <c r="A565" s="21" t="s">
        <v>57</v>
      </c>
      <c r="B565" s="21" t="s">
        <v>46</v>
      </c>
      <c r="C565" s="21" t="s">
        <v>188</v>
      </c>
      <c r="D565" s="22" t="s">
        <v>59</v>
      </c>
      <c r="E565" s="80" t="s">
        <v>695</v>
      </c>
      <c r="F565" s="65" t="s">
        <v>696</v>
      </c>
      <c r="G565" s="101" t="s">
        <v>77</v>
      </c>
      <c r="H565" s="133" t="s">
        <v>697</v>
      </c>
      <c r="I565" s="24" t="s">
        <v>705</v>
      </c>
      <c r="J565" s="47" t="s">
        <v>699</v>
      </c>
      <c r="K565" s="104"/>
      <c r="L565" s="48" t="s">
        <v>700</v>
      </c>
      <c r="M565" s="27">
        <v>44152</v>
      </c>
      <c r="N565" s="49" t="s">
        <v>177</v>
      </c>
      <c r="O565" s="61">
        <v>5216.57</v>
      </c>
      <c r="P565" s="106">
        <v>1</v>
      </c>
      <c r="Q565" s="51">
        <f t="shared" si="17"/>
        <v>5216.57</v>
      </c>
      <c r="R565" s="31">
        <v>202310</v>
      </c>
      <c r="S565" s="54" t="s">
        <v>726</v>
      </c>
      <c r="T565" s="54"/>
      <c r="U565" s="54"/>
      <c r="V565" s="54"/>
      <c r="W565" s="67"/>
      <c r="X565" s="67"/>
      <c r="Y565" s="36"/>
      <c r="Z565" s="36"/>
      <c r="AA565" s="36"/>
      <c r="AB565" s="36"/>
      <c r="AC565" s="36"/>
      <c r="AD565" s="36"/>
      <c r="AE565" s="36"/>
      <c r="AF565" s="53" t="s">
        <v>68</v>
      </c>
      <c r="AG565" s="42"/>
      <c r="AH565" s="42"/>
      <c r="AI565" s="43"/>
      <c r="AJ565" s="43"/>
      <c r="AK565" s="43"/>
      <c r="AL565" s="43"/>
      <c r="AM565" s="43"/>
      <c r="AN565" s="42"/>
      <c r="AO565" s="42"/>
      <c r="AP565" s="42"/>
      <c r="AQ565" s="43"/>
      <c r="AR565" s="42"/>
      <c r="AS565" s="42"/>
    </row>
    <row r="566" spans="1:45" ht="15" customHeight="1">
      <c r="A566" s="21" t="s">
        <v>57</v>
      </c>
      <c r="B566" s="21" t="s">
        <v>46</v>
      </c>
      <c r="C566" s="21" t="s">
        <v>188</v>
      </c>
      <c r="D566" s="22" t="s">
        <v>59</v>
      </c>
      <c r="E566" s="80" t="s">
        <v>695</v>
      </c>
      <c r="F566" s="65" t="s">
        <v>696</v>
      </c>
      <c r="G566" s="101" t="s">
        <v>77</v>
      </c>
      <c r="H566" s="133" t="s">
        <v>697</v>
      </c>
      <c r="I566" s="24" t="s">
        <v>705</v>
      </c>
      <c r="J566" s="47" t="s">
        <v>699</v>
      </c>
      <c r="K566" s="104"/>
      <c r="L566" s="48" t="s">
        <v>700</v>
      </c>
      <c r="M566" s="27">
        <v>44154</v>
      </c>
      <c r="N566" s="49" t="s">
        <v>177</v>
      </c>
      <c r="O566" s="61">
        <v>5216.57</v>
      </c>
      <c r="P566" s="106">
        <v>1</v>
      </c>
      <c r="Q566" s="51">
        <f t="shared" si="17"/>
        <v>5216.57</v>
      </c>
      <c r="R566" s="31">
        <v>202310</v>
      </c>
      <c r="S566" s="54" t="s">
        <v>727</v>
      </c>
      <c r="T566" s="54"/>
      <c r="U566" s="54"/>
      <c r="V566" s="54"/>
      <c r="W566" s="67"/>
      <c r="X566" s="67"/>
      <c r="Y566" s="36"/>
      <c r="Z566" s="36"/>
      <c r="AA566" s="36"/>
      <c r="AB566" s="36"/>
      <c r="AC566" s="36"/>
      <c r="AD566" s="36"/>
      <c r="AE566" s="36"/>
      <c r="AF566" s="53" t="s">
        <v>68</v>
      </c>
      <c r="AG566" s="42"/>
      <c r="AH566" s="42"/>
      <c r="AI566" s="43"/>
      <c r="AJ566" s="43"/>
      <c r="AK566" s="43"/>
      <c r="AL566" s="43"/>
      <c r="AM566" s="43"/>
      <c r="AN566" s="42"/>
      <c r="AO566" s="42"/>
      <c r="AP566" s="42"/>
      <c r="AQ566" s="43"/>
      <c r="AR566" s="42"/>
      <c r="AS566" s="42"/>
    </row>
    <row r="567" spans="1:45" ht="15" customHeight="1">
      <c r="A567" s="21" t="s">
        <v>57</v>
      </c>
      <c r="B567" s="21" t="s">
        <v>46</v>
      </c>
      <c r="C567" s="21" t="s">
        <v>188</v>
      </c>
      <c r="D567" s="22" t="s">
        <v>59</v>
      </c>
      <c r="E567" s="80" t="s">
        <v>695</v>
      </c>
      <c r="F567" s="65" t="s">
        <v>696</v>
      </c>
      <c r="G567" s="101" t="s">
        <v>77</v>
      </c>
      <c r="H567" s="133" t="s">
        <v>697</v>
      </c>
      <c r="I567" s="24" t="s">
        <v>705</v>
      </c>
      <c r="J567" s="47" t="s">
        <v>699</v>
      </c>
      <c r="K567" s="104"/>
      <c r="L567" s="48" t="s">
        <v>700</v>
      </c>
      <c r="M567" s="27">
        <v>44166</v>
      </c>
      <c r="N567" s="49" t="s">
        <v>177</v>
      </c>
      <c r="O567" s="61">
        <v>5216.57</v>
      </c>
      <c r="P567" s="106">
        <v>8</v>
      </c>
      <c r="Q567" s="51">
        <f t="shared" si="17"/>
        <v>41732.559999999998</v>
      </c>
      <c r="R567" s="31">
        <v>202310</v>
      </c>
      <c r="S567" s="54" t="s">
        <v>728</v>
      </c>
      <c r="T567" s="54"/>
      <c r="U567" s="54"/>
      <c r="V567" s="54"/>
      <c r="W567" s="67"/>
      <c r="X567" s="67"/>
      <c r="Y567" s="36"/>
      <c r="Z567" s="36"/>
      <c r="AA567" s="36"/>
      <c r="AB567" s="36"/>
      <c r="AC567" s="36"/>
      <c r="AD567" s="36"/>
      <c r="AE567" s="36"/>
      <c r="AF567" s="53" t="s">
        <v>68</v>
      </c>
      <c r="AG567" s="42"/>
      <c r="AH567" s="42"/>
      <c r="AI567" s="43"/>
      <c r="AJ567" s="43"/>
      <c r="AK567" s="43"/>
      <c r="AL567" s="43"/>
      <c r="AM567" s="43"/>
      <c r="AN567" s="42"/>
      <c r="AO567" s="42"/>
      <c r="AP567" s="42"/>
      <c r="AQ567" s="43"/>
      <c r="AR567" s="42"/>
      <c r="AS567" s="42"/>
    </row>
    <row r="568" spans="1:45" ht="15" customHeight="1">
      <c r="A568" s="21" t="s">
        <v>57</v>
      </c>
      <c r="B568" s="21" t="s">
        <v>46</v>
      </c>
      <c r="C568" s="21" t="s">
        <v>188</v>
      </c>
      <c r="D568" s="22" t="s">
        <v>59</v>
      </c>
      <c r="E568" s="80" t="s">
        <v>695</v>
      </c>
      <c r="F568" s="65" t="s">
        <v>696</v>
      </c>
      <c r="G568" s="101" t="s">
        <v>77</v>
      </c>
      <c r="H568" s="133" t="s">
        <v>697</v>
      </c>
      <c r="I568" s="24" t="s">
        <v>705</v>
      </c>
      <c r="J568" s="47" t="s">
        <v>699</v>
      </c>
      <c r="K568" s="104"/>
      <c r="L568" s="48" t="s">
        <v>700</v>
      </c>
      <c r="M568" s="27">
        <v>44193</v>
      </c>
      <c r="N568" s="49" t="s">
        <v>177</v>
      </c>
      <c r="O568" s="61">
        <v>5216.57</v>
      </c>
      <c r="P568" s="106">
        <v>2</v>
      </c>
      <c r="Q568" s="51">
        <f t="shared" si="17"/>
        <v>10433.14</v>
      </c>
      <c r="R568" s="31">
        <v>202310</v>
      </c>
      <c r="S568" s="54" t="s">
        <v>729</v>
      </c>
      <c r="T568" s="54"/>
      <c r="U568" s="54"/>
      <c r="V568" s="54"/>
      <c r="W568" s="67"/>
      <c r="X568" s="67"/>
      <c r="Y568" s="36"/>
      <c r="Z568" s="36"/>
      <c r="AA568" s="36"/>
      <c r="AB568" s="36"/>
      <c r="AC568" s="36"/>
      <c r="AD568" s="36"/>
      <c r="AE568" s="36"/>
      <c r="AF568" s="53" t="s">
        <v>68</v>
      </c>
      <c r="AG568" s="42"/>
      <c r="AH568" s="42"/>
      <c r="AI568" s="43"/>
      <c r="AJ568" s="43"/>
      <c r="AK568" s="43"/>
      <c r="AL568" s="43"/>
      <c r="AM568" s="43"/>
      <c r="AN568" s="42"/>
      <c r="AO568" s="42"/>
      <c r="AP568" s="42"/>
      <c r="AQ568" s="43"/>
      <c r="AR568" s="42"/>
      <c r="AS568" s="42"/>
    </row>
    <row r="569" spans="1:45" ht="15" customHeight="1">
      <c r="A569" s="21" t="s">
        <v>57</v>
      </c>
      <c r="B569" s="21" t="s">
        <v>46</v>
      </c>
      <c r="C569" s="21" t="s">
        <v>188</v>
      </c>
      <c r="D569" s="22" t="s">
        <v>59</v>
      </c>
      <c r="E569" s="80" t="s">
        <v>695</v>
      </c>
      <c r="F569" s="65" t="s">
        <v>696</v>
      </c>
      <c r="G569" s="101" t="s">
        <v>77</v>
      </c>
      <c r="H569" s="133" t="s">
        <v>697</v>
      </c>
      <c r="I569" s="24" t="s">
        <v>705</v>
      </c>
      <c r="J569" s="47" t="s">
        <v>699</v>
      </c>
      <c r="K569" s="104"/>
      <c r="L569" s="48" t="s">
        <v>700</v>
      </c>
      <c r="M569" s="27">
        <v>44209</v>
      </c>
      <c r="N569" s="49" t="s">
        <v>177</v>
      </c>
      <c r="O569" s="61">
        <v>5216.57</v>
      </c>
      <c r="P569" s="106">
        <v>7</v>
      </c>
      <c r="Q569" s="51">
        <f t="shared" si="17"/>
        <v>36515.99</v>
      </c>
      <c r="R569" s="31">
        <v>202310</v>
      </c>
      <c r="S569" s="54" t="s">
        <v>730</v>
      </c>
      <c r="T569" s="54"/>
      <c r="U569" s="54"/>
      <c r="V569" s="54"/>
      <c r="W569" s="67"/>
      <c r="X569" s="67"/>
      <c r="Y569" s="36"/>
      <c r="Z569" s="36"/>
      <c r="AA569" s="36"/>
      <c r="AB569" s="36"/>
      <c r="AC569" s="36"/>
      <c r="AD569" s="36"/>
      <c r="AE569" s="36"/>
      <c r="AF569" s="53" t="s">
        <v>68</v>
      </c>
      <c r="AG569" s="42"/>
      <c r="AH569" s="42"/>
      <c r="AI569" s="43"/>
      <c r="AJ569" s="43"/>
      <c r="AK569" s="43"/>
      <c r="AL569" s="43"/>
      <c r="AM569" s="43"/>
      <c r="AN569" s="42"/>
      <c r="AO569" s="42"/>
      <c r="AP569" s="42"/>
      <c r="AQ569" s="43"/>
      <c r="AR569" s="42"/>
      <c r="AS569" s="42"/>
    </row>
    <row r="570" spans="1:45" ht="15" customHeight="1">
      <c r="A570" s="21" t="s">
        <v>57</v>
      </c>
      <c r="B570" s="21" t="s">
        <v>46</v>
      </c>
      <c r="C570" s="21" t="s">
        <v>188</v>
      </c>
      <c r="D570" s="22" t="s">
        <v>59</v>
      </c>
      <c r="E570" s="80" t="s">
        <v>695</v>
      </c>
      <c r="F570" s="65" t="s">
        <v>696</v>
      </c>
      <c r="G570" s="101" t="s">
        <v>77</v>
      </c>
      <c r="H570" s="133" t="s">
        <v>697</v>
      </c>
      <c r="I570" s="24" t="s">
        <v>705</v>
      </c>
      <c r="J570" s="47" t="s">
        <v>699</v>
      </c>
      <c r="K570" s="104"/>
      <c r="L570" s="48" t="s">
        <v>700</v>
      </c>
      <c r="M570" s="27">
        <v>44223</v>
      </c>
      <c r="N570" s="49" t="s">
        <v>177</v>
      </c>
      <c r="O570" s="61">
        <v>5216.57</v>
      </c>
      <c r="P570" s="106">
        <v>4</v>
      </c>
      <c r="Q570" s="51">
        <f t="shared" si="17"/>
        <v>20866.28</v>
      </c>
      <c r="R570" s="31">
        <v>202310</v>
      </c>
      <c r="S570" s="54" t="s">
        <v>731</v>
      </c>
      <c r="T570" s="54"/>
      <c r="U570" s="54"/>
      <c r="V570" s="54"/>
      <c r="W570" s="67"/>
      <c r="X570" s="67"/>
      <c r="Y570" s="36"/>
      <c r="Z570" s="36"/>
      <c r="AA570" s="36"/>
      <c r="AB570" s="36"/>
      <c r="AC570" s="36"/>
      <c r="AD570" s="36"/>
      <c r="AE570" s="36"/>
      <c r="AF570" s="53" t="s">
        <v>68</v>
      </c>
      <c r="AG570" s="42"/>
      <c r="AH570" s="42"/>
      <c r="AI570" s="43"/>
      <c r="AJ570" s="43"/>
      <c r="AK570" s="43"/>
      <c r="AL570" s="43"/>
      <c r="AM570" s="43"/>
      <c r="AN570" s="42"/>
      <c r="AO570" s="42"/>
      <c r="AP570" s="42"/>
      <c r="AQ570" s="43"/>
      <c r="AR570" s="42"/>
      <c r="AS570" s="42"/>
    </row>
    <row r="571" spans="1:45" ht="15" customHeight="1">
      <c r="A571" s="21" t="s">
        <v>57</v>
      </c>
      <c r="B571" s="21" t="s">
        <v>46</v>
      </c>
      <c r="C571" s="21" t="s">
        <v>188</v>
      </c>
      <c r="D571" s="22" t="s">
        <v>59</v>
      </c>
      <c r="E571" s="80" t="s">
        <v>695</v>
      </c>
      <c r="F571" s="65" t="s">
        <v>696</v>
      </c>
      <c r="G571" s="101" t="s">
        <v>77</v>
      </c>
      <c r="H571" s="133" t="s">
        <v>697</v>
      </c>
      <c r="I571" s="24" t="s">
        <v>705</v>
      </c>
      <c r="J571" s="47" t="s">
        <v>699</v>
      </c>
      <c r="K571" s="104"/>
      <c r="L571" s="48" t="s">
        <v>700</v>
      </c>
      <c r="M571" s="27">
        <v>44225</v>
      </c>
      <c r="N571" s="49" t="s">
        <v>177</v>
      </c>
      <c r="O571" s="61">
        <v>5216.57</v>
      </c>
      <c r="P571" s="106">
        <v>9</v>
      </c>
      <c r="Q571" s="51">
        <f t="shared" si="17"/>
        <v>46949.13</v>
      </c>
      <c r="R571" s="31">
        <v>202310</v>
      </c>
      <c r="S571" s="54" t="s">
        <v>732</v>
      </c>
      <c r="T571" s="54"/>
      <c r="U571" s="54"/>
      <c r="V571" s="54"/>
      <c r="W571" s="67"/>
      <c r="X571" s="67"/>
      <c r="Y571" s="36"/>
      <c r="Z571" s="36"/>
      <c r="AA571" s="36"/>
      <c r="AB571" s="36"/>
      <c r="AC571" s="36"/>
      <c r="AD571" s="36"/>
      <c r="AE571" s="36"/>
      <c r="AF571" s="53" t="s">
        <v>68</v>
      </c>
      <c r="AG571" s="42"/>
      <c r="AH571" s="42"/>
      <c r="AI571" s="43"/>
      <c r="AJ571" s="43"/>
      <c r="AK571" s="43"/>
      <c r="AL571" s="43"/>
      <c r="AM571" s="43"/>
      <c r="AN571" s="42"/>
      <c r="AO571" s="42"/>
      <c r="AP571" s="42"/>
      <c r="AQ571" s="43"/>
      <c r="AR571" s="42"/>
      <c r="AS571" s="42"/>
    </row>
    <row r="572" spans="1:45" ht="15" customHeight="1">
      <c r="A572" s="21" t="s">
        <v>57</v>
      </c>
      <c r="B572" s="21" t="s">
        <v>46</v>
      </c>
      <c r="C572" s="21" t="s">
        <v>188</v>
      </c>
      <c r="D572" s="22" t="s">
        <v>59</v>
      </c>
      <c r="E572" s="80" t="s">
        <v>695</v>
      </c>
      <c r="F572" s="65" t="s">
        <v>696</v>
      </c>
      <c r="G572" s="101" t="s">
        <v>77</v>
      </c>
      <c r="H572" s="133" t="s">
        <v>697</v>
      </c>
      <c r="I572" s="24" t="s">
        <v>705</v>
      </c>
      <c r="J572" s="47" t="s">
        <v>699</v>
      </c>
      <c r="K572" s="104"/>
      <c r="L572" s="48" t="s">
        <v>700</v>
      </c>
      <c r="M572" s="27">
        <v>44228</v>
      </c>
      <c r="N572" s="49" t="s">
        <v>177</v>
      </c>
      <c r="O572" s="61">
        <v>5216.57</v>
      </c>
      <c r="P572" s="106">
        <v>-500</v>
      </c>
      <c r="Q572" s="51">
        <f t="shared" si="17"/>
        <v>-2608285</v>
      </c>
      <c r="R572" s="31">
        <v>202310</v>
      </c>
      <c r="S572" s="54" t="s">
        <v>733</v>
      </c>
      <c r="T572" s="54"/>
      <c r="U572" s="54"/>
      <c r="V572" s="54"/>
      <c r="W572" s="67"/>
      <c r="X572" s="67"/>
      <c r="Y572" s="36"/>
      <c r="Z572" s="36"/>
      <c r="AA572" s="36"/>
      <c r="AB572" s="36"/>
      <c r="AC572" s="36"/>
      <c r="AD572" s="36"/>
      <c r="AE572" s="36"/>
      <c r="AF572" s="53" t="s">
        <v>68</v>
      </c>
      <c r="AG572" s="42"/>
      <c r="AH572" s="42"/>
      <c r="AI572" s="43"/>
      <c r="AJ572" s="43"/>
      <c r="AK572" s="43"/>
      <c r="AL572" s="43"/>
      <c r="AM572" s="43"/>
      <c r="AN572" s="42"/>
      <c r="AO572" s="42"/>
      <c r="AP572" s="42"/>
      <c r="AQ572" s="43"/>
      <c r="AR572" s="42"/>
      <c r="AS572" s="42"/>
    </row>
    <row r="573" spans="1:45" ht="15" customHeight="1">
      <c r="A573" s="21" t="s">
        <v>57</v>
      </c>
      <c r="B573" s="21" t="s">
        <v>46</v>
      </c>
      <c r="C573" s="21" t="s">
        <v>188</v>
      </c>
      <c r="D573" s="22" t="s">
        <v>59</v>
      </c>
      <c r="E573" s="80" t="s">
        <v>695</v>
      </c>
      <c r="F573" s="65" t="s">
        <v>696</v>
      </c>
      <c r="G573" s="101" t="s">
        <v>77</v>
      </c>
      <c r="H573" s="133" t="s">
        <v>697</v>
      </c>
      <c r="I573" s="24" t="s">
        <v>705</v>
      </c>
      <c r="J573" s="47" t="s">
        <v>699</v>
      </c>
      <c r="K573" s="104"/>
      <c r="L573" s="48" t="s">
        <v>700</v>
      </c>
      <c r="M573" s="27">
        <v>44236</v>
      </c>
      <c r="N573" s="49" t="s">
        <v>177</v>
      </c>
      <c r="O573" s="61">
        <v>5216.57</v>
      </c>
      <c r="P573" s="106">
        <v>-2</v>
      </c>
      <c r="Q573" s="51">
        <f t="shared" si="17"/>
        <v>-10433.14</v>
      </c>
      <c r="R573" s="31">
        <v>202310</v>
      </c>
      <c r="S573" s="54" t="s">
        <v>734</v>
      </c>
      <c r="T573" s="54"/>
      <c r="U573" s="54"/>
      <c r="V573" s="54"/>
      <c r="W573" s="67"/>
      <c r="X573" s="67"/>
      <c r="Y573" s="36"/>
      <c r="Z573" s="36"/>
      <c r="AA573" s="36"/>
      <c r="AB573" s="36"/>
      <c r="AC573" s="36"/>
      <c r="AD573" s="36"/>
      <c r="AE573" s="36"/>
      <c r="AF573" s="53" t="s">
        <v>68</v>
      </c>
      <c r="AG573" s="42"/>
      <c r="AH573" s="42"/>
      <c r="AI573" s="43"/>
      <c r="AJ573" s="43"/>
      <c r="AK573" s="43"/>
      <c r="AL573" s="43"/>
      <c r="AM573" s="43"/>
      <c r="AN573" s="42"/>
      <c r="AO573" s="42"/>
      <c r="AP573" s="42"/>
      <c r="AQ573" s="43"/>
      <c r="AR573" s="42"/>
      <c r="AS573" s="42"/>
    </row>
    <row r="574" spans="1:45" ht="15" customHeight="1">
      <c r="A574" s="21" t="s">
        <v>57</v>
      </c>
      <c r="B574" s="21" t="s">
        <v>46</v>
      </c>
      <c r="C574" s="21" t="s">
        <v>188</v>
      </c>
      <c r="D574" s="22" t="s">
        <v>59</v>
      </c>
      <c r="E574" s="80" t="s">
        <v>695</v>
      </c>
      <c r="F574" s="65" t="s">
        <v>696</v>
      </c>
      <c r="G574" s="101" t="s">
        <v>77</v>
      </c>
      <c r="H574" s="133" t="s">
        <v>697</v>
      </c>
      <c r="I574" s="24" t="s">
        <v>705</v>
      </c>
      <c r="J574" s="47" t="s">
        <v>699</v>
      </c>
      <c r="K574" s="104"/>
      <c r="L574" s="48" t="s">
        <v>700</v>
      </c>
      <c r="M574" s="27">
        <v>44231</v>
      </c>
      <c r="N574" s="49" t="s">
        <v>177</v>
      </c>
      <c r="O574" s="61">
        <v>5216.57</v>
      </c>
      <c r="P574" s="106">
        <v>8</v>
      </c>
      <c r="Q574" s="51">
        <f t="shared" si="17"/>
        <v>41732.559999999998</v>
      </c>
      <c r="R574" s="31">
        <v>202310</v>
      </c>
      <c r="S574" s="54" t="s">
        <v>735</v>
      </c>
      <c r="T574" s="54"/>
      <c r="U574" s="54"/>
      <c r="V574" s="54"/>
      <c r="W574" s="67"/>
      <c r="X574" s="67"/>
      <c r="Y574" s="36"/>
      <c r="Z574" s="36"/>
      <c r="AA574" s="36"/>
      <c r="AB574" s="36"/>
      <c r="AC574" s="36"/>
      <c r="AD574" s="36"/>
      <c r="AE574" s="36"/>
      <c r="AF574" s="53" t="s">
        <v>68</v>
      </c>
      <c r="AG574" s="42"/>
      <c r="AH574" s="42"/>
      <c r="AI574" s="43"/>
      <c r="AJ574" s="43"/>
      <c r="AK574" s="43"/>
      <c r="AL574" s="43"/>
      <c r="AM574" s="43"/>
      <c r="AN574" s="42"/>
      <c r="AO574" s="42"/>
      <c r="AP574" s="42"/>
      <c r="AQ574" s="43"/>
      <c r="AR574" s="42"/>
      <c r="AS574" s="42"/>
    </row>
    <row r="575" spans="1:45" ht="15" customHeight="1">
      <c r="A575" s="21" t="s">
        <v>57</v>
      </c>
      <c r="B575" s="21" t="s">
        <v>46</v>
      </c>
      <c r="C575" s="21" t="s">
        <v>188</v>
      </c>
      <c r="D575" s="22" t="s">
        <v>59</v>
      </c>
      <c r="E575" s="80" t="s">
        <v>695</v>
      </c>
      <c r="F575" s="65" t="s">
        <v>696</v>
      </c>
      <c r="G575" s="101" t="s">
        <v>77</v>
      </c>
      <c r="H575" s="133" t="s">
        <v>697</v>
      </c>
      <c r="I575" s="24" t="s">
        <v>705</v>
      </c>
      <c r="J575" s="47" t="s">
        <v>699</v>
      </c>
      <c r="K575" s="104"/>
      <c r="L575" s="48" t="s">
        <v>700</v>
      </c>
      <c r="M575" s="27">
        <v>44251</v>
      </c>
      <c r="N575" s="49" t="s">
        <v>177</v>
      </c>
      <c r="O575" s="61">
        <v>5216.57</v>
      </c>
      <c r="P575" s="106">
        <v>2</v>
      </c>
      <c r="Q575" s="51">
        <f t="shared" si="17"/>
        <v>10433.14</v>
      </c>
      <c r="R575" s="31">
        <v>202310</v>
      </c>
      <c r="S575" s="54" t="s">
        <v>736</v>
      </c>
      <c r="T575" s="54"/>
      <c r="U575" s="54"/>
      <c r="V575" s="54"/>
      <c r="W575" s="67"/>
      <c r="X575" s="67"/>
      <c r="Y575" s="36"/>
      <c r="Z575" s="36"/>
      <c r="AA575" s="36"/>
      <c r="AB575" s="36"/>
      <c r="AC575" s="36"/>
      <c r="AD575" s="36"/>
      <c r="AE575" s="36"/>
      <c r="AF575" s="53" t="s">
        <v>68</v>
      </c>
      <c r="AG575" s="42"/>
      <c r="AH575" s="42"/>
      <c r="AI575" s="43"/>
      <c r="AJ575" s="43"/>
      <c r="AK575" s="43"/>
      <c r="AL575" s="43"/>
      <c r="AM575" s="43"/>
      <c r="AN575" s="42"/>
      <c r="AO575" s="42"/>
      <c r="AP575" s="42"/>
      <c r="AQ575" s="43"/>
      <c r="AR575" s="42"/>
      <c r="AS575" s="42"/>
    </row>
    <row r="576" spans="1:45" ht="15" customHeight="1">
      <c r="A576" s="21" t="s">
        <v>57</v>
      </c>
      <c r="B576" s="21" t="s">
        <v>46</v>
      </c>
      <c r="C576" s="21" t="s">
        <v>188</v>
      </c>
      <c r="D576" s="22" t="s">
        <v>59</v>
      </c>
      <c r="E576" s="80" t="s">
        <v>695</v>
      </c>
      <c r="F576" s="65" t="s">
        <v>696</v>
      </c>
      <c r="G576" s="101" t="s">
        <v>77</v>
      </c>
      <c r="H576" s="133" t="s">
        <v>697</v>
      </c>
      <c r="I576" s="24" t="s">
        <v>705</v>
      </c>
      <c r="J576" s="47" t="s">
        <v>699</v>
      </c>
      <c r="K576" s="104"/>
      <c r="L576" s="48" t="s">
        <v>700</v>
      </c>
      <c r="M576" s="27">
        <v>44271</v>
      </c>
      <c r="N576" s="49" t="s">
        <v>177</v>
      </c>
      <c r="O576" s="61">
        <v>5216.57</v>
      </c>
      <c r="P576" s="106">
        <v>2</v>
      </c>
      <c r="Q576" s="51">
        <f t="shared" si="17"/>
        <v>10433.14</v>
      </c>
      <c r="R576" s="31">
        <v>202310</v>
      </c>
      <c r="S576" s="54" t="s">
        <v>737</v>
      </c>
      <c r="T576" s="54"/>
      <c r="U576" s="54"/>
      <c r="V576" s="54"/>
      <c r="W576" s="67"/>
      <c r="X576" s="67"/>
      <c r="Y576" s="36"/>
      <c r="Z576" s="36"/>
      <c r="AA576" s="36"/>
      <c r="AB576" s="36"/>
      <c r="AC576" s="36"/>
      <c r="AD576" s="36"/>
      <c r="AE576" s="36"/>
      <c r="AF576" s="53" t="s">
        <v>68</v>
      </c>
      <c r="AG576" s="42"/>
      <c r="AH576" s="42"/>
      <c r="AI576" s="43"/>
      <c r="AJ576" s="43"/>
      <c r="AK576" s="43"/>
      <c r="AL576" s="43"/>
      <c r="AM576" s="43"/>
      <c r="AN576" s="42"/>
      <c r="AO576" s="42"/>
      <c r="AP576" s="42"/>
      <c r="AQ576" s="43"/>
      <c r="AR576" s="42"/>
      <c r="AS576" s="42"/>
    </row>
    <row r="577" spans="1:45" ht="15" customHeight="1">
      <c r="A577" s="21" t="s">
        <v>57</v>
      </c>
      <c r="B577" s="21" t="s">
        <v>46</v>
      </c>
      <c r="C577" s="21" t="s">
        <v>188</v>
      </c>
      <c r="D577" s="22" t="s">
        <v>59</v>
      </c>
      <c r="E577" s="80" t="s">
        <v>695</v>
      </c>
      <c r="F577" s="65" t="s">
        <v>696</v>
      </c>
      <c r="G577" s="101" t="s">
        <v>77</v>
      </c>
      <c r="H577" s="133" t="s">
        <v>697</v>
      </c>
      <c r="I577" s="24" t="s">
        <v>705</v>
      </c>
      <c r="J577" s="47" t="s">
        <v>699</v>
      </c>
      <c r="K577" s="104"/>
      <c r="L577" s="48" t="s">
        <v>700</v>
      </c>
      <c r="M577" s="27">
        <v>44274</v>
      </c>
      <c r="N577" s="49" t="s">
        <v>177</v>
      </c>
      <c r="O577" s="61">
        <v>5216.57</v>
      </c>
      <c r="P577" s="106">
        <v>4</v>
      </c>
      <c r="Q577" s="51">
        <f t="shared" si="17"/>
        <v>20866.28</v>
      </c>
      <c r="R577" s="31">
        <v>202310</v>
      </c>
      <c r="S577" s="54" t="s">
        <v>738</v>
      </c>
      <c r="T577" s="54"/>
      <c r="U577" s="54"/>
      <c r="V577" s="54"/>
      <c r="W577" s="67"/>
      <c r="X577" s="67"/>
      <c r="Y577" s="36"/>
      <c r="Z577" s="36"/>
      <c r="AA577" s="36"/>
      <c r="AB577" s="36"/>
      <c r="AC577" s="36"/>
      <c r="AD577" s="36"/>
      <c r="AE577" s="36"/>
      <c r="AF577" s="53" t="s">
        <v>68</v>
      </c>
      <c r="AG577" s="42"/>
      <c r="AH577" s="42"/>
      <c r="AI577" s="43"/>
      <c r="AJ577" s="43"/>
      <c r="AK577" s="43"/>
      <c r="AL577" s="43"/>
      <c r="AM577" s="43"/>
      <c r="AN577" s="42"/>
      <c r="AO577" s="42"/>
      <c r="AP577" s="42"/>
      <c r="AQ577" s="43"/>
      <c r="AR577" s="42"/>
      <c r="AS577" s="42"/>
    </row>
    <row r="578" spans="1:45" ht="15" customHeight="1">
      <c r="A578" s="21" t="s">
        <v>57</v>
      </c>
      <c r="B578" s="21" t="s">
        <v>46</v>
      </c>
      <c r="C578" s="21" t="s">
        <v>188</v>
      </c>
      <c r="D578" s="22" t="s">
        <v>59</v>
      </c>
      <c r="E578" s="80" t="s">
        <v>695</v>
      </c>
      <c r="F578" s="65" t="s">
        <v>696</v>
      </c>
      <c r="G578" s="101" t="s">
        <v>77</v>
      </c>
      <c r="H578" s="133" t="s">
        <v>697</v>
      </c>
      <c r="I578" s="24" t="s">
        <v>705</v>
      </c>
      <c r="J578" s="47" t="s">
        <v>699</v>
      </c>
      <c r="K578" s="104"/>
      <c r="L578" s="48" t="s">
        <v>700</v>
      </c>
      <c r="M578" s="27">
        <v>44277</v>
      </c>
      <c r="N578" s="49" t="s">
        <v>177</v>
      </c>
      <c r="O578" s="61">
        <v>5216.57</v>
      </c>
      <c r="P578" s="106">
        <v>4</v>
      </c>
      <c r="Q578" s="51">
        <f t="shared" si="17"/>
        <v>20866.28</v>
      </c>
      <c r="R578" s="31">
        <v>202310</v>
      </c>
      <c r="S578" s="54" t="s">
        <v>739</v>
      </c>
      <c r="T578" s="54"/>
      <c r="U578" s="54"/>
      <c r="V578" s="54"/>
      <c r="W578" s="67"/>
      <c r="X578" s="67"/>
      <c r="Y578" s="36"/>
      <c r="Z578" s="36"/>
      <c r="AA578" s="36"/>
      <c r="AB578" s="36"/>
      <c r="AC578" s="36"/>
      <c r="AD578" s="36"/>
      <c r="AE578" s="36"/>
      <c r="AF578" s="53" t="s">
        <v>68</v>
      </c>
      <c r="AG578" s="42"/>
      <c r="AH578" s="42"/>
      <c r="AI578" s="43"/>
      <c r="AJ578" s="43"/>
      <c r="AK578" s="43"/>
      <c r="AL578" s="43"/>
      <c r="AM578" s="43"/>
      <c r="AN578" s="42"/>
      <c r="AO578" s="42"/>
      <c r="AP578" s="42"/>
      <c r="AQ578" s="43"/>
      <c r="AR578" s="42"/>
      <c r="AS578" s="42"/>
    </row>
    <row r="579" spans="1:45" ht="15" customHeight="1">
      <c r="A579" s="21" t="s">
        <v>57</v>
      </c>
      <c r="B579" s="21" t="s">
        <v>46</v>
      </c>
      <c r="C579" s="21" t="s">
        <v>188</v>
      </c>
      <c r="D579" s="22" t="s">
        <v>59</v>
      </c>
      <c r="E579" s="80" t="s">
        <v>695</v>
      </c>
      <c r="F579" s="65" t="s">
        <v>696</v>
      </c>
      <c r="G579" s="101" t="s">
        <v>77</v>
      </c>
      <c r="H579" s="133" t="s">
        <v>697</v>
      </c>
      <c r="I579" s="24" t="s">
        <v>705</v>
      </c>
      <c r="J579" s="47" t="s">
        <v>699</v>
      </c>
      <c r="K579" s="104"/>
      <c r="L579" s="48" t="s">
        <v>700</v>
      </c>
      <c r="M579" s="27">
        <v>44281</v>
      </c>
      <c r="N579" s="49" t="s">
        <v>177</v>
      </c>
      <c r="O579" s="61">
        <v>5216.57</v>
      </c>
      <c r="P579" s="106">
        <v>4</v>
      </c>
      <c r="Q579" s="51">
        <f t="shared" si="17"/>
        <v>20866.28</v>
      </c>
      <c r="R579" s="31">
        <v>202310</v>
      </c>
      <c r="S579" s="54" t="s">
        <v>740</v>
      </c>
      <c r="T579" s="54"/>
      <c r="U579" s="54"/>
      <c r="V579" s="54"/>
      <c r="W579" s="67"/>
      <c r="X579" s="67"/>
      <c r="Y579" s="36"/>
      <c r="Z579" s="36"/>
      <c r="AA579" s="36"/>
      <c r="AB579" s="36"/>
      <c r="AC579" s="36"/>
      <c r="AD579" s="36"/>
      <c r="AE579" s="36"/>
      <c r="AF579" s="53" t="s">
        <v>68</v>
      </c>
      <c r="AG579" s="42"/>
      <c r="AH579" s="42"/>
      <c r="AI579" s="43"/>
      <c r="AJ579" s="43"/>
      <c r="AK579" s="43"/>
      <c r="AL579" s="43"/>
      <c r="AM579" s="43"/>
      <c r="AN579" s="42"/>
      <c r="AO579" s="42"/>
      <c r="AP579" s="42"/>
      <c r="AQ579" s="43"/>
      <c r="AR579" s="42"/>
      <c r="AS579" s="42"/>
    </row>
    <row r="580" spans="1:45" ht="15" customHeight="1">
      <c r="A580" s="21" t="s">
        <v>57</v>
      </c>
      <c r="B580" s="21" t="s">
        <v>46</v>
      </c>
      <c r="C580" s="21" t="s">
        <v>188</v>
      </c>
      <c r="D580" s="22" t="s">
        <v>59</v>
      </c>
      <c r="E580" s="80" t="s">
        <v>695</v>
      </c>
      <c r="F580" s="65" t="s">
        <v>696</v>
      </c>
      <c r="G580" s="101" t="s">
        <v>77</v>
      </c>
      <c r="H580" s="133" t="s">
        <v>697</v>
      </c>
      <c r="I580" s="24" t="s">
        <v>705</v>
      </c>
      <c r="J580" s="47" t="s">
        <v>699</v>
      </c>
      <c r="K580" s="104"/>
      <c r="L580" s="48" t="s">
        <v>700</v>
      </c>
      <c r="M580" s="27">
        <v>44288</v>
      </c>
      <c r="N580" s="49" t="s">
        <v>177</v>
      </c>
      <c r="O580" s="61">
        <v>5216.57</v>
      </c>
      <c r="P580" s="106">
        <v>8</v>
      </c>
      <c r="Q580" s="51">
        <f t="shared" si="17"/>
        <v>41732.559999999998</v>
      </c>
      <c r="R580" s="31">
        <v>202310</v>
      </c>
      <c r="S580" s="54" t="s">
        <v>741</v>
      </c>
      <c r="T580" s="54"/>
      <c r="U580" s="54"/>
      <c r="V580" s="54"/>
      <c r="W580" s="67"/>
      <c r="X580" s="67"/>
      <c r="Y580" s="36"/>
      <c r="Z580" s="36"/>
      <c r="AA580" s="36"/>
      <c r="AB580" s="36"/>
      <c r="AC580" s="36"/>
      <c r="AD580" s="36"/>
      <c r="AE580" s="36"/>
      <c r="AF580" s="53" t="s">
        <v>68</v>
      </c>
      <c r="AG580" s="42"/>
      <c r="AH580" s="42"/>
      <c r="AI580" s="43"/>
      <c r="AJ580" s="43"/>
      <c r="AK580" s="43"/>
      <c r="AL580" s="43"/>
      <c r="AM580" s="43"/>
      <c r="AN580" s="42"/>
      <c r="AO580" s="42"/>
      <c r="AP580" s="42"/>
      <c r="AQ580" s="43"/>
      <c r="AR580" s="42"/>
      <c r="AS580" s="42"/>
    </row>
    <row r="581" spans="1:45" ht="15" customHeight="1">
      <c r="A581" s="21" t="s">
        <v>57</v>
      </c>
      <c r="B581" s="21" t="s">
        <v>46</v>
      </c>
      <c r="C581" s="21" t="s">
        <v>188</v>
      </c>
      <c r="D581" s="22" t="s">
        <v>59</v>
      </c>
      <c r="E581" s="80" t="s">
        <v>695</v>
      </c>
      <c r="F581" s="65" t="s">
        <v>696</v>
      </c>
      <c r="G581" s="101" t="s">
        <v>77</v>
      </c>
      <c r="H581" s="133" t="s">
        <v>697</v>
      </c>
      <c r="I581" s="24" t="s">
        <v>705</v>
      </c>
      <c r="J581" s="47" t="s">
        <v>699</v>
      </c>
      <c r="K581" s="104"/>
      <c r="L581" s="48" t="s">
        <v>700</v>
      </c>
      <c r="M581" s="27">
        <v>44292</v>
      </c>
      <c r="N581" s="49" t="s">
        <v>177</v>
      </c>
      <c r="O581" s="61">
        <v>5216.57</v>
      </c>
      <c r="P581" s="106">
        <v>12</v>
      </c>
      <c r="Q581" s="51">
        <f t="shared" si="17"/>
        <v>62598.84</v>
      </c>
      <c r="R581" s="31">
        <v>202310</v>
      </c>
      <c r="S581" s="54" t="s">
        <v>742</v>
      </c>
      <c r="T581" s="54"/>
      <c r="U581" s="54"/>
      <c r="V581" s="54"/>
      <c r="W581" s="67"/>
      <c r="X581" s="67"/>
      <c r="Y581" s="36"/>
      <c r="Z581" s="36"/>
      <c r="AA581" s="36"/>
      <c r="AB581" s="36"/>
      <c r="AC581" s="36"/>
      <c r="AD581" s="36"/>
      <c r="AE581" s="36"/>
      <c r="AF581" s="53" t="s">
        <v>68</v>
      </c>
      <c r="AG581" s="42"/>
      <c r="AH581" s="42"/>
      <c r="AI581" s="43"/>
      <c r="AJ581" s="43"/>
      <c r="AK581" s="43"/>
      <c r="AL581" s="43"/>
      <c r="AM581" s="43"/>
      <c r="AN581" s="42"/>
      <c r="AO581" s="42"/>
      <c r="AP581" s="42"/>
      <c r="AQ581" s="43"/>
      <c r="AR581" s="42"/>
      <c r="AS581" s="42"/>
    </row>
    <row r="582" spans="1:45" ht="15" customHeight="1">
      <c r="A582" s="21" t="s">
        <v>57</v>
      </c>
      <c r="B582" s="21" t="s">
        <v>46</v>
      </c>
      <c r="C582" s="21" t="s">
        <v>188</v>
      </c>
      <c r="D582" s="22" t="s">
        <v>59</v>
      </c>
      <c r="E582" s="80" t="s">
        <v>695</v>
      </c>
      <c r="F582" s="65" t="s">
        <v>696</v>
      </c>
      <c r="G582" s="101" t="s">
        <v>77</v>
      </c>
      <c r="H582" s="133" t="s">
        <v>697</v>
      </c>
      <c r="I582" s="24" t="s">
        <v>705</v>
      </c>
      <c r="J582" s="47" t="s">
        <v>699</v>
      </c>
      <c r="K582" s="104"/>
      <c r="L582" s="48" t="s">
        <v>700</v>
      </c>
      <c r="M582" s="27">
        <v>44301</v>
      </c>
      <c r="N582" s="49" t="s">
        <v>177</v>
      </c>
      <c r="O582" s="61">
        <v>5216.57</v>
      </c>
      <c r="P582" s="106">
        <v>5</v>
      </c>
      <c r="Q582" s="51">
        <f t="shared" si="17"/>
        <v>26082.85</v>
      </c>
      <c r="R582" s="31">
        <v>202310</v>
      </c>
      <c r="S582" s="54" t="s">
        <v>743</v>
      </c>
      <c r="T582" s="54"/>
      <c r="U582" s="54"/>
      <c r="V582" s="54"/>
      <c r="W582" s="67"/>
      <c r="X582" s="67"/>
      <c r="Y582" s="36"/>
      <c r="Z582" s="36"/>
      <c r="AA582" s="36"/>
      <c r="AB582" s="36"/>
      <c r="AC582" s="36"/>
      <c r="AD582" s="36"/>
      <c r="AE582" s="36"/>
      <c r="AF582" s="53" t="s">
        <v>68</v>
      </c>
      <c r="AG582" s="42"/>
      <c r="AH582" s="42"/>
      <c r="AI582" s="43"/>
      <c r="AJ582" s="43"/>
      <c r="AK582" s="43"/>
      <c r="AL582" s="43"/>
      <c r="AM582" s="43"/>
      <c r="AN582" s="42"/>
      <c r="AO582" s="42"/>
      <c r="AP582" s="42"/>
      <c r="AQ582" s="43"/>
      <c r="AR582" s="42"/>
      <c r="AS582" s="42"/>
    </row>
    <row r="583" spans="1:45" ht="15" customHeight="1">
      <c r="A583" s="21" t="s">
        <v>57</v>
      </c>
      <c r="B583" s="21" t="s">
        <v>46</v>
      </c>
      <c r="C583" s="21" t="s">
        <v>188</v>
      </c>
      <c r="D583" s="22" t="s">
        <v>59</v>
      </c>
      <c r="E583" s="80" t="s">
        <v>695</v>
      </c>
      <c r="F583" s="65" t="s">
        <v>696</v>
      </c>
      <c r="G583" s="101" t="s">
        <v>77</v>
      </c>
      <c r="H583" s="133" t="s">
        <v>697</v>
      </c>
      <c r="I583" s="24" t="s">
        <v>705</v>
      </c>
      <c r="J583" s="47" t="s">
        <v>699</v>
      </c>
      <c r="K583" s="104"/>
      <c r="L583" s="48" t="s">
        <v>700</v>
      </c>
      <c r="M583" s="27">
        <v>44306</v>
      </c>
      <c r="N583" s="49" t="s">
        <v>177</v>
      </c>
      <c r="O583" s="61">
        <v>5216.57</v>
      </c>
      <c r="P583" s="106">
        <v>10</v>
      </c>
      <c r="Q583" s="51">
        <f t="shared" si="17"/>
        <v>52165.7</v>
      </c>
      <c r="R583" s="31">
        <v>202310</v>
      </c>
      <c r="S583" s="54" t="s">
        <v>744</v>
      </c>
      <c r="T583" s="54"/>
      <c r="U583" s="54"/>
      <c r="V583" s="54"/>
      <c r="W583" s="67"/>
      <c r="X583" s="67"/>
      <c r="Y583" s="36"/>
      <c r="Z583" s="36"/>
      <c r="AA583" s="36"/>
      <c r="AB583" s="36"/>
      <c r="AC583" s="36"/>
      <c r="AD583" s="36"/>
      <c r="AE583" s="36"/>
      <c r="AF583" s="53" t="s">
        <v>68</v>
      </c>
      <c r="AG583" s="42"/>
      <c r="AH583" s="42"/>
      <c r="AI583" s="43"/>
      <c r="AJ583" s="43"/>
      <c r="AK583" s="43"/>
      <c r="AL583" s="43"/>
      <c r="AM583" s="43"/>
      <c r="AN583" s="42"/>
      <c r="AO583" s="42"/>
      <c r="AP583" s="42"/>
      <c r="AQ583" s="43"/>
      <c r="AR583" s="42"/>
      <c r="AS583" s="42"/>
    </row>
    <row r="584" spans="1:45" ht="15" customHeight="1">
      <c r="A584" s="21" t="s">
        <v>57</v>
      </c>
      <c r="B584" s="21" t="s">
        <v>46</v>
      </c>
      <c r="C584" s="21" t="s">
        <v>188</v>
      </c>
      <c r="D584" s="22" t="s">
        <v>59</v>
      </c>
      <c r="E584" s="80" t="s">
        <v>695</v>
      </c>
      <c r="F584" s="65" t="s">
        <v>696</v>
      </c>
      <c r="G584" s="101" t="s">
        <v>77</v>
      </c>
      <c r="H584" s="133" t="s">
        <v>697</v>
      </c>
      <c r="I584" s="24" t="s">
        <v>705</v>
      </c>
      <c r="J584" s="47" t="s">
        <v>699</v>
      </c>
      <c r="K584" s="104"/>
      <c r="L584" s="48" t="s">
        <v>700</v>
      </c>
      <c r="M584" s="27">
        <v>44313</v>
      </c>
      <c r="N584" s="49" t="s">
        <v>177</v>
      </c>
      <c r="O584" s="61">
        <v>5216.57</v>
      </c>
      <c r="P584" s="106">
        <v>13</v>
      </c>
      <c r="Q584" s="51">
        <f t="shared" si="17"/>
        <v>67815.41</v>
      </c>
      <c r="R584" s="31">
        <v>202310</v>
      </c>
      <c r="S584" s="54" t="s">
        <v>745</v>
      </c>
      <c r="T584" s="54"/>
      <c r="U584" s="54"/>
      <c r="V584" s="54"/>
      <c r="W584" s="67"/>
      <c r="X584" s="67"/>
      <c r="Y584" s="36"/>
      <c r="Z584" s="36"/>
      <c r="AA584" s="36"/>
      <c r="AB584" s="36"/>
      <c r="AC584" s="36"/>
      <c r="AD584" s="36"/>
      <c r="AE584" s="36"/>
      <c r="AF584" s="53" t="s">
        <v>68</v>
      </c>
      <c r="AG584" s="42"/>
      <c r="AH584" s="42"/>
      <c r="AI584" s="43"/>
      <c r="AJ584" s="43"/>
      <c r="AK584" s="43"/>
      <c r="AL584" s="43"/>
      <c r="AM584" s="43"/>
      <c r="AN584" s="42"/>
      <c r="AO584" s="42"/>
      <c r="AP584" s="42"/>
      <c r="AQ584" s="43"/>
      <c r="AR584" s="42"/>
      <c r="AS584" s="42"/>
    </row>
    <row r="585" spans="1:45" ht="15" customHeight="1">
      <c r="A585" s="21" t="s">
        <v>57</v>
      </c>
      <c r="B585" s="21" t="s">
        <v>46</v>
      </c>
      <c r="C585" s="21" t="s">
        <v>188</v>
      </c>
      <c r="D585" s="22" t="s">
        <v>59</v>
      </c>
      <c r="E585" s="80" t="s">
        <v>695</v>
      </c>
      <c r="F585" s="65" t="s">
        <v>696</v>
      </c>
      <c r="G585" s="101" t="s">
        <v>77</v>
      </c>
      <c r="H585" s="133" t="s">
        <v>697</v>
      </c>
      <c r="I585" s="24" t="s">
        <v>705</v>
      </c>
      <c r="J585" s="47" t="s">
        <v>699</v>
      </c>
      <c r="K585" s="104"/>
      <c r="L585" s="48" t="s">
        <v>700</v>
      </c>
      <c r="M585" s="27">
        <v>44318</v>
      </c>
      <c r="N585" s="49" t="s">
        <v>177</v>
      </c>
      <c r="O585" s="61">
        <v>5216.57</v>
      </c>
      <c r="P585" s="106">
        <v>6</v>
      </c>
      <c r="Q585" s="51">
        <f t="shared" si="17"/>
        <v>31299.42</v>
      </c>
      <c r="R585" s="31">
        <v>202310</v>
      </c>
      <c r="S585" s="54" t="s">
        <v>746</v>
      </c>
      <c r="T585" s="54"/>
      <c r="U585" s="54"/>
      <c r="V585" s="54"/>
      <c r="W585" s="67"/>
      <c r="X585" s="67"/>
      <c r="Y585" s="36"/>
      <c r="Z585" s="36"/>
      <c r="AA585" s="36"/>
      <c r="AB585" s="36"/>
      <c r="AC585" s="36"/>
      <c r="AD585" s="36"/>
      <c r="AE585" s="36"/>
      <c r="AF585" s="53" t="s">
        <v>68</v>
      </c>
      <c r="AG585" s="42"/>
      <c r="AH585" s="42"/>
      <c r="AI585" s="43"/>
      <c r="AJ585" s="43"/>
      <c r="AK585" s="43"/>
      <c r="AL585" s="43"/>
      <c r="AM585" s="43"/>
      <c r="AN585" s="42"/>
      <c r="AO585" s="42"/>
      <c r="AP585" s="42"/>
      <c r="AQ585" s="43"/>
      <c r="AR585" s="42"/>
      <c r="AS585" s="42"/>
    </row>
    <row r="586" spans="1:45" ht="15" customHeight="1">
      <c r="A586" s="21" t="s">
        <v>57</v>
      </c>
      <c r="B586" s="21" t="s">
        <v>46</v>
      </c>
      <c r="C586" s="21" t="s">
        <v>188</v>
      </c>
      <c r="D586" s="22" t="s">
        <v>59</v>
      </c>
      <c r="E586" s="80" t="s">
        <v>695</v>
      </c>
      <c r="F586" s="65" t="s">
        <v>696</v>
      </c>
      <c r="G586" s="101" t="s">
        <v>77</v>
      </c>
      <c r="H586" s="133" t="s">
        <v>697</v>
      </c>
      <c r="I586" s="24" t="s">
        <v>705</v>
      </c>
      <c r="J586" s="47" t="s">
        <v>699</v>
      </c>
      <c r="K586" s="104"/>
      <c r="L586" s="48" t="s">
        <v>700</v>
      </c>
      <c r="M586" s="27">
        <v>44325</v>
      </c>
      <c r="N586" s="49" t="s">
        <v>177</v>
      </c>
      <c r="O586" s="61">
        <v>5216.57</v>
      </c>
      <c r="P586" s="106">
        <v>3</v>
      </c>
      <c r="Q586" s="51">
        <f t="shared" si="17"/>
        <v>15649.71</v>
      </c>
      <c r="R586" s="31">
        <v>202310</v>
      </c>
      <c r="S586" s="54" t="s">
        <v>747</v>
      </c>
      <c r="T586" s="54"/>
      <c r="U586" s="54"/>
      <c r="V586" s="54"/>
      <c r="W586" s="67"/>
      <c r="X586" s="67"/>
      <c r="Y586" s="36"/>
      <c r="Z586" s="36"/>
      <c r="AA586" s="36"/>
      <c r="AB586" s="36"/>
      <c r="AC586" s="36"/>
      <c r="AD586" s="36"/>
      <c r="AE586" s="36"/>
      <c r="AF586" s="53" t="s">
        <v>68</v>
      </c>
      <c r="AG586" s="42"/>
      <c r="AH586" s="42"/>
      <c r="AI586" s="43"/>
      <c r="AJ586" s="43"/>
      <c r="AK586" s="43"/>
      <c r="AL586" s="43"/>
      <c r="AM586" s="43"/>
      <c r="AN586" s="42"/>
      <c r="AO586" s="42"/>
      <c r="AP586" s="42"/>
      <c r="AQ586" s="43"/>
      <c r="AR586" s="42"/>
      <c r="AS586" s="42"/>
    </row>
    <row r="587" spans="1:45" ht="15" customHeight="1">
      <c r="A587" s="21" t="s">
        <v>57</v>
      </c>
      <c r="B587" s="21" t="s">
        <v>46</v>
      </c>
      <c r="C587" s="21" t="s">
        <v>188</v>
      </c>
      <c r="D587" s="22" t="s">
        <v>59</v>
      </c>
      <c r="E587" s="80" t="s">
        <v>695</v>
      </c>
      <c r="F587" s="65" t="s">
        <v>696</v>
      </c>
      <c r="G587" s="101" t="s">
        <v>77</v>
      </c>
      <c r="H587" s="133" t="s">
        <v>697</v>
      </c>
      <c r="I587" s="24" t="s">
        <v>705</v>
      </c>
      <c r="J587" s="47" t="s">
        <v>699</v>
      </c>
      <c r="K587" s="104"/>
      <c r="L587" s="48" t="s">
        <v>700</v>
      </c>
      <c r="M587" s="27">
        <v>44331</v>
      </c>
      <c r="N587" s="49" t="s">
        <v>177</v>
      </c>
      <c r="O587" s="61">
        <v>5216.57</v>
      </c>
      <c r="P587" s="106">
        <v>3</v>
      </c>
      <c r="Q587" s="51">
        <f t="shared" si="17"/>
        <v>15649.71</v>
      </c>
      <c r="R587" s="31">
        <v>202310</v>
      </c>
      <c r="S587" s="54" t="s">
        <v>748</v>
      </c>
      <c r="T587" s="54"/>
      <c r="U587" s="54"/>
      <c r="V587" s="54"/>
      <c r="W587" s="67"/>
      <c r="X587" s="67"/>
      <c r="Y587" s="36"/>
      <c r="Z587" s="36"/>
      <c r="AA587" s="36"/>
      <c r="AB587" s="36"/>
      <c r="AC587" s="36"/>
      <c r="AD587" s="36"/>
      <c r="AE587" s="36"/>
      <c r="AF587" s="53" t="s">
        <v>68</v>
      </c>
      <c r="AG587" s="42"/>
      <c r="AH587" s="42"/>
      <c r="AI587" s="43"/>
      <c r="AJ587" s="43"/>
      <c r="AK587" s="43"/>
      <c r="AL587" s="43"/>
      <c r="AM587" s="43"/>
      <c r="AN587" s="42"/>
      <c r="AO587" s="42"/>
      <c r="AP587" s="42"/>
      <c r="AQ587" s="43"/>
      <c r="AR587" s="42"/>
      <c r="AS587" s="42"/>
    </row>
    <row r="588" spans="1:45" ht="15" customHeight="1">
      <c r="A588" s="21" t="s">
        <v>57</v>
      </c>
      <c r="B588" s="21" t="s">
        <v>46</v>
      </c>
      <c r="C588" s="21" t="s">
        <v>188</v>
      </c>
      <c r="D588" s="22" t="s">
        <v>59</v>
      </c>
      <c r="E588" s="80" t="s">
        <v>695</v>
      </c>
      <c r="F588" s="65" t="s">
        <v>696</v>
      </c>
      <c r="G588" s="101" t="s">
        <v>77</v>
      </c>
      <c r="H588" s="133" t="s">
        <v>697</v>
      </c>
      <c r="I588" s="24" t="s">
        <v>705</v>
      </c>
      <c r="J588" s="47" t="s">
        <v>699</v>
      </c>
      <c r="K588" s="104"/>
      <c r="L588" s="48" t="s">
        <v>700</v>
      </c>
      <c r="M588" s="27">
        <v>44333</v>
      </c>
      <c r="N588" s="49" t="s">
        <v>177</v>
      </c>
      <c r="O588" s="61">
        <v>5216.57</v>
      </c>
      <c r="P588" s="106">
        <v>2</v>
      </c>
      <c r="Q588" s="51">
        <f t="shared" si="17"/>
        <v>10433.14</v>
      </c>
      <c r="R588" s="31">
        <v>202310</v>
      </c>
      <c r="S588" s="54" t="s">
        <v>749</v>
      </c>
      <c r="T588" s="54"/>
      <c r="U588" s="54"/>
      <c r="V588" s="54"/>
      <c r="W588" s="67"/>
      <c r="X588" s="67"/>
      <c r="Y588" s="36"/>
      <c r="Z588" s="36"/>
      <c r="AA588" s="36"/>
      <c r="AB588" s="36"/>
      <c r="AC588" s="36"/>
      <c r="AD588" s="36"/>
      <c r="AE588" s="36"/>
      <c r="AF588" s="53" t="s">
        <v>68</v>
      </c>
      <c r="AG588" s="42"/>
      <c r="AH588" s="42"/>
      <c r="AI588" s="43"/>
      <c r="AJ588" s="43"/>
      <c r="AK588" s="43"/>
      <c r="AL588" s="43"/>
      <c r="AM588" s="43"/>
      <c r="AN588" s="42"/>
      <c r="AO588" s="42"/>
      <c r="AP588" s="42"/>
      <c r="AQ588" s="43"/>
      <c r="AR588" s="42"/>
      <c r="AS588" s="42"/>
    </row>
    <row r="589" spans="1:45" ht="15" customHeight="1">
      <c r="A589" s="21" t="s">
        <v>57</v>
      </c>
      <c r="B589" s="21" t="s">
        <v>46</v>
      </c>
      <c r="C589" s="21" t="s">
        <v>188</v>
      </c>
      <c r="D589" s="22" t="s">
        <v>59</v>
      </c>
      <c r="E589" s="80" t="s">
        <v>695</v>
      </c>
      <c r="F589" s="65" t="s">
        <v>696</v>
      </c>
      <c r="G589" s="101" t="s">
        <v>77</v>
      </c>
      <c r="H589" s="133" t="s">
        <v>697</v>
      </c>
      <c r="I589" s="24" t="s">
        <v>705</v>
      </c>
      <c r="J589" s="47" t="s">
        <v>699</v>
      </c>
      <c r="K589" s="104"/>
      <c r="L589" s="48" t="s">
        <v>700</v>
      </c>
      <c r="M589" s="27">
        <v>44341</v>
      </c>
      <c r="N589" s="49" t="s">
        <v>177</v>
      </c>
      <c r="O589" s="61">
        <v>5216.57</v>
      </c>
      <c r="P589" s="106">
        <v>12</v>
      </c>
      <c r="Q589" s="51">
        <f t="shared" si="17"/>
        <v>62598.84</v>
      </c>
      <c r="R589" s="31">
        <v>202310</v>
      </c>
      <c r="S589" s="54" t="s">
        <v>750</v>
      </c>
      <c r="T589" s="54"/>
      <c r="U589" s="54"/>
      <c r="V589" s="54"/>
      <c r="W589" s="67"/>
      <c r="X589" s="67"/>
      <c r="Y589" s="36"/>
      <c r="Z589" s="36"/>
      <c r="AA589" s="36"/>
      <c r="AB589" s="36"/>
      <c r="AC589" s="36"/>
      <c r="AD589" s="36"/>
      <c r="AE589" s="36"/>
      <c r="AF589" s="53" t="s">
        <v>68</v>
      </c>
      <c r="AG589" s="42"/>
      <c r="AH589" s="42"/>
      <c r="AI589" s="43"/>
      <c r="AJ589" s="43"/>
      <c r="AK589" s="43"/>
      <c r="AL589" s="43"/>
      <c r="AM589" s="43"/>
      <c r="AN589" s="42"/>
      <c r="AO589" s="42"/>
      <c r="AP589" s="42"/>
      <c r="AQ589" s="43"/>
      <c r="AR589" s="42"/>
      <c r="AS589" s="42"/>
    </row>
    <row r="590" spans="1:45" ht="15" customHeight="1">
      <c r="A590" s="21" t="s">
        <v>57</v>
      </c>
      <c r="B590" s="21" t="s">
        <v>46</v>
      </c>
      <c r="C590" s="21" t="s">
        <v>188</v>
      </c>
      <c r="D590" s="22" t="s">
        <v>59</v>
      </c>
      <c r="E590" s="80" t="s">
        <v>695</v>
      </c>
      <c r="F590" s="65" t="s">
        <v>696</v>
      </c>
      <c r="G590" s="101" t="s">
        <v>77</v>
      </c>
      <c r="H590" s="133" t="s">
        <v>697</v>
      </c>
      <c r="I590" s="24" t="s">
        <v>705</v>
      </c>
      <c r="J590" s="47" t="s">
        <v>699</v>
      </c>
      <c r="K590" s="104"/>
      <c r="L590" s="48" t="s">
        <v>700</v>
      </c>
      <c r="M590" s="27">
        <v>44347</v>
      </c>
      <c r="N590" s="49" t="s">
        <v>177</v>
      </c>
      <c r="O590" s="61">
        <v>5216.57</v>
      </c>
      <c r="P590" s="106">
        <v>6</v>
      </c>
      <c r="Q590" s="51">
        <f t="shared" si="17"/>
        <v>31299.42</v>
      </c>
      <c r="R590" s="31">
        <v>202310</v>
      </c>
      <c r="S590" s="54" t="s">
        <v>751</v>
      </c>
      <c r="T590" s="54"/>
      <c r="U590" s="54"/>
      <c r="V590" s="54"/>
      <c r="W590" s="67"/>
      <c r="X590" s="67"/>
      <c r="Y590" s="36"/>
      <c r="Z590" s="36"/>
      <c r="AA590" s="36"/>
      <c r="AB590" s="36"/>
      <c r="AC590" s="36"/>
      <c r="AD590" s="36"/>
      <c r="AE590" s="36"/>
      <c r="AF590" s="53" t="s">
        <v>68</v>
      </c>
      <c r="AG590" s="42"/>
      <c r="AH590" s="42"/>
      <c r="AI590" s="43"/>
      <c r="AJ590" s="43"/>
      <c r="AK590" s="43"/>
      <c r="AL590" s="43"/>
      <c r="AM590" s="43"/>
      <c r="AN590" s="42"/>
      <c r="AO590" s="42"/>
      <c r="AP590" s="42"/>
      <c r="AQ590" s="43"/>
      <c r="AR590" s="42"/>
      <c r="AS590" s="42"/>
    </row>
    <row r="591" spans="1:45" ht="15" customHeight="1">
      <c r="A591" s="21" t="s">
        <v>57</v>
      </c>
      <c r="B591" s="21" t="s">
        <v>46</v>
      </c>
      <c r="C591" s="21" t="s">
        <v>188</v>
      </c>
      <c r="D591" s="22" t="s">
        <v>59</v>
      </c>
      <c r="E591" s="80" t="s">
        <v>695</v>
      </c>
      <c r="F591" s="65" t="s">
        <v>696</v>
      </c>
      <c r="G591" s="101" t="s">
        <v>77</v>
      </c>
      <c r="H591" s="133" t="s">
        <v>697</v>
      </c>
      <c r="I591" s="24" t="s">
        <v>705</v>
      </c>
      <c r="J591" s="47" t="s">
        <v>699</v>
      </c>
      <c r="K591" s="104"/>
      <c r="L591" s="48" t="s">
        <v>700</v>
      </c>
      <c r="M591" s="27">
        <v>44362</v>
      </c>
      <c r="N591" s="49" t="s">
        <v>177</v>
      </c>
      <c r="O591" s="61">
        <v>5216.57</v>
      </c>
      <c r="P591" s="106">
        <v>10</v>
      </c>
      <c r="Q591" s="51">
        <f t="shared" si="17"/>
        <v>52165.7</v>
      </c>
      <c r="R591" s="31">
        <v>202310</v>
      </c>
      <c r="S591" s="54" t="s">
        <v>752</v>
      </c>
      <c r="T591" s="54"/>
      <c r="U591" s="54"/>
      <c r="V591" s="54"/>
      <c r="W591" s="67"/>
      <c r="X591" s="67"/>
      <c r="Y591" s="36"/>
      <c r="Z591" s="36"/>
      <c r="AA591" s="36"/>
      <c r="AB591" s="36"/>
      <c r="AC591" s="36"/>
      <c r="AD591" s="36"/>
      <c r="AE591" s="36"/>
      <c r="AF591" s="53" t="s">
        <v>68</v>
      </c>
      <c r="AG591" s="42"/>
      <c r="AH591" s="42"/>
      <c r="AI591" s="43"/>
      <c r="AJ591" s="43"/>
      <c r="AK591" s="43"/>
      <c r="AL591" s="43"/>
      <c r="AM591" s="43"/>
      <c r="AN591" s="42"/>
      <c r="AO591" s="42"/>
      <c r="AP591" s="42"/>
      <c r="AQ591" s="43"/>
      <c r="AR591" s="42"/>
      <c r="AS591" s="42"/>
    </row>
    <row r="592" spans="1:45" ht="15" customHeight="1">
      <c r="A592" s="21" t="s">
        <v>57</v>
      </c>
      <c r="B592" s="21" t="s">
        <v>46</v>
      </c>
      <c r="C592" s="21" t="s">
        <v>188</v>
      </c>
      <c r="D592" s="22" t="s">
        <v>59</v>
      </c>
      <c r="E592" s="80" t="s">
        <v>695</v>
      </c>
      <c r="F592" s="65" t="s">
        <v>696</v>
      </c>
      <c r="G592" s="101" t="s">
        <v>77</v>
      </c>
      <c r="H592" s="133" t="s">
        <v>697</v>
      </c>
      <c r="I592" s="24" t="s">
        <v>705</v>
      </c>
      <c r="J592" s="47" t="s">
        <v>699</v>
      </c>
      <c r="K592" s="104"/>
      <c r="L592" s="48" t="s">
        <v>700</v>
      </c>
      <c r="M592" s="27">
        <v>44381</v>
      </c>
      <c r="N592" s="49" t="s">
        <v>177</v>
      </c>
      <c r="O592" s="61">
        <v>5216.57</v>
      </c>
      <c r="P592" s="106">
        <v>4</v>
      </c>
      <c r="Q592" s="51">
        <f t="shared" si="17"/>
        <v>20866.28</v>
      </c>
      <c r="R592" s="31">
        <v>202310</v>
      </c>
      <c r="S592" s="54" t="s">
        <v>753</v>
      </c>
      <c r="T592" s="54"/>
      <c r="U592" s="54"/>
      <c r="V592" s="54"/>
      <c r="W592" s="67"/>
      <c r="X592" s="67"/>
      <c r="Y592" s="36"/>
      <c r="Z592" s="36"/>
      <c r="AA592" s="36"/>
      <c r="AB592" s="36"/>
      <c r="AC592" s="36"/>
      <c r="AD592" s="36"/>
      <c r="AE592" s="36"/>
      <c r="AF592" s="53" t="s">
        <v>68</v>
      </c>
      <c r="AG592" s="42"/>
      <c r="AH592" s="42"/>
      <c r="AI592" s="43"/>
      <c r="AJ592" s="43"/>
      <c r="AK592" s="43"/>
      <c r="AL592" s="43"/>
      <c r="AM592" s="43"/>
      <c r="AN592" s="42"/>
      <c r="AO592" s="42"/>
      <c r="AP592" s="42"/>
      <c r="AQ592" s="43"/>
      <c r="AR592" s="42"/>
      <c r="AS592" s="42"/>
    </row>
    <row r="593" spans="1:45" ht="15" customHeight="1">
      <c r="A593" s="21" t="s">
        <v>57</v>
      </c>
      <c r="B593" s="21" t="s">
        <v>46</v>
      </c>
      <c r="C593" s="21" t="s">
        <v>188</v>
      </c>
      <c r="D593" s="22" t="s">
        <v>59</v>
      </c>
      <c r="E593" s="80" t="s">
        <v>695</v>
      </c>
      <c r="F593" s="65" t="s">
        <v>696</v>
      </c>
      <c r="G593" s="101" t="s">
        <v>77</v>
      </c>
      <c r="H593" s="133" t="s">
        <v>697</v>
      </c>
      <c r="I593" s="24" t="s">
        <v>705</v>
      </c>
      <c r="J593" s="47" t="s">
        <v>699</v>
      </c>
      <c r="K593" s="104"/>
      <c r="L593" s="48" t="s">
        <v>700</v>
      </c>
      <c r="M593" s="27">
        <v>44382</v>
      </c>
      <c r="N593" s="49" t="s">
        <v>177</v>
      </c>
      <c r="O593" s="61">
        <v>5216.57</v>
      </c>
      <c r="P593" s="106">
        <v>16</v>
      </c>
      <c r="Q593" s="51">
        <f t="shared" si="17"/>
        <v>83465.119999999995</v>
      </c>
      <c r="R593" s="31">
        <v>202310</v>
      </c>
      <c r="S593" s="54" t="s">
        <v>754</v>
      </c>
      <c r="T593" s="54"/>
      <c r="U593" s="54"/>
      <c r="V593" s="54"/>
      <c r="W593" s="67"/>
      <c r="X593" s="67"/>
      <c r="Y593" s="36"/>
      <c r="Z593" s="36"/>
      <c r="AA593" s="36"/>
      <c r="AB593" s="36"/>
      <c r="AC593" s="36"/>
      <c r="AD593" s="36"/>
      <c r="AE593" s="36"/>
      <c r="AF593" s="53" t="s">
        <v>68</v>
      </c>
      <c r="AG593" s="42"/>
      <c r="AH593" s="42"/>
      <c r="AI593" s="43"/>
      <c r="AJ593" s="43"/>
      <c r="AK593" s="43"/>
      <c r="AL593" s="43"/>
      <c r="AM593" s="43"/>
      <c r="AN593" s="42"/>
      <c r="AO593" s="42"/>
      <c r="AP593" s="42"/>
      <c r="AQ593" s="43"/>
      <c r="AR593" s="42"/>
      <c r="AS593" s="42"/>
    </row>
    <row r="594" spans="1:45" ht="15" customHeight="1">
      <c r="A594" s="21" t="s">
        <v>57</v>
      </c>
      <c r="B594" s="21" t="s">
        <v>46</v>
      </c>
      <c r="C594" s="21" t="s">
        <v>188</v>
      </c>
      <c r="D594" s="22" t="s">
        <v>59</v>
      </c>
      <c r="E594" s="80" t="s">
        <v>695</v>
      </c>
      <c r="F594" s="65" t="s">
        <v>696</v>
      </c>
      <c r="G594" s="101" t="s">
        <v>77</v>
      </c>
      <c r="H594" s="133" t="s">
        <v>697</v>
      </c>
      <c r="I594" s="24" t="s">
        <v>705</v>
      </c>
      <c r="J594" s="47" t="s">
        <v>699</v>
      </c>
      <c r="K594" s="104"/>
      <c r="L594" s="48" t="s">
        <v>700</v>
      </c>
      <c r="M594" s="27">
        <v>44403</v>
      </c>
      <c r="N594" s="49" t="s">
        <v>177</v>
      </c>
      <c r="O594" s="61">
        <v>5216.57</v>
      </c>
      <c r="P594" s="106">
        <v>8</v>
      </c>
      <c r="Q594" s="51">
        <f t="shared" si="17"/>
        <v>41732.559999999998</v>
      </c>
      <c r="R594" s="31">
        <v>202310</v>
      </c>
      <c r="S594" s="54" t="s">
        <v>755</v>
      </c>
      <c r="T594" s="54"/>
      <c r="U594" s="54"/>
      <c r="V594" s="54"/>
      <c r="W594" s="67"/>
      <c r="X594" s="67"/>
      <c r="Y594" s="36"/>
      <c r="Z594" s="36"/>
      <c r="AA594" s="36"/>
      <c r="AB594" s="36"/>
      <c r="AC594" s="36"/>
      <c r="AD594" s="36"/>
      <c r="AE594" s="36"/>
      <c r="AF594" s="53" t="s">
        <v>68</v>
      </c>
      <c r="AG594" s="42"/>
      <c r="AH594" s="42"/>
      <c r="AI594" s="43"/>
      <c r="AJ594" s="43"/>
      <c r="AK594" s="43"/>
      <c r="AL594" s="43"/>
      <c r="AM594" s="43"/>
      <c r="AN594" s="42"/>
      <c r="AO594" s="42"/>
      <c r="AP594" s="42"/>
      <c r="AQ594" s="43"/>
      <c r="AR594" s="42"/>
      <c r="AS594" s="42"/>
    </row>
    <row r="595" spans="1:45" ht="15" customHeight="1">
      <c r="A595" s="21" t="s">
        <v>57</v>
      </c>
      <c r="B595" s="21" t="s">
        <v>46</v>
      </c>
      <c r="C595" s="21" t="s">
        <v>188</v>
      </c>
      <c r="D595" s="22" t="s">
        <v>59</v>
      </c>
      <c r="E595" s="80" t="s">
        <v>695</v>
      </c>
      <c r="F595" s="65" t="s">
        <v>696</v>
      </c>
      <c r="G595" s="101" t="s">
        <v>77</v>
      </c>
      <c r="H595" s="133" t="s">
        <v>697</v>
      </c>
      <c r="I595" s="24" t="s">
        <v>705</v>
      </c>
      <c r="J595" s="47" t="s">
        <v>699</v>
      </c>
      <c r="K595" s="104"/>
      <c r="L595" s="48" t="s">
        <v>700</v>
      </c>
      <c r="M595" s="27">
        <v>44405</v>
      </c>
      <c r="N595" s="49" t="s">
        <v>177</v>
      </c>
      <c r="O595" s="61">
        <v>5216.57</v>
      </c>
      <c r="P595" s="106">
        <v>6</v>
      </c>
      <c r="Q595" s="51">
        <f t="shared" si="17"/>
        <v>31299.42</v>
      </c>
      <c r="R595" s="31">
        <v>202310</v>
      </c>
      <c r="S595" s="54" t="s">
        <v>756</v>
      </c>
      <c r="T595" s="54"/>
      <c r="U595" s="54"/>
      <c r="V595" s="54"/>
      <c r="W595" s="67"/>
      <c r="X595" s="67"/>
      <c r="Y595" s="36"/>
      <c r="Z595" s="36"/>
      <c r="AA595" s="36"/>
      <c r="AB595" s="36"/>
      <c r="AC595" s="36"/>
      <c r="AD595" s="36"/>
      <c r="AE595" s="36"/>
      <c r="AF595" s="53" t="s">
        <v>68</v>
      </c>
      <c r="AG595" s="42"/>
      <c r="AH595" s="42"/>
      <c r="AI595" s="43"/>
      <c r="AJ595" s="43"/>
      <c r="AK595" s="43"/>
      <c r="AL595" s="43"/>
      <c r="AM595" s="43"/>
      <c r="AN595" s="42"/>
      <c r="AO595" s="42"/>
      <c r="AP595" s="42"/>
      <c r="AQ595" s="43"/>
      <c r="AR595" s="42"/>
      <c r="AS595" s="42"/>
    </row>
    <row r="596" spans="1:45" ht="15" customHeight="1">
      <c r="A596" s="21" t="s">
        <v>57</v>
      </c>
      <c r="B596" s="21" t="s">
        <v>46</v>
      </c>
      <c r="C596" s="21" t="s">
        <v>188</v>
      </c>
      <c r="D596" s="22" t="s">
        <v>59</v>
      </c>
      <c r="E596" s="80" t="s">
        <v>695</v>
      </c>
      <c r="F596" s="65" t="s">
        <v>696</v>
      </c>
      <c r="G596" s="101" t="s">
        <v>77</v>
      </c>
      <c r="H596" s="133" t="s">
        <v>697</v>
      </c>
      <c r="I596" s="24" t="s">
        <v>705</v>
      </c>
      <c r="J596" s="47" t="s">
        <v>699</v>
      </c>
      <c r="K596" s="104"/>
      <c r="L596" s="48" t="s">
        <v>700</v>
      </c>
      <c r="M596" s="27">
        <v>44410</v>
      </c>
      <c r="N596" s="49" t="s">
        <v>177</v>
      </c>
      <c r="O596" s="61">
        <v>5216.57</v>
      </c>
      <c r="P596" s="106">
        <v>2</v>
      </c>
      <c r="Q596" s="51">
        <f t="shared" si="17"/>
        <v>10433.14</v>
      </c>
      <c r="R596" s="31">
        <v>202310</v>
      </c>
      <c r="S596" s="54" t="s">
        <v>757</v>
      </c>
      <c r="T596" s="54"/>
      <c r="U596" s="54"/>
      <c r="V596" s="54"/>
      <c r="W596" s="67"/>
      <c r="X596" s="67"/>
      <c r="Y596" s="36"/>
      <c r="Z596" s="36"/>
      <c r="AA596" s="36"/>
      <c r="AB596" s="36"/>
      <c r="AC596" s="36"/>
      <c r="AD596" s="36"/>
      <c r="AE596" s="36"/>
      <c r="AF596" s="53" t="s">
        <v>68</v>
      </c>
      <c r="AG596" s="42"/>
      <c r="AH596" s="42"/>
      <c r="AI596" s="43"/>
      <c r="AJ596" s="43"/>
      <c r="AK596" s="43"/>
      <c r="AL596" s="43"/>
      <c r="AM596" s="43"/>
      <c r="AN596" s="42"/>
      <c r="AO596" s="42"/>
      <c r="AP596" s="42"/>
      <c r="AQ596" s="43"/>
      <c r="AR596" s="42"/>
      <c r="AS596" s="42"/>
    </row>
    <row r="597" spans="1:45" ht="15" customHeight="1">
      <c r="A597" s="21" t="s">
        <v>57</v>
      </c>
      <c r="B597" s="21" t="s">
        <v>46</v>
      </c>
      <c r="C597" s="21" t="s">
        <v>188</v>
      </c>
      <c r="D597" s="22" t="s">
        <v>59</v>
      </c>
      <c r="E597" s="80" t="s">
        <v>695</v>
      </c>
      <c r="F597" s="65" t="s">
        <v>696</v>
      </c>
      <c r="G597" s="101" t="s">
        <v>77</v>
      </c>
      <c r="H597" s="133" t="s">
        <v>697</v>
      </c>
      <c r="I597" s="24" t="s">
        <v>705</v>
      </c>
      <c r="J597" s="47" t="s">
        <v>699</v>
      </c>
      <c r="K597" s="104"/>
      <c r="L597" s="48" t="s">
        <v>700</v>
      </c>
      <c r="M597" s="27">
        <v>44519</v>
      </c>
      <c r="N597" s="49" t="s">
        <v>177</v>
      </c>
      <c r="O597" s="61">
        <v>5216.57</v>
      </c>
      <c r="P597" s="106">
        <v>8</v>
      </c>
      <c r="Q597" s="51">
        <f t="shared" si="17"/>
        <v>41732.559999999998</v>
      </c>
      <c r="R597" s="31">
        <v>202310</v>
      </c>
      <c r="S597" s="54" t="s">
        <v>758</v>
      </c>
      <c r="T597" s="54"/>
      <c r="U597" s="54"/>
      <c r="V597" s="54"/>
      <c r="W597" s="67"/>
      <c r="X597" s="67"/>
      <c r="Y597" s="36"/>
      <c r="Z597" s="36"/>
      <c r="AA597" s="36"/>
      <c r="AB597" s="36"/>
      <c r="AC597" s="36"/>
      <c r="AD597" s="36"/>
      <c r="AE597" s="36"/>
      <c r="AF597" s="53" t="s">
        <v>68</v>
      </c>
      <c r="AG597" s="42"/>
      <c r="AH597" s="42"/>
      <c r="AI597" s="43"/>
      <c r="AJ597" s="43"/>
      <c r="AK597" s="43"/>
      <c r="AL597" s="43"/>
      <c r="AM597" s="43"/>
      <c r="AN597" s="42"/>
      <c r="AO597" s="42"/>
      <c r="AP597" s="42"/>
      <c r="AQ597" s="43"/>
      <c r="AR597" s="42"/>
      <c r="AS597" s="42"/>
    </row>
    <row r="598" spans="1:45" ht="15" customHeight="1">
      <c r="A598" s="21" t="s">
        <v>57</v>
      </c>
      <c r="B598" s="21" t="s">
        <v>46</v>
      </c>
      <c r="C598" s="21" t="s">
        <v>188</v>
      </c>
      <c r="D598" s="22" t="s">
        <v>59</v>
      </c>
      <c r="E598" s="80" t="s">
        <v>695</v>
      </c>
      <c r="F598" s="65" t="s">
        <v>696</v>
      </c>
      <c r="G598" s="101" t="s">
        <v>77</v>
      </c>
      <c r="H598" s="133" t="s">
        <v>697</v>
      </c>
      <c r="I598" s="24" t="s">
        <v>705</v>
      </c>
      <c r="J598" s="47" t="s">
        <v>699</v>
      </c>
      <c r="K598" s="104"/>
      <c r="L598" s="48" t="s">
        <v>700</v>
      </c>
      <c r="M598" s="27">
        <v>44522</v>
      </c>
      <c r="N598" s="49" t="s">
        <v>177</v>
      </c>
      <c r="O598" s="61">
        <v>5216.57</v>
      </c>
      <c r="P598" s="106">
        <v>4</v>
      </c>
      <c r="Q598" s="51">
        <f t="shared" si="17"/>
        <v>20866.28</v>
      </c>
      <c r="R598" s="31">
        <v>202310</v>
      </c>
      <c r="S598" s="54" t="s">
        <v>759</v>
      </c>
      <c r="T598" s="54"/>
      <c r="U598" s="54"/>
      <c r="V598" s="54"/>
      <c r="W598" s="67"/>
      <c r="X598" s="67"/>
      <c r="Y598" s="36"/>
      <c r="Z598" s="36"/>
      <c r="AA598" s="36"/>
      <c r="AB598" s="36"/>
      <c r="AC598" s="36"/>
      <c r="AD598" s="36"/>
      <c r="AE598" s="36"/>
      <c r="AF598" s="53" t="s">
        <v>68</v>
      </c>
      <c r="AG598" s="42"/>
      <c r="AH598" s="42"/>
      <c r="AI598" s="43"/>
      <c r="AJ598" s="43"/>
      <c r="AK598" s="43"/>
      <c r="AL598" s="43"/>
      <c r="AM598" s="43"/>
      <c r="AN598" s="42"/>
      <c r="AO598" s="42"/>
      <c r="AP598" s="42"/>
      <c r="AQ598" s="43"/>
      <c r="AR598" s="42"/>
      <c r="AS598" s="42"/>
    </row>
    <row r="599" spans="1:45" ht="15" customHeight="1">
      <c r="A599" s="21" t="s">
        <v>57</v>
      </c>
      <c r="B599" s="21" t="s">
        <v>46</v>
      </c>
      <c r="C599" s="21" t="s">
        <v>188</v>
      </c>
      <c r="D599" s="22" t="s">
        <v>59</v>
      </c>
      <c r="E599" s="80" t="s">
        <v>695</v>
      </c>
      <c r="F599" s="65" t="s">
        <v>696</v>
      </c>
      <c r="G599" s="101" t="s">
        <v>77</v>
      </c>
      <c r="H599" s="133" t="s">
        <v>697</v>
      </c>
      <c r="I599" s="24" t="s">
        <v>705</v>
      </c>
      <c r="J599" s="47" t="s">
        <v>699</v>
      </c>
      <c r="K599" s="104"/>
      <c r="L599" s="48" t="s">
        <v>700</v>
      </c>
      <c r="M599" s="27">
        <v>44533</v>
      </c>
      <c r="N599" s="49" t="s">
        <v>177</v>
      </c>
      <c r="O599" s="61">
        <v>5216.57</v>
      </c>
      <c r="P599" s="106">
        <v>5</v>
      </c>
      <c r="Q599" s="51">
        <f t="shared" si="17"/>
        <v>26082.85</v>
      </c>
      <c r="R599" s="31">
        <v>202310</v>
      </c>
      <c r="S599" s="54" t="s">
        <v>760</v>
      </c>
      <c r="T599" s="54"/>
      <c r="U599" s="54"/>
      <c r="V599" s="54"/>
      <c r="W599" s="67"/>
      <c r="X599" s="67"/>
      <c r="Y599" s="36"/>
      <c r="Z599" s="36"/>
      <c r="AA599" s="36"/>
      <c r="AB599" s="36"/>
      <c r="AC599" s="36"/>
      <c r="AD599" s="36"/>
      <c r="AE599" s="36"/>
      <c r="AF599" s="53" t="s">
        <v>68</v>
      </c>
      <c r="AG599" s="42"/>
      <c r="AH599" s="42"/>
      <c r="AI599" s="43"/>
      <c r="AJ599" s="43"/>
      <c r="AK599" s="43"/>
      <c r="AL599" s="43"/>
      <c r="AM599" s="43"/>
      <c r="AN599" s="42"/>
      <c r="AO599" s="42"/>
      <c r="AP599" s="42"/>
      <c r="AQ599" s="43"/>
      <c r="AR599" s="42"/>
      <c r="AS599" s="42"/>
    </row>
    <row r="600" spans="1:45" ht="15" customHeight="1">
      <c r="A600" s="21" t="s">
        <v>57</v>
      </c>
      <c r="B600" s="21" t="s">
        <v>46</v>
      </c>
      <c r="C600" s="21" t="s">
        <v>188</v>
      </c>
      <c r="D600" s="22" t="s">
        <v>59</v>
      </c>
      <c r="E600" s="80" t="s">
        <v>695</v>
      </c>
      <c r="F600" s="65" t="s">
        <v>696</v>
      </c>
      <c r="G600" s="101" t="s">
        <v>77</v>
      </c>
      <c r="H600" s="133" t="s">
        <v>697</v>
      </c>
      <c r="I600" s="24" t="s">
        <v>705</v>
      </c>
      <c r="J600" s="47" t="s">
        <v>699</v>
      </c>
      <c r="K600" s="104"/>
      <c r="L600" s="48" t="s">
        <v>700</v>
      </c>
      <c r="M600" s="27">
        <v>44566</v>
      </c>
      <c r="N600" s="49" t="s">
        <v>177</v>
      </c>
      <c r="O600" s="61">
        <v>5216.57</v>
      </c>
      <c r="P600" s="106">
        <v>6</v>
      </c>
      <c r="Q600" s="51">
        <f t="shared" si="17"/>
        <v>31299.42</v>
      </c>
      <c r="R600" s="31">
        <v>202310</v>
      </c>
      <c r="S600" s="54" t="s">
        <v>761</v>
      </c>
      <c r="T600" s="54"/>
      <c r="U600" s="54"/>
      <c r="V600" s="54"/>
      <c r="W600" s="67"/>
      <c r="X600" s="67"/>
      <c r="Y600" s="36"/>
      <c r="Z600" s="36"/>
      <c r="AA600" s="36"/>
      <c r="AB600" s="36"/>
      <c r="AC600" s="36"/>
      <c r="AD600" s="36"/>
      <c r="AE600" s="36"/>
      <c r="AF600" s="53" t="s">
        <v>68</v>
      </c>
      <c r="AG600" s="42"/>
      <c r="AH600" s="42"/>
      <c r="AI600" s="43"/>
      <c r="AJ600" s="43"/>
      <c r="AK600" s="43"/>
      <c r="AL600" s="43"/>
      <c r="AM600" s="43"/>
      <c r="AN600" s="42"/>
      <c r="AO600" s="42"/>
      <c r="AP600" s="42"/>
      <c r="AQ600" s="43"/>
      <c r="AR600" s="42"/>
      <c r="AS600" s="42"/>
    </row>
    <row r="601" spans="1:45" ht="15" customHeight="1">
      <c r="A601" s="21" t="s">
        <v>57</v>
      </c>
      <c r="B601" s="21" t="s">
        <v>46</v>
      </c>
      <c r="C601" s="21" t="s">
        <v>188</v>
      </c>
      <c r="D601" s="22" t="s">
        <v>59</v>
      </c>
      <c r="E601" s="80" t="s">
        <v>695</v>
      </c>
      <c r="F601" s="65" t="s">
        <v>696</v>
      </c>
      <c r="G601" s="101" t="s">
        <v>77</v>
      </c>
      <c r="H601" s="133" t="s">
        <v>697</v>
      </c>
      <c r="I601" s="24" t="s">
        <v>705</v>
      </c>
      <c r="J601" s="47" t="s">
        <v>699</v>
      </c>
      <c r="K601" s="104"/>
      <c r="L601" s="48" t="s">
        <v>700</v>
      </c>
      <c r="M601" s="27">
        <v>44588</v>
      </c>
      <c r="N601" s="49" t="s">
        <v>177</v>
      </c>
      <c r="O601" s="61">
        <v>5216.57</v>
      </c>
      <c r="P601" s="106">
        <v>5</v>
      </c>
      <c r="Q601" s="51">
        <f t="shared" si="17"/>
        <v>26082.85</v>
      </c>
      <c r="R601" s="31">
        <v>202310</v>
      </c>
      <c r="S601" s="54" t="s">
        <v>762</v>
      </c>
      <c r="T601" s="54"/>
      <c r="U601" s="54"/>
      <c r="V601" s="54"/>
      <c r="W601" s="67"/>
      <c r="X601" s="67"/>
      <c r="Y601" s="36"/>
      <c r="Z601" s="36"/>
      <c r="AA601" s="36"/>
      <c r="AB601" s="36"/>
      <c r="AC601" s="36"/>
      <c r="AD601" s="36"/>
      <c r="AE601" s="36"/>
      <c r="AF601" s="53" t="s">
        <v>68</v>
      </c>
      <c r="AG601" s="42"/>
      <c r="AH601" s="42"/>
      <c r="AI601" s="43"/>
      <c r="AJ601" s="43"/>
      <c r="AK601" s="43"/>
      <c r="AL601" s="43"/>
      <c r="AM601" s="43"/>
      <c r="AN601" s="42"/>
      <c r="AO601" s="42"/>
      <c r="AP601" s="42"/>
      <c r="AQ601" s="43"/>
      <c r="AR601" s="42"/>
      <c r="AS601" s="42"/>
    </row>
    <row r="602" spans="1:45" ht="15" customHeight="1">
      <c r="A602" s="21" t="s">
        <v>57</v>
      </c>
      <c r="B602" s="21" t="s">
        <v>46</v>
      </c>
      <c r="C602" s="21" t="s">
        <v>188</v>
      </c>
      <c r="D602" s="22" t="s">
        <v>59</v>
      </c>
      <c r="E602" s="80" t="s">
        <v>695</v>
      </c>
      <c r="F602" s="65" t="s">
        <v>696</v>
      </c>
      <c r="G602" s="101" t="s">
        <v>77</v>
      </c>
      <c r="H602" s="133" t="s">
        <v>697</v>
      </c>
      <c r="I602" s="24" t="s">
        <v>705</v>
      </c>
      <c r="J602" s="47" t="s">
        <v>699</v>
      </c>
      <c r="K602" s="104"/>
      <c r="L602" s="48" t="s">
        <v>700</v>
      </c>
      <c r="M602" s="27">
        <v>44862</v>
      </c>
      <c r="N602" s="49" t="s">
        <v>177</v>
      </c>
      <c r="O602" s="61">
        <v>5216.57</v>
      </c>
      <c r="P602" s="106">
        <v>-2</v>
      </c>
      <c r="Q602" s="51">
        <f t="shared" si="17"/>
        <v>-10433.14</v>
      </c>
      <c r="R602" s="31">
        <v>202310</v>
      </c>
      <c r="S602" s="54" t="s">
        <v>763</v>
      </c>
      <c r="T602" s="54"/>
      <c r="U602" s="54"/>
      <c r="V602" s="54"/>
      <c r="W602" s="67"/>
      <c r="X602" s="67"/>
      <c r="Y602" s="36"/>
      <c r="Z602" s="36"/>
      <c r="AA602" s="36"/>
      <c r="AB602" s="36"/>
      <c r="AC602" s="36"/>
      <c r="AD602" s="36"/>
      <c r="AE602" s="36"/>
      <c r="AF602" s="53" t="s">
        <v>68</v>
      </c>
      <c r="AG602" s="42"/>
      <c r="AH602" s="42"/>
      <c r="AI602" s="43"/>
      <c r="AJ602" s="43"/>
      <c r="AK602" s="43"/>
      <c r="AL602" s="43"/>
      <c r="AM602" s="43"/>
      <c r="AN602" s="42"/>
      <c r="AO602" s="42"/>
      <c r="AP602" s="42"/>
      <c r="AQ602" s="43"/>
      <c r="AR602" s="42"/>
      <c r="AS602" s="42"/>
    </row>
    <row r="603" spans="1:45" ht="15" customHeight="1">
      <c r="A603" s="21" t="s">
        <v>57</v>
      </c>
      <c r="B603" s="21" t="s">
        <v>46</v>
      </c>
      <c r="C603" s="21" t="s">
        <v>188</v>
      </c>
      <c r="D603" s="22" t="s">
        <v>59</v>
      </c>
      <c r="E603" s="80" t="s">
        <v>695</v>
      </c>
      <c r="F603" s="65" t="s">
        <v>696</v>
      </c>
      <c r="G603" s="101" t="s">
        <v>297</v>
      </c>
      <c r="H603" s="133" t="s">
        <v>697</v>
      </c>
      <c r="I603" s="24" t="s">
        <v>764</v>
      </c>
      <c r="J603" s="47" t="s">
        <v>699</v>
      </c>
      <c r="K603" s="104"/>
      <c r="L603" s="48" t="s">
        <v>700</v>
      </c>
      <c r="M603" s="27"/>
      <c r="N603" s="49"/>
      <c r="O603" s="61">
        <v>3000</v>
      </c>
      <c r="P603" s="106">
        <v>0</v>
      </c>
      <c r="Q603" s="51">
        <f t="shared" si="17"/>
        <v>0</v>
      </c>
      <c r="R603" s="31">
        <v>202310</v>
      </c>
      <c r="S603" s="54" t="s">
        <v>765</v>
      </c>
      <c r="T603" s="54"/>
      <c r="U603" s="54"/>
      <c r="V603" s="54"/>
      <c r="W603" s="67"/>
      <c r="X603" s="67"/>
      <c r="Y603" s="36"/>
      <c r="Z603" s="36"/>
      <c r="AA603" s="36"/>
      <c r="AB603" s="36"/>
      <c r="AC603" s="36"/>
      <c r="AD603" s="36"/>
      <c r="AE603" s="36"/>
      <c r="AF603" s="53" t="s">
        <v>68</v>
      </c>
      <c r="AG603" s="42"/>
      <c r="AH603" s="42"/>
      <c r="AI603" s="43"/>
      <c r="AJ603" s="43"/>
      <c r="AK603" s="43"/>
      <c r="AL603" s="43"/>
      <c r="AM603" s="43"/>
      <c r="AN603" s="42"/>
      <c r="AO603" s="42"/>
      <c r="AP603" s="42"/>
      <c r="AQ603" s="43"/>
      <c r="AR603" s="42"/>
      <c r="AS603" s="42"/>
    </row>
    <row r="604" spans="1:45" ht="15" customHeight="1">
      <c r="A604" s="21" t="s">
        <v>57</v>
      </c>
      <c r="B604" s="21" t="s">
        <v>46</v>
      </c>
      <c r="C604" s="21" t="s">
        <v>188</v>
      </c>
      <c r="D604" s="22" t="s">
        <v>59</v>
      </c>
      <c r="E604" s="80" t="s">
        <v>695</v>
      </c>
      <c r="F604" s="65" t="s">
        <v>696</v>
      </c>
      <c r="G604" s="101" t="s">
        <v>77</v>
      </c>
      <c r="H604" s="133" t="s">
        <v>697</v>
      </c>
      <c r="I604" s="24" t="s">
        <v>705</v>
      </c>
      <c r="J604" s="47" t="s">
        <v>699</v>
      </c>
      <c r="K604" s="104"/>
      <c r="L604" s="48" t="s">
        <v>700</v>
      </c>
      <c r="M604" s="27">
        <v>44862</v>
      </c>
      <c r="N604" s="49" t="s">
        <v>177</v>
      </c>
      <c r="O604" s="61">
        <v>5216.57</v>
      </c>
      <c r="P604" s="106">
        <v>1</v>
      </c>
      <c r="Q604" s="51">
        <f t="shared" si="17"/>
        <v>5216.57</v>
      </c>
      <c r="R604" s="31">
        <v>202310</v>
      </c>
      <c r="S604" s="134" t="s">
        <v>766</v>
      </c>
      <c r="T604" s="42"/>
      <c r="U604" s="37"/>
      <c r="V604" s="42"/>
      <c r="W604" s="42"/>
      <c r="X604" s="42"/>
      <c r="Y604" s="36"/>
      <c r="Z604" s="36"/>
      <c r="AA604" s="36"/>
      <c r="AB604" s="36"/>
      <c r="AC604" s="36"/>
      <c r="AD604" s="36"/>
      <c r="AE604" s="36"/>
      <c r="AF604" s="53" t="s">
        <v>68</v>
      </c>
      <c r="AG604" s="42"/>
      <c r="AH604" s="42"/>
      <c r="AI604" s="43"/>
      <c r="AJ604" s="43"/>
      <c r="AK604" s="43"/>
      <c r="AL604" s="43"/>
      <c r="AM604" s="43"/>
      <c r="AN604" s="42"/>
      <c r="AO604" s="42"/>
      <c r="AP604" s="42"/>
      <c r="AQ604" s="43"/>
      <c r="AR604" s="42"/>
      <c r="AS604" s="42"/>
    </row>
    <row r="605" spans="1:45" ht="15" customHeight="1">
      <c r="A605" s="21" t="s">
        <v>57</v>
      </c>
      <c r="B605" s="21" t="s">
        <v>46</v>
      </c>
      <c r="C605" s="21" t="s">
        <v>188</v>
      </c>
      <c r="D605" s="22" t="s">
        <v>59</v>
      </c>
      <c r="E605" s="80" t="s">
        <v>695</v>
      </c>
      <c r="F605" s="65" t="s">
        <v>696</v>
      </c>
      <c r="G605" s="101" t="s">
        <v>77</v>
      </c>
      <c r="H605" s="133" t="s">
        <v>697</v>
      </c>
      <c r="I605" s="24" t="s">
        <v>705</v>
      </c>
      <c r="J605" s="47" t="s">
        <v>699</v>
      </c>
      <c r="K605" s="104"/>
      <c r="L605" s="48" t="s">
        <v>700</v>
      </c>
      <c r="M605" s="27">
        <v>44874</v>
      </c>
      <c r="N605" s="49" t="s">
        <v>177</v>
      </c>
      <c r="O605" s="61">
        <v>5216.57</v>
      </c>
      <c r="P605" s="106">
        <v>2</v>
      </c>
      <c r="Q605" s="51">
        <f t="shared" si="17"/>
        <v>10433.14</v>
      </c>
      <c r="R605" s="31">
        <v>202310</v>
      </c>
      <c r="S605" s="37" t="s">
        <v>763</v>
      </c>
      <c r="T605" s="42"/>
      <c r="U605" s="37"/>
      <c r="V605" s="42"/>
      <c r="W605" s="42"/>
      <c r="X605" s="42"/>
      <c r="Y605" s="36"/>
      <c r="Z605" s="36"/>
      <c r="AA605" s="36"/>
      <c r="AB605" s="36"/>
      <c r="AC605" s="36"/>
      <c r="AD605" s="36"/>
      <c r="AE605" s="36"/>
      <c r="AF605" s="53" t="s">
        <v>68</v>
      </c>
      <c r="AG605" s="42"/>
      <c r="AH605" s="42"/>
      <c r="AI605" s="43"/>
      <c r="AJ605" s="43"/>
      <c r="AK605" s="43"/>
      <c r="AL605" s="43"/>
      <c r="AM605" s="43"/>
      <c r="AN605" s="42"/>
      <c r="AO605" s="42"/>
      <c r="AP605" s="42"/>
      <c r="AQ605" s="43"/>
      <c r="AR605" s="42"/>
      <c r="AS605" s="42"/>
    </row>
    <row r="606" spans="1:45" ht="15" customHeight="1">
      <c r="A606" s="21" t="s">
        <v>57</v>
      </c>
      <c r="B606" s="21" t="s">
        <v>46</v>
      </c>
      <c r="C606" s="21" t="s">
        <v>188</v>
      </c>
      <c r="D606" s="22" t="s">
        <v>59</v>
      </c>
      <c r="E606" s="80" t="s">
        <v>695</v>
      </c>
      <c r="F606" s="65" t="s">
        <v>696</v>
      </c>
      <c r="G606" s="101" t="s">
        <v>77</v>
      </c>
      <c r="H606" s="133" t="s">
        <v>697</v>
      </c>
      <c r="I606" s="24" t="s">
        <v>705</v>
      </c>
      <c r="J606" s="47" t="s">
        <v>699</v>
      </c>
      <c r="K606" s="104"/>
      <c r="L606" s="48" t="s">
        <v>700</v>
      </c>
      <c r="M606" s="27">
        <v>44883</v>
      </c>
      <c r="N606" s="49" t="s">
        <v>177</v>
      </c>
      <c r="O606" s="61">
        <v>5216.57</v>
      </c>
      <c r="P606" s="106">
        <v>-5</v>
      </c>
      <c r="Q606" s="51">
        <f t="shared" si="17"/>
        <v>-26082.85</v>
      </c>
      <c r="R606" s="31">
        <v>202310</v>
      </c>
      <c r="S606" s="37" t="s">
        <v>767</v>
      </c>
      <c r="T606" s="42"/>
      <c r="U606" s="37"/>
      <c r="V606" s="42"/>
      <c r="W606" s="42"/>
      <c r="X606" s="42"/>
      <c r="Y606" s="36"/>
      <c r="Z606" s="36"/>
      <c r="AA606" s="36"/>
      <c r="AB606" s="36"/>
      <c r="AC606" s="36"/>
      <c r="AD606" s="36"/>
      <c r="AE606" s="36"/>
      <c r="AF606" s="53" t="s">
        <v>68</v>
      </c>
      <c r="AG606" s="42"/>
      <c r="AH606" s="42"/>
      <c r="AI606" s="43"/>
      <c r="AJ606" s="43"/>
      <c r="AK606" s="43"/>
      <c r="AL606" s="43"/>
      <c r="AM606" s="43"/>
      <c r="AN606" s="42"/>
      <c r="AO606" s="42"/>
      <c r="AP606" s="42"/>
      <c r="AQ606" s="43"/>
      <c r="AR606" s="42"/>
      <c r="AS606" s="42"/>
    </row>
    <row r="607" spans="1:45" ht="15" customHeight="1">
      <c r="A607" s="21" t="s">
        <v>57</v>
      </c>
      <c r="B607" s="21" t="s">
        <v>46</v>
      </c>
      <c r="C607" s="21" t="s">
        <v>188</v>
      </c>
      <c r="D607" s="22" t="s">
        <v>59</v>
      </c>
      <c r="E607" s="80" t="s">
        <v>695</v>
      </c>
      <c r="F607" s="65" t="s">
        <v>696</v>
      </c>
      <c r="G607" s="101" t="s">
        <v>77</v>
      </c>
      <c r="H607" s="133" t="s">
        <v>697</v>
      </c>
      <c r="I607" s="24" t="s">
        <v>705</v>
      </c>
      <c r="J607" s="47" t="s">
        <v>699</v>
      </c>
      <c r="K607" s="104"/>
      <c r="L607" s="48" t="s">
        <v>700</v>
      </c>
      <c r="M607" s="27">
        <v>44971</v>
      </c>
      <c r="N607" s="49" t="s">
        <v>177</v>
      </c>
      <c r="O607" s="61">
        <v>5216.57</v>
      </c>
      <c r="P607" s="106">
        <v>2</v>
      </c>
      <c r="Q607" s="51">
        <f t="shared" si="17"/>
        <v>10433.14</v>
      </c>
      <c r="R607" s="31">
        <v>202310</v>
      </c>
      <c r="S607" s="37" t="s">
        <v>768</v>
      </c>
      <c r="T607" s="42"/>
      <c r="U607" s="37"/>
      <c r="V607" s="42"/>
      <c r="W607" s="42"/>
      <c r="X607" s="42"/>
      <c r="Y607" s="36"/>
      <c r="Z607" s="36"/>
      <c r="AA607" s="36"/>
      <c r="AB607" s="36"/>
      <c r="AC607" s="36"/>
      <c r="AD607" s="36"/>
      <c r="AE607" s="36"/>
      <c r="AF607" s="53" t="s">
        <v>68</v>
      </c>
      <c r="AG607" s="42"/>
      <c r="AH607" s="42"/>
      <c r="AI607" s="43"/>
      <c r="AJ607" s="43"/>
      <c r="AK607" s="43"/>
      <c r="AL607" s="43"/>
      <c r="AM607" s="43"/>
      <c r="AN607" s="42"/>
      <c r="AO607" s="42"/>
      <c r="AP607" s="42"/>
      <c r="AQ607" s="43"/>
      <c r="AR607" s="42"/>
      <c r="AS607" s="42"/>
    </row>
    <row r="608" spans="1:45" ht="15" customHeight="1">
      <c r="A608" s="21" t="s">
        <v>57</v>
      </c>
      <c r="B608" s="21" t="s">
        <v>46</v>
      </c>
      <c r="C608" s="21" t="s">
        <v>188</v>
      </c>
      <c r="D608" s="22" t="s">
        <v>59</v>
      </c>
      <c r="E608" s="80" t="s">
        <v>695</v>
      </c>
      <c r="F608" s="65" t="s">
        <v>696</v>
      </c>
      <c r="G608" s="101" t="s">
        <v>77</v>
      </c>
      <c r="H608" s="133" t="s">
        <v>697</v>
      </c>
      <c r="I608" s="24" t="s">
        <v>705</v>
      </c>
      <c r="J608" s="47" t="s">
        <v>699</v>
      </c>
      <c r="K608" s="104"/>
      <c r="L608" s="48" t="s">
        <v>700</v>
      </c>
      <c r="M608" s="27">
        <v>44977</v>
      </c>
      <c r="N608" s="49" t="s">
        <v>177</v>
      </c>
      <c r="O608" s="61">
        <v>5216.57</v>
      </c>
      <c r="P608" s="106">
        <v>2</v>
      </c>
      <c r="Q608" s="51">
        <f t="shared" si="17"/>
        <v>10433.14</v>
      </c>
      <c r="R608" s="31">
        <v>202310</v>
      </c>
      <c r="S608" s="37" t="s">
        <v>769</v>
      </c>
      <c r="T608" s="42"/>
      <c r="U608" s="37"/>
      <c r="V608" s="42"/>
      <c r="W608" s="42"/>
      <c r="X608" s="42"/>
      <c r="Y608" s="36"/>
      <c r="Z608" s="36"/>
      <c r="AA608" s="36"/>
      <c r="AB608" s="36"/>
      <c r="AC608" s="36"/>
      <c r="AD608" s="36"/>
      <c r="AE608" s="36"/>
      <c r="AF608" s="53" t="s">
        <v>68</v>
      </c>
      <c r="AG608" s="42"/>
      <c r="AH608" s="42"/>
      <c r="AI608" s="43"/>
      <c r="AJ608" s="43"/>
      <c r="AK608" s="43"/>
      <c r="AL608" s="43"/>
      <c r="AM608" s="43"/>
      <c r="AN608" s="42"/>
      <c r="AO608" s="42"/>
      <c r="AP608" s="42"/>
      <c r="AQ608" s="43"/>
      <c r="AR608" s="42"/>
      <c r="AS608" s="42"/>
    </row>
    <row r="609" spans="1:45" ht="15" customHeight="1">
      <c r="A609" s="21" t="s">
        <v>57</v>
      </c>
      <c r="B609" s="21" t="s">
        <v>46</v>
      </c>
      <c r="C609" s="21" t="s">
        <v>188</v>
      </c>
      <c r="D609" s="22" t="s">
        <v>59</v>
      </c>
      <c r="E609" s="80" t="s">
        <v>695</v>
      </c>
      <c r="F609" s="65" t="s">
        <v>696</v>
      </c>
      <c r="G609" s="101" t="s">
        <v>77</v>
      </c>
      <c r="H609" s="133" t="s">
        <v>697</v>
      </c>
      <c r="I609" s="24" t="s">
        <v>705</v>
      </c>
      <c r="J609" s="47" t="s">
        <v>699</v>
      </c>
      <c r="K609" s="104"/>
      <c r="L609" s="48" t="s">
        <v>700</v>
      </c>
      <c r="M609" s="27">
        <v>45007</v>
      </c>
      <c r="N609" s="49" t="s">
        <v>177</v>
      </c>
      <c r="O609" s="61">
        <v>5216.57</v>
      </c>
      <c r="P609" s="106">
        <v>-7</v>
      </c>
      <c r="Q609" s="51">
        <f t="shared" si="17"/>
        <v>-36515.99</v>
      </c>
      <c r="R609" s="31">
        <v>202310</v>
      </c>
      <c r="S609" s="37" t="s">
        <v>770</v>
      </c>
      <c r="T609" s="42"/>
      <c r="U609" s="37"/>
      <c r="V609" s="42"/>
      <c r="W609" s="42"/>
      <c r="X609" s="42"/>
      <c r="Y609" s="36"/>
      <c r="Z609" s="36"/>
      <c r="AA609" s="36"/>
      <c r="AB609" s="36"/>
      <c r="AC609" s="36"/>
      <c r="AD609" s="36"/>
      <c r="AE609" s="36"/>
      <c r="AF609" s="53" t="s">
        <v>68</v>
      </c>
      <c r="AG609" s="42"/>
      <c r="AH609" s="42"/>
      <c r="AI609" s="43"/>
      <c r="AJ609" s="43"/>
      <c r="AK609" s="43"/>
      <c r="AL609" s="43"/>
      <c r="AM609" s="43"/>
      <c r="AN609" s="42"/>
      <c r="AO609" s="42"/>
      <c r="AP609" s="42"/>
      <c r="AQ609" s="43"/>
      <c r="AR609" s="42"/>
      <c r="AS609" s="42"/>
    </row>
    <row r="610" spans="1:45" ht="15" customHeight="1">
      <c r="A610" s="21" t="s">
        <v>57</v>
      </c>
      <c r="B610" s="21" t="s">
        <v>46</v>
      </c>
      <c r="C610" s="21" t="s">
        <v>188</v>
      </c>
      <c r="D610" s="22" t="s">
        <v>59</v>
      </c>
      <c r="E610" s="80" t="s">
        <v>695</v>
      </c>
      <c r="F610" s="65" t="s">
        <v>696</v>
      </c>
      <c r="G610" s="101" t="s">
        <v>77</v>
      </c>
      <c r="H610" s="133" t="s">
        <v>697</v>
      </c>
      <c r="I610" s="24" t="s">
        <v>705</v>
      </c>
      <c r="J610" s="47" t="s">
        <v>699</v>
      </c>
      <c r="K610" s="104"/>
      <c r="L610" s="48" t="s">
        <v>700</v>
      </c>
      <c r="M610" s="27">
        <v>45009</v>
      </c>
      <c r="N610" s="49" t="s">
        <v>177</v>
      </c>
      <c r="O610" s="61">
        <v>5216.57</v>
      </c>
      <c r="P610" s="106">
        <v>-1</v>
      </c>
      <c r="Q610" s="51">
        <f t="shared" si="17"/>
        <v>-5216.57</v>
      </c>
      <c r="R610" s="31">
        <v>202310</v>
      </c>
      <c r="S610" s="37" t="s">
        <v>771</v>
      </c>
      <c r="T610" s="42"/>
      <c r="U610" s="37"/>
      <c r="V610" s="42"/>
      <c r="W610" s="42"/>
      <c r="X610" s="42"/>
      <c r="Y610" s="36"/>
      <c r="Z610" s="36"/>
      <c r="AA610" s="36"/>
      <c r="AB610" s="36"/>
      <c r="AC610" s="36"/>
      <c r="AD610" s="36"/>
      <c r="AE610" s="36"/>
      <c r="AF610" s="53" t="s">
        <v>68</v>
      </c>
      <c r="AG610" s="42"/>
      <c r="AH610" s="42"/>
      <c r="AI610" s="43"/>
      <c r="AJ610" s="43"/>
      <c r="AK610" s="43"/>
      <c r="AL610" s="43"/>
      <c r="AM610" s="43"/>
      <c r="AN610" s="42"/>
      <c r="AO610" s="42"/>
      <c r="AP610" s="42"/>
      <c r="AQ610" s="43"/>
      <c r="AR610" s="42"/>
      <c r="AS610" s="42"/>
    </row>
    <row r="611" spans="1:45" ht="15" customHeight="1">
      <c r="A611" s="21" t="s">
        <v>57</v>
      </c>
      <c r="B611" s="21" t="s">
        <v>46</v>
      </c>
      <c r="C611" s="21" t="s">
        <v>188</v>
      </c>
      <c r="D611" s="22" t="s">
        <v>59</v>
      </c>
      <c r="E611" s="80" t="s">
        <v>695</v>
      </c>
      <c r="F611" s="65" t="s">
        <v>696</v>
      </c>
      <c r="G611" s="101" t="s">
        <v>77</v>
      </c>
      <c r="H611" s="133" t="s">
        <v>697</v>
      </c>
      <c r="I611" s="24" t="s">
        <v>705</v>
      </c>
      <c r="J611" s="47" t="s">
        <v>699</v>
      </c>
      <c r="K611" s="104"/>
      <c r="L611" s="48" t="s">
        <v>700</v>
      </c>
      <c r="M611" s="27">
        <v>45008</v>
      </c>
      <c r="N611" s="49" t="s">
        <v>177</v>
      </c>
      <c r="O611" s="61">
        <v>5216.57</v>
      </c>
      <c r="P611" s="106">
        <v>-7</v>
      </c>
      <c r="Q611" s="51">
        <f t="shared" si="17"/>
        <v>-36515.99</v>
      </c>
      <c r="R611" s="31">
        <v>202310</v>
      </c>
      <c r="S611" s="37" t="s">
        <v>772</v>
      </c>
      <c r="T611" s="42"/>
      <c r="U611" s="37"/>
      <c r="V611" s="42"/>
      <c r="W611" s="42"/>
      <c r="X611" s="42"/>
      <c r="Y611" s="36"/>
      <c r="Z611" s="36"/>
      <c r="AA611" s="36"/>
      <c r="AB611" s="36"/>
      <c r="AC611" s="36"/>
      <c r="AD611" s="36"/>
      <c r="AE611" s="36"/>
      <c r="AF611" s="53" t="s">
        <v>68</v>
      </c>
      <c r="AG611" s="42"/>
      <c r="AH611" s="42"/>
      <c r="AI611" s="43"/>
      <c r="AJ611" s="43"/>
      <c r="AK611" s="43"/>
      <c r="AL611" s="43"/>
      <c r="AM611" s="43"/>
      <c r="AN611" s="42"/>
      <c r="AO611" s="42"/>
      <c r="AP611" s="42"/>
      <c r="AQ611" s="43"/>
      <c r="AR611" s="42"/>
      <c r="AS611" s="42"/>
    </row>
    <row r="612" spans="1:45" ht="15" customHeight="1">
      <c r="A612" s="21" t="s">
        <v>57</v>
      </c>
      <c r="B612" s="21" t="s">
        <v>46</v>
      </c>
      <c r="C612" s="21" t="s">
        <v>188</v>
      </c>
      <c r="D612" s="22" t="s">
        <v>59</v>
      </c>
      <c r="E612" s="80" t="s">
        <v>695</v>
      </c>
      <c r="F612" s="65" t="s">
        <v>696</v>
      </c>
      <c r="G612" s="101" t="s">
        <v>77</v>
      </c>
      <c r="H612" s="133" t="s">
        <v>697</v>
      </c>
      <c r="I612" s="24" t="s">
        <v>705</v>
      </c>
      <c r="J612" s="47" t="s">
        <v>699</v>
      </c>
      <c r="K612" s="104"/>
      <c r="L612" s="48" t="s">
        <v>700</v>
      </c>
      <c r="M612" s="27">
        <v>45014</v>
      </c>
      <c r="N612" s="49" t="s">
        <v>177</v>
      </c>
      <c r="O612" s="61">
        <v>5216.57</v>
      </c>
      <c r="P612" s="106">
        <v>2</v>
      </c>
      <c r="Q612" s="51">
        <f t="shared" si="17"/>
        <v>10433.14</v>
      </c>
      <c r="R612" s="31">
        <v>202310</v>
      </c>
      <c r="S612" s="54" t="s">
        <v>773</v>
      </c>
      <c r="T612" s="54"/>
      <c r="U612" s="54"/>
      <c r="V612" s="54"/>
      <c r="W612" s="67"/>
      <c r="X612" s="67"/>
      <c r="Y612" s="36"/>
      <c r="Z612" s="36"/>
      <c r="AA612" s="36"/>
      <c r="AB612" s="36"/>
      <c r="AC612" s="36"/>
      <c r="AD612" s="36"/>
      <c r="AE612" s="36"/>
      <c r="AF612" s="53" t="s">
        <v>68</v>
      </c>
      <c r="AG612" s="42"/>
      <c r="AH612" s="42"/>
      <c r="AI612" s="43"/>
      <c r="AJ612" s="43"/>
      <c r="AK612" s="43"/>
      <c r="AL612" s="43"/>
      <c r="AM612" s="43"/>
      <c r="AN612" s="42"/>
      <c r="AO612" s="42"/>
      <c r="AP612" s="42"/>
      <c r="AQ612" s="43"/>
      <c r="AR612" s="42"/>
      <c r="AS612" s="42"/>
    </row>
    <row r="613" spans="1:45" ht="15" customHeight="1">
      <c r="A613" s="21" t="s">
        <v>57</v>
      </c>
      <c r="B613" s="21" t="s">
        <v>46</v>
      </c>
      <c r="C613" s="21" t="s">
        <v>188</v>
      </c>
      <c r="D613" s="22" t="s">
        <v>59</v>
      </c>
      <c r="E613" s="80" t="s">
        <v>695</v>
      </c>
      <c r="F613" s="65" t="s">
        <v>696</v>
      </c>
      <c r="G613" s="101" t="s">
        <v>77</v>
      </c>
      <c r="H613" s="133" t="s">
        <v>697</v>
      </c>
      <c r="I613" s="24" t="s">
        <v>705</v>
      </c>
      <c r="J613" s="47" t="s">
        <v>699</v>
      </c>
      <c r="K613" s="104"/>
      <c r="L613" s="48" t="s">
        <v>700</v>
      </c>
      <c r="M613" s="27">
        <v>45015</v>
      </c>
      <c r="N613" s="49" t="s">
        <v>177</v>
      </c>
      <c r="O613" s="61">
        <v>5216.57</v>
      </c>
      <c r="P613" s="106">
        <v>-1</v>
      </c>
      <c r="Q613" s="51">
        <f t="shared" si="17"/>
        <v>-5216.57</v>
      </c>
      <c r="R613" s="31">
        <v>202310</v>
      </c>
      <c r="S613" s="54" t="s">
        <v>774</v>
      </c>
      <c r="T613" s="54"/>
      <c r="U613" s="54"/>
      <c r="V613" s="54"/>
      <c r="W613" s="67"/>
      <c r="X613" s="67"/>
      <c r="Y613" s="36"/>
      <c r="Z613" s="36"/>
      <c r="AA613" s="36"/>
      <c r="AB613" s="36"/>
      <c r="AC613" s="36"/>
      <c r="AD613" s="36"/>
      <c r="AE613" s="36"/>
      <c r="AF613" s="53" t="s">
        <v>68</v>
      </c>
      <c r="AG613" s="42"/>
      <c r="AH613" s="42"/>
      <c r="AI613" s="43"/>
      <c r="AJ613" s="43"/>
      <c r="AK613" s="43"/>
      <c r="AL613" s="43"/>
      <c r="AM613" s="43"/>
      <c r="AN613" s="42"/>
      <c r="AO613" s="42"/>
      <c r="AP613" s="42"/>
      <c r="AQ613" s="43"/>
      <c r="AR613" s="42"/>
      <c r="AS613" s="42"/>
    </row>
    <row r="614" spans="1:45" ht="15" customHeight="1">
      <c r="A614" s="21" t="s">
        <v>57</v>
      </c>
      <c r="B614" s="21" t="s">
        <v>46</v>
      </c>
      <c r="C614" s="21" t="s">
        <v>188</v>
      </c>
      <c r="D614" s="22" t="s">
        <v>59</v>
      </c>
      <c r="E614" s="80" t="s">
        <v>695</v>
      </c>
      <c r="F614" s="65" t="s">
        <v>696</v>
      </c>
      <c r="G614" s="101" t="s">
        <v>77</v>
      </c>
      <c r="H614" s="133" t="s">
        <v>697</v>
      </c>
      <c r="I614" s="24" t="s">
        <v>705</v>
      </c>
      <c r="J614" s="47" t="s">
        <v>699</v>
      </c>
      <c r="K614" s="104"/>
      <c r="L614" s="48" t="s">
        <v>700</v>
      </c>
      <c r="M614" s="27">
        <v>45034</v>
      </c>
      <c r="N614" s="49" t="s">
        <v>177</v>
      </c>
      <c r="O614" s="61">
        <v>5216.57</v>
      </c>
      <c r="P614" s="106">
        <v>-1</v>
      </c>
      <c r="Q614" s="51">
        <f t="shared" si="17"/>
        <v>-5216.57</v>
      </c>
      <c r="R614" s="31">
        <v>202310</v>
      </c>
      <c r="S614" s="54" t="s">
        <v>775</v>
      </c>
      <c r="T614" s="54"/>
      <c r="U614" s="54"/>
      <c r="V614" s="54"/>
      <c r="W614" s="67"/>
      <c r="X614" s="67"/>
      <c r="Y614" s="36"/>
      <c r="Z614" s="36"/>
      <c r="AA614" s="36"/>
      <c r="AB614" s="36"/>
      <c r="AC614" s="36"/>
      <c r="AD614" s="36"/>
      <c r="AE614" s="36"/>
      <c r="AF614" s="53" t="s">
        <v>68</v>
      </c>
      <c r="AG614" s="42"/>
      <c r="AH614" s="42"/>
      <c r="AI614" s="43"/>
      <c r="AJ614" s="43"/>
      <c r="AK614" s="43"/>
      <c r="AL614" s="43"/>
      <c r="AM614" s="43"/>
      <c r="AN614" s="42"/>
      <c r="AO614" s="42"/>
      <c r="AP614" s="42"/>
      <c r="AQ614" s="43"/>
      <c r="AR614" s="42"/>
      <c r="AS614" s="42"/>
    </row>
    <row r="615" spans="1:45" ht="15" customHeight="1">
      <c r="A615" s="21" t="s">
        <v>57</v>
      </c>
      <c r="B615" s="21" t="s">
        <v>46</v>
      </c>
      <c r="C615" s="21" t="s">
        <v>188</v>
      </c>
      <c r="D615" s="22" t="s">
        <v>59</v>
      </c>
      <c r="E615" s="80" t="s">
        <v>695</v>
      </c>
      <c r="F615" s="65" t="s">
        <v>696</v>
      </c>
      <c r="G615" s="101" t="s">
        <v>77</v>
      </c>
      <c r="H615" s="133" t="s">
        <v>697</v>
      </c>
      <c r="I615" s="24" t="s">
        <v>705</v>
      </c>
      <c r="J615" s="47" t="s">
        <v>699</v>
      </c>
      <c r="K615" s="104"/>
      <c r="L615" s="48" t="s">
        <v>700</v>
      </c>
      <c r="M615" s="27">
        <v>45062</v>
      </c>
      <c r="N615" s="49" t="s">
        <v>177</v>
      </c>
      <c r="O615" s="61">
        <v>5216.57</v>
      </c>
      <c r="P615" s="106">
        <v>-6</v>
      </c>
      <c r="Q615" s="51">
        <f t="shared" si="17"/>
        <v>-31299.42</v>
      </c>
      <c r="R615" s="31">
        <v>202310</v>
      </c>
      <c r="S615" s="54" t="s">
        <v>776</v>
      </c>
      <c r="T615" s="54"/>
      <c r="U615" s="54"/>
      <c r="V615" s="54"/>
      <c r="W615" s="67"/>
      <c r="X615" s="67"/>
      <c r="Y615" s="36"/>
      <c r="Z615" s="36"/>
      <c r="AA615" s="36"/>
      <c r="AB615" s="36"/>
      <c r="AC615" s="36"/>
      <c r="AD615" s="36"/>
      <c r="AE615" s="36"/>
      <c r="AF615" s="53" t="s">
        <v>68</v>
      </c>
      <c r="AG615" s="42"/>
      <c r="AH615" s="42"/>
      <c r="AI615" s="43"/>
      <c r="AJ615" s="43"/>
      <c r="AK615" s="43"/>
      <c r="AL615" s="43"/>
      <c r="AM615" s="43"/>
      <c r="AN615" s="42"/>
      <c r="AO615" s="42"/>
      <c r="AP615" s="42"/>
      <c r="AQ615" s="43"/>
      <c r="AR615" s="42"/>
      <c r="AS615" s="42"/>
    </row>
    <row r="616" spans="1:45" ht="15" customHeight="1">
      <c r="A616" s="21" t="s">
        <v>57</v>
      </c>
      <c r="B616" s="21" t="s">
        <v>46</v>
      </c>
      <c r="C616" s="21" t="s">
        <v>188</v>
      </c>
      <c r="D616" s="22" t="s">
        <v>59</v>
      </c>
      <c r="E616" s="80" t="s">
        <v>695</v>
      </c>
      <c r="F616" s="65" t="s">
        <v>696</v>
      </c>
      <c r="G616" s="101" t="s">
        <v>77</v>
      </c>
      <c r="H616" s="133" t="s">
        <v>697</v>
      </c>
      <c r="I616" s="24" t="s">
        <v>705</v>
      </c>
      <c r="J616" s="47" t="s">
        <v>699</v>
      </c>
      <c r="K616" s="104"/>
      <c r="L616" s="48" t="s">
        <v>700</v>
      </c>
      <c r="M616" s="27">
        <v>45065</v>
      </c>
      <c r="N616" s="49" t="s">
        <v>177</v>
      </c>
      <c r="O616" s="61">
        <v>5216.57</v>
      </c>
      <c r="P616" s="106">
        <v>-6</v>
      </c>
      <c r="Q616" s="51">
        <f t="shared" si="17"/>
        <v>-31299.42</v>
      </c>
      <c r="R616" s="31">
        <v>202310</v>
      </c>
      <c r="S616" s="54" t="s">
        <v>777</v>
      </c>
      <c r="T616" s="54"/>
      <c r="U616" s="54"/>
      <c r="V616" s="54"/>
      <c r="W616" s="67"/>
      <c r="X616" s="67"/>
      <c r="Y616" s="36"/>
      <c r="Z616" s="36"/>
      <c r="AA616" s="36"/>
      <c r="AB616" s="36"/>
      <c r="AC616" s="36"/>
      <c r="AD616" s="36"/>
      <c r="AE616" s="36"/>
      <c r="AF616" s="53" t="s">
        <v>68</v>
      </c>
      <c r="AG616" s="42"/>
      <c r="AH616" s="42"/>
      <c r="AI616" s="43"/>
      <c r="AJ616" s="43"/>
      <c r="AK616" s="43"/>
      <c r="AL616" s="43"/>
      <c r="AM616" s="43"/>
      <c r="AN616" s="42"/>
      <c r="AO616" s="42"/>
      <c r="AP616" s="42"/>
      <c r="AQ616" s="43"/>
      <c r="AR616" s="42"/>
      <c r="AS616" s="42"/>
    </row>
    <row r="617" spans="1:45" ht="15" customHeight="1">
      <c r="A617" s="21" t="s">
        <v>57</v>
      </c>
      <c r="B617" s="21" t="s">
        <v>46</v>
      </c>
      <c r="C617" s="21" t="s">
        <v>188</v>
      </c>
      <c r="D617" s="22" t="s">
        <v>59</v>
      </c>
      <c r="E617" s="80" t="s">
        <v>695</v>
      </c>
      <c r="F617" s="65" t="s">
        <v>696</v>
      </c>
      <c r="G617" s="101" t="s">
        <v>77</v>
      </c>
      <c r="H617" s="133" t="s">
        <v>697</v>
      </c>
      <c r="I617" s="24" t="s">
        <v>705</v>
      </c>
      <c r="J617" s="47" t="s">
        <v>699</v>
      </c>
      <c r="K617" s="104"/>
      <c r="L617" s="48" t="s">
        <v>700</v>
      </c>
      <c r="M617" s="27">
        <v>45078</v>
      </c>
      <c r="N617" s="49" t="s">
        <v>177</v>
      </c>
      <c r="O617" s="61">
        <v>5216.57</v>
      </c>
      <c r="P617" s="106">
        <v>-7</v>
      </c>
      <c r="Q617" s="51">
        <f t="shared" si="17"/>
        <v>-36515.99</v>
      </c>
      <c r="R617" s="31">
        <v>202310</v>
      </c>
      <c r="S617" s="54" t="s">
        <v>778</v>
      </c>
      <c r="T617" s="54"/>
      <c r="U617" s="54"/>
      <c r="V617" s="54"/>
      <c r="W617" s="67"/>
      <c r="X617" s="67"/>
      <c r="Y617" s="36"/>
      <c r="Z617" s="36"/>
      <c r="AA617" s="36"/>
      <c r="AB617" s="36"/>
      <c r="AC617" s="36"/>
      <c r="AD617" s="36"/>
      <c r="AE617" s="36"/>
      <c r="AF617" s="53" t="s">
        <v>68</v>
      </c>
      <c r="AG617" s="42"/>
      <c r="AH617" s="42"/>
      <c r="AI617" s="43"/>
      <c r="AJ617" s="43"/>
      <c r="AK617" s="43"/>
      <c r="AL617" s="43"/>
      <c r="AM617" s="43"/>
      <c r="AN617" s="42"/>
      <c r="AO617" s="42"/>
      <c r="AP617" s="42"/>
      <c r="AQ617" s="43"/>
      <c r="AR617" s="42"/>
      <c r="AS617" s="42"/>
    </row>
    <row r="618" spans="1:45" ht="15" customHeight="1">
      <c r="A618" s="21" t="s">
        <v>57</v>
      </c>
      <c r="B618" s="21" t="s">
        <v>46</v>
      </c>
      <c r="C618" s="21" t="s">
        <v>188</v>
      </c>
      <c r="D618" s="22" t="s">
        <v>59</v>
      </c>
      <c r="E618" s="80" t="s">
        <v>695</v>
      </c>
      <c r="F618" s="65" t="s">
        <v>696</v>
      </c>
      <c r="G618" s="101" t="s">
        <v>77</v>
      </c>
      <c r="H618" s="133" t="s">
        <v>697</v>
      </c>
      <c r="I618" s="24" t="s">
        <v>705</v>
      </c>
      <c r="J618" s="47" t="s">
        <v>699</v>
      </c>
      <c r="K618" s="104"/>
      <c r="L618" s="48" t="s">
        <v>700</v>
      </c>
      <c r="M618" s="27">
        <v>45085</v>
      </c>
      <c r="N618" s="49" t="s">
        <v>177</v>
      </c>
      <c r="O618" s="61">
        <v>5216.57</v>
      </c>
      <c r="P618" s="106">
        <v>-1</v>
      </c>
      <c r="Q618" s="51">
        <f t="shared" si="17"/>
        <v>-5216.57</v>
      </c>
      <c r="R618" s="31">
        <v>202310</v>
      </c>
      <c r="S618" s="54" t="s">
        <v>779</v>
      </c>
      <c r="T618" s="54"/>
      <c r="U618" s="54"/>
      <c r="V618" s="54"/>
      <c r="W618" s="67"/>
      <c r="X618" s="67"/>
      <c r="Y618" s="36"/>
      <c r="Z618" s="36"/>
      <c r="AA618" s="36"/>
      <c r="AB618" s="36"/>
      <c r="AC618" s="36"/>
      <c r="AD618" s="36"/>
      <c r="AE618" s="36"/>
      <c r="AF618" s="53" t="s">
        <v>68</v>
      </c>
      <c r="AG618" s="42"/>
      <c r="AH618" s="42"/>
      <c r="AI618" s="43"/>
      <c r="AJ618" s="43"/>
      <c r="AK618" s="43"/>
      <c r="AL618" s="43"/>
      <c r="AM618" s="43"/>
      <c r="AN618" s="42"/>
      <c r="AO618" s="42"/>
      <c r="AP618" s="42"/>
      <c r="AQ618" s="43"/>
      <c r="AR618" s="42"/>
      <c r="AS618" s="42"/>
    </row>
    <row r="619" spans="1:45" ht="15" customHeight="1">
      <c r="A619" s="21" t="s">
        <v>57</v>
      </c>
      <c r="B619" s="21" t="s">
        <v>46</v>
      </c>
      <c r="C619" s="21" t="s">
        <v>188</v>
      </c>
      <c r="D619" s="22" t="s">
        <v>59</v>
      </c>
      <c r="E619" s="80" t="s">
        <v>695</v>
      </c>
      <c r="F619" s="65" t="s">
        <v>696</v>
      </c>
      <c r="G619" s="101" t="s">
        <v>77</v>
      </c>
      <c r="H619" s="133" t="s">
        <v>697</v>
      </c>
      <c r="I619" s="24" t="s">
        <v>705</v>
      </c>
      <c r="J619" s="47" t="s">
        <v>699</v>
      </c>
      <c r="K619" s="104"/>
      <c r="L619" s="48" t="s">
        <v>700</v>
      </c>
      <c r="M619" s="27">
        <v>45098</v>
      </c>
      <c r="N619" s="49" t="s">
        <v>177</v>
      </c>
      <c r="O619" s="61">
        <v>5216.57</v>
      </c>
      <c r="P619" s="106">
        <v>1</v>
      </c>
      <c r="Q619" s="51">
        <f t="shared" si="17"/>
        <v>5216.57</v>
      </c>
      <c r="R619" s="31">
        <v>202310</v>
      </c>
      <c r="S619" s="54" t="s">
        <v>780</v>
      </c>
      <c r="T619" s="54"/>
      <c r="U619" s="54"/>
      <c r="V619" s="54"/>
      <c r="W619" s="67"/>
      <c r="X619" s="67"/>
      <c r="Y619" s="36"/>
      <c r="Z619" s="36"/>
      <c r="AA619" s="36"/>
      <c r="AB619" s="36"/>
      <c r="AC619" s="36"/>
      <c r="AD619" s="36"/>
      <c r="AE619" s="36"/>
      <c r="AF619" s="53" t="s">
        <v>68</v>
      </c>
      <c r="AG619" s="42"/>
      <c r="AH619" s="42"/>
      <c r="AI619" s="43"/>
      <c r="AJ619" s="43"/>
      <c r="AK619" s="43"/>
      <c r="AL619" s="43"/>
      <c r="AM619" s="43"/>
      <c r="AN619" s="42"/>
      <c r="AO619" s="42"/>
      <c r="AP619" s="42"/>
      <c r="AQ619" s="43"/>
      <c r="AR619" s="42"/>
      <c r="AS619" s="42"/>
    </row>
    <row r="620" spans="1:45" ht="15" customHeight="1">
      <c r="A620" s="21" t="s">
        <v>57</v>
      </c>
      <c r="B620" s="21" t="s">
        <v>46</v>
      </c>
      <c r="C620" s="21" t="s">
        <v>188</v>
      </c>
      <c r="D620" s="22" t="s">
        <v>59</v>
      </c>
      <c r="E620" s="80" t="s">
        <v>695</v>
      </c>
      <c r="F620" s="65" t="s">
        <v>696</v>
      </c>
      <c r="G620" s="101" t="s">
        <v>77</v>
      </c>
      <c r="H620" s="133" t="s">
        <v>697</v>
      </c>
      <c r="I620" s="24" t="s">
        <v>705</v>
      </c>
      <c r="J620" s="47" t="s">
        <v>699</v>
      </c>
      <c r="K620" s="104"/>
      <c r="L620" s="48" t="s">
        <v>700</v>
      </c>
      <c r="M620" s="27">
        <v>45110</v>
      </c>
      <c r="N620" s="49" t="s">
        <v>177</v>
      </c>
      <c r="O620" s="61">
        <v>5216.57</v>
      </c>
      <c r="P620" s="106">
        <v>-2</v>
      </c>
      <c r="Q620" s="30">
        <f t="shared" si="17"/>
        <v>-10433.14</v>
      </c>
      <c r="R620" s="31">
        <v>202310</v>
      </c>
      <c r="S620" s="54" t="s">
        <v>781</v>
      </c>
      <c r="T620" s="54"/>
      <c r="U620" s="54"/>
      <c r="V620" s="54"/>
      <c r="W620" s="67"/>
      <c r="X620" s="67"/>
      <c r="Y620" s="36"/>
      <c r="Z620" s="36"/>
      <c r="AA620" s="36"/>
      <c r="AB620" s="36"/>
      <c r="AC620" s="36"/>
      <c r="AD620" s="36"/>
      <c r="AE620" s="36"/>
      <c r="AF620" s="53" t="s">
        <v>68</v>
      </c>
      <c r="AG620" s="42"/>
      <c r="AH620" s="42"/>
      <c r="AI620" s="43"/>
      <c r="AJ620" s="43"/>
      <c r="AK620" s="43"/>
      <c r="AL620" s="43"/>
      <c r="AM620" s="43"/>
      <c r="AN620" s="42"/>
      <c r="AO620" s="42"/>
      <c r="AP620" s="42"/>
      <c r="AQ620" s="43"/>
      <c r="AR620" s="42"/>
      <c r="AS620" s="42"/>
    </row>
    <row r="621" spans="1:45" ht="15" customHeight="1">
      <c r="A621" s="21" t="s">
        <v>57</v>
      </c>
      <c r="B621" s="21" t="s">
        <v>46</v>
      </c>
      <c r="C621" s="21" t="s">
        <v>188</v>
      </c>
      <c r="D621" s="22" t="s">
        <v>59</v>
      </c>
      <c r="E621" s="80" t="s">
        <v>695</v>
      </c>
      <c r="F621" s="65" t="s">
        <v>696</v>
      </c>
      <c r="G621" s="101" t="s">
        <v>77</v>
      </c>
      <c r="H621" s="133" t="s">
        <v>697</v>
      </c>
      <c r="I621" s="24" t="s">
        <v>705</v>
      </c>
      <c r="J621" s="47" t="s">
        <v>699</v>
      </c>
      <c r="K621" s="104"/>
      <c r="L621" s="48" t="s">
        <v>700</v>
      </c>
      <c r="M621" s="27">
        <v>45179</v>
      </c>
      <c r="N621" s="49" t="s">
        <v>177</v>
      </c>
      <c r="O621" s="61">
        <v>5216.57</v>
      </c>
      <c r="P621" s="106">
        <v>1</v>
      </c>
      <c r="Q621" s="51">
        <f t="shared" si="17"/>
        <v>5216.57</v>
      </c>
      <c r="R621" s="31">
        <v>202310</v>
      </c>
      <c r="S621" s="54" t="s">
        <v>782</v>
      </c>
      <c r="T621" s="54"/>
      <c r="U621" s="54"/>
      <c r="V621" s="54"/>
      <c r="W621" s="67"/>
      <c r="X621" s="67"/>
      <c r="Y621" s="36"/>
      <c r="Z621" s="36"/>
      <c r="AA621" s="36"/>
      <c r="AB621" s="36"/>
      <c r="AC621" s="36"/>
      <c r="AD621" s="36"/>
      <c r="AE621" s="36"/>
      <c r="AF621" s="53" t="s">
        <v>68</v>
      </c>
      <c r="AG621" s="42"/>
      <c r="AH621" s="42"/>
      <c r="AI621" s="43"/>
      <c r="AJ621" s="43"/>
      <c r="AK621" s="43"/>
      <c r="AL621" s="43"/>
      <c r="AM621" s="43"/>
      <c r="AN621" s="42"/>
      <c r="AO621" s="42"/>
      <c r="AP621" s="42"/>
      <c r="AQ621" s="43"/>
      <c r="AR621" s="42"/>
      <c r="AS621" s="42"/>
    </row>
    <row r="622" spans="1:45" ht="15" customHeight="1">
      <c r="A622" s="21" t="s">
        <v>57</v>
      </c>
      <c r="B622" s="21" t="s">
        <v>46</v>
      </c>
      <c r="C622" s="21" t="s">
        <v>188</v>
      </c>
      <c r="D622" s="22" t="s">
        <v>59</v>
      </c>
      <c r="E622" s="80" t="s">
        <v>695</v>
      </c>
      <c r="F622" s="65" t="s">
        <v>696</v>
      </c>
      <c r="G622" s="101" t="s">
        <v>77</v>
      </c>
      <c r="H622" s="133" t="s">
        <v>697</v>
      </c>
      <c r="I622" s="24" t="s">
        <v>705</v>
      </c>
      <c r="J622" s="47" t="s">
        <v>699</v>
      </c>
      <c r="K622" s="104"/>
      <c r="L622" s="48" t="s">
        <v>700</v>
      </c>
      <c r="M622" s="27">
        <v>45180</v>
      </c>
      <c r="N622" s="49" t="s">
        <v>177</v>
      </c>
      <c r="O622" s="61">
        <v>5216.57</v>
      </c>
      <c r="P622" s="106">
        <v>1</v>
      </c>
      <c r="Q622" s="51">
        <f t="shared" si="17"/>
        <v>5216.57</v>
      </c>
      <c r="R622" s="31">
        <v>202310</v>
      </c>
      <c r="S622" s="54" t="s">
        <v>783</v>
      </c>
      <c r="T622" s="54"/>
      <c r="U622" s="54"/>
      <c r="V622" s="54"/>
      <c r="W622" s="67"/>
      <c r="X622" s="67"/>
      <c r="Y622" s="36"/>
      <c r="Z622" s="36"/>
      <c r="AA622" s="36"/>
      <c r="AB622" s="36"/>
      <c r="AC622" s="36"/>
      <c r="AD622" s="36"/>
      <c r="AE622" s="36"/>
      <c r="AF622" s="53" t="s">
        <v>68</v>
      </c>
      <c r="AG622" s="42"/>
      <c r="AH622" s="42"/>
      <c r="AI622" s="43"/>
      <c r="AJ622" s="43"/>
      <c r="AK622" s="43"/>
      <c r="AL622" s="43"/>
      <c r="AM622" s="43"/>
      <c r="AN622" s="42"/>
      <c r="AO622" s="42"/>
      <c r="AP622" s="42"/>
      <c r="AQ622" s="43"/>
      <c r="AR622" s="42"/>
      <c r="AS622" s="42"/>
    </row>
    <row r="623" spans="1:45" ht="15" customHeight="1">
      <c r="A623" s="21" t="s">
        <v>57</v>
      </c>
      <c r="B623" s="21" t="s">
        <v>46</v>
      </c>
      <c r="C623" s="21" t="s">
        <v>188</v>
      </c>
      <c r="D623" s="22" t="s">
        <v>59</v>
      </c>
      <c r="E623" s="80" t="s">
        <v>695</v>
      </c>
      <c r="F623" s="65" t="s">
        <v>696</v>
      </c>
      <c r="G623" s="101" t="s">
        <v>77</v>
      </c>
      <c r="H623" s="133" t="s">
        <v>697</v>
      </c>
      <c r="I623" s="24" t="s">
        <v>705</v>
      </c>
      <c r="J623" s="47" t="s">
        <v>699</v>
      </c>
      <c r="K623" s="104"/>
      <c r="L623" s="48" t="s">
        <v>700</v>
      </c>
      <c r="M623" s="27">
        <v>45181</v>
      </c>
      <c r="N623" s="49" t="s">
        <v>177</v>
      </c>
      <c r="O623" s="61">
        <v>5216.57</v>
      </c>
      <c r="P623" s="106">
        <v>-4</v>
      </c>
      <c r="Q623" s="51">
        <f t="shared" si="17"/>
        <v>-20866.28</v>
      </c>
      <c r="R623" s="31">
        <v>202310</v>
      </c>
      <c r="S623" s="54" t="s">
        <v>784</v>
      </c>
      <c r="T623" s="54"/>
      <c r="U623" s="54"/>
      <c r="V623" s="54"/>
      <c r="W623" s="67"/>
      <c r="X623" s="67"/>
      <c r="Y623" s="36"/>
      <c r="Z623" s="36"/>
      <c r="AA623" s="36"/>
      <c r="AB623" s="36"/>
      <c r="AC623" s="36"/>
      <c r="AD623" s="36"/>
      <c r="AE623" s="36"/>
      <c r="AF623" s="53" t="s">
        <v>68</v>
      </c>
      <c r="AG623" s="42"/>
      <c r="AH623" s="42"/>
      <c r="AI623" s="43"/>
      <c r="AJ623" s="43"/>
      <c r="AK623" s="43"/>
      <c r="AL623" s="43"/>
      <c r="AM623" s="43"/>
      <c r="AN623" s="42"/>
      <c r="AO623" s="42"/>
      <c r="AP623" s="42"/>
      <c r="AQ623" s="43"/>
      <c r="AR623" s="42"/>
      <c r="AS623" s="42"/>
    </row>
    <row r="624" spans="1:45" ht="15" customHeight="1">
      <c r="A624" s="21" t="s">
        <v>57</v>
      </c>
      <c r="B624" s="21" t="s">
        <v>46</v>
      </c>
      <c r="C624" s="21" t="s">
        <v>188</v>
      </c>
      <c r="D624" s="22" t="s">
        <v>59</v>
      </c>
      <c r="E624" s="80" t="s">
        <v>695</v>
      </c>
      <c r="F624" s="65" t="s">
        <v>785</v>
      </c>
      <c r="G624" s="101" t="s">
        <v>62</v>
      </c>
      <c r="H624" s="25" t="s">
        <v>786</v>
      </c>
      <c r="I624" s="24" t="s">
        <v>64</v>
      </c>
      <c r="J624" s="47"/>
      <c r="K624" s="104"/>
      <c r="L624" s="48"/>
      <c r="M624" s="27">
        <v>44041</v>
      </c>
      <c r="N624" s="49"/>
      <c r="O624" s="61">
        <v>600</v>
      </c>
      <c r="P624" s="29">
        <v>1</v>
      </c>
      <c r="Q624" s="51">
        <f t="shared" si="17"/>
        <v>600</v>
      </c>
      <c r="R624" s="31">
        <v>202310</v>
      </c>
      <c r="S624" s="54" t="s">
        <v>787</v>
      </c>
      <c r="T624" s="54"/>
      <c r="U624" s="54"/>
      <c r="V624" s="54"/>
      <c r="W624" s="67"/>
      <c r="X624" s="67"/>
      <c r="Y624" s="36"/>
      <c r="Z624" s="36"/>
      <c r="AA624" s="36"/>
      <c r="AB624" s="36"/>
      <c r="AC624" s="36"/>
      <c r="AD624" s="36"/>
      <c r="AE624" s="36"/>
      <c r="AF624" s="53" t="s">
        <v>68</v>
      </c>
      <c r="AG624" s="42"/>
      <c r="AH624" s="42"/>
      <c r="AI624" s="43"/>
      <c r="AJ624" s="43"/>
      <c r="AK624" s="43"/>
      <c r="AL624" s="43"/>
      <c r="AM624" s="43"/>
      <c r="AN624" s="42"/>
      <c r="AO624" s="42"/>
      <c r="AP624" s="42"/>
      <c r="AQ624" s="43"/>
      <c r="AR624" s="42"/>
      <c r="AS624" s="42"/>
    </row>
    <row r="625" spans="1:45" ht="15" customHeight="1">
      <c r="A625" s="21" t="s">
        <v>57</v>
      </c>
      <c r="B625" s="21" t="s">
        <v>46</v>
      </c>
      <c r="C625" s="21" t="s">
        <v>188</v>
      </c>
      <c r="D625" s="22" t="s">
        <v>59</v>
      </c>
      <c r="E625" s="80" t="s">
        <v>695</v>
      </c>
      <c r="F625" s="65" t="s">
        <v>785</v>
      </c>
      <c r="G625" s="101" t="s">
        <v>62</v>
      </c>
      <c r="H625" s="25" t="s">
        <v>788</v>
      </c>
      <c r="I625" s="24" t="s">
        <v>64</v>
      </c>
      <c r="J625" s="47" t="s">
        <v>789</v>
      </c>
      <c r="K625" s="104"/>
      <c r="L625" s="48"/>
      <c r="M625" s="27">
        <v>44562</v>
      </c>
      <c r="N625" s="49" t="s">
        <v>790</v>
      </c>
      <c r="O625" s="61">
        <v>600</v>
      </c>
      <c r="P625" s="29">
        <v>2</v>
      </c>
      <c r="Q625" s="51">
        <f t="shared" si="17"/>
        <v>1200</v>
      </c>
      <c r="R625" s="31">
        <v>202310</v>
      </c>
      <c r="S625" s="54" t="s">
        <v>791</v>
      </c>
      <c r="T625" s="54"/>
      <c r="U625" s="54"/>
      <c r="V625" s="54"/>
      <c r="W625" s="67"/>
      <c r="X625" s="67"/>
      <c r="Y625" s="36"/>
      <c r="Z625" s="36"/>
      <c r="AA625" s="36"/>
      <c r="AB625" s="36"/>
      <c r="AC625" s="36"/>
      <c r="AD625" s="36"/>
      <c r="AE625" s="36"/>
      <c r="AF625" s="53" t="s">
        <v>68</v>
      </c>
      <c r="AG625" s="42"/>
      <c r="AH625" s="42"/>
      <c r="AI625" s="43"/>
      <c r="AJ625" s="43"/>
      <c r="AK625" s="43"/>
      <c r="AL625" s="43"/>
      <c r="AM625" s="43"/>
      <c r="AN625" s="42"/>
      <c r="AO625" s="42"/>
      <c r="AP625" s="42"/>
      <c r="AQ625" s="43"/>
      <c r="AR625" s="42"/>
      <c r="AS625" s="42"/>
    </row>
    <row r="626" spans="1:45" ht="15" customHeight="1">
      <c r="A626" s="21" t="s">
        <v>57</v>
      </c>
      <c r="B626" s="21" t="s">
        <v>46</v>
      </c>
      <c r="C626" s="21" t="s">
        <v>188</v>
      </c>
      <c r="D626" s="22" t="s">
        <v>59</v>
      </c>
      <c r="E626" s="80" t="s">
        <v>695</v>
      </c>
      <c r="F626" s="65" t="s">
        <v>785</v>
      </c>
      <c r="G626" s="101" t="s">
        <v>77</v>
      </c>
      <c r="H626" s="133" t="s">
        <v>792</v>
      </c>
      <c r="I626" s="24" t="s">
        <v>78</v>
      </c>
      <c r="J626" s="47" t="s">
        <v>793</v>
      </c>
      <c r="K626" s="104"/>
      <c r="L626" s="48" t="s">
        <v>794</v>
      </c>
      <c r="M626" s="27">
        <v>44163</v>
      </c>
      <c r="N626" s="49" t="s">
        <v>177</v>
      </c>
      <c r="O626" s="61">
        <v>7500</v>
      </c>
      <c r="P626" s="106">
        <v>1</v>
      </c>
      <c r="Q626" s="51">
        <f t="shared" ref="Q626:Q656" si="18">ROUND(O626*P626,2)</f>
        <v>7500</v>
      </c>
      <c r="R626" s="31">
        <v>202310</v>
      </c>
      <c r="S626" s="54" t="s">
        <v>795</v>
      </c>
      <c r="T626" s="54"/>
      <c r="U626" s="54"/>
      <c r="V626" s="54"/>
      <c r="W626" s="67"/>
      <c r="X626" s="67"/>
      <c r="Y626" s="36"/>
      <c r="Z626" s="36"/>
      <c r="AA626" s="36"/>
      <c r="AB626" s="36"/>
      <c r="AC626" s="36"/>
      <c r="AD626" s="36"/>
      <c r="AE626" s="36"/>
      <c r="AF626" s="53" t="s">
        <v>68</v>
      </c>
      <c r="AG626" s="42"/>
      <c r="AH626" s="42"/>
      <c r="AI626" s="43"/>
      <c r="AJ626" s="43"/>
      <c r="AK626" s="43"/>
      <c r="AL626" s="43"/>
      <c r="AM626" s="43"/>
      <c r="AN626" s="42"/>
      <c r="AO626" s="42"/>
      <c r="AP626" s="42"/>
      <c r="AQ626" s="43"/>
      <c r="AR626" s="42"/>
      <c r="AS626" s="42"/>
    </row>
    <row r="627" spans="1:45" ht="15" customHeight="1">
      <c r="A627" s="21" t="s">
        <v>57</v>
      </c>
      <c r="B627" s="21" t="s">
        <v>46</v>
      </c>
      <c r="C627" s="21" t="s">
        <v>188</v>
      </c>
      <c r="D627" s="22" t="s">
        <v>59</v>
      </c>
      <c r="E627" s="80" t="s">
        <v>695</v>
      </c>
      <c r="F627" s="65" t="s">
        <v>785</v>
      </c>
      <c r="G627" s="101" t="s">
        <v>77</v>
      </c>
      <c r="H627" s="133" t="s">
        <v>792</v>
      </c>
      <c r="I627" s="24" t="s">
        <v>78</v>
      </c>
      <c r="J627" s="47" t="s">
        <v>796</v>
      </c>
      <c r="K627" s="104"/>
      <c r="L627" s="48" t="s">
        <v>797</v>
      </c>
      <c r="M627" s="27">
        <v>44182</v>
      </c>
      <c r="N627" s="49" t="s">
        <v>177</v>
      </c>
      <c r="O627" s="61">
        <v>7500</v>
      </c>
      <c r="P627" s="106">
        <v>1</v>
      </c>
      <c r="Q627" s="51">
        <f t="shared" si="18"/>
        <v>7500</v>
      </c>
      <c r="R627" s="31">
        <v>202310</v>
      </c>
      <c r="S627" s="54" t="s">
        <v>798</v>
      </c>
      <c r="T627" s="54"/>
      <c r="U627" s="54"/>
      <c r="V627" s="54"/>
      <c r="W627" s="67"/>
      <c r="X627" s="67"/>
      <c r="Y627" s="36"/>
      <c r="Z627" s="36"/>
      <c r="AA627" s="36"/>
      <c r="AB627" s="36"/>
      <c r="AC627" s="36"/>
      <c r="AD627" s="36"/>
      <c r="AE627" s="36"/>
      <c r="AF627" s="53" t="s">
        <v>68</v>
      </c>
      <c r="AG627" s="42"/>
      <c r="AH627" s="42"/>
      <c r="AI627" s="43"/>
      <c r="AJ627" s="43"/>
      <c r="AK627" s="43"/>
      <c r="AL627" s="43"/>
      <c r="AM627" s="43"/>
      <c r="AN627" s="42"/>
      <c r="AO627" s="42"/>
      <c r="AP627" s="42"/>
      <c r="AQ627" s="43"/>
      <c r="AR627" s="42"/>
      <c r="AS627" s="42"/>
    </row>
    <row r="628" spans="1:45" ht="15" customHeight="1">
      <c r="A628" s="21" t="s">
        <v>57</v>
      </c>
      <c r="B628" s="21" t="s">
        <v>46</v>
      </c>
      <c r="C628" s="21" t="s">
        <v>188</v>
      </c>
      <c r="D628" s="22" t="s">
        <v>59</v>
      </c>
      <c r="E628" s="80" t="s">
        <v>695</v>
      </c>
      <c r="F628" s="65" t="s">
        <v>785</v>
      </c>
      <c r="G628" s="101" t="s">
        <v>77</v>
      </c>
      <c r="H628" s="133" t="s">
        <v>792</v>
      </c>
      <c r="I628" s="24" t="s">
        <v>78</v>
      </c>
      <c r="J628" s="47" t="s">
        <v>796</v>
      </c>
      <c r="K628" s="104"/>
      <c r="L628" s="48" t="s">
        <v>797</v>
      </c>
      <c r="M628" s="27">
        <v>44527</v>
      </c>
      <c r="N628" s="49" t="s">
        <v>177</v>
      </c>
      <c r="O628" s="61">
        <v>7500</v>
      </c>
      <c r="P628" s="106">
        <v>-1</v>
      </c>
      <c r="Q628" s="51">
        <f t="shared" si="18"/>
        <v>-7500</v>
      </c>
      <c r="R628" s="31">
        <v>202310</v>
      </c>
      <c r="S628" s="54"/>
      <c r="T628" s="54"/>
      <c r="U628" s="54"/>
      <c r="V628" s="54"/>
      <c r="W628" s="67"/>
      <c r="X628" s="67"/>
      <c r="Y628" s="36"/>
      <c r="Z628" s="36"/>
      <c r="AA628" s="36"/>
      <c r="AB628" s="36"/>
      <c r="AC628" s="36"/>
      <c r="AD628" s="36"/>
      <c r="AE628" s="36"/>
      <c r="AF628" s="53" t="s">
        <v>68</v>
      </c>
      <c r="AG628" s="42"/>
      <c r="AH628" s="42"/>
      <c r="AI628" s="43"/>
      <c r="AJ628" s="43"/>
      <c r="AK628" s="43"/>
      <c r="AL628" s="43"/>
      <c r="AM628" s="43"/>
      <c r="AN628" s="42"/>
      <c r="AO628" s="42"/>
      <c r="AP628" s="42"/>
      <c r="AQ628" s="43"/>
      <c r="AR628" s="42"/>
      <c r="AS628" s="42"/>
    </row>
    <row r="629" spans="1:45" ht="15" customHeight="1">
      <c r="A629" s="21" t="s">
        <v>57</v>
      </c>
      <c r="B629" s="21" t="s">
        <v>46</v>
      </c>
      <c r="C629" s="21" t="s">
        <v>188</v>
      </c>
      <c r="D629" s="22" t="s">
        <v>59</v>
      </c>
      <c r="E629" s="80" t="s">
        <v>695</v>
      </c>
      <c r="F629" s="65" t="s">
        <v>785</v>
      </c>
      <c r="G629" s="101" t="s">
        <v>62</v>
      </c>
      <c r="H629" s="133" t="s">
        <v>792</v>
      </c>
      <c r="I629" s="24" t="s">
        <v>64</v>
      </c>
      <c r="J629" s="47" t="s">
        <v>793</v>
      </c>
      <c r="K629" s="104"/>
      <c r="L629" s="48"/>
      <c r="M629" s="27">
        <v>44163</v>
      </c>
      <c r="N629" s="49" t="s">
        <v>790</v>
      </c>
      <c r="O629" s="61">
        <f>600*4</f>
        <v>2400</v>
      </c>
      <c r="P629" s="29">
        <v>1</v>
      </c>
      <c r="Q629" s="51">
        <f t="shared" si="18"/>
        <v>2400</v>
      </c>
      <c r="R629" s="31">
        <v>202310</v>
      </c>
      <c r="S629" s="54" t="s">
        <v>799</v>
      </c>
      <c r="T629" s="54"/>
      <c r="U629" s="54"/>
      <c r="V629" s="54"/>
      <c r="W629" s="67"/>
      <c r="X629" s="67"/>
      <c r="Y629" s="36"/>
      <c r="Z629" s="36"/>
      <c r="AA629" s="36"/>
      <c r="AB629" s="36"/>
      <c r="AC629" s="36"/>
      <c r="AD629" s="36"/>
      <c r="AE629" s="36"/>
      <c r="AF629" s="53" t="s">
        <v>68</v>
      </c>
      <c r="AG629" s="42"/>
      <c r="AH629" s="42"/>
      <c r="AI629" s="43"/>
      <c r="AJ629" s="43"/>
      <c r="AK629" s="43"/>
      <c r="AL629" s="43"/>
      <c r="AM629" s="43"/>
      <c r="AN629" s="42"/>
      <c r="AO629" s="42"/>
      <c r="AP629" s="42"/>
      <c r="AQ629" s="43"/>
      <c r="AR629" s="42"/>
      <c r="AS629" s="42"/>
    </row>
    <row r="630" spans="1:45" ht="15" customHeight="1">
      <c r="A630" s="21" t="s">
        <v>57</v>
      </c>
      <c r="B630" s="21" t="s">
        <v>46</v>
      </c>
      <c r="C630" s="21" t="s">
        <v>188</v>
      </c>
      <c r="D630" s="22" t="s">
        <v>59</v>
      </c>
      <c r="E630" s="80" t="s">
        <v>695</v>
      </c>
      <c r="F630" s="65" t="s">
        <v>785</v>
      </c>
      <c r="G630" s="101" t="s">
        <v>62</v>
      </c>
      <c r="H630" s="133" t="s">
        <v>792</v>
      </c>
      <c r="I630" s="24" t="s">
        <v>64</v>
      </c>
      <c r="J630" s="47" t="s">
        <v>796</v>
      </c>
      <c r="K630" s="104"/>
      <c r="L630" s="48"/>
      <c r="M630" s="27">
        <v>44182</v>
      </c>
      <c r="N630" s="49" t="s">
        <v>790</v>
      </c>
      <c r="O630" s="61">
        <f>600*4</f>
        <v>2400</v>
      </c>
      <c r="P630" s="29">
        <v>1</v>
      </c>
      <c r="Q630" s="51">
        <f t="shared" si="18"/>
        <v>2400</v>
      </c>
      <c r="R630" s="31">
        <v>202310</v>
      </c>
      <c r="S630" s="54" t="s">
        <v>800</v>
      </c>
      <c r="T630" s="54"/>
      <c r="U630" s="54"/>
      <c r="V630" s="54"/>
      <c r="W630" s="67"/>
      <c r="X630" s="67"/>
      <c r="Y630" s="36"/>
      <c r="Z630" s="36"/>
      <c r="AA630" s="36"/>
      <c r="AB630" s="36"/>
      <c r="AC630" s="36"/>
      <c r="AD630" s="36"/>
      <c r="AE630" s="36"/>
      <c r="AF630" s="53" t="s">
        <v>68</v>
      </c>
      <c r="AG630" s="42"/>
      <c r="AH630" s="42"/>
      <c r="AI630" s="43"/>
      <c r="AJ630" s="43"/>
      <c r="AK630" s="43"/>
      <c r="AL630" s="43"/>
      <c r="AM630" s="43"/>
      <c r="AN630" s="42"/>
      <c r="AO630" s="42"/>
      <c r="AP630" s="42"/>
      <c r="AQ630" s="43"/>
      <c r="AR630" s="42"/>
      <c r="AS630" s="42"/>
    </row>
    <row r="631" spans="1:45" ht="15" customHeight="1">
      <c r="A631" s="21" t="s">
        <v>57</v>
      </c>
      <c r="B631" s="21" t="s">
        <v>46</v>
      </c>
      <c r="C631" s="21" t="s">
        <v>188</v>
      </c>
      <c r="D631" s="22" t="s">
        <v>59</v>
      </c>
      <c r="E631" s="80" t="s">
        <v>695</v>
      </c>
      <c r="F631" s="65" t="s">
        <v>785</v>
      </c>
      <c r="G631" s="101" t="s">
        <v>62</v>
      </c>
      <c r="H631" s="133" t="s">
        <v>792</v>
      </c>
      <c r="I631" s="24" t="s">
        <v>64</v>
      </c>
      <c r="J631" s="47" t="s">
        <v>796</v>
      </c>
      <c r="K631" s="104"/>
      <c r="L631" s="48"/>
      <c r="M631" s="27">
        <v>44527</v>
      </c>
      <c r="N631" s="49" t="s">
        <v>790</v>
      </c>
      <c r="O631" s="61">
        <f>600*4</f>
        <v>2400</v>
      </c>
      <c r="P631" s="29">
        <v>-1</v>
      </c>
      <c r="Q631" s="51">
        <f t="shared" si="18"/>
        <v>-2400</v>
      </c>
      <c r="R631" s="31">
        <v>202310</v>
      </c>
      <c r="S631" s="54"/>
      <c r="T631" s="54"/>
      <c r="U631" s="54"/>
      <c r="V631" s="54"/>
      <c r="W631" s="67"/>
      <c r="X631" s="67"/>
      <c r="Y631" s="36"/>
      <c r="Z631" s="36"/>
      <c r="AA631" s="36"/>
      <c r="AB631" s="36"/>
      <c r="AC631" s="36"/>
      <c r="AD631" s="36"/>
      <c r="AE631" s="36"/>
      <c r="AF631" s="53" t="s">
        <v>68</v>
      </c>
      <c r="AG631" s="42"/>
      <c r="AH631" s="42"/>
      <c r="AI631" s="43"/>
      <c r="AJ631" s="43"/>
      <c r="AK631" s="43"/>
      <c r="AL631" s="43"/>
      <c r="AM631" s="43"/>
      <c r="AN631" s="42"/>
      <c r="AO631" s="42"/>
      <c r="AP631" s="42"/>
      <c r="AQ631" s="43"/>
      <c r="AR631" s="42"/>
      <c r="AS631" s="42"/>
    </row>
    <row r="632" spans="1:45" ht="15" customHeight="1">
      <c r="A632" s="21" t="s">
        <v>57</v>
      </c>
      <c r="B632" s="22" t="s">
        <v>46</v>
      </c>
      <c r="C632" s="21" t="s">
        <v>801</v>
      </c>
      <c r="D632" s="22" t="s">
        <v>71</v>
      </c>
      <c r="E632" s="80" t="s">
        <v>802</v>
      </c>
      <c r="F632" s="21" t="s">
        <v>803</v>
      </c>
      <c r="G632" s="101" t="s">
        <v>297</v>
      </c>
      <c r="H632" s="133" t="s">
        <v>804</v>
      </c>
      <c r="I632" s="65" t="s">
        <v>805</v>
      </c>
      <c r="J632" s="65" t="s">
        <v>806</v>
      </c>
      <c r="K632" s="104"/>
      <c r="L632" s="48"/>
      <c r="M632" s="27">
        <v>44537</v>
      </c>
      <c r="N632" s="105" t="s">
        <v>66</v>
      </c>
      <c r="O632" s="106">
        <v>1666.67</v>
      </c>
      <c r="P632" s="106">
        <v>1</v>
      </c>
      <c r="Q632" s="51">
        <f t="shared" si="18"/>
        <v>1666.67</v>
      </c>
      <c r="R632" s="31">
        <v>202310</v>
      </c>
      <c r="S632" s="54" t="s">
        <v>807</v>
      </c>
      <c r="T632" s="54"/>
      <c r="U632" s="54"/>
      <c r="V632" s="54"/>
      <c r="W632" s="52"/>
      <c r="X632" s="52"/>
      <c r="Y632" s="36"/>
      <c r="Z632" s="36"/>
      <c r="AA632" s="36"/>
      <c r="AB632" s="36"/>
      <c r="AC632" s="36"/>
      <c r="AD632" s="36"/>
      <c r="AE632" s="36"/>
      <c r="AF632" s="53" t="s">
        <v>68</v>
      </c>
      <c r="AG632" s="42"/>
      <c r="AH632" s="42"/>
      <c r="AI632" s="43"/>
      <c r="AJ632" s="43"/>
      <c r="AK632" s="43"/>
      <c r="AL632" s="43"/>
      <c r="AM632" s="43"/>
      <c r="AN632" s="42"/>
      <c r="AO632" s="42"/>
      <c r="AP632" s="42"/>
      <c r="AQ632" s="43"/>
      <c r="AR632" s="42"/>
      <c r="AS632" s="42"/>
    </row>
    <row r="633" spans="1:45" ht="15" customHeight="1">
      <c r="A633" s="21" t="s">
        <v>57</v>
      </c>
      <c r="B633" s="22" t="s">
        <v>46</v>
      </c>
      <c r="C633" s="21" t="s">
        <v>58</v>
      </c>
      <c r="D633" s="22" t="s">
        <v>71</v>
      </c>
      <c r="E633" s="80" t="s">
        <v>808</v>
      </c>
      <c r="F633" s="21" t="s">
        <v>809</v>
      </c>
      <c r="G633" s="101" t="s">
        <v>62</v>
      </c>
      <c r="H633" s="133" t="s">
        <v>810</v>
      </c>
      <c r="I633" s="24" t="s">
        <v>64</v>
      </c>
      <c r="J633" s="65" t="s">
        <v>811</v>
      </c>
      <c r="K633" s="104"/>
      <c r="L633" s="48"/>
      <c r="M633" s="27">
        <v>44927</v>
      </c>
      <c r="N633" s="105"/>
      <c r="O633" s="106">
        <v>1667</v>
      </c>
      <c r="P633" s="106">
        <v>1</v>
      </c>
      <c r="Q633" s="51">
        <f t="shared" si="18"/>
        <v>1667</v>
      </c>
      <c r="R633" s="31">
        <v>202310</v>
      </c>
      <c r="S633" s="54" t="s">
        <v>812</v>
      </c>
      <c r="T633" s="54"/>
      <c r="U633" s="54"/>
      <c r="V633" s="54"/>
      <c r="W633" s="52"/>
      <c r="X633" s="52"/>
      <c r="Y633" s="36">
        <v>44927</v>
      </c>
      <c r="Z633" s="36">
        <v>45473</v>
      </c>
      <c r="AA633" s="36"/>
      <c r="AB633" s="36"/>
      <c r="AC633" s="36"/>
      <c r="AD633" s="36"/>
      <c r="AE633" s="36"/>
      <c r="AF633" s="53" t="s">
        <v>68</v>
      </c>
      <c r="AG633" s="42"/>
      <c r="AH633" s="42"/>
      <c r="AI633" s="43"/>
      <c r="AJ633" s="43"/>
      <c r="AK633" s="43"/>
      <c r="AL633" s="43"/>
      <c r="AM633" s="43"/>
      <c r="AN633" s="42"/>
      <c r="AO633" s="42"/>
      <c r="AP633" s="42"/>
      <c r="AQ633" s="43"/>
      <c r="AR633" s="42"/>
      <c r="AS633" s="42"/>
    </row>
    <row r="634" spans="1:45" ht="15" customHeight="1">
      <c r="A634" s="56" t="s">
        <v>813</v>
      </c>
      <c r="B634" s="21" t="s">
        <v>46</v>
      </c>
      <c r="C634" s="57" t="s">
        <v>814</v>
      </c>
      <c r="D634" s="22" t="s">
        <v>48</v>
      </c>
      <c r="E634" s="58" t="s">
        <v>815</v>
      </c>
      <c r="F634" s="56" t="s">
        <v>816</v>
      </c>
      <c r="G634" s="26" t="s">
        <v>165</v>
      </c>
      <c r="H634" s="25" t="s">
        <v>817</v>
      </c>
      <c r="I634" s="26" t="s">
        <v>491</v>
      </c>
      <c r="J634" s="56" t="s">
        <v>818</v>
      </c>
      <c r="K634" s="59" t="s">
        <v>819</v>
      </c>
      <c r="L634" s="48" t="s">
        <v>820</v>
      </c>
      <c r="M634" s="49">
        <v>44713</v>
      </c>
      <c r="N634" s="49" t="s">
        <v>168</v>
      </c>
      <c r="O634" s="60">
        <v>0</v>
      </c>
      <c r="P634" s="61">
        <v>288</v>
      </c>
      <c r="Q634" s="51">
        <f t="shared" si="18"/>
        <v>0</v>
      </c>
      <c r="R634" s="31">
        <v>202310</v>
      </c>
      <c r="S634" s="62" t="s">
        <v>821</v>
      </c>
      <c r="T634" s="33"/>
      <c r="U634" s="58"/>
      <c r="V634" s="58"/>
      <c r="W634" s="63"/>
      <c r="X634" s="63"/>
      <c r="Y634" s="36">
        <v>45078</v>
      </c>
      <c r="Z634" s="36">
        <v>45443</v>
      </c>
      <c r="AA634" s="36"/>
      <c r="AB634" s="36"/>
      <c r="AC634" s="36"/>
      <c r="AD634" s="36"/>
      <c r="AE634" s="36"/>
      <c r="AF634" s="40" t="s">
        <v>503</v>
      </c>
      <c r="AG634" s="42"/>
      <c r="AH634" s="42"/>
      <c r="AI634" s="43"/>
      <c r="AJ634" s="43"/>
      <c r="AK634" s="43"/>
      <c r="AL634" s="43"/>
      <c r="AM634" s="43"/>
      <c r="AN634" s="42"/>
      <c r="AO634" s="42"/>
      <c r="AP634" s="42"/>
      <c r="AQ634" s="43"/>
      <c r="AR634" s="42"/>
      <c r="AS634" s="42"/>
    </row>
    <row r="635" spans="1:45" ht="15" customHeight="1">
      <c r="A635" s="56" t="s">
        <v>813</v>
      </c>
      <c r="B635" s="21" t="s">
        <v>46</v>
      </c>
      <c r="C635" s="57" t="s">
        <v>814</v>
      </c>
      <c r="D635" s="22" t="s">
        <v>48</v>
      </c>
      <c r="E635" s="58" t="s">
        <v>815</v>
      </c>
      <c r="F635" s="56" t="s">
        <v>816</v>
      </c>
      <c r="G635" s="26" t="s">
        <v>77</v>
      </c>
      <c r="H635" s="25" t="s">
        <v>817</v>
      </c>
      <c r="I635" s="26" t="s">
        <v>479</v>
      </c>
      <c r="J635" s="56" t="s">
        <v>818</v>
      </c>
      <c r="K635" s="59" t="s">
        <v>819</v>
      </c>
      <c r="L635" s="48" t="s">
        <v>820</v>
      </c>
      <c r="M635" s="49">
        <v>44713</v>
      </c>
      <c r="N635" s="49" t="s">
        <v>90</v>
      </c>
      <c r="O635" s="60">
        <v>4000</v>
      </c>
      <c r="P635" s="61">
        <v>6</v>
      </c>
      <c r="Q635" s="51">
        <f t="shared" si="18"/>
        <v>24000</v>
      </c>
      <c r="R635" s="31">
        <v>202310</v>
      </c>
      <c r="S635" s="62" t="s">
        <v>822</v>
      </c>
      <c r="T635" s="33"/>
      <c r="U635" s="58"/>
      <c r="V635" s="58"/>
      <c r="W635" s="63"/>
      <c r="X635" s="63"/>
      <c r="Y635" s="36">
        <v>45078</v>
      </c>
      <c r="Z635" s="36">
        <v>45443</v>
      </c>
      <c r="AA635" s="36"/>
      <c r="AB635" s="36"/>
      <c r="AC635" s="36"/>
      <c r="AD635" s="36"/>
      <c r="AE635" s="36"/>
      <c r="AF635" s="40" t="s">
        <v>503</v>
      </c>
      <c r="AG635" s="42"/>
      <c r="AH635" s="42"/>
      <c r="AI635" s="43"/>
      <c r="AJ635" s="43"/>
      <c r="AK635" s="43"/>
      <c r="AL635" s="43"/>
      <c r="AM635" s="43"/>
      <c r="AN635" s="42"/>
      <c r="AO635" s="42"/>
      <c r="AP635" s="42"/>
      <c r="AQ635" s="43"/>
      <c r="AR635" s="42"/>
      <c r="AS635" s="42"/>
    </row>
    <row r="636" spans="1:45" ht="15" customHeight="1">
      <c r="A636" s="56" t="s">
        <v>823</v>
      </c>
      <c r="B636" s="21" t="s">
        <v>46</v>
      </c>
      <c r="C636" s="57" t="s">
        <v>814</v>
      </c>
      <c r="D636" s="22" t="s">
        <v>48</v>
      </c>
      <c r="E636" s="58" t="s">
        <v>815</v>
      </c>
      <c r="F636" s="56" t="s">
        <v>824</v>
      </c>
      <c r="G636" s="26" t="s">
        <v>165</v>
      </c>
      <c r="H636" s="25" t="s">
        <v>825</v>
      </c>
      <c r="I636" s="26" t="s">
        <v>491</v>
      </c>
      <c r="J636" s="56" t="s">
        <v>818</v>
      </c>
      <c r="K636" s="59" t="s">
        <v>826</v>
      </c>
      <c r="L636" s="48" t="s">
        <v>820</v>
      </c>
      <c r="M636" s="49">
        <v>44713</v>
      </c>
      <c r="N636" s="49" t="s">
        <v>168</v>
      </c>
      <c r="O636" s="60">
        <v>0</v>
      </c>
      <c r="P636" s="61">
        <v>288</v>
      </c>
      <c r="Q636" s="51">
        <f t="shared" si="18"/>
        <v>0</v>
      </c>
      <c r="R636" s="31">
        <v>202310</v>
      </c>
      <c r="S636" s="62" t="s">
        <v>827</v>
      </c>
      <c r="T636" s="33"/>
      <c r="U636" s="58"/>
      <c r="V636" s="58"/>
      <c r="W636" s="63"/>
      <c r="X636" s="63"/>
      <c r="Y636" s="36">
        <v>45078</v>
      </c>
      <c r="Z636" s="36">
        <v>45443</v>
      </c>
      <c r="AA636" s="36"/>
      <c r="AB636" s="36"/>
      <c r="AC636" s="36"/>
      <c r="AD636" s="36"/>
      <c r="AE636" s="36"/>
      <c r="AF636" s="40" t="s">
        <v>503</v>
      </c>
      <c r="AG636" s="42"/>
      <c r="AH636" s="42"/>
      <c r="AI636" s="43"/>
      <c r="AJ636" s="43"/>
      <c r="AK636" s="43"/>
      <c r="AL636" s="43"/>
      <c r="AM636" s="43"/>
      <c r="AN636" s="42"/>
      <c r="AO636" s="42"/>
      <c r="AP636" s="42"/>
      <c r="AQ636" s="43"/>
      <c r="AR636" s="42"/>
      <c r="AS636" s="42"/>
    </row>
    <row r="637" spans="1:45" ht="15" customHeight="1">
      <c r="A637" s="56" t="s">
        <v>823</v>
      </c>
      <c r="B637" s="21" t="s">
        <v>46</v>
      </c>
      <c r="C637" s="57" t="s">
        <v>814</v>
      </c>
      <c r="D637" s="22" t="s">
        <v>48</v>
      </c>
      <c r="E637" s="58" t="s">
        <v>815</v>
      </c>
      <c r="F637" s="56" t="s">
        <v>824</v>
      </c>
      <c r="G637" s="26" t="s">
        <v>77</v>
      </c>
      <c r="H637" s="25" t="s">
        <v>825</v>
      </c>
      <c r="I637" s="26" t="s">
        <v>479</v>
      </c>
      <c r="J637" s="56" t="s">
        <v>818</v>
      </c>
      <c r="K637" s="59" t="s">
        <v>826</v>
      </c>
      <c r="L637" s="48" t="s">
        <v>820</v>
      </c>
      <c r="M637" s="49">
        <v>44713</v>
      </c>
      <c r="N637" s="49" t="s">
        <v>90</v>
      </c>
      <c r="O637" s="60">
        <v>4000</v>
      </c>
      <c r="P637" s="61">
        <v>6</v>
      </c>
      <c r="Q637" s="51">
        <f t="shared" si="18"/>
        <v>24000</v>
      </c>
      <c r="R637" s="31">
        <v>202310</v>
      </c>
      <c r="S637" s="62" t="s">
        <v>828</v>
      </c>
      <c r="T637" s="33"/>
      <c r="U637" s="58"/>
      <c r="V637" s="58"/>
      <c r="W637" s="63"/>
      <c r="X637" s="63"/>
      <c r="Y637" s="36">
        <v>45078</v>
      </c>
      <c r="Z637" s="36">
        <v>45443</v>
      </c>
      <c r="AA637" s="36"/>
      <c r="AB637" s="36"/>
      <c r="AC637" s="36"/>
      <c r="AD637" s="36"/>
      <c r="AE637" s="36"/>
      <c r="AF637" s="40" t="s">
        <v>503</v>
      </c>
      <c r="AG637" s="42"/>
      <c r="AH637" s="42"/>
      <c r="AI637" s="43"/>
      <c r="AJ637" s="43"/>
      <c r="AK637" s="43"/>
      <c r="AL637" s="43"/>
      <c r="AM637" s="43"/>
      <c r="AN637" s="42"/>
      <c r="AO637" s="42"/>
      <c r="AP637" s="42"/>
      <c r="AQ637" s="43"/>
      <c r="AR637" s="42"/>
      <c r="AS637" s="42"/>
    </row>
    <row r="638" spans="1:45" ht="15" customHeight="1">
      <c r="A638" s="56" t="s">
        <v>829</v>
      </c>
      <c r="B638" s="21" t="s">
        <v>46</v>
      </c>
      <c r="C638" s="57" t="s">
        <v>814</v>
      </c>
      <c r="D638" s="22" t="s">
        <v>48</v>
      </c>
      <c r="E638" s="58" t="s">
        <v>815</v>
      </c>
      <c r="F638" s="56" t="s">
        <v>830</v>
      </c>
      <c r="G638" s="26" t="s">
        <v>165</v>
      </c>
      <c r="H638" s="25" t="s">
        <v>831</v>
      </c>
      <c r="I638" s="26" t="s">
        <v>491</v>
      </c>
      <c r="J638" s="56" t="s">
        <v>818</v>
      </c>
      <c r="K638" s="59" t="s">
        <v>832</v>
      </c>
      <c r="L638" s="48" t="s">
        <v>820</v>
      </c>
      <c r="M638" s="49">
        <v>44713</v>
      </c>
      <c r="N638" s="49" t="s">
        <v>168</v>
      </c>
      <c r="O638" s="60">
        <v>0</v>
      </c>
      <c r="P638" s="61">
        <v>288</v>
      </c>
      <c r="Q638" s="51">
        <f t="shared" si="18"/>
        <v>0</v>
      </c>
      <c r="R638" s="31">
        <v>202310</v>
      </c>
      <c r="S638" s="62" t="s">
        <v>833</v>
      </c>
      <c r="T638" s="33"/>
      <c r="U638" s="58"/>
      <c r="V638" s="58"/>
      <c r="W638" s="63"/>
      <c r="X638" s="63"/>
      <c r="Y638" s="36">
        <v>45078</v>
      </c>
      <c r="Z638" s="36">
        <v>45443</v>
      </c>
      <c r="AA638" s="36"/>
      <c r="AB638" s="36"/>
      <c r="AC638" s="36"/>
      <c r="AD638" s="36"/>
      <c r="AE638" s="36"/>
      <c r="AF638" s="40" t="s">
        <v>503</v>
      </c>
      <c r="AG638" s="42"/>
      <c r="AH638" s="42"/>
      <c r="AI638" s="43"/>
      <c r="AJ638" s="43"/>
      <c r="AK638" s="43"/>
      <c r="AL638" s="43"/>
      <c r="AM638" s="43"/>
      <c r="AN638" s="42"/>
      <c r="AO638" s="42"/>
      <c r="AP638" s="42"/>
      <c r="AQ638" s="43"/>
      <c r="AR638" s="42"/>
      <c r="AS638" s="42"/>
    </row>
    <row r="639" spans="1:45" ht="15" customHeight="1">
      <c r="A639" s="56" t="s">
        <v>829</v>
      </c>
      <c r="B639" s="21" t="s">
        <v>46</v>
      </c>
      <c r="C639" s="57" t="s">
        <v>814</v>
      </c>
      <c r="D639" s="22" t="s">
        <v>48</v>
      </c>
      <c r="E639" s="58" t="s">
        <v>815</v>
      </c>
      <c r="F639" s="56" t="s">
        <v>830</v>
      </c>
      <c r="G639" s="26" t="s">
        <v>77</v>
      </c>
      <c r="H639" s="25" t="s">
        <v>831</v>
      </c>
      <c r="I639" s="26" t="s">
        <v>479</v>
      </c>
      <c r="J639" s="56" t="s">
        <v>818</v>
      </c>
      <c r="K639" s="59" t="s">
        <v>832</v>
      </c>
      <c r="L639" s="48" t="s">
        <v>820</v>
      </c>
      <c r="M639" s="49">
        <v>44713</v>
      </c>
      <c r="N639" s="49" t="s">
        <v>90</v>
      </c>
      <c r="O639" s="60">
        <v>4000</v>
      </c>
      <c r="P639" s="61">
        <v>6</v>
      </c>
      <c r="Q639" s="51">
        <f t="shared" si="18"/>
        <v>24000</v>
      </c>
      <c r="R639" s="31">
        <v>202310</v>
      </c>
      <c r="S639" s="62" t="s">
        <v>834</v>
      </c>
      <c r="T639" s="33"/>
      <c r="U639" s="58"/>
      <c r="V639" s="58"/>
      <c r="W639" s="63"/>
      <c r="X639" s="63"/>
      <c r="Y639" s="36">
        <v>45078</v>
      </c>
      <c r="Z639" s="36">
        <v>45443</v>
      </c>
      <c r="AA639" s="36"/>
      <c r="AB639" s="36"/>
      <c r="AC639" s="36"/>
      <c r="AD639" s="36"/>
      <c r="AE639" s="36"/>
      <c r="AF639" s="40" t="s">
        <v>503</v>
      </c>
      <c r="AG639" s="42"/>
      <c r="AH639" s="42"/>
      <c r="AI639" s="43"/>
      <c r="AJ639" s="43"/>
      <c r="AK639" s="43"/>
      <c r="AL639" s="43"/>
      <c r="AM639" s="43"/>
      <c r="AN639" s="42"/>
      <c r="AO639" s="42"/>
      <c r="AP639" s="42"/>
      <c r="AQ639" s="43"/>
      <c r="AR639" s="42"/>
      <c r="AS639" s="42"/>
    </row>
    <row r="640" spans="1:45" ht="15" customHeight="1">
      <c r="A640" s="56" t="s">
        <v>829</v>
      </c>
      <c r="B640" s="21" t="s">
        <v>46</v>
      </c>
      <c r="C640" s="57" t="s">
        <v>814</v>
      </c>
      <c r="D640" s="22" t="s">
        <v>48</v>
      </c>
      <c r="E640" s="58" t="s">
        <v>815</v>
      </c>
      <c r="F640" s="56" t="s">
        <v>830</v>
      </c>
      <c r="G640" s="26" t="s">
        <v>62</v>
      </c>
      <c r="H640" s="25" t="s">
        <v>831</v>
      </c>
      <c r="I640" s="26" t="s">
        <v>64</v>
      </c>
      <c r="J640" s="56" t="s">
        <v>818</v>
      </c>
      <c r="K640" s="59" t="s">
        <v>832</v>
      </c>
      <c r="L640" s="48" t="s">
        <v>820</v>
      </c>
      <c r="M640" s="49">
        <v>44713</v>
      </c>
      <c r="N640" s="49" t="s">
        <v>835</v>
      </c>
      <c r="O640" s="60">
        <v>1250</v>
      </c>
      <c r="P640" s="61">
        <v>2</v>
      </c>
      <c r="Q640" s="51">
        <f t="shared" si="18"/>
        <v>2500</v>
      </c>
      <c r="R640" s="31">
        <v>202310</v>
      </c>
      <c r="S640" s="62" t="s">
        <v>836</v>
      </c>
      <c r="T640" s="33"/>
      <c r="U640" s="58"/>
      <c r="V640" s="58"/>
      <c r="W640" s="63"/>
      <c r="X640" s="63"/>
      <c r="Y640" s="36">
        <v>45078</v>
      </c>
      <c r="Z640" s="36">
        <v>45443</v>
      </c>
      <c r="AA640" s="36"/>
      <c r="AB640" s="36"/>
      <c r="AC640" s="36"/>
      <c r="AD640" s="36"/>
      <c r="AE640" s="36"/>
      <c r="AF640" s="40" t="s">
        <v>503</v>
      </c>
      <c r="AG640" s="42"/>
      <c r="AH640" s="42"/>
      <c r="AI640" s="43"/>
      <c r="AJ640" s="43"/>
      <c r="AK640" s="43"/>
      <c r="AL640" s="43"/>
      <c r="AM640" s="43"/>
      <c r="AN640" s="42"/>
      <c r="AO640" s="42"/>
      <c r="AP640" s="42"/>
      <c r="AQ640" s="43"/>
      <c r="AR640" s="42"/>
      <c r="AS640" s="42"/>
    </row>
    <row r="641" spans="1:45" ht="15" customHeight="1">
      <c r="A641" s="135" t="s">
        <v>260</v>
      </c>
      <c r="B641" s="136" t="s">
        <v>837</v>
      </c>
      <c r="C641" s="136" t="s">
        <v>838</v>
      </c>
      <c r="D641" s="136" t="s">
        <v>48</v>
      </c>
      <c r="E641" s="137" t="s">
        <v>839</v>
      </c>
      <c r="F641" s="135" t="s">
        <v>840</v>
      </c>
      <c r="G641" s="135" t="s">
        <v>77</v>
      </c>
      <c r="H641" s="74" t="s">
        <v>841</v>
      </c>
      <c r="I641" s="102" t="s">
        <v>479</v>
      </c>
      <c r="J641" s="135" t="s">
        <v>842</v>
      </c>
      <c r="K641" s="138" t="s">
        <v>843</v>
      </c>
      <c r="L641" s="48" t="s">
        <v>844</v>
      </c>
      <c r="M641" s="49">
        <v>43491</v>
      </c>
      <c r="N641" s="49" t="s">
        <v>504</v>
      </c>
      <c r="O641" s="139">
        <v>4000</v>
      </c>
      <c r="P641" s="140">
        <v>9</v>
      </c>
      <c r="Q641" s="141">
        <f t="shared" si="18"/>
        <v>36000</v>
      </c>
      <c r="R641" s="31">
        <v>202310</v>
      </c>
      <c r="S641" s="108" t="s">
        <v>845</v>
      </c>
      <c r="T641" s="33"/>
      <c r="U641" s="108"/>
      <c r="V641" s="142"/>
      <c r="W641" s="143"/>
      <c r="X641" s="139"/>
      <c r="Y641" s="36"/>
      <c r="Z641" s="36"/>
      <c r="AA641" s="49"/>
      <c r="AB641" s="49"/>
      <c r="AC641" s="49"/>
      <c r="AD641" s="49"/>
      <c r="AE641" s="49"/>
      <c r="AF641" s="144" t="s">
        <v>503</v>
      </c>
      <c r="AG641" s="144"/>
      <c r="AH641" s="144"/>
      <c r="AI641" s="42"/>
      <c r="AJ641" s="43"/>
      <c r="AK641" s="43"/>
      <c r="AL641" s="43"/>
      <c r="AM641" s="43"/>
      <c r="AN641" s="42"/>
      <c r="AO641" s="145"/>
      <c r="AP641" s="42"/>
      <c r="AQ641" s="42"/>
      <c r="AR641" s="42"/>
      <c r="AS641" s="42" t="s">
        <v>846</v>
      </c>
    </row>
    <row r="642" spans="1:45" ht="15" customHeight="1">
      <c r="A642" s="135" t="s">
        <v>260</v>
      </c>
      <c r="B642" s="136" t="s">
        <v>837</v>
      </c>
      <c r="C642" s="136" t="s">
        <v>838</v>
      </c>
      <c r="D642" s="136" t="s">
        <v>48</v>
      </c>
      <c r="E642" s="137" t="s">
        <v>839</v>
      </c>
      <c r="F642" s="135" t="s">
        <v>847</v>
      </c>
      <c r="G642" s="135" t="s">
        <v>77</v>
      </c>
      <c r="H642" s="74" t="s">
        <v>841</v>
      </c>
      <c r="I642" s="102" t="s">
        <v>479</v>
      </c>
      <c r="J642" s="135" t="s">
        <v>842</v>
      </c>
      <c r="K642" s="138" t="s">
        <v>843</v>
      </c>
      <c r="L642" s="48" t="s">
        <v>844</v>
      </c>
      <c r="M642" s="49">
        <v>44804</v>
      </c>
      <c r="N642" s="49" t="s">
        <v>504</v>
      </c>
      <c r="O642" s="139">
        <v>4000</v>
      </c>
      <c r="P642" s="140">
        <v>-6</v>
      </c>
      <c r="Q642" s="141">
        <f t="shared" si="18"/>
        <v>-24000</v>
      </c>
      <c r="R642" s="31">
        <v>202310</v>
      </c>
      <c r="S642" s="108" t="s">
        <v>848</v>
      </c>
      <c r="T642" s="33"/>
      <c r="U642" s="108"/>
      <c r="V642" s="142"/>
      <c r="W642" s="143"/>
      <c r="X642" s="139"/>
      <c r="Y642" s="36"/>
      <c r="Z642" s="36"/>
      <c r="AA642" s="49"/>
      <c r="AB642" s="49"/>
      <c r="AC642" s="49"/>
      <c r="AD642" s="49"/>
      <c r="AE642" s="49"/>
      <c r="AF642" s="144" t="s">
        <v>503</v>
      </c>
      <c r="AG642" s="144"/>
      <c r="AH642" s="144"/>
      <c r="AI642" s="42"/>
      <c r="AJ642" s="43"/>
      <c r="AK642" s="43"/>
      <c r="AL642" s="43"/>
      <c r="AM642" s="43"/>
      <c r="AN642" s="42"/>
      <c r="AO642" s="145"/>
      <c r="AP642" s="42"/>
      <c r="AQ642" s="42"/>
      <c r="AR642" s="42"/>
      <c r="AS642" s="42" t="s">
        <v>846</v>
      </c>
    </row>
    <row r="643" spans="1:45" ht="15" customHeight="1">
      <c r="A643" s="135" t="s">
        <v>260</v>
      </c>
      <c r="B643" s="136" t="s">
        <v>837</v>
      </c>
      <c r="C643" s="136" t="s">
        <v>838</v>
      </c>
      <c r="D643" s="136" t="s">
        <v>48</v>
      </c>
      <c r="E643" s="137" t="s">
        <v>839</v>
      </c>
      <c r="F643" s="135" t="s">
        <v>840</v>
      </c>
      <c r="G643" s="135" t="s">
        <v>77</v>
      </c>
      <c r="H643" s="74" t="s">
        <v>841</v>
      </c>
      <c r="I643" s="102" t="s">
        <v>849</v>
      </c>
      <c r="J643" s="135" t="s">
        <v>842</v>
      </c>
      <c r="K643" s="146" t="s">
        <v>850</v>
      </c>
      <c r="L643" s="48" t="s">
        <v>844</v>
      </c>
      <c r="M643" s="49" t="s">
        <v>851</v>
      </c>
      <c r="N643" s="49" t="s">
        <v>504</v>
      </c>
      <c r="O643" s="139">
        <v>4000</v>
      </c>
      <c r="P643" s="140">
        <v>3</v>
      </c>
      <c r="Q643" s="141">
        <f t="shared" si="18"/>
        <v>12000</v>
      </c>
      <c r="R643" s="31">
        <v>202310</v>
      </c>
      <c r="S643" s="108" t="s">
        <v>852</v>
      </c>
      <c r="T643" s="33"/>
      <c r="U643" s="108"/>
      <c r="V643" s="142"/>
      <c r="W643" s="143"/>
      <c r="X643" s="139"/>
      <c r="Y643" s="36"/>
      <c r="Z643" s="36"/>
      <c r="AA643" s="49"/>
      <c r="AB643" s="49"/>
      <c r="AC643" s="49"/>
      <c r="AD643" s="49"/>
      <c r="AE643" s="49"/>
      <c r="AF643" s="144" t="s">
        <v>853</v>
      </c>
      <c r="AG643" s="144"/>
      <c r="AH643" s="144"/>
      <c r="AI643" s="42"/>
      <c r="AJ643" s="43"/>
      <c r="AK643" s="43"/>
      <c r="AL643" s="43"/>
      <c r="AM643" s="43"/>
      <c r="AN643" s="42"/>
      <c r="AO643" s="145"/>
      <c r="AP643" s="42"/>
      <c r="AQ643" s="42"/>
      <c r="AR643" s="42"/>
      <c r="AS643" s="42" t="s">
        <v>846</v>
      </c>
    </row>
    <row r="644" spans="1:45" ht="15" customHeight="1">
      <c r="A644" s="135" t="s">
        <v>260</v>
      </c>
      <c r="B644" s="136" t="s">
        <v>837</v>
      </c>
      <c r="C644" s="136" t="s">
        <v>838</v>
      </c>
      <c r="D644" s="136" t="s">
        <v>48</v>
      </c>
      <c r="E644" s="137" t="s">
        <v>839</v>
      </c>
      <c r="F644" s="135" t="s">
        <v>840</v>
      </c>
      <c r="G644" s="135" t="s">
        <v>77</v>
      </c>
      <c r="H644" s="74" t="s">
        <v>841</v>
      </c>
      <c r="I644" s="102" t="s">
        <v>849</v>
      </c>
      <c r="J644" s="135" t="s">
        <v>842</v>
      </c>
      <c r="K644" s="146" t="s">
        <v>850</v>
      </c>
      <c r="L644" s="48" t="s">
        <v>844</v>
      </c>
      <c r="M644" s="49">
        <v>44773</v>
      </c>
      <c r="N644" s="49" t="s">
        <v>504</v>
      </c>
      <c r="O644" s="139">
        <v>4000</v>
      </c>
      <c r="P644" s="140">
        <v>-3</v>
      </c>
      <c r="Q644" s="141">
        <f t="shared" si="18"/>
        <v>-12000</v>
      </c>
      <c r="R644" s="31">
        <v>202310</v>
      </c>
      <c r="S644" s="108" t="s">
        <v>854</v>
      </c>
      <c r="T644" s="33"/>
      <c r="U644" s="108"/>
      <c r="V644" s="142"/>
      <c r="W644" s="143"/>
      <c r="X644" s="139"/>
      <c r="Y644" s="36"/>
      <c r="Z644" s="36"/>
      <c r="AA644" s="49"/>
      <c r="AB644" s="49"/>
      <c r="AC644" s="49"/>
      <c r="AD644" s="49"/>
      <c r="AE644" s="49"/>
      <c r="AF644" s="144" t="s">
        <v>853</v>
      </c>
      <c r="AG644" s="144"/>
      <c r="AH644" s="144"/>
      <c r="AI644" s="42"/>
      <c r="AJ644" s="43"/>
      <c r="AK644" s="43"/>
      <c r="AL644" s="43"/>
      <c r="AM644" s="43"/>
      <c r="AN644" s="42"/>
      <c r="AO644" s="145"/>
      <c r="AP644" s="42"/>
      <c r="AQ644" s="42"/>
      <c r="AR644" s="42"/>
      <c r="AS644" s="42" t="s">
        <v>846</v>
      </c>
    </row>
    <row r="645" spans="1:45" ht="15" customHeight="1">
      <c r="A645" s="135" t="s">
        <v>260</v>
      </c>
      <c r="B645" s="136" t="s">
        <v>837</v>
      </c>
      <c r="C645" s="136" t="s">
        <v>838</v>
      </c>
      <c r="D645" s="136" t="s">
        <v>48</v>
      </c>
      <c r="E645" s="137" t="s">
        <v>839</v>
      </c>
      <c r="F645" s="135" t="s">
        <v>840</v>
      </c>
      <c r="G645" s="135" t="s">
        <v>77</v>
      </c>
      <c r="H645" s="74" t="s">
        <v>841</v>
      </c>
      <c r="I645" s="102" t="s">
        <v>479</v>
      </c>
      <c r="J645" s="135" t="s">
        <v>855</v>
      </c>
      <c r="K645" s="138" t="s">
        <v>856</v>
      </c>
      <c r="L645" s="48" t="s">
        <v>857</v>
      </c>
      <c r="M645" s="49">
        <v>43630</v>
      </c>
      <c r="N645" s="49" t="s">
        <v>504</v>
      </c>
      <c r="O645" s="139">
        <v>4000</v>
      </c>
      <c r="P645" s="140">
        <v>5</v>
      </c>
      <c r="Q645" s="141">
        <f t="shared" si="18"/>
        <v>20000</v>
      </c>
      <c r="R645" s="31">
        <v>202310</v>
      </c>
      <c r="S645" s="108" t="s">
        <v>858</v>
      </c>
      <c r="T645" s="33"/>
      <c r="U645" s="108"/>
      <c r="V645" s="142"/>
      <c r="W645" s="143"/>
      <c r="X645" s="139"/>
      <c r="Y645" s="36"/>
      <c r="Z645" s="36"/>
      <c r="AA645" s="49"/>
      <c r="AB645" s="49"/>
      <c r="AC645" s="49"/>
      <c r="AD645" s="49"/>
      <c r="AE645" s="49"/>
      <c r="AF645" s="144" t="s">
        <v>503</v>
      </c>
      <c r="AG645" s="144"/>
      <c r="AH645" s="144"/>
      <c r="AI645" s="42"/>
      <c r="AJ645" s="43"/>
      <c r="AK645" s="43"/>
      <c r="AL645" s="43"/>
      <c r="AM645" s="43"/>
      <c r="AN645" s="42"/>
      <c r="AO645" s="145"/>
      <c r="AP645" s="42"/>
      <c r="AQ645" s="42"/>
      <c r="AR645" s="42"/>
      <c r="AS645" s="42" t="s">
        <v>846</v>
      </c>
    </row>
    <row r="646" spans="1:45" ht="15" customHeight="1">
      <c r="A646" s="135" t="s">
        <v>260</v>
      </c>
      <c r="B646" s="136" t="s">
        <v>837</v>
      </c>
      <c r="C646" s="136" t="s">
        <v>838</v>
      </c>
      <c r="D646" s="136" t="s">
        <v>48</v>
      </c>
      <c r="E646" s="137" t="s">
        <v>839</v>
      </c>
      <c r="F646" s="135" t="s">
        <v>840</v>
      </c>
      <c r="G646" s="135" t="s">
        <v>165</v>
      </c>
      <c r="H646" s="74" t="s">
        <v>841</v>
      </c>
      <c r="I646" s="102" t="s">
        <v>859</v>
      </c>
      <c r="J646" s="135" t="s">
        <v>860</v>
      </c>
      <c r="K646" s="146" t="s">
        <v>850</v>
      </c>
      <c r="L646" s="48" t="s">
        <v>844</v>
      </c>
      <c r="M646" s="49" t="s">
        <v>851</v>
      </c>
      <c r="N646" s="49" t="s">
        <v>168</v>
      </c>
      <c r="O646" s="139">
        <v>0</v>
      </c>
      <c r="P646" s="140">
        <v>256</v>
      </c>
      <c r="Q646" s="141">
        <f t="shared" si="18"/>
        <v>0</v>
      </c>
      <c r="R646" s="31">
        <v>202310</v>
      </c>
      <c r="S646" s="108" t="s">
        <v>861</v>
      </c>
      <c r="T646" s="33"/>
      <c r="U646" s="108"/>
      <c r="V646" s="142"/>
      <c r="W646" s="143"/>
      <c r="X646" s="139"/>
      <c r="Y646" s="36"/>
      <c r="Z646" s="36"/>
      <c r="AA646" s="49"/>
      <c r="AB646" s="49"/>
      <c r="AC646" s="49"/>
      <c r="AD646" s="49"/>
      <c r="AE646" s="49"/>
      <c r="AF646" s="144" t="s">
        <v>853</v>
      </c>
      <c r="AG646" s="144"/>
      <c r="AH646" s="144"/>
      <c r="AI646" s="42"/>
      <c r="AJ646" s="43"/>
      <c r="AK646" s="43"/>
      <c r="AL646" s="43"/>
      <c r="AM646" s="43"/>
      <c r="AN646" s="42"/>
      <c r="AO646" s="145"/>
      <c r="AP646" s="42"/>
      <c r="AQ646" s="42"/>
      <c r="AR646" s="42"/>
      <c r="AS646" s="42" t="s">
        <v>846</v>
      </c>
    </row>
    <row r="647" spans="1:45" ht="15" customHeight="1">
      <c r="A647" s="135" t="s">
        <v>260</v>
      </c>
      <c r="B647" s="136" t="s">
        <v>837</v>
      </c>
      <c r="C647" s="136" t="s">
        <v>838</v>
      </c>
      <c r="D647" s="136" t="s">
        <v>48</v>
      </c>
      <c r="E647" s="137" t="s">
        <v>839</v>
      </c>
      <c r="F647" s="135" t="s">
        <v>840</v>
      </c>
      <c r="G647" s="135" t="s">
        <v>165</v>
      </c>
      <c r="H647" s="74" t="s">
        <v>841</v>
      </c>
      <c r="I647" s="102" t="s">
        <v>859</v>
      </c>
      <c r="J647" s="135" t="s">
        <v>860</v>
      </c>
      <c r="K647" s="146" t="s">
        <v>850</v>
      </c>
      <c r="L647" s="48" t="s">
        <v>844</v>
      </c>
      <c r="M647" s="49">
        <v>44773</v>
      </c>
      <c r="N647" s="49" t="s">
        <v>168</v>
      </c>
      <c r="O647" s="139">
        <v>0</v>
      </c>
      <c r="P647" s="140">
        <v>-256</v>
      </c>
      <c r="Q647" s="141">
        <f t="shared" si="18"/>
        <v>0</v>
      </c>
      <c r="R647" s="31">
        <v>202310</v>
      </c>
      <c r="S647" s="108" t="s">
        <v>862</v>
      </c>
      <c r="T647" s="33"/>
      <c r="U647" s="108"/>
      <c r="V647" s="142"/>
      <c r="W647" s="143"/>
      <c r="X647" s="139"/>
      <c r="Y647" s="36"/>
      <c r="Z647" s="36"/>
      <c r="AA647" s="49"/>
      <c r="AB647" s="49"/>
      <c r="AC647" s="49"/>
      <c r="AD647" s="49"/>
      <c r="AE647" s="49"/>
      <c r="AF647" s="144" t="s">
        <v>853</v>
      </c>
      <c r="AG647" s="144"/>
      <c r="AH647" s="144"/>
      <c r="AI647" s="42"/>
      <c r="AJ647" s="43"/>
      <c r="AK647" s="43"/>
      <c r="AL647" s="43"/>
      <c r="AM647" s="43"/>
      <c r="AN647" s="42"/>
      <c r="AO647" s="145"/>
      <c r="AP647" s="42"/>
      <c r="AQ647" s="42"/>
      <c r="AR647" s="42"/>
      <c r="AS647" s="42" t="s">
        <v>846</v>
      </c>
    </row>
    <row r="648" spans="1:45" ht="15" customHeight="1">
      <c r="A648" s="135" t="s">
        <v>260</v>
      </c>
      <c r="B648" s="136" t="s">
        <v>837</v>
      </c>
      <c r="C648" s="136" t="s">
        <v>838</v>
      </c>
      <c r="D648" s="136" t="s">
        <v>48</v>
      </c>
      <c r="E648" s="137" t="s">
        <v>839</v>
      </c>
      <c r="F648" s="135" t="s">
        <v>840</v>
      </c>
      <c r="G648" s="135" t="s">
        <v>77</v>
      </c>
      <c r="H648" s="74" t="s">
        <v>841</v>
      </c>
      <c r="I648" s="102" t="s">
        <v>479</v>
      </c>
      <c r="J648" s="135" t="s">
        <v>855</v>
      </c>
      <c r="K648" s="138" t="s">
        <v>856</v>
      </c>
      <c r="L648" s="48" t="s">
        <v>857</v>
      </c>
      <c r="M648" s="49">
        <v>44189</v>
      </c>
      <c r="N648" s="49" t="s">
        <v>504</v>
      </c>
      <c r="O648" s="139">
        <v>4000</v>
      </c>
      <c r="P648" s="140">
        <v>-1</v>
      </c>
      <c r="Q648" s="141">
        <f t="shared" si="18"/>
        <v>-4000</v>
      </c>
      <c r="R648" s="31">
        <v>202310</v>
      </c>
      <c r="S648" s="108" t="s">
        <v>863</v>
      </c>
      <c r="T648" s="33"/>
      <c r="U648" s="108"/>
      <c r="V648" s="142"/>
      <c r="W648" s="143"/>
      <c r="X648" s="139"/>
      <c r="Y648" s="36"/>
      <c r="Z648" s="36"/>
      <c r="AA648" s="49"/>
      <c r="AB648" s="49"/>
      <c r="AC648" s="49"/>
      <c r="AD648" s="49"/>
      <c r="AE648" s="49"/>
      <c r="AF648" s="144" t="s">
        <v>503</v>
      </c>
      <c r="AG648" s="144"/>
      <c r="AH648" s="144"/>
      <c r="AI648" s="42"/>
      <c r="AJ648" s="43"/>
      <c r="AK648" s="43"/>
      <c r="AL648" s="43"/>
      <c r="AM648" s="43"/>
      <c r="AN648" s="42"/>
      <c r="AO648" s="145"/>
      <c r="AP648" s="42"/>
      <c r="AQ648" s="42"/>
      <c r="AR648" s="42"/>
      <c r="AS648" s="42" t="s">
        <v>846</v>
      </c>
    </row>
    <row r="649" spans="1:45" ht="15" customHeight="1">
      <c r="A649" s="135" t="s">
        <v>260</v>
      </c>
      <c r="B649" s="136" t="s">
        <v>837</v>
      </c>
      <c r="C649" s="136" t="s">
        <v>838</v>
      </c>
      <c r="D649" s="136" t="s">
        <v>48</v>
      </c>
      <c r="E649" s="137" t="s">
        <v>839</v>
      </c>
      <c r="F649" s="135" t="s">
        <v>840</v>
      </c>
      <c r="G649" s="135" t="s">
        <v>77</v>
      </c>
      <c r="H649" s="74" t="s">
        <v>841</v>
      </c>
      <c r="I649" s="102" t="s">
        <v>479</v>
      </c>
      <c r="J649" s="135" t="s">
        <v>855</v>
      </c>
      <c r="K649" s="138" t="s">
        <v>856</v>
      </c>
      <c r="L649" s="48" t="s">
        <v>857</v>
      </c>
      <c r="M649" s="49">
        <v>43990</v>
      </c>
      <c r="N649" s="49" t="s">
        <v>504</v>
      </c>
      <c r="O649" s="139">
        <v>4000</v>
      </c>
      <c r="P649" s="140">
        <v>1</v>
      </c>
      <c r="Q649" s="141">
        <f t="shared" si="18"/>
        <v>4000</v>
      </c>
      <c r="R649" s="31">
        <v>202310</v>
      </c>
      <c r="S649" s="108" t="s">
        <v>864</v>
      </c>
      <c r="T649" s="33"/>
      <c r="U649" s="108"/>
      <c r="V649" s="142"/>
      <c r="W649" s="143"/>
      <c r="X649" s="139"/>
      <c r="Y649" s="36"/>
      <c r="Z649" s="36"/>
      <c r="AA649" s="49"/>
      <c r="AB649" s="49"/>
      <c r="AC649" s="49"/>
      <c r="AD649" s="49"/>
      <c r="AE649" s="49"/>
      <c r="AF649" s="144" t="s">
        <v>484</v>
      </c>
      <c r="AG649" s="144"/>
      <c r="AH649" s="144"/>
      <c r="AI649" s="42"/>
      <c r="AJ649" s="43"/>
      <c r="AK649" s="43"/>
      <c r="AL649" s="43"/>
      <c r="AM649" s="43"/>
      <c r="AN649" s="42"/>
      <c r="AO649" s="145"/>
      <c r="AP649" s="42"/>
      <c r="AQ649" s="42"/>
      <c r="AR649" s="42"/>
      <c r="AS649" s="42" t="s">
        <v>846</v>
      </c>
    </row>
    <row r="650" spans="1:45" ht="15" customHeight="1">
      <c r="A650" s="135" t="s">
        <v>260</v>
      </c>
      <c r="B650" s="136" t="s">
        <v>837</v>
      </c>
      <c r="C650" s="136" t="s">
        <v>838</v>
      </c>
      <c r="D650" s="136" t="s">
        <v>48</v>
      </c>
      <c r="E650" s="137" t="s">
        <v>839</v>
      </c>
      <c r="F650" s="135" t="s">
        <v>840</v>
      </c>
      <c r="G650" s="135" t="s">
        <v>165</v>
      </c>
      <c r="H650" s="74" t="s">
        <v>841</v>
      </c>
      <c r="I650" s="102" t="s">
        <v>491</v>
      </c>
      <c r="J650" s="135" t="s">
        <v>865</v>
      </c>
      <c r="K650" s="138" t="s">
        <v>843</v>
      </c>
      <c r="L650" s="48" t="s">
        <v>844</v>
      </c>
      <c r="M650" s="49" t="s">
        <v>866</v>
      </c>
      <c r="N650" s="49" t="s">
        <v>168</v>
      </c>
      <c r="O650" s="139">
        <v>0</v>
      </c>
      <c r="P650" s="140">
        <v>288</v>
      </c>
      <c r="Q650" s="141">
        <f t="shared" si="18"/>
        <v>0</v>
      </c>
      <c r="R650" s="31">
        <v>202310</v>
      </c>
      <c r="S650" s="108" t="s">
        <v>867</v>
      </c>
      <c r="T650" s="33"/>
      <c r="U650" s="108"/>
      <c r="V650" s="142"/>
      <c r="W650" s="143"/>
      <c r="X650" s="139"/>
      <c r="Y650" s="36"/>
      <c r="Z650" s="36"/>
      <c r="AA650" s="49"/>
      <c r="AB650" s="49"/>
      <c r="AC650" s="49"/>
      <c r="AD650" s="49"/>
      <c r="AE650" s="49"/>
      <c r="AF650" s="144" t="s">
        <v>503</v>
      </c>
      <c r="AG650" s="144"/>
      <c r="AH650" s="144"/>
      <c r="AI650" s="42"/>
      <c r="AJ650" s="43"/>
      <c r="AK650" s="43"/>
      <c r="AL650" s="43"/>
      <c r="AM650" s="43"/>
      <c r="AN650" s="42"/>
      <c r="AO650" s="145"/>
      <c r="AP650" s="42"/>
      <c r="AQ650" s="42"/>
      <c r="AR650" s="42"/>
      <c r="AS650" s="42" t="s">
        <v>846</v>
      </c>
    </row>
    <row r="651" spans="1:45" ht="15" customHeight="1">
      <c r="A651" s="135" t="s">
        <v>260</v>
      </c>
      <c r="B651" s="136" t="s">
        <v>837</v>
      </c>
      <c r="C651" s="136" t="s">
        <v>838</v>
      </c>
      <c r="D651" s="136" t="s">
        <v>48</v>
      </c>
      <c r="E651" s="137" t="s">
        <v>839</v>
      </c>
      <c r="F651" s="135" t="s">
        <v>840</v>
      </c>
      <c r="G651" s="135" t="s">
        <v>165</v>
      </c>
      <c r="H651" s="74" t="s">
        <v>841</v>
      </c>
      <c r="I651" s="102" t="s">
        <v>491</v>
      </c>
      <c r="J651" s="135" t="s">
        <v>865</v>
      </c>
      <c r="K651" s="138" t="s">
        <v>843</v>
      </c>
      <c r="L651" s="48" t="s">
        <v>844</v>
      </c>
      <c r="M651" s="49">
        <v>44804</v>
      </c>
      <c r="N651" s="49" t="s">
        <v>168</v>
      </c>
      <c r="O651" s="139">
        <v>0</v>
      </c>
      <c r="P651" s="140">
        <v>-128</v>
      </c>
      <c r="Q651" s="141">
        <f t="shared" si="18"/>
        <v>0</v>
      </c>
      <c r="R651" s="31">
        <v>202310</v>
      </c>
      <c r="S651" s="114" t="s">
        <v>868</v>
      </c>
      <c r="T651" s="33"/>
      <c r="U651" s="108"/>
      <c r="V651" s="142"/>
      <c r="W651" s="143"/>
      <c r="X651" s="139"/>
      <c r="Y651" s="36"/>
      <c r="Z651" s="36"/>
      <c r="AA651" s="49"/>
      <c r="AB651" s="49"/>
      <c r="AC651" s="49"/>
      <c r="AD651" s="49"/>
      <c r="AE651" s="49"/>
      <c r="AF651" s="144" t="s">
        <v>503</v>
      </c>
      <c r="AG651" s="144"/>
      <c r="AH651" s="144"/>
      <c r="AI651" s="42"/>
      <c r="AJ651" s="43"/>
      <c r="AK651" s="43"/>
      <c r="AL651" s="43"/>
      <c r="AM651" s="43"/>
      <c r="AN651" s="42"/>
      <c r="AO651" s="145"/>
      <c r="AP651" s="42"/>
      <c r="AQ651" s="42"/>
      <c r="AR651" s="42"/>
      <c r="AS651" s="42" t="s">
        <v>846</v>
      </c>
    </row>
    <row r="652" spans="1:45" ht="15" customHeight="1">
      <c r="A652" s="135" t="s">
        <v>260</v>
      </c>
      <c r="B652" s="136" t="s">
        <v>837</v>
      </c>
      <c r="C652" s="136" t="s">
        <v>838</v>
      </c>
      <c r="D652" s="136" t="s">
        <v>48</v>
      </c>
      <c r="E652" s="137" t="s">
        <v>839</v>
      </c>
      <c r="F652" s="135" t="s">
        <v>840</v>
      </c>
      <c r="G652" s="135" t="s">
        <v>165</v>
      </c>
      <c r="H652" s="74" t="s">
        <v>841</v>
      </c>
      <c r="I652" s="102" t="s">
        <v>491</v>
      </c>
      <c r="J652" s="135" t="s">
        <v>855</v>
      </c>
      <c r="K652" s="138" t="s">
        <v>856</v>
      </c>
      <c r="L652" s="48" t="s">
        <v>857</v>
      </c>
      <c r="M652" s="49">
        <v>43630</v>
      </c>
      <c r="N652" s="49" t="s">
        <v>168</v>
      </c>
      <c r="O652" s="139">
        <v>0</v>
      </c>
      <c r="P652" s="140">
        <v>288</v>
      </c>
      <c r="Q652" s="141">
        <f t="shared" si="18"/>
        <v>0</v>
      </c>
      <c r="R652" s="31">
        <v>202310</v>
      </c>
      <c r="S652" s="108" t="s">
        <v>869</v>
      </c>
      <c r="T652" s="33"/>
      <c r="U652" s="108"/>
      <c r="V652" s="142"/>
      <c r="W652" s="143"/>
      <c r="X652" s="139"/>
      <c r="Y652" s="36"/>
      <c r="Z652" s="36"/>
      <c r="AA652" s="49"/>
      <c r="AB652" s="49"/>
      <c r="AC652" s="49"/>
      <c r="AD652" s="49"/>
      <c r="AE652" s="49"/>
      <c r="AF652" s="144" t="s">
        <v>503</v>
      </c>
      <c r="AG652" s="144"/>
      <c r="AH652" s="144"/>
      <c r="AI652" s="42"/>
      <c r="AJ652" s="43"/>
      <c r="AK652" s="43"/>
      <c r="AL652" s="43"/>
      <c r="AM652" s="43"/>
      <c r="AN652" s="42"/>
      <c r="AO652" s="145"/>
      <c r="AP652" s="42"/>
      <c r="AQ652" s="42"/>
      <c r="AR652" s="42"/>
      <c r="AS652" s="42" t="s">
        <v>846</v>
      </c>
    </row>
    <row r="653" spans="1:45" ht="15" customHeight="1">
      <c r="A653" s="135" t="s">
        <v>260</v>
      </c>
      <c r="B653" s="136" t="s">
        <v>837</v>
      </c>
      <c r="C653" s="136" t="s">
        <v>838</v>
      </c>
      <c r="D653" s="136" t="s">
        <v>48</v>
      </c>
      <c r="E653" s="137" t="s">
        <v>839</v>
      </c>
      <c r="F653" s="135" t="s">
        <v>840</v>
      </c>
      <c r="G653" s="135" t="s">
        <v>165</v>
      </c>
      <c r="H653" s="74" t="s">
        <v>841</v>
      </c>
      <c r="I653" s="102" t="s">
        <v>491</v>
      </c>
      <c r="J653" s="135" t="s">
        <v>855</v>
      </c>
      <c r="K653" s="138" t="s">
        <v>856</v>
      </c>
      <c r="L653" s="48" t="s">
        <v>857</v>
      </c>
      <c r="M653" s="49">
        <v>43990</v>
      </c>
      <c r="N653" s="49" t="s">
        <v>168</v>
      </c>
      <c r="O653" s="139">
        <v>0</v>
      </c>
      <c r="P653" s="140">
        <v>128</v>
      </c>
      <c r="Q653" s="141">
        <f t="shared" si="18"/>
        <v>0</v>
      </c>
      <c r="R653" s="31">
        <v>202310</v>
      </c>
      <c r="S653" s="108" t="s">
        <v>870</v>
      </c>
      <c r="T653" s="33"/>
      <c r="U653" s="108"/>
      <c r="V653" s="142"/>
      <c r="W653" s="143"/>
      <c r="X653" s="139"/>
      <c r="Y653" s="36"/>
      <c r="Z653" s="36"/>
      <c r="AA653" s="49"/>
      <c r="AB653" s="49"/>
      <c r="AC653" s="49"/>
      <c r="AD653" s="49"/>
      <c r="AE653" s="49"/>
      <c r="AF653" s="144" t="s">
        <v>484</v>
      </c>
      <c r="AG653" s="144"/>
      <c r="AH653" s="144"/>
      <c r="AI653" s="42"/>
      <c r="AJ653" s="43"/>
      <c r="AK653" s="43"/>
      <c r="AL653" s="43"/>
      <c r="AM653" s="43"/>
      <c r="AN653" s="42"/>
      <c r="AO653" s="145"/>
      <c r="AP653" s="42"/>
      <c r="AQ653" s="42"/>
      <c r="AR653" s="42"/>
      <c r="AS653" s="42" t="s">
        <v>846</v>
      </c>
    </row>
    <row r="654" spans="1:45" ht="15" customHeight="1">
      <c r="A654" s="135" t="s">
        <v>260</v>
      </c>
      <c r="B654" s="136" t="s">
        <v>837</v>
      </c>
      <c r="C654" s="136" t="s">
        <v>838</v>
      </c>
      <c r="D654" s="136" t="s">
        <v>48</v>
      </c>
      <c r="E654" s="137" t="s">
        <v>839</v>
      </c>
      <c r="F654" s="135" t="s">
        <v>840</v>
      </c>
      <c r="G654" s="135" t="s">
        <v>77</v>
      </c>
      <c r="H654" s="74" t="s">
        <v>841</v>
      </c>
      <c r="I654" s="102" t="s">
        <v>479</v>
      </c>
      <c r="J654" s="135" t="s">
        <v>855</v>
      </c>
      <c r="K654" s="138" t="s">
        <v>856</v>
      </c>
      <c r="L654" s="48" t="s">
        <v>857</v>
      </c>
      <c r="M654" s="49">
        <v>44190</v>
      </c>
      <c r="N654" s="49" t="s">
        <v>504</v>
      </c>
      <c r="O654" s="139">
        <v>4000</v>
      </c>
      <c r="P654" s="140">
        <v>1</v>
      </c>
      <c r="Q654" s="141">
        <f t="shared" si="18"/>
        <v>4000</v>
      </c>
      <c r="R654" s="31">
        <v>202310</v>
      </c>
      <c r="S654" s="108" t="s">
        <v>871</v>
      </c>
      <c r="T654" s="33"/>
      <c r="U654" s="108"/>
      <c r="V654" s="142"/>
      <c r="W654" s="143"/>
      <c r="X654" s="139"/>
      <c r="Y654" s="36"/>
      <c r="Z654" s="36"/>
      <c r="AA654" s="49"/>
      <c r="AB654" s="49"/>
      <c r="AC654" s="49"/>
      <c r="AD654" s="49"/>
      <c r="AE654" s="49"/>
      <c r="AF654" s="144" t="s">
        <v>484</v>
      </c>
      <c r="AG654" s="144"/>
      <c r="AH654" s="144"/>
      <c r="AI654" s="42"/>
      <c r="AJ654" s="43"/>
      <c r="AK654" s="43"/>
      <c r="AL654" s="43"/>
      <c r="AM654" s="43"/>
      <c r="AN654" s="42"/>
      <c r="AO654" s="145"/>
      <c r="AP654" s="42"/>
      <c r="AQ654" s="42"/>
      <c r="AR654" s="42"/>
      <c r="AS654" s="42" t="s">
        <v>846</v>
      </c>
    </row>
    <row r="655" spans="1:45" ht="15" customHeight="1">
      <c r="A655" s="135" t="s">
        <v>260</v>
      </c>
      <c r="B655" s="136" t="s">
        <v>837</v>
      </c>
      <c r="C655" s="136" t="s">
        <v>838</v>
      </c>
      <c r="D655" s="136" t="s">
        <v>48</v>
      </c>
      <c r="E655" s="137" t="s">
        <v>839</v>
      </c>
      <c r="F655" s="135" t="s">
        <v>840</v>
      </c>
      <c r="G655" s="135" t="s">
        <v>165</v>
      </c>
      <c r="H655" s="74" t="s">
        <v>841</v>
      </c>
      <c r="I655" s="102" t="s">
        <v>491</v>
      </c>
      <c r="J655" s="135" t="s">
        <v>855</v>
      </c>
      <c r="K655" s="138" t="s">
        <v>856</v>
      </c>
      <c r="L655" s="48" t="s">
        <v>857</v>
      </c>
      <c r="M655" s="49">
        <v>44175</v>
      </c>
      <c r="N655" s="49" t="s">
        <v>168</v>
      </c>
      <c r="O655" s="139">
        <v>0</v>
      </c>
      <c r="P655" s="140">
        <v>128</v>
      </c>
      <c r="Q655" s="141">
        <f t="shared" si="18"/>
        <v>0</v>
      </c>
      <c r="R655" s="31">
        <v>202310</v>
      </c>
      <c r="S655" s="108" t="s">
        <v>872</v>
      </c>
      <c r="T655" s="33"/>
      <c r="U655" s="108"/>
      <c r="V655" s="142"/>
      <c r="W655" s="143"/>
      <c r="X655" s="139"/>
      <c r="Y655" s="36"/>
      <c r="Z655" s="36"/>
      <c r="AA655" s="49"/>
      <c r="AB655" s="49"/>
      <c r="AC655" s="49"/>
      <c r="AD655" s="49"/>
      <c r="AE655" s="49"/>
      <c r="AF655" s="144" t="s">
        <v>484</v>
      </c>
      <c r="AG655" s="144"/>
      <c r="AH655" s="144"/>
      <c r="AI655" s="42"/>
      <c r="AJ655" s="43"/>
      <c r="AK655" s="43"/>
      <c r="AL655" s="43"/>
      <c r="AM655" s="43"/>
      <c r="AN655" s="42"/>
      <c r="AO655" s="145"/>
      <c r="AP655" s="42"/>
      <c r="AQ655" s="42"/>
      <c r="AR655" s="42"/>
      <c r="AS655" s="42" t="s">
        <v>846</v>
      </c>
    </row>
    <row r="656" spans="1:45" ht="15" customHeight="1">
      <c r="A656" s="135" t="s">
        <v>260</v>
      </c>
      <c r="B656" s="136" t="s">
        <v>837</v>
      </c>
      <c r="C656" s="136" t="s">
        <v>838</v>
      </c>
      <c r="D656" s="136" t="s">
        <v>48</v>
      </c>
      <c r="E656" s="137" t="s">
        <v>839</v>
      </c>
      <c r="F656" s="135" t="s">
        <v>840</v>
      </c>
      <c r="G656" s="135" t="s">
        <v>77</v>
      </c>
      <c r="H656" s="74" t="s">
        <v>841</v>
      </c>
      <c r="I656" s="102" t="s">
        <v>479</v>
      </c>
      <c r="J656" s="135" t="s">
        <v>855</v>
      </c>
      <c r="K656" s="138" t="s">
        <v>856</v>
      </c>
      <c r="L656" s="48" t="s">
        <v>857</v>
      </c>
      <c r="M656" s="49">
        <v>44311</v>
      </c>
      <c r="N656" s="49" t="s">
        <v>504</v>
      </c>
      <c r="O656" s="139">
        <v>4000</v>
      </c>
      <c r="P656" s="140">
        <v>1</v>
      </c>
      <c r="Q656" s="141">
        <f t="shared" si="18"/>
        <v>4000</v>
      </c>
      <c r="R656" s="31">
        <v>202310</v>
      </c>
      <c r="S656" s="108" t="s">
        <v>873</v>
      </c>
      <c r="T656" s="33"/>
      <c r="U656" s="108"/>
      <c r="V656" s="142"/>
      <c r="W656" s="143"/>
      <c r="X656" s="139"/>
      <c r="Y656" s="36"/>
      <c r="Z656" s="36"/>
      <c r="AA656" s="49"/>
      <c r="AB656" s="49"/>
      <c r="AC656" s="49"/>
      <c r="AD656" s="49"/>
      <c r="AE656" s="49"/>
      <c r="AF656" s="144" t="s">
        <v>484</v>
      </c>
      <c r="AG656" s="144"/>
      <c r="AH656" s="144"/>
      <c r="AI656" s="42"/>
      <c r="AJ656" s="43"/>
      <c r="AK656" s="43"/>
      <c r="AL656" s="43"/>
      <c r="AM656" s="43"/>
      <c r="AN656" s="42"/>
      <c r="AO656" s="145"/>
      <c r="AP656" s="42"/>
      <c r="AQ656" s="42"/>
      <c r="AR656" s="42"/>
      <c r="AS656" s="42" t="s">
        <v>846</v>
      </c>
    </row>
    <row r="657" spans="1:45" ht="15" customHeight="1">
      <c r="A657" s="135" t="s">
        <v>260</v>
      </c>
      <c r="B657" s="136" t="s">
        <v>837</v>
      </c>
      <c r="C657" s="136" t="s">
        <v>838</v>
      </c>
      <c r="D657" s="136" t="s">
        <v>48</v>
      </c>
      <c r="E657" s="137" t="s">
        <v>839</v>
      </c>
      <c r="F657" s="135" t="s">
        <v>840</v>
      </c>
      <c r="G657" s="135" t="s">
        <v>77</v>
      </c>
      <c r="H657" s="74" t="s">
        <v>841</v>
      </c>
      <c r="I657" s="102" t="s">
        <v>479</v>
      </c>
      <c r="J657" s="135" t="s">
        <v>855</v>
      </c>
      <c r="K657" s="138" t="s">
        <v>856</v>
      </c>
      <c r="L657" s="48" t="s">
        <v>857</v>
      </c>
      <c r="M657" s="49">
        <v>44343</v>
      </c>
      <c r="N657" s="49" t="s">
        <v>504</v>
      </c>
      <c r="O657" s="139">
        <v>4000</v>
      </c>
      <c r="P657" s="140">
        <v>2</v>
      </c>
      <c r="Q657" s="141">
        <f>ROUND(P657*O657,2)</f>
        <v>8000</v>
      </c>
      <c r="R657" s="31">
        <v>202310</v>
      </c>
      <c r="S657" s="114" t="s">
        <v>874</v>
      </c>
      <c r="T657" s="33"/>
      <c r="U657" s="108"/>
      <c r="V657" s="142"/>
      <c r="W657" s="143"/>
      <c r="X657" s="139"/>
      <c r="Y657" s="36"/>
      <c r="Z657" s="36"/>
      <c r="AA657" s="49"/>
      <c r="AB657" s="49"/>
      <c r="AC657" s="49"/>
      <c r="AD657" s="49"/>
      <c r="AE657" s="49"/>
      <c r="AF657" s="144" t="s">
        <v>484</v>
      </c>
      <c r="AG657" s="144"/>
      <c r="AH657" s="144"/>
      <c r="AI657" s="42"/>
      <c r="AJ657" s="43"/>
      <c r="AK657" s="43"/>
      <c r="AL657" s="43"/>
      <c r="AM657" s="43"/>
      <c r="AN657" s="42"/>
      <c r="AO657" s="145"/>
      <c r="AP657" s="42"/>
      <c r="AQ657" s="42"/>
      <c r="AR657" s="42"/>
      <c r="AS657" s="42" t="s">
        <v>846</v>
      </c>
    </row>
    <row r="658" spans="1:45" ht="15" customHeight="1">
      <c r="A658" s="135" t="s">
        <v>260</v>
      </c>
      <c r="B658" s="136" t="s">
        <v>837</v>
      </c>
      <c r="C658" s="136" t="s">
        <v>838</v>
      </c>
      <c r="D658" s="136" t="s">
        <v>48</v>
      </c>
      <c r="E658" s="137" t="s">
        <v>839</v>
      </c>
      <c r="F658" s="135" t="s">
        <v>840</v>
      </c>
      <c r="G658" s="135" t="s">
        <v>77</v>
      </c>
      <c r="H658" s="74" t="s">
        <v>841</v>
      </c>
      <c r="I658" s="102" t="s">
        <v>479</v>
      </c>
      <c r="J658" s="135" t="s">
        <v>855</v>
      </c>
      <c r="K658" s="138" t="s">
        <v>856</v>
      </c>
      <c r="L658" s="48" t="s">
        <v>857</v>
      </c>
      <c r="M658" s="49">
        <v>44681</v>
      </c>
      <c r="N658" s="49" t="s">
        <v>504</v>
      </c>
      <c r="O658" s="139">
        <v>4000</v>
      </c>
      <c r="P658" s="140">
        <v>-3</v>
      </c>
      <c r="Q658" s="141">
        <f>ROUND(P658*O658,2)</f>
        <v>-12000</v>
      </c>
      <c r="R658" s="31">
        <v>202310</v>
      </c>
      <c r="S658" s="108" t="s">
        <v>875</v>
      </c>
      <c r="T658" s="33"/>
      <c r="U658" s="108"/>
      <c r="V658" s="142"/>
      <c r="W658" s="143"/>
      <c r="X658" s="139"/>
      <c r="Y658" s="36"/>
      <c r="Z658" s="36"/>
      <c r="AA658" s="49"/>
      <c r="AB658" s="49"/>
      <c r="AC658" s="49"/>
      <c r="AD658" s="49"/>
      <c r="AE658" s="49"/>
      <c r="AF658" s="144" t="s">
        <v>503</v>
      </c>
      <c r="AG658" s="144"/>
      <c r="AH658" s="144"/>
      <c r="AI658" s="42"/>
      <c r="AJ658" s="43"/>
      <c r="AK658" s="43"/>
      <c r="AL658" s="43"/>
      <c r="AM658" s="43"/>
      <c r="AN658" s="42"/>
      <c r="AO658" s="145"/>
      <c r="AP658" s="42"/>
      <c r="AQ658" s="42"/>
      <c r="AR658" s="42"/>
      <c r="AS658" s="42" t="s">
        <v>846</v>
      </c>
    </row>
    <row r="659" spans="1:45" ht="15" customHeight="1">
      <c r="A659" s="135" t="s">
        <v>260</v>
      </c>
      <c r="B659" s="136" t="s">
        <v>837</v>
      </c>
      <c r="C659" s="136" t="s">
        <v>838</v>
      </c>
      <c r="D659" s="136" t="s">
        <v>48</v>
      </c>
      <c r="E659" s="137" t="s">
        <v>839</v>
      </c>
      <c r="F659" s="135" t="s">
        <v>840</v>
      </c>
      <c r="G659" s="135" t="s">
        <v>165</v>
      </c>
      <c r="H659" s="74" t="s">
        <v>841</v>
      </c>
      <c r="I659" s="102" t="s">
        <v>491</v>
      </c>
      <c r="J659" s="135" t="s">
        <v>855</v>
      </c>
      <c r="K659" s="138" t="s">
        <v>856</v>
      </c>
      <c r="L659" s="48" t="s">
        <v>857</v>
      </c>
      <c r="M659" s="49">
        <v>44343</v>
      </c>
      <c r="N659" s="49" t="s">
        <v>168</v>
      </c>
      <c r="O659" s="139">
        <v>0</v>
      </c>
      <c r="P659" s="140">
        <v>128</v>
      </c>
      <c r="Q659" s="141">
        <f>ROUND(P659*O659,2)</f>
        <v>0</v>
      </c>
      <c r="R659" s="31">
        <v>202310</v>
      </c>
      <c r="S659" s="108" t="s">
        <v>876</v>
      </c>
      <c r="T659" s="33"/>
      <c r="U659" s="108"/>
      <c r="V659" s="142"/>
      <c r="W659" s="143"/>
      <c r="X659" s="139"/>
      <c r="Y659" s="36"/>
      <c r="Z659" s="36"/>
      <c r="AA659" s="49"/>
      <c r="AB659" s="49"/>
      <c r="AC659" s="49"/>
      <c r="AD659" s="49"/>
      <c r="AE659" s="49"/>
      <c r="AF659" s="144" t="s">
        <v>484</v>
      </c>
      <c r="AG659" s="144"/>
      <c r="AH659" s="144"/>
      <c r="AI659" s="42"/>
      <c r="AJ659" s="43"/>
      <c r="AK659" s="43"/>
      <c r="AL659" s="43"/>
      <c r="AM659" s="43"/>
      <c r="AN659" s="42"/>
      <c r="AO659" s="145"/>
      <c r="AP659" s="42"/>
      <c r="AQ659" s="42"/>
      <c r="AR659" s="42"/>
      <c r="AS659" s="42" t="s">
        <v>846</v>
      </c>
    </row>
    <row r="660" spans="1:45" ht="15" customHeight="1">
      <c r="A660" s="135" t="s">
        <v>260</v>
      </c>
      <c r="B660" s="136" t="s">
        <v>837</v>
      </c>
      <c r="C660" s="136" t="s">
        <v>838</v>
      </c>
      <c r="D660" s="136" t="s">
        <v>48</v>
      </c>
      <c r="E660" s="137" t="s">
        <v>839</v>
      </c>
      <c r="F660" s="135" t="s">
        <v>840</v>
      </c>
      <c r="G660" s="135" t="s">
        <v>165</v>
      </c>
      <c r="H660" s="74" t="s">
        <v>841</v>
      </c>
      <c r="I660" s="102" t="s">
        <v>491</v>
      </c>
      <c r="J660" s="135" t="s">
        <v>855</v>
      </c>
      <c r="K660" s="138" t="s">
        <v>856</v>
      </c>
      <c r="L660" s="48" t="s">
        <v>857</v>
      </c>
      <c r="M660" s="49"/>
      <c r="N660" s="49" t="s">
        <v>656</v>
      </c>
      <c r="O660" s="139">
        <v>0</v>
      </c>
      <c r="P660" s="140">
        <v>0</v>
      </c>
      <c r="Q660" s="141">
        <f>ROUND(P660*O660,2)</f>
        <v>0</v>
      </c>
      <c r="R660" s="31">
        <v>202310</v>
      </c>
      <c r="S660" s="108" t="s">
        <v>877</v>
      </c>
      <c r="T660" s="33"/>
      <c r="U660" s="108"/>
      <c r="V660" s="142"/>
      <c r="W660" s="143"/>
      <c r="X660" s="139"/>
      <c r="Y660" s="36"/>
      <c r="Z660" s="36"/>
      <c r="AA660" s="49"/>
      <c r="AB660" s="49"/>
      <c r="AC660" s="49"/>
      <c r="AD660" s="49"/>
      <c r="AE660" s="49"/>
      <c r="AF660" s="144" t="s">
        <v>484</v>
      </c>
      <c r="AG660" s="144"/>
      <c r="AH660" s="144"/>
      <c r="AI660" s="42"/>
      <c r="AJ660" s="43"/>
      <c r="AK660" s="43"/>
      <c r="AL660" s="43"/>
      <c r="AM660" s="43"/>
      <c r="AN660" s="42"/>
      <c r="AO660" s="145"/>
      <c r="AP660" s="42"/>
      <c r="AQ660" s="42"/>
      <c r="AR660" s="42"/>
      <c r="AS660" s="42" t="s">
        <v>846</v>
      </c>
    </row>
    <row r="661" spans="1:45" ht="15" customHeight="1">
      <c r="A661" s="56" t="s">
        <v>260</v>
      </c>
      <c r="B661" s="21" t="s">
        <v>46</v>
      </c>
      <c r="C661" s="57" t="s">
        <v>814</v>
      </c>
      <c r="D661" s="22" t="s">
        <v>48</v>
      </c>
      <c r="E661" s="58" t="s">
        <v>878</v>
      </c>
      <c r="F661" s="56" t="s">
        <v>879</v>
      </c>
      <c r="G661" s="26" t="s">
        <v>165</v>
      </c>
      <c r="H661" s="25" t="s">
        <v>880</v>
      </c>
      <c r="I661" s="26" t="s">
        <v>491</v>
      </c>
      <c r="J661" s="56" t="s">
        <v>881</v>
      </c>
      <c r="K661" s="59" t="s">
        <v>882</v>
      </c>
      <c r="L661" s="48" t="s">
        <v>883</v>
      </c>
      <c r="M661" s="49">
        <v>44934</v>
      </c>
      <c r="N661" s="49" t="s">
        <v>168</v>
      </c>
      <c r="O661" s="60">
        <v>0</v>
      </c>
      <c r="P661" s="61">
        <v>64</v>
      </c>
      <c r="Q661" s="51">
        <f t="shared" ref="Q661:Q724" si="19">ROUND(O661*P661,2)</f>
        <v>0</v>
      </c>
      <c r="R661" s="31">
        <v>202310</v>
      </c>
      <c r="S661" s="62" t="s">
        <v>884</v>
      </c>
      <c r="T661" s="33"/>
      <c r="U661" s="58"/>
      <c r="V661" s="58"/>
      <c r="W661" s="63"/>
      <c r="X661" s="63"/>
      <c r="Y661" s="36">
        <v>44927</v>
      </c>
      <c r="Z661" s="36">
        <v>45291</v>
      </c>
      <c r="AA661" s="36"/>
      <c r="AB661" s="36"/>
      <c r="AC661" s="36"/>
      <c r="AD661" s="36"/>
      <c r="AE661" s="36"/>
      <c r="AF661" s="40" t="s">
        <v>484</v>
      </c>
      <c r="AG661" s="42"/>
      <c r="AH661" s="42"/>
      <c r="AI661" s="43"/>
      <c r="AJ661" s="43"/>
      <c r="AK661" s="43"/>
      <c r="AL661" s="43"/>
      <c r="AM661" s="43"/>
      <c r="AN661" s="42"/>
      <c r="AO661" s="42"/>
      <c r="AP661" s="42"/>
      <c r="AQ661" s="43"/>
      <c r="AR661" s="42"/>
      <c r="AS661" s="42"/>
    </row>
    <row r="662" spans="1:45" ht="15" customHeight="1">
      <c r="A662" s="56" t="s">
        <v>260</v>
      </c>
      <c r="B662" s="21" t="s">
        <v>46</v>
      </c>
      <c r="C662" s="57" t="s">
        <v>814</v>
      </c>
      <c r="D662" s="22" t="s">
        <v>48</v>
      </c>
      <c r="E662" s="58" t="s">
        <v>878</v>
      </c>
      <c r="F662" s="56" t="s">
        <v>879</v>
      </c>
      <c r="G662" s="26" t="s">
        <v>165</v>
      </c>
      <c r="H662" s="25" t="s">
        <v>880</v>
      </c>
      <c r="I662" s="26" t="s">
        <v>491</v>
      </c>
      <c r="J662" s="56" t="s">
        <v>881</v>
      </c>
      <c r="K662" s="59" t="s">
        <v>882</v>
      </c>
      <c r="L662" s="48" t="s">
        <v>883</v>
      </c>
      <c r="M662" s="49">
        <v>44934</v>
      </c>
      <c r="N662" s="49" t="s">
        <v>646</v>
      </c>
      <c r="O662" s="60">
        <v>0</v>
      </c>
      <c r="P662" s="61">
        <v>1</v>
      </c>
      <c r="Q662" s="51">
        <f t="shared" si="19"/>
        <v>0</v>
      </c>
      <c r="R662" s="31">
        <v>202310</v>
      </c>
      <c r="S662" s="62" t="s">
        <v>885</v>
      </c>
      <c r="T662" s="33"/>
      <c r="U662" s="58"/>
      <c r="V662" s="58"/>
      <c r="W662" s="63"/>
      <c r="X662" s="63"/>
      <c r="Y662" s="36">
        <v>44927</v>
      </c>
      <c r="Z662" s="36">
        <v>45291</v>
      </c>
      <c r="AA662" s="36"/>
      <c r="AB662" s="36"/>
      <c r="AC662" s="36"/>
      <c r="AD662" s="36"/>
      <c r="AE662" s="36"/>
      <c r="AF662" s="40" t="s">
        <v>484</v>
      </c>
      <c r="AG662" s="42"/>
      <c r="AH662" s="42"/>
      <c r="AI662" s="43"/>
      <c r="AJ662" s="43"/>
      <c r="AK662" s="43"/>
      <c r="AL662" s="43"/>
      <c r="AM662" s="43"/>
      <c r="AN662" s="42"/>
      <c r="AO662" s="42"/>
      <c r="AP662" s="42"/>
      <c r="AQ662" s="43"/>
      <c r="AR662" s="42"/>
      <c r="AS662" s="42"/>
    </row>
    <row r="663" spans="1:45" ht="15" customHeight="1">
      <c r="A663" s="56" t="s">
        <v>260</v>
      </c>
      <c r="B663" s="21" t="s">
        <v>46</v>
      </c>
      <c r="C663" s="57" t="s">
        <v>814</v>
      </c>
      <c r="D663" s="22" t="s">
        <v>48</v>
      </c>
      <c r="E663" s="58" t="s">
        <v>878</v>
      </c>
      <c r="F663" s="56" t="s">
        <v>879</v>
      </c>
      <c r="G663" s="26" t="s">
        <v>77</v>
      </c>
      <c r="H663" s="25" t="s">
        <v>880</v>
      </c>
      <c r="I663" s="26" t="s">
        <v>479</v>
      </c>
      <c r="J663" s="56" t="s">
        <v>881</v>
      </c>
      <c r="K663" s="59" t="s">
        <v>882</v>
      </c>
      <c r="L663" s="48" t="s">
        <v>883</v>
      </c>
      <c r="M663" s="49">
        <v>44934</v>
      </c>
      <c r="N663" s="49" t="s">
        <v>504</v>
      </c>
      <c r="O663" s="60">
        <v>0</v>
      </c>
      <c r="P663" s="61">
        <v>1</v>
      </c>
      <c r="Q663" s="51">
        <f t="shared" si="19"/>
        <v>0</v>
      </c>
      <c r="R663" s="31">
        <v>202310</v>
      </c>
      <c r="S663" s="62" t="s">
        <v>886</v>
      </c>
      <c r="T663" s="33"/>
      <c r="U663" s="58"/>
      <c r="V663" s="58"/>
      <c r="W663" s="63"/>
      <c r="X663" s="63"/>
      <c r="Y663" s="36">
        <v>44927</v>
      </c>
      <c r="Z663" s="36">
        <v>45291</v>
      </c>
      <c r="AA663" s="36"/>
      <c r="AB663" s="36"/>
      <c r="AC663" s="36"/>
      <c r="AD663" s="36"/>
      <c r="AE663" s="36"/>
      <c r="AF663" s="40" t="s">
        <v>484</v>
      </c>
      <c r="AG663" s="42"/>
      <c r="AH663" s="42"/>
      <c r="AI663" s="43"/>
      <c r="AJ663" s="43"/>
      <c r="AK663" s="43"/>
      <c r="AL663" s="43"/>
      <c r="AM663" s="43"/>
      <c r="AN663" s="42"/>
      <c r="AO663" s="42"/>
      <c r="AP663" s="42"/>
      <c r="AQ663" s="43"/>
      <c r="AR663" s="42"/>
      <c r="AS663" s="42"/>
    </row>
    <row r="664" spans="1:45" ht="15" customHeight="1">
      <c r="A664" s="21" t="s">
        <v>260</v>
      </c>
      <c r="B664" s="22" t="s">
        <v>46</v>
      </c>
      <c r="C664" s="21" t="s">
        <v>887</v>
      </c>
      <c r="D664" s="21" t="s">
        <v>888</v>
      </c>
      <c r="E664" s="80" t="s">
        <v>889</v>
      </c>
      <c r="F664" s="21" t="s">
        <v>890</v>
      </c>
      <c r="G664" s="101" t="s">
        <v>77</v>
      </c>
      <c r="H664" s="25" t="s">
        <v>891</v>
      </c>
      <c r="I664" s="65" t="s">
        <v>892</v>
      </c>
      <c r="J664" s="65"/>
      <c r="K664" s="104"/>
      <c r="L664" s="48" t="s">
        <v>893</v>
      </c>
      <c r="M664" s="27">
        <v>42965</v>
      </c>
      <c r="N664" s="105" t="s">
        <v>90</v>
      </c>
      <c r="O664" s="147">
        <v>0</v>
      </c>
      <c r="P664" s="147">
        <v>6</v>
      </c>
      <c r="Q664" s="51">
        <f t="shared" si="19"/>
        <v>0</v>
      </c>
      <c r="R664" s="31">
        <v>202310</v>
      </c>
      <c r="S664" s="110" t="s">
        <v>894</v>
      </c>
      <c r="T664" s="54"/>
      <c r="U664" s="54"/>
      <c r="V664" s="54"/>
      <c r="W664" s="52"/>
      <c r="X664" s="52"/>
      <c r="Y664" s="36"/>
      <c r="Z664" s="36"/>
      <c r="AA664" s="36"/>
      <c r="AB664" s="36"/>
      <c r="AC664" s="36"/>
      <c r="AD664" s="36"/>
      <c r="AE664" s="36"/>
      <c r="AF664" s="53" t="s">
        <v>68</v>
      </c>
      <c r="AG664" s="42"/>
      <c r="AH664" s="43"/>
      <c r="AI664" s="43"/>
      <c r="AJ664" s="43"/>
      <c r="AK664" s="43"/>
      <c r="AL664" s="43"/>
      <c r="AM664" s="43"/>
      <c r="AN664" s="42"/>
      <c r="AO664" s="42"/>
      <c r="AP664" s="42"/>
      <c r="AQ664" s="43"/>
      <c r="AR664" s="42"/>
      <c r="AS664" s="42"/>
    </row>
    <row r="665" spans="1:45" ht="15" customHeight="1">
      <c r="A665" s="21" t="s">
        <v>260</v>
      </c>
      <c r="B665" s="22" t="s">
        <v>46</v>
      </c>
      <c r="C665" s="21" t="s">
        <v>887</v>
      </c>
      <c r="D665" s="21" t="s">
        <v>888</v>
      </c>
      <c r="E665" s="80" t="s">
        <v>889</v>
      </c>
      <c r="F665" s="21" t="s">
        <v>890</v>
      </c>
      <c r="G665" s="101" t="s">
        <v>77</v>
      </c>
      <c r="H665" s="25" t="s">
        <v>891</v>
      </c>
      <c r="I665" s="65" t="s">
        <v>892</v>
      </c>
      <c r="J665" s="65"/>
      <c r="K665" s="104"/>
      <c r="L665" s="48" t="s">
        <v>893</v>
      </c>
      <c r="M665" s="27">
        <v>44409</v>
      </c>
      <c r="N665" s="105" t="s">
        <v>90</v>
      </c>
      <c r="O665" s="147">
        <v>0</v>
      </c>
      <c r="P665" s="147">
        <v>-1</v>
      </c>
      <c r="Q665" s="51">
        <f t="shared" si="19"/>
        <v>0</v>
      </c>
      <c r="R665" s="31">
        <v>202310</v>
      </c>
      <c r="S665" s="54" t="s">
        <v>895</v>
      </c>
      <c r="T665" s="54"/>
      <c r="U665" s="54"/>
      <c r="V665" s="54"/>
      <c r="W665" s="52"/>
      <c r="X665" s="52"/>
      <c r="Y665" s="36"/>
      <c r="Z665" s="36"/>
      <c r="AA665" s="36"/>
      <c r="AB665" s="36"/>
      <c r="AC665" s="36"/>
      <c r="AD665" s="36"/>
      <c r="AE665" s="36"/>
      <c r="AF665" s="53" t="s">
        <v>68</v>
      </c>
      <c r="AG665" s="42"/>
      <c r="AH665" s="43"/>
      <c r="AI665" s="43"/>
      <c r="AJ665" s="43"/>
      <c r="AK665" s="43"/>
      <c r="AL665" s="43"/>
      <c r="AM665" s="43"/>
      <c r="AN665" s="42"/>
      <c r="AO665" s="42"/>
      <c r="AP665" s="42"/>
      <c r="AQ665" s="43"/>
      <c r="AR665" s="42"/>
      <c r="AS665" s="42"/>
    </row>
    <row r="666" spans="1:45" ht="15" customHeight="1">
      <c r="A666" s="21" t="s">
        <v>260</v>
      </c>
      <c r="B666" s="22" t="s">
        <v>46</v>
      </c>
      <c r="C666" s="21" t="s">
        <v>887</v>
      </c>
      <c r="D666" s="21" t="s">
        <v>888</v>
      </c>
      <c r="E666" s="80" t="s">
        <v>889</v>
      </c>
      <c r="F666" s="21" t="s">
        <v>890</v>
      </c>
      <c r="G666" s="101" t="s">
        <v>165</v>
      </c>
      <c r="H666" s="25" t="s">
        <v>891</v>
      </c>
      <c r="I666" s="65" t="s">
        <v>896</v>
      </c>
      <c r="J666" s="65"/>
      <c r="K666" s="104"/>
      <c r="L666" s="48"/>
      <c r="M666" s="27"/>
      <c r="N666" s="105"/>
      <c r="O666" s="147">
        <v>0</v>
      </c>
      <c r="P666" s="147">
        <v>1792</v>
      </c>
      <c r="Q666" s="51">
        <f t="shared" si="19"/>
        <v>0</v>
      </c>
      <c r="R666" s="31">
        <v>202310</v>
      </c>
      <c r="S666" s="54" t="s">
        <v>897</v>
      </c>
      <c r="T666" s="54"/>
      <c r="U666" s="54"/>
      <c r="V666" s="54"/>
      <c r="W666" s="52"/>
      <c r="X666" s="52"/>
      <c r="Y666" s="36"/>
      <c r="Z666" s="36"/>
      <c r="AA666" s="36"/>
      <c r="AB666" s="36"/>
      <c r="AC666" s="36"/>
      <c r="AD666" s="36"/>
      <c r="AE666" s="36"/>
      <c r="AF666" s="53" t="s">
        <v>68</v>
      </c>
      <c r="AG666" s="42"/>
      <c r="AH666" s="43"/>
      <c r="AI666" s="43"/>
      <c r="AJ666" s="43"/>
      <c r="AK666" s="43"/>
      <c r="AL666" s="43"/>
      <c r="AM666" s="43"/>
      <c r="AN666" s="42"/>
      <c r="AO666" s="42"/>
      <c r="AP666" s="42"/>
      <c r="AQ666" s="43"/>
      <c r="AR666" s="42"/>
      <c r="AS666" s="42"/>
    </row>
    <row r="667" spans="1:45" ht="15" customHeight="1">
      <c r="A667" s="21" t="s">
        <v>260</v>
      </c>
      <c r="B667" s="22" t="s">
        <v>46</v>
      </c>
      <c r="C667" s="21" t="s">
        <v>887</v>
      </c>
      <c r="D667" s="21" t="s">
        <v>888</v>
      </c>
      <c r="E667" s="80" t="s">
        <v>889</v>
      </c>
      <c r="F667" s="21" t="s">
        <v>890</v>
      </c>
      <c r="G667" s="101" t="s">
        <v>165</v>
      </c>
      <c r="H667" s="25" t="s">
        <v>891</v>
      </c>
      <c r="I667" s="65" t="s">
        <v>491</v>
      </c>
      <c r="J667" s="65"/>
      <c r="K667" s="26" t="s">
        <v>898</v>
      </c>
      <c r="L667" s="48"/>
      <c r="M667" s="27"/>
      <c r="N667" s="105"/>
      <c r="O667" s="147">
        <v>0</v>
      </c>
      <c r="P667" s="147">
        <v>256</v>
      </c>
      <c r="Q667" s="51">
        <f t="shared" si="19"/>
        <v>0</v>
      </c>
      <c r="R667" s="31">
        <v>202310</v>
      </c>
      <c r="S667" s="54" t="s">
        <v>899</v>
      </c>
      <c r="T667" s="54"/>
      <c r="U667" s="54"/>
      <c r="V667" s="54"/>
      <c r="W667" s="52"/>
      <c r="X667" s="52"/>
      <c r="Y667" s="36"/>
      <c r="Z667" s="36"/>
      <c r="AA667" s="36"/>
      <c r="AB667" s="36"/>
      <c r="AC667" s="36"/>
      <c r="AD667" s="36"/>
      <c r="AE667" s="36"/>
      <c r="AF667" s="54" t="s">
        <v>503</v>
      </c>
      <c r="AG667" s="42"/>
      <c r="AH667" s="43"/>
      <c r="AI667" s="43"/>
      <c r="AJ667" s="43"/>
      <c r="AK667" s="43"/>
      <c r="AL667" s="43"/>
      <c r="AM667" s="43"/>
      <c r="AN667" s="42"/>
      <c r="AO667" s="42"/>
      <c r="AP667" s="42"/>
      <c r="AQ667" s="43"/>
      <c r="AR667" s="42"/>
      <c r="AS667" s="42"/>
    </row>
    <row r="668" spans="1:45" ht="15" customHeight="1">
      <c r="A668" s="21" t="s">
        <v>260</v>
      </c>
      <c r="B668" s="22" t="s">
        <v>46</v>
      </c>
      <c r="C668" s="21" t="s">
        <v>887</v>
      </c>
      <c r="D668" s="21" t="s">
        <v>888</v>
      </c>
      <c r="E668" s="80" t="s">
        <v>889</v>
      </c>
      <c r="F668" s="21" t="s">
        <v>890</v>
      </c>
      <c r="G668" s="101" t="s">
        <v>165</v>
      </c>
      <c r="H668" s="25" t="s">
        <v>891</v>
      </c>
      <c r="I668" s="65" t="s">
        <v>616</v>
      </c>
      <c r="J668" s="65"/>
      <c r="K668" s="104"/>
      <c r="L668" s="48" t="s">
        <v>893</v>
      </c>
      <c r="M668" s="27"/>
      <c r="N668" s="105"/>
      <c r="O668" s="147">
        <v>10</v>
      </c>
      <c r="P668" s="147">
        <v>2048</v>
      </c>
      <c r="Q668" s="51">
        <f t="shared" si="19"/>
        <v>20480</v>
      </c>
      <c r="R668" s="31">
        <v>202310</v>
      </c>
      <c r="S668" s="54" t="s">
        <v>900</v>
      </c>
      <c r="T668" s="54"/>
      <c r="U668" s="54"/>
      <c r="V668" s="54"/>
      <c r="W668" s="52"/>
      <c r="X668" s="52"/>
      <c r="Y668" s="36"/>
      <c r="Z668" s="36"/>
      <c r="AA668" s="36"/>
      <c r="AB668" s="36"/>
      <c r="AC668" s="36"/>
      <c r="AD668" s="36"/>
      <c r="AE668" s="36"/>
      <c r="AF668" s="53" t="s">
        <v>68</v>
      </c>
      <c r="AG668" s="42"/>
      <c r="AH668" s="43"/>
      <c r="AI668" s="43"/>
      <c r="AJ668" s="43"/>
      <c r="AK668" s="43"/>
      <c r="AL668" s="43"/>
      <c r="AM668" s="43"/>
      <c r="AN668" s="42"/>
      <c r="AO668" s="42"/>
      <c r="AP668" s="42"/>
      <c r="AQ668" s="43"/>
      <c r="AR668" s="42"/>
      <c r="AS668" s="42"/>
    </row>
    <row r="669" spans="1:45" ht="15" customHeight="1">
      <c r="A669" s="21" t="s">
        <v>260</v>
      </c>
      <c r="B669" s="22" t="s">
        <v>46</v>
      </c>
      <c r="C669" s="21" t="s">
        <v>887</v>
      </c>
      <c r="D669" s="21" t="s">
        <v>888</v>
      </c>
      <c r="E669" s="80" t="s">
        <v>889</v>
      </c>
      <c r="F669" s="21" t="s">
        <v>890</v>
      </c>
      <c r="G669" s="101" t="s">
        <v>77</v>
      </c>
      <c r="H669" s="25" t="s">
        <v>891</v>
      </c>
      <c r="I669" s="65" t="s">
        <v>892</v>
      </c>
      <c r="J669" s="65"/>
      <c r="K669" s="104"/>
      <c r="L669" s="48" t="s">
        <v>893</v>
      </c>
      <c r="M669" s="27">
        <v>42965</v>
      </c>
      <c r="N669" s="105" t="s">
        <v>90</v>
      </c>
      <c r="O669" s="147">
        <v>4000</v>
      </c>
      <c r="P669" s="147">
        <v>26</v>
      </c>
      <c r="Q669" s="51">
        <f t="shared" si="19"/>
        <v>104000</v>
      </c>
      <c r="R669" s="31">
        <v>202310</v>
      </c>
      <c r="S669" s="54" t="s">
        <v>901</v>
      </c>
      <c r="T669" s="54"/>
      <c r="U669" s="54"/>
      <c r="V669" s="54"/>
      <c r="W669" s="52"/>
      <c r="X669" s="52"/>
      <c r="Y669" s="36"/>
      <c r="Z669" s="36"/>
      <c r="AA669" s="36"/>
      <c r="AB669" s="36"/>
      <c r="AC669" s="36"/>
      <c r="AD669" s="36"/>
      <c r="AE669" s="36"/>
      <c r="AF669" s="53" t="s">
        <v>68</v>
      </c>
      <c r="AG669" s="42"/>
      <c r="AH669" s="43"/>
      <c r="AI669" s="43"/>
      <c r="AJ669" s="43"/>
      <c r="AK669" s="43"/>
      <c r="AL669" s="43"/>
      <c r="AM669" s="43"/>
      <c r="AN669" s="42"/>
      <c r="AO669" s="42"/>
      <c r="AP669" s="42"/>
      <c r="AQ669" s="43"/>
      <c r="AR669" s="42"/>
      <c r="AS669" s="42"/>
    </row>
    <row r="670" spans="1:45" ht="15" customHeight="1">
      <c r="A670" s="21" t="s">
        <v>260</v>
      </c>
      <c r="B670" s="22" t="s">
        <v>46</v>
      </c>
      <c r="C670" s="21" t="s">
        <v>887</v>
      </c>
      <c r="D670" s="21" t="s">
        <v>888</v>
      </c>
      <c r="E670" s="80" t="s">
        <v>889</v>
      </c>
      <c r="F670" s="21" t="s">
        <v>890</v>
      </c>
      <c r="G670" s="101" t="s">
        <v>77</v>
      </c>
      <c r="H670" s="25" t="s">
        <v>891</v>
      </c>
      <c r="I670" s="65" t="s">
        <v>479</v>
      </c>
      <c r="J670" s="65"/>
      <c r="K670" s="26" t="s">
        <v>898</v>
      </c>
      <c r="L670" s="48" t="s">
        <v>893</v>
      </c>
      <c r="M670" s="27">
        <v>42965</v>
      </c>
      <c r="N670" s="105" t="s">
        <v>90</v>
      </c>
      <c r="O670" s="147">
        <v>4000</v>
      </c>
      <c r="P670" s="147">
        <v>2</v>
      </c>
      <c r="Q670" s="51">
        <f t="shared" si="19"/>
        <v>8000</v>
      </c>
      <c r="R670" s="31">
        <v>202310</v>
      </c>
      <c r="S670" s="54" t="s">
        <v>902</v>
      </c>
      <c r="T670" s="54"/>
      <c r="U670" s="54"/>
      <c r="V670" s="54"/>
      <c r="W670" s="52"/>
      <c r="X670" s="52"/>
      <c r="Y670" s="36"/>
      <c r="Z670" s="36"/>
      <c r="AA670" s="36"/>
      <c r="AB670" s="36"/>
      <c r="AC670" s="36"/>
      <c r="AD670" s="36"/>
      <c r="AE670" s="36"/>
      <c r="AF670" s="148" t="s">
        <v>503</v>
      </c>
      <c r="AG670" s="42"/>
      <c r="AH670" s="43"/>
      <c r="AI670" s="43"/>
      <c r="AJ670" s="43"/>
      <c r="AK670" s="43"/>
      <c r="AL670" s="43"/>
      <c r="AM670" s="43"/>
      <c r="AN670" s="42"/>
      <c r="AO670" s="42"/>
      <c r="AP670" s="42"/>
      <c r="AQ670" s="43"/>
      <c r="AR670" s="42"/>
      <c r="AS670" s="42"/>
    </row>
    <row r="671" spans="1:45" ht="15" customHeight="1">
      <c r="A671" s="21" t="s">
        <v>260</v>
      </c>
      <c r="B671" s="22" t="s">
        <v>46</v>
      </c>
      <c r="C671" s="21" t="s">
        <v>887</v>
      </c>
      <c r="D671" s="21" t="s">
        <v>888</v>
      </c>
      <c r="E671" s="80" t="s">
        <v>889</v>
      </c>
      <c r="F671" s="21" t="s">
        <v>890</v>
      </c>
      <c r="G671" s="101" t="s">
        <v>77</v>
      </c>
      <c r="H671" s="25" t="s">
        <v>891</v>
      </c>
      <c r="I671" s="65" t="s">
        <v>479</v>
      </c>
      <c r="J671" s="65"/>
      <c r="K671" s="26" t="s">
        <v>898</v>
      </c>
      <c r="L671" s="48" t="s">
        <v>893</v>
      </c>
      <c r="M671" s="27">
        <v>44561</v>
      </c>
      <c r="N671" s="105" t="s">
        <v>90</v>
      </c>
      <c r="O671" s="147">
        <v>4000</v>
      </c>
      <c r="P671" s="147">
        <v>-2</v>
      </c>
      <c r="Q671" s="51">
        <f t="shared" si="19"/>
        <v>-8000</v>
      </c>
      <c r="R671" s="31">
        <v>202310</v>
      </c>
      <c r="S671" s="54" t="s">
        <v>903</v>
      </c>
      <c r="T671" s="54"/>
      <c r="U671" s="54"/>
      <c r="V671" s="54"/>
      <c r="W671" s="52"/>
      <c r="X671" s="52"/>
      <c r="Y671" s="36"/>
      <c r="Z671" s="36"/>
      <c r="AA671" s="36"/>
      <c r="AB671" s="36"/>
      <c r="AC671" s="36"/>
      <c r="AD671" s="36"/>
      <c r="AE671" s="36"/>
      <c r="AF671" s="148" t="s">
        <v>503</v>
      </c>
      <c r="AG671" s="42"/>
      <c r="AH671" s="43"/>
      <c r="AI671" s="43"/>
      <c r="AJ671" s="43"/>
      <c r="AK671" s="43"/>
      <c r="AL671" s="43"/>
      <c r="AM671" s="43"/>
      <c r="AN671" s="42"/>
      <c r="AO671" s="42"/>
      <c r="AP671" s="42"/>
      <c r="AQ671" s="43"/>
      <c r="AR671" s="42"/>
      <c r="AS671" s="42"/>
    </row>
    <row r="672" spans="1:45" ht="15" customHeight="1">
      <c r="A672" s="21" t="s">
        <v>260</v>
      </c>
      <c r="B672" s="22" t="s">
        <v>46</v>
      </c>
      <c r="C672" s="21" t="s">
        <v>887</v>
      </c>
      <c r="D672" s="21" t="s">
        <v>888</v>
      </c>
      <c r="E672" s="80" t="s">
        <v>889</v>
      </c>
      <c r="F672" s="21" t="s">
        <v>890</v>
      </c>
      <c r="G672" s="101" t="s">
        <v>77</v>
      </c>
      <c r="H672" s="25" t="s">
        <v>891</v>
      </c>
      <c r="I672" s="65" t="s">
        <v>904</v>
      </c>
      <c r="J672" s="65"/>
      <c r="K672" s="104"/>
      <c r="L672" s="48" t="s">
        <v>893</v>
      </c>
      <c r="M672" s="27">
        <v>42965</v>
      </c>
      <c r="N672" s="105" t="s">
        <v>90</v>
      </c>
      <c r="O672" s="147">
        <v>4000</v>
      </c>
      <c r="P672" s="147">
        <v>3</v>
      </c>
      <c r="Q672" s="51">
        <f t="shared" si="19"/>
        <v>12000</v>
      </c>
      <c r="R672" s="31">
        <v>202310</v>
      </c>
      <c r="S672" s="110" t="s">
        <v>905</v>
      </c>
      <c r="T672" s="54"/>
      <c r="U672" s="54"/>
      <c r="V672" s="54"/>
      <c r="W672" s="52"/>
      <c r="X672" s="52"/>
      <c r="Y672" s="36"/>
      <c r="Z672" s="36"/>
      <c r="AA672" s="36"/>
      <c r="AB672" s="36"/>
      <c r="AC672" s="36"/>
      <c r="AD672" s="36"/>
      <c r="AE672" s="36"/>
      <c r="AF672" s="53" t="s">
        <v>68</v>
      </c>
      <c r="AG672" s="42"/>
      <c r="AH672" s="43"/>
      <c r="AI672" s="43"/>
      <c r="AJ672" s="43"/>
      <c r="AK672" s="43"/>
      <c r="AL672" s="43"/>
      <c r="AM672" s="43"/>
      <c r="AN672" s="42"/>
      <c r="AO672" s="42"/>
      <c r="AP672" s="42"/>
      <c r="AQ672" s="43"/>
      <c r="AR672" s="42"/>
      <c r="AS672" s="42"/>
    </row>
    <row r="673" spans="1:45" ht="15" customHeight="1">
      <c r="A673" s="21" t="s">
        <v>260</v>
      </c>
      <c r="B673" s="22" t="s">
        <v>46</v>
      </c>
      <c r="C673" s="21" t="s">
        <v>887</v>
      </c>
      <c r="D673" s="21" t="s">
        <v>888</v>
      </c>
      <c r="E673" s="80" t="s">
        <v>889</v>
      </c>
      <c r="F673" s="21" t="s">
        <v>890</v>
      </c>
      <c r="G673" s="101" t="s">
        <v>77</v>
      </c>
      <c r="H673" s="25" t="s">
        <v>891</v>
      </c>
      <c r="I673" s="65" t="s">
        <v>479</v>
      </c>
      <c r="J673" s="65"/>
      <c r="K673" s="26" t="s">
        <v>898</v>
      </c>
      <c r="L673" s="48" t="s">
        <v>893</v>
      </c>
      <c r="M673" s="27">
        <v>42965</v>
      </c>
      <c r="N673" s="105" t="s">
        <v>90</v>
      </c>
      <c r="O673" s="147">
        <v>4000</v>
      </c>
      <c r="P673" s="147">
        <v>6</v>
      </c>
      <c r="Q673" s="51">
        <f t="shared" si="19"/>
        <v>24000</v>
      </c>
      <c r="R673" s="31">
        <v>202310</v>
      </c>
      <c r="S673" s="54" t="s">
        <v>906</v>
      </c>
      <c r="T673" s="54"/>
      <c r="U673" s="54"/>
      <c r="V673" s="54"/>
      <c r="W673" s="52"/>
      <c r="X673" s="52"/>
      <c r="Y673" s="36"/>
      <c r="Z673" s="36"/>
      <c r="AA673" s="36"/>
      <c r="AB673" s="36"/>
      <c r="AC673" s="36"/>
      <c r="AD673" s="36"/>
      <c r="AE673" s="36"/>
      <c r="AF673" s="148" t="s">
        <v>503</v>
      </c>
      <c r="AG673" s="42"/>
      <c r="AH673" s="43"/>
      <c r="AI673" s="43"/>
      <c r="AJ673" s="43"/>
      <c r="AK673" s="43"/>
      <c r="AL673" s="43"/>
      <c r="AM673" s="43"/>
      <c r="AN673" s="42"/>
      <c r="AO673" s="42"/>
      <c r="AP673" s="42"/>
      <c r="AQ673" s="43"/>
      <c r="AR673" s="42"/>
      <c r="AS673" s="42"/>
    </row>
    <row r="674" spans="1:45" ht="15" customHeight="1">
      <c r="A674" s="21" t="s">
        <v>260</v>
      </c>
      <c r="B674" s="22" t="s">
        <v>46</v>
      </c>
      <c r="C674" s="21" t="s">
        <v>887</v>
      </c>
      <c r="D674" s="21" t="s">
        <v>888</v>
      </c>
      <c r="E674" s="80" t="s">
        <v>889</v>
      </c>
      <c r="F674" s="21" t="s">
        <v>890</v>
      </c>
      <c r="G674" s="101" t="s">
        <v>77</v>
      </c>
      <c r="H674" s="25" t="s">
        <v>891</v>
      </c>
      <c r="I674" s="65" t="s">
        <v>479</v>
      </c>
      <c r="J674" s="65"/>
      <c r="K674" s="26" t="s">
        <v>898</v>
      </c>
      <c r="L674" s="48" t="s">
        <v>893</v>
      </c>
      <c r="M674" s="27">
        <v>42965</v>
      </c>
      <c r="N674" s="105" t="s">
        <v>90</v>
      </c>
      <c r="O674" s="147">
        <v>4000</v>
      </c>
      <c r="P674" s="147">
        <v>3</v>
      </c>
      <c r="Q674" s="51">
        <f t="shared" si="19"/>
        <v>12000</v>
      </c>
      <c r="R674" s="31">
        <v>202310</v>
      </c>
      <c r="S674" s="54" t="s">
        <v>907</v>
      </c>
      <c r="T674" s="54"/>
      <c r="U674" s="54"/>
      <c r="V674" s="54"/>
      <c r="W674" s="52"/>
      <c r="X674" s="52"/>
      <c r="Y674" s="36"/>
      <c r="Z674" s="36"/>
      <c r="AA674" s="36"/>
      <c r="AB674" s="36"/>
      <c r="AC674" s="36"/>
      <c r="AD674" s="36"/>
      <c r="AE674" s="36"/>
      <c r="AF674" s="148" t="s">
        <v>503</v>
      </c>
      <c r="AG674" s="42"/>
      <c r="AH674" s="43"/>
      <c r="AI674" s="43"/>
      <c r="AJ674" s="43"/>
      <c r="AK674" s="43"/>
      <c r="AL674" s="43"/>
      <c r="AM674" s="43"/>
      <c r="AN674" s="42"/>
      <c r="AO674" s="42"/>
      <c r="AP674" s="42"/>
      <c r="AQ674" s="43"/>
      <c r="AR674" s="42"/>
      <c r="AS674" s="42"/>
    </row>
    <row r="675" spans="1:45" ht="15" customHeight="1">
      <c r="A675" s="21" t="s">
        <v>260</v>
      </c>
      <c r="B675" s="22" t="s">
        <v>46</v>
      </c>
      <c r="C675" s="21" t="s">
        <v>887</v>
      </c>
      <c r="D675" s="21" t="s">
        <v>888</v>
      </c>
      <c r="E675" s="80" t="s">
        <v>889</v>
      </c>
      <c r="F675" s="21" t="s">
        <v>890</v>
      </c>
      <c r="G675" s="101" t="s">
        <v>77</v>
      </c>
      <c r="H675" s="25" t="s">
        <v>891</v>
      </c>
      <c r="I675" s="65" t="s">
        <v>78</v>
      </c>
      <c r="J675" s="65"/>
      <c r="K675" s="104"/>
      <c r="L675" s="48" t="s">
        <v>893</v>
      </c>
      <c r="M675" s="27">
        <v>44348</v>
      </c>
      <c r="N675" s="105" t="s">
        <v>348</v>
      </c>
      <c r="O675" s="147">
        <v>10000</v>
      </c>
      <c r="P675" s="147">
        <v>1</v>
      </c>
      <c r="Q675" s="51">
        <f t="shared" si="19"/>
        <v>10000</v>
      </c>
      <c r="R675" s="31">
        <v>202310</v>
      </c>
      <c r="S675" s="54" t="s">
        <v>908</v>
      </c>
      <c r="T675" s="54"/>
      <c r="U675" s="54"/>
      <c r="V675" s="54"/>
      <c r="W675" s="52"/>
      <c r="X675" s="52"/>
      <c r="Y675" s="36"/>
      <c r="Z675" s="36"/>
      <c r="AA675" s="36"/>
      <c r="AB675" s="36"/>
      <c r="AC675" s="36"/>
      <c r="AD675" s="36"/>
      <c r="AE675" s="36"/>
      <c r="AF675" s="53" t="s">
        <v>68</v>
      </c>
      <c r="AG675" s="42"/>
      <c r="AH675" s="43"/>
      <c r="AI675" s="43"/>
      <c r="AJ675" s="43"/>
      <c r="AK675" s="43"/>
      <c r="AL675" s="43"/>
      <c r="AM675" s="43"/>
      <c r="AN675" s="42"/>
      <c r="AO675" s="42"/>
      <c r="AP675" s="42"/>
      <c r="AQ675" s="43"/>
      <c r="AR675" s="42"/>
      <c r="AS675" s="42"/>
    </row>
    <row r="676" spans="1:45" ht="15" customHeight="1">
      <c r="A676" s="21" t="s">
        <v>260</v>
      </c>
      <c r="B676" s="22" t="s">
        <v>46</v>
      </c>
      <c r="C676" s="21" t="s">
        <v>887</v>
      </c>
      <c r="D676" s="21" t="s">
        <v>888</v>
      </c>
      <c r="E676" s="80" t="s">
        <v>889</v>
      </c>
      <c r="F676" s="21" t="s">
        <v>890</v>
      </c>
      <c r="G676" s="101" t="s">
        <v>62</v>
      </c>
      <c r="H676" s="25" t="s">
        <v>891</v>
      </c>
      <c r="I676" s="65" t="s">
        <v>64</v>
      </c>
      <c r="J676" s="65" t="s">
        <v>909</v>
      </c>
      <c r="K676" s="104"/>
      <c r="L676" s="48"/>
      <c r="M676" s="27">
        <v>42963</v>
      </c>
      <c r="N676" s="105" t="s">
        <v>910</v>
      </c>
      <c r="O676" s="147">
        <v>1000</v>
      </c>
      <c r="P676" s="147">
        <v>2</v>
      </c>
      <c r="Q676" s="51">
        <f t="shared" si="19"/>
        <v>2000</v>
      </c>
      <c r="R676" s="31">
        <v>202310</v>
      </c>
      <c r="S676" s="54" t="s">
        <v>909</v>
      </c>
      <c r="T676" s="54"/>
      <c r="U676" s="54"/>
      <c r="V676" s="54"/>
      <c r="W676" s="52"/>
      <c r="X676" s="52"/>
      <c r="Y676" s="36"/>
      <c r="Z676" s="36"/>
      <c r="AA676" s="36"/>
      <c r="AB676" s="36"/>
      <c r="AC676" s="36"/>
      <c r="AD676" s="36"/>
      <c r="AE676" s="36"/>
      <c r="AF676" s="53" t="s">
        <v>68</v>
      </c>
      <c r="AG676" s="42"/>
      <c r="AH676" s="43"/>
      <c r="AI676" s="43"/>
      <c r="AJ676" s="43"/>
      <c r="AK676" s="43"/>
      <c r="AL676" s="43"/>
      <c r="AM676" s="43"/>
      <c r="AN676" s="42"/>
      <c r="AO676" s="42"/>
      <c r="AP676" s="42"/>
      <c r="AQ676" s="43"/>
      <c r="AR676" s="42"/>
      <c r="AS676" s="42"/>
    </row>
    <row r="677" spans="1:45" ht="15" customHeight="1">
      <c r="A677" s="21" t="s">
        <v>260</v>
      </c>
      <c r="B677" s="22" t="s">
        <v>46</v>
      </c>
      <c r="C677" s="21" t="s">
        <v>887</v>
      </c>
      <c r="D677" s="21" t="s">
        <v>888</v>
      </c>
      <c r="E677" s="80" t="s">
        <v>889</v>
      </c>
      <c r="F677" s="21" t="s">
        <v>890</v>
      </c>
      <c r="G677" s="101" t="s">
        <v>62</v>
      </c>
      <c r="H677" s="25" t="s">
        <v>891</v>
      </c>
      <c r="I677" s="65" t="s">
        <v>64</v>
      </c>
      <c r="J677" s="65" t="s">
        <v>911</v>
      </c>
      <c r="K677" s="104"/>
      <c r="L677" s="48"/>
      <c r="M677" s="27">
        <v>43609</v>
      </c>
      <c r="N677" s="105" t="s">
        <v>910</v>
      </c>
      <c r="O677" s="147">
        <v>1000</v>
      </c>
      <c r="P677" s="147">
        <v>1</v>
      </c>
      <c r="Q677" s="51">
        <f t="shared" si="19"/>
        <v>1000</v>
      </c>
      <c r="R677" s="31">
        <v>202310</v>
      </c>
      <c r="S677" s="54" t="s">
        <v>911</v>
      </c>
      <c r="T677" s="54"/>
      <c r="U677" s="54"/>
      <c r="V677" s="54"/>
      <c r="W677" s="52"/>
      <c r="X677" s="52"/>
      <c r="Y677" s="36"/>
      <c r="Z677" s="36"/>
      <c r="AA677" s="36"/>
      <c r="AB677" s="36"/>
      <c r="AC677" s="36"/>
      <c r="AD677" s="36"/>
      <c r="AE677" s="36"/>
      <c r="AF677" s="53" t="s">
        <v>68</v>
      </c>
      <c r="AG677" s="42"/>
      <c r="AH677" s="43"/>
      <c r="AI677" s="43"/>
      <c r="AJ677" s="43"/>
      <c r="AK677" s="43"/>
      <c r="AL677" s="43"/>
      <c r="AM677" s="43"/>
      <c r="AN677" s="42"/>
      <c r="AO677" s="42"/>
      <c r="AP677" s="42"/>
      <c r="AQ677" s="43"/>
      <c r="AR677" s="42"/>
      <c r="AS677" s="42"/>
    </row>
    <row r="678" spans="1:45" ht="15" customHeight="1">
      <c r="A678" s="21" t="s">
        <v>260</v>
      </c>
      <c r="B678" s="22" t="s">
        <v>46</v>
      </c>
      <c r="C678" s="21" t="s">
        <v>887</v>
      </c>
      <c r="D678" s="21" t="s">
        <v>888</v>
      </c>
      <c r="E678" s="80" t="s">
        <v>889</v>
      </c>
      <c r="F678" s="21" t="s">
        <v>890</v>
      </c>
      <c r="G678" s="101" t="s">
        <v>77</v>
      </c>
      <c r="H678" s="25" t="s">
        <v>912</v>
      </c>
      <c r="I678" s="65" t="s">
        <v>479</v>
      </c>
      <c r="J678" s="65"/>
      <c r="K678" s="104" t="s">
        <v>913</v>
      </c>
      <c r="L678" s="48" t="s">
        <v>914</v>
      </c>
      <c r="M678" s="27">
        <v>44927</v>
      </c>
      <c r="N678" s="105" t="s">
        <v>90</v>
      </c>
      <c r="O678" s="147">
        <v>4000</v>
      </c>
      <c r="P678" s="149">
        <v>4</v>
      </c>
      <c r="Q678" s="51">
        <f t="shared" si="19"/>
        <v>16000</v>
      </c>
      <c r="R678" s="31">
        <v>202310</v>
      </c>
      <c r="S678" s="54" t="s">
        <v>915</v>
      </c>
      <c r="T678" s="54"/>
      <c r="U678" s="54"/>
      <c r="V678" s="54"/>
      <c r="W678" s="150"/>
      <c r="X678" s="150"/>
      <c r="Y678" s="36"/>
      <c r="Z678" s="36"/>
      <c r="AA678" s="36"/>
      <c r="AB678" s="36"/>
      <c r="AC678" s="36"/>
      <c r="AD678" s="36"/>
      <c r="AE678" s="36"/>
      <c r="AF678" s="40" t="s">
        <v>503</v>
      </c>
      <c r="AG678" s="148"/>
      <c r="AH678" s="148"/>
      <c r="AI678" s="43"/>
      <c r="AJ678" s="43"/>
      <c r="AK678" s="43"/>
      <c r="AL678" s="43"/>
      <c r="AM678" s="43"/>
      <c r="AN678" s="42"/>
      <c r="AO678" s="42"/>
      <c r="AP678" s="42"/>
      <c r="AQ678" s="43"/>
      <c r="AR678" s="42"/>
      <c r="AS678" s="42"/>
    </row>
    <row r="679" spans="1:45" ht="15" customHeight="1">
      <c r="A679" s="21" t="s">
        <v>260</v>
      </c>
      <c r="B679" s="22" t="s">
        <v>46</v>
      </c>
      <c r="C679" s="21" t="s">
        <v>887</v>
      </c>
      <c r="D679" s="21" t="s">
        <v>888</v>
      </c>
      <c r="E679" s="80" t="s">
        <v>889</v>
      </c>
      <c r="F679" s="21" t="s">
        <v>890</v>
      </c>
      <c r="G679" s="101" t="s">
        <v>77</v>
      </c>
      <c r="H679" s="25" t="s">
        <v>912</v>
      </c>
      <c r="I679" s="65" t="s">
        <v>479</v>
      </c>
      <c r="J679" s="65"/>
      <c r="K679" s="104" t="s">
        <v>913</v>
      </c>
      <c r="L679" s="48" t="s">
        <v>914</v>
      </c>
      <c r="M679" s="27">
        <v>45016</v>
      </c>
      <c r="N679" s="105" t="s">
        <v>90</v>
      </c>
      <c r="O679" s="147">
        <v>4000</v>
      </c>
      <c r="P679" s="149">
        <v>-4</v>
      </c>
      <c r="Q679" s="51">
        <f t="shared" si="19"/>
        <v>-16000</v>
      </c>
      <c r="R679" s="31">
        <v>202310</v>
      </c>
      <c r="S679" s="54" t="s">
        <v>916</v>
      </c>
      <c r="T679" s="54"/>
      <c r="U679" s="54"/>
      <c r="V679" s="54"/>
      <c r="W679" s="150"/>
      <c r="X679" s="150"/>
      <c r="Y679" s="36"/>
      <c r="Z679" s="36"/>
      <c r="AA679" s="36"/>
      <c r="AB679" s="36"/>
      <c r="AC679" s="36"/>
      <c r="AD679" s="36"/>
      <c r="AE679" s="36"/>
      <c r="AF679" s="40" t="s">
        <v>503</v>
      </c>
      <c r="AG679" s="148"/>
      <c r="AH679" s="148"/>
      <c r="AI679" s="43"/>
      <c r="AJ679" s="43"/>
      <c r="AK679" s="43"/>
      <c r="AL679" s="43"/>
      <c r="AM679" s="43"/>
      <c r="AN679" s="42"/>
      <c r="AO679" s="42"/>
      <c r="AP679" s="42"/>
      <c r="AQ679" s="43"/>
      <c r="AR679" s="42"/>
      <c r="AS679" s="42"/>
    </row>
    <row r="680" spans="1:45" ht="15" customHeight="1">
      <c r="A680" s="21" t="s">
        <v>260</v>
      </c>
      <c r="B680" s="22" t="s">
        <v>46</v>
      </c>
      <c r="C680" s="21" t="s">
        <v>887</v>
      </c>
      <c r="D680" s="21" t="s">
        <v>888</v>
      </c>
      <c r="E680" s="80" t="s">
        <v>889</v>
      </c>
      <c r="F680" s="21" t="s">
        <v>890</v>
      </c>
      <c r="G680" s="101" t="s">
        <v>165</v>
      </c>
      <c r="H680" s="25" t="s">
        <v>912</v>
      </c>
      <c r="I680" s="65" t="s">
        <v>491</v>
      </c>
      <c r="J680" s="65"/>
      <c r="K680" s="104" t="s">
        <v>913</v>
      </c>
      <c r="L680" s="48" t="s">
        <v>914</v>
      </c>
      <c r="M680" s="27">
        <v>44927</v>
      </c>
      <c r="N680" s="105"/>
      <c r="O680" s="147">
        <v>0</v>
      </c>
      <c r="P680" s="149">
        <v>288</v>
      </c>
      <c r="Q680" s="51">
        <f t="shared" si="19"/>
        <v>0</v>
      </c>
      <c r="R680" s="31">
        <v>202310</v>
      </c>
      <c r="S680" s="54" t="s">
        <v>917</v>
      </c>
      <c r="T680" s="54"/>
      <c r="U680" s="54"/>
      <c r="V680" s="54"/>
      <c r="W680" s="150"/>
      <c r="X680" s="150"/>
      <c r="Y680" s="36"/>
      <c r="Z680" s="36"/>
      <c r="AA680" s="36"/>
      <c r="AB680" s="36"/>
      <c r="AC680" s="36"/>
      <c r="AD680" s="36"/>
      <c r="AE680" s="36"/>
      <c r="AF680" s="40" t="s">
        <v>503</v>
      </c>
      <c r="AG680" s="148"/>
      <c r="AH680" s="148"/>
      <c r="AI680" s="43"/>
      <c r="AJ680" s="43"/>
      <c r="AK680" s="43"/>
      <c r="AL680" s="43"/>
      <c r="AM680" s="43"/>
      <c r="AN680" s="42"/>
      <c r="AO680" s="42"/>
      <c r="AP680" s="42"/>
      <c r="AQ680" s="43"/>
      <c r="AR680" s="42"/>
      <c r="AS680" s="42"/>
    </row>
    <row r="681" spans="1:45" ht="15" customHeight="1">
      <c r="A681" s="21" t="s">
        <v>260</v>
      </c>
      <c r="B681" s="22" t="s">
        <v>46</v>
      </c>
      <c r="C681" s="21" t="s">
        <v>887</v>
      </c>
      <c r="D681" s="21" t="s">
        <v>888</v>
      </c>
      <c r="E681" s="80" t="s">
        <v>889</v>
      </c>
      <c r="F681" s="21" t="s">
        <v>890</v>
      </c>
      <c r="G681" s="101" t="s">
        <v>165</v>
      </c>
      <c r="H681" s="25" t="s">
        <v>912</v>
      </c>
      <c r="I681" s="65" t="s">
        <v>491</v>
      </c>
      <c r="J681" s="65"/>
      <c r="K681" s="104" t="s">
        <v>913</v>
      </c>
      <c r="L681" s="48" t="s">
        <v>914</v>
      </c>
      <c r="M681" s="27">
        <v>45016</v>
      </c>
      <c r="N681" s="105"/>
      <c r="O681" s="147">
        <v>0</v>
      </c>
      <c r="P681" s="149">
        <v>-288</v>
      </c>
      <c r="Q681" s="51">
        <f t="shared" si="19"/>
        <v>0</v>
      </c>
      <c r="R681" s="31">
        <v>202310</v>
      </c>
      <c r="S681" s="54" t="s">
        <v>918</v>
      </c>
      <c r="T681" s="54"/>
      <c r="U681" s="54"/>
      <c r="V681" s="54"/>
      <c r="W681" s="150"/>
      <c r="X681" s="150"/>
      <c r="Y681" s="36"/>
      <c r="Z681" s="36"/>
      <c r="AA681" s="36"/>
      <c r="AB681" s="36"/>
      <c r="AC681" s="36"/>
      <c r="AD681" s="36"/>
      <c r="AE681" s="36"/>
      <c r="AF681" s="40" t="s">
        <v>503</v>
      </c>
      <c r="AG681" s="148"/>
      <c r="AH681" s="148"/>
      <c r="AI681" s="43"/>
      <c r="AJ681" s="43"/>
      <c r="AK681" s="43"/>
      <c r="AL681" s="43"/>
      <c r="AM681" s="43"/>
      <c r="AN681" s="42"/>
      <c r="AO681" s="42"/>
      <c r="AP681" s="42"/>
      <c r="AQ681" s="43"/>
      <c r="AR681" s="42"/>
      <c r="AS681" s="42"/>
    </row>
    <row r="682" spans="1:45" ht="15" customHeight="1">
      <c r="A682" s="21" t="s">
        <v>260</v>
      </c>
      <c r="B682" s="21" t="s">
        <v>46</v>
      </c>
      <c r="C682" s="21" t="s">
        <v>188</v>
      </c>
      <c r="D682" s="21" t="s">
        <v>48</v>
      </c>
      <c r="E682" s="80" t="s">
        <v>919</v>
      </c>
      <c r="F682" s="21" t="s">
        <v>920</v>
      </c>
      <c r="G682" s="101" t="s">
        <v>77</v>
      </c>
      <c r="H682" s="25" t="s">
        <v>921</v>
      </c>
      <c r="I682" s="102" t="s">
        <v>78</v>
      </c>
      <c r="J682" s="65" t="s">
        <v>922</v>
      </c>
      <c r="K682" s="104"/>
      <c r="L682" s="48" t="s">
        <v>923</v>
      </c>
      <c r="M682" s="27">
        <v>44116</v>
      </c>
      <c r="N682" s="105" t="s">
        <v>177</v>
      </c>
      <c r="O682" s="106">
        <v>5900</v>
      </c>
      <c r="P682" s="106">
        <v>5</v>
      </c>
      <c r="Q682" s="51">
        <f t="shared" si="19"/>
        <v>29500</v>
      </c>
      <c r="R682" s="31">
        <v>202310</v>
      </c>
      <c r="S682" s="54" t="s">
        <v>924</v>
      </c>
      <c r="T682" s="54"/>
      <c r="U682" s="54"/>
      <c r="V682" s="54"/>
      <c r="W682" s="67"/>
      <c r="X682" s="67"/>
      <c r="Y682" s="36">
        <v>44084</v>
      </c>
      <c r="Z682" s="36">
        <v>46274</v>
      </c>
      <c r="AA682" s="36"/>
      <c r="AB682" s="36"/>
      <c r="AC682" s="36"/>
      <c r="AD682" s="36"/>
      <c r="AE682" s="36"/>
      <c r="AF682" s="53" t="s">
        <v>68</v>
      </c>
      <c r="AG682" s="42"/>
      <c r="AH682" s="42"/>
      <c r="AI682" s="43"/>
      <c r="AJ682" s="43"/>
      <c r="AK682" s="43"/>
      <c r="AL682" s="43"/>
      <c r="AM682" s="43"/>
      <c r="AN682" s="42"/>
      <c r="AO682" s="42"/>
      <c r="AP682" s="42"/>
      <c r="AQ682" s="43"/>
      <c r="AR682" s="42"/>
      <c r="AS682" s="42"/>
    </row>
    <row r="683" spans="1:45" ht="15" customHeight="1">
      <c r="A683" s="21" t="s">
        <v>260</v>
      </c>
      <c r="B683" s="21" t="s">
        <v>46</v>
      </c>
      <c r="C683" s="21" t="s">
        <v>188</v>
      </c>
      <c r="D683" s="21" t="s">
        <v>48</v>
      </c>
      <c r="E683" s="80" t="s">
        <v>919</v>
      </c>
      <c r="F683" s="21" t="s">
        <v>920</v>
      </c>
      <c r="G683" s="101" t="s">
        <v>77</v>
      </c>
      <c r="H683" s="25" t="s">
        <v>921</v>
      </c>
      <c r="I683" s="102" t="s">
        <v>78</v>
      </c>
      <c r="J683" s="65" t="s">
        <v>922</v>
      </c>
      <c r="K683" s="104"/>
      <c r="L683" s="48" t="s">
        <v>923</v>
      </c>
      <c r="M683" s="27">
        <v>44116</v>
      </c>
      <c r="N683" s="105" t="s">
        <v>177</v>
      </c>
      <c r="O683" s="106">
        <v>5900</v>
      </c>
      <c r="P683" s="106">
        <v>10</v>
      </c>
      <c r="Q683" s="51">
        <f t="shared" si="19"/>
        <v>59000</v>
      </c>
      <c r="R683" s="31">
        <v>202310</v>
      </c>
      <c r="S683" s="54" t="s">
        <v>925</v>
      </c>
      <c r="T683" s="54"/>
      <c r="U683" s="54"/>
      <c r="V683" s="54"/>
      <c r="W683" s="67"/>
      <c r="X683" s="67"/>
      <c r="Y683" s="36">
        <v>44084</v>
      </c>
      <c r="Z683" s="36">
        <v>46274</v>
      </c>
      <c r="AA683" s="36"/>
      <c r="AB683" s="36"/>
      <c r="AC683" s="36"/>
      <c r="AD683" s="36"/>
      <c r="AE683" s="36"/>
      <c r="AF683" s="53" t="s">
        <v>68</v>
      </c>
      <c r="AG683" s="42"/>
      <c r="AH683" s="42"/>
      <c r="AI683" s="43"/>
      <c r="AJ683" s="43"/>
      <c r="AK683" s="43"/>
      <c r="AL683" s="43"/>
      <c r="AM683" s="43"/>
      <c r="AN683" s="42"/>
      <c r="AO683" s="42"/>
      <c r="AP683" s="42"/>
      <c r="AQ683" s="43"/>
      <c r="AR683" s="42"/>
      <c r="AS683" s="42"/>
    </row>
    <row r="684" spans="1:45" ht="15" customHeight="1">
      <c r="A684" s="21" t="s">
        <v>260</v>
      </c>
      <c r="B684" s="21" t="s">
        <v>46</v>
      </c>
      <c r="C684" s="21" t="s">
        <v>188</v>
      </c>
      <c r="D684" s="21" t="s">
        <v>48</v>
      </c>
      <c r="E684" s="80" t="s">
        <v>919</v>
      </c>
      <c r="F684" s="21" t="s">
        <v>920</v>
      </c>
      <c r="G684" s="101" t="s">
        <v>77</v>
      </c>
      <c r="H684" s="25" t="s">
        <v>921</v>
      </c>
      <c r="I684" s="102" t="s">
        <v>78</v>
      </c>
      <c r="J684" s="65" t="s">
        <v>922</v>
      </c>
      <c r="K684" s="104"/>
      <c r="L684" s="48" t="s">
        <v>923</v>
      </c>
      <c r="M684" s="27">
        <v>44116</v>
      </c>
      <c r="N684" s="105" t="s">
        <v>177</v>
      </c>
      <c r="O684" s="106">
        <v>5900</v>
      </c>
      <c r="P684" s="106">
        <v>4</v>
      </c>
      <c r="Q684" s="51">
        <f t="shared" si="19"/>
        <v>23600</v>
      </c>
      <c r="R684" s="31">
        <v>202310</v>
      </c>
      <c r="S684" s="54" t="s">
        <v>926</v>
      </c>
      <c r="T684" s="54"/>
      <c r="U684" s="54"/>
      <c r="V684" s="54"/>
      <c r="W684" s="67"/>
      <c r="X684" s="67"/>
      <c r="Y684" s="36">
        <v>44084</v>
      </c>
      <c r="Z684" s="36">
        <v>46274</v>
      </c>
      <c r="AA684" s="36"/>
      <c r="AB684" s="36"/>
      <c r="AC684" s="36"/>
      <c r="AD684" s="36"/>
      <c r="AE684" s="36"/>
      <c r="AF684" s="53" t="s">
        <v>68</v>
      </c>
      <c r="AG684" s="42"/>
      <c r="AH684" s="42"/>
      <c r="AI684" s="43"/>
      <c r="AJ684" s="43"/>
      <c r="AK684" s="43"/>
      <c r="AL684" s="43"/>
      <c r="AM684" s="43"/>
      <c r="AN684" s="42"/>
      <c r="AO684" s="42"/>
      <c r="AP684" s="42"/>
      <c r="AQ684" s="43"/>
      <c r="AR684" s="42"/>
      <c r="AS684" s="42"/>
    </row>
    <row r="685" spans="1:45" ht="15" customHeight="1">
      <c r="A685" s="21" t="s">
        <v>260</v>
      </c>
      <c r="B685" s="21" t="s">
        <v>46</v>
      </c>
      <c r="C685" s="21" t="s">
        <v>188</v>
      </c>
      <c r="D685" s="21" t="s">
        <v>48</v>
      </c>
      <c r="E685" s="80" t="s">
        <v>919</v>
      </c>
      <c r="F685" s="21" t="s">
        <v>920</v>
      </c>
      <c r="G685" s="101" t="s">
        <v>77</v>
      </c>
      <c r="H685" s="25" t="s">
        <v>921</v>
      </c>
      <c r="I685" s="102" t="s">
        <v>78</v>
      </c>
      <c r="J685" s="65" t="s">
        <v>922</v>
      </c>
      <c r="K685" s="104"/>
      <c r="L685" s="48" t="s">
        <v>923</v>
      </c>
      <c r="M685" s="27">
        <v>44116</v>
      </c>
      <c r="N685" s="105" t="s">
        <v>291</v>
      </c>
      <c r="O685" s="106">
        <v>8900</v>
      </c>
      <c r="P685" s="106">
        <v>16</v>
      </c>
      <c r="Q685" s="51">
        <f t="shared" si="19"/>
        <v>142400</v>
      </c>
      <c r="R685" s="31">
        <v>202310</v>
      </c>
      <c r="S685" s="54" t="s">
        <v>927</v>
      </c>
      <c r="T685" s="54"/>
      <c r="U685" s="54"/>
      <c r="V685" s="54"/>
      <c r="W685" s="67"/>
      <c r="X685" s="67"/>
      <c r="Y685" s="36">
        <v>44084</v>
      </c>
      <c r="Z685" s="36">
        <v>46274</v>
      </c>
      <c r="AA685" s="36"/>
      <c r="AB685" s="36"/>
      <c r="AC685" s="36"/>
      <c r="AD685" s="36"/>
      <c r="AE685" s="36"/>
      <c r="AF685" s="53" t="s">
        <v>68</v>
      </c>
      <c r="AG685" s="42"/>
      <c r="AH685" s="42"/>
      <c r="AI685" s="43"/>
      <c r="AJ685" s="43"/>
      <c r="AK685" s="43"/>
      <c r="AL685" s="43"/>
      <c r="AM685" s="43"/>
      <c r="AN685" s="42"/>
      <c r="AO685" s="42"/>
      <c r="AP685" s="42"/>
      <c r="AQ685" s="43"/>
      <c r="AR685" s="42"/>
      <c r="AS685" s="42"/>
    </row>
    <row r="686" spans="1:45" ht="15" customHeight="1">
      <c r="A686" s="21" t="s">
        <v>260</v>
      </c>
      <c r="B686" s="21" t="s">
        <v>46</v>
      </c>
      <c r="C686" s="21" t="s">
        <v>188</v>
      </c>
      <c r="D686" s="21" t="s">
        <v>48</v>
      </c>
      <c r="E686" s="80" t="s">
        <v>919</v>
      </c>
      <c r="F686" s="21" t="s">
        <v>920</v>
      </c>
      <c r="G686" s="101" t="s">
        <v>77</v>
      </c>
      <c r="H686" s="25" t="s">
        <v>921</v>
      </c>
      <c r="I686" s="102" t="s">
        <v>78</v>
      </c>
      <c r="J686" s="65" t="s">
        <v>922</v>
      </c>
      <c r="K686" s="104"/>
      <c r="L686" s="48" t="s">
        <v>923</v>
      </c>
      <c r="M686" s="27">
        <v>44116</v>
      </c>
      <c r="N686" s="105" t="s">
        <v>388</v>
      </c>
      <c r="O686" s="106">
        <f>11200+(109-40)*300</f>
        <v>31900</v>
      </c>
      <c r="P686" s="106">
        <v>8</v>
      </c>
      <c r="Q686" s="51">
        <f t="shared" si="19"/>
        <v>255200</v>
      </c>
      <c r="R686" s="31">
        <v>202310</v>
      </c>
      <c r="S686" s="54" t="s">
        <v>928</v>
      </c>
      <c r="T686" s="54"/>
      <c r="U686" s="54"/>
      <c r="V686" s="54"/>
      <c r="W686" s="67"/>
      <c r="X686" s="67"/>
      <c r="Y686" s="36">
        <v>44084</v>
      </c>
      <c r="Z686" s="36">
        <v>46274</v>
      </c>
      <c r="AA686" s="36"/>
      <c r="AB686" s="36"/>
      <c r="AC686" s="36"/>
      <c r="AD686" s="36"/>
      <c r="AE686" s="36"/>
      <c r="AF686" s="53" t="s">
        <v>68</v>
      </c>
      <c r="AG686" s="42"/>
      <c r="AH686" s="42"/>
      <c r="AI686" s="43"/>
      <c r="AJ686" s="43"/>
      <c r="AK686" s="43"/>
      <c r="AL686" s="43"/>
      <c r="AM686" s="43"/>
      <c r="AN686" s="42"/>
      <c r="AO686" s="42"/>
      <c r="AP686" s="42"/>
      <c r="AQ686" s="43"/>
      <c r="AR686" s="42"/>
      <c r="AS686" s="42"/>
    </row>
    <row r="687" spans="1:45" ht="15" customHeight="1">
      <c r="A687" s="21" t="s">
        <v>260</v>
      </c>
      <c r="B687" s="21" t="s">
        <v>46</v>
      </c>
      <c r="C687" s="21" t="s">
        <v>188</v>
      </c>
      <c r="D687" s="21" t="s">
        <v>48</v>
      </c>
      <c r="E687" s="80" t="s">
        <v>919</v>
      </c>
      <c r="F687" s="21" t="s">
        <v>920</v>
      </c>
      <c r="G687" s="101" t="s">
        <v>77</v>
      </c>
      <c r="H687" s="25" t="s">
        <v>921</v>
      </c>
      <c r="I687" s="102" t="s">
        <v>78</v>
      </c>
      <c r="J687" s="65" t="s">
        <v>922</v>
      </c>
      <c r="K687" s="104"/>
      <c r="L687" s="48" t="s">
        <v>923</v>
      </c>
      <c r="M687" s="27">
        <v>44122</v>
      </c>
      <c r="N687" s="105" t="s">
        <v>177</v>
      </c>
      <c r="O687" s="106">
        <v>5900</v>
      </c>
      <c r="P687" s="106">
        <v>1</v>
      </c>
      <c r="Q687" s="51">
        <f t="shared" si="19"/>
        <v>5900</v>
      </c>
      <c r="R687" s="31">
        <v>202310</v>
      </c>
      <c r="S687" s="54" t="s">
        <v>929</v>
      </c>
      <c r="T687" s="54"/>
      <c r="U687" s="54"/>
      <c r="V687" s="54"/>
      <c r="W687" s="67"/>
      <c r="X687" s="67"/>
      <c r="Y687" s="36">
        <v>44084</v>
      </c>
      <c r="Z687" s="36">
        <v>46274</v>
      </c>
      <c r="AA687" s="36"/>
      <c r="AB687" s="36"/>
      <c r="AC687" s="36"/>
      <c r="AD687" s="36"/>
      <c r="AE687" s="36"/>
      <c r="AF687" s="53" t="s">
        <v>68</v>
      </c>
      <c r="AG687" s="42"/>
      <c r="AH687" s="42"/>
      <c r="AI687" s="43"/>
      <c r="AJ687" s="43"/>
      <c r="AK687" s="43"/>
      <c r="AL687" s="43"/>
      <c r="AM687" s="43"/>
      <c r="AN687" s="42"/>
      <c r="AO687" s="42"/>
      <c r="AP687" s="42"/>
      <c r="AQ687" s="43"/>
      <c r="AR687" s="42"/>
      <c r="AS687" s="42"/>
    </row>
    <row r="688" spans="1:45" ht="15" customHeight="1">
      <c r="A688" s="21" t="s">
        <v>260</v>
      </c>
      <c r="B688" s="21" t="s">
        <v>46</v>
      </c>
      <c r="C688" s="21" t="s">
        <v>188</v>
      </c>
      <c r="D688" s="21" t="s">
        <v>48</v>
      </c>
      <c r="E688" s="80" t="s">
        <v>919</v>
      </c>
      <c r="F688" s="21" t="s">
        <v>920</v>
      </c>
      <c r="G688" s="101" t="s">
        <v>77</v>
      </c>
      <c r="H688" s="25" t="s">
        <v>921</v>
      </c>
      <c r="I688" s="102" t="s">
        <v>78</v>
      </c>
      <c r="J688" s="65" t="s">
        <v>922</v>
      </c>
      <c r="K688" s="104"/>
      <c r="L688" s="48" t="s">
        <v>923</v>
      </c>
      <c r="M688" s="27">
        <v>44122</v>
      </c>
      <c r="N688" s="105" t="s">
        <v>182</v>
      </c>
      <c r="O688" s="106">
        <v>11200</v>
      </c>
      <c r="P688" s="106">
        <v>52</v>
      </c>
      <c r="Q688" s="51">
        <f t="shared" si="19"/>
        <v>582400</v>
      </c>
      <c r="R688" s="31">
        <v>202310</v>
      </c>
      <c r="S688" s="54" t="s">
        <v>930</v>
      </c>
      <c r="T688" s="54"/>
      <c r="U688" s="54"/>
      <c r="V688" s="54"/>
      <c r="W688" s="67"/>
      <c r="X688" s="67"/>
      <c r="Y688" s="36">
        <v>44084</v>
      </c>
      <c r="Z688" s="36">
        <v>46274</v>
      </c>
      <c r="AA688" s="36"/>
      <c r="AB688" s="36"/>
      <c r="AC688" s="36"/>
      <c r="AD688" s="36"/>
      <c r="AE688" s="36"/>
      <c r="AF688" s="53" t="s">
        <v>68</v>
      </c>
      <c r="AG688" s="42"/>
      <c r="AH688" s="42"/>
      <c r="AI688" s="43"/>
      <c r="AJ688" s="43"/>
      <c r="AK688" s="43"/>
      <c r="AL688" s="43"/>
      <c r="AM688" s="43"/>
      <c r="AN688" s="42"/>
      <c r="AO688" s="42"/>
      <c r="AP688" s="42"/>
      <c r="AQ688" s="43"/>
      <c r="AR688" s="42"/>
      <c r="AS688" s="42"/>
    </row>
    <row r="689" spans="1:45" ht="15" customHeight="1">
      <c r="A689" s="21" t="s">
        <v>260</v>
      </c>
      <c r="B689" s="21" t="s">
        <v>46</v>
      </c>
      <c r="C689" s="21" t="s">
        <v>188</v>
      </c>
      <c r="D689" s="21" t="s">
        <v>48</v>
      </c>
      <c r="E689" s="80" t="s">
        <v>919</v>
      </c>
      <c r="F689" s="21" t="s">
        <v>920</v>
      </c>
      <c r="G689" s="101" t="s">
        <v>77</v>
      </c>
      <c r="H689" s="25" t="s">
        <v>921</v>
      </c>
      <c r="I689" s="102" t="s">
        <v>78</v>
      </c>
      <c r="J689" s="65" t="s">
        <v>922</v>
      </c>
      <c r="K689" s="104"/>
      <c r="L689" s="48" t="s">
        <v>923</v>
      </c>
      <c r="M689" s="27">
        <v>44123</v>
      </c>
      <c r="N689" s="105" t="s">
        <v>182</v>
      </c>
      <c r="O689" s="106">
        <v>11200</v>
      </c>
      <c r="P689" s="106">
        <v>156</v>
      </c>
      <c r="Q689" s="51">
        <f t="shared" si="19"/>
        <v>1747200</v>
      </c>
      <c r="R689" s="31">
        <v>202310</v>
      </c>
      <c r="S689" s="54" t="s">
        <v>931</v>
      </c>
      <c r="T689" s="54"/>
      <c r="U689" s="54"/>
      <c r="V689" s="54"/>
      <c r="W689" s="67"/>
      <c r="X689" s="67"/>
      <c r="Y689" s="36">
        <v>44084</v>
      </c>
      <c r="Z689" s="36">
        <v>46274</v>
      </c>
      <c r="AA689" s="36"/>
      <c r="AB689" s="36"/>
      <c r="AC689" s="36"/>
      <c r="AD689" s="36"/>
      <c r="AE689" s="36"/>
      <c r="AF689" s="53" t="s">
        <v>68</v>
      </c>
      <c r="AG689" s="42"/>
      <c r="AH689" s="42"/>
      <c r="AI689" s="43"/>
      <c r="AJ689" s="43"/>
      <c r="AK689" s="43"/>
      <c r="AL689" s="43"/>
      <c r="AM689" s="43"/>
      <c r="AN689" s="42"/>
      <c r="AO689" s="42"/>
      <c r="AP689" s="42"/>
      <c r="AQ689" s="43"/>
      <c r="AR689" s="42"/>
      <c r="AS689" s="42"/>
    </row>
    <row r="690" spans="1:45" ht="15" customHeight="1">
      <c r="A690" s="21" t="s">
        <v>260</v>
      </c>
      <c r="B690" s="21" t="s">
        <v>46</v>
      </c>
      <c r="C690" s="21" t="s">
        <v>188</v>
      </c>
      <c r="D690" s="21" t="s">
        <v>48</v>
      </c>
      <c r="E690" s="80" t="s">
        <v>919</v>
      </c>
      <c r="F690" s="21" t="s">
        <v>920</v>
      </c>
      <c r="G690" s="101" t="s">
        <v>77</v>
      </c>
      <c r="H690" s="25" t="s">
        <v>921</v>
      </c>
      <c r="I690" s="102" t="s">
        <v>78</v>
      </c>
      <c r="J690" s="65" t="s">
        <v>922</v>
      </c>
      <c r="K690" s="104"/>
      <c r="L690" s="48" t="s">
        <v>923</v>
      </c>
      <c r="M690" s="27">
        <v>44127</v>
      </c>
      <c r="N690" s="105" t="s">
        <v>182</v>
      </c>
      <c r="O690" s="106">
        <v>11200</v>
      </c>
      <c r="P690" s="106">
        <v>10</v>
      </c>
      <c r="Q690" s="51">
        <f t="shared" si="19"/>
        <v>112000</v>
      </c>
      <c r="R690" s="31">
        <v>202310</v>
      </c>
      <c r="S690" s="54" t="s">
        <v>932</v>
      </c>
      <c r="T690" s="54"/>
      <c r="U690" s="54"/>
      <c r="V690" s="54"/>
      <c r="W690" s="67"/>
      <c r="X690" s="67"/>
      <c r="Y690" s="36">
        <v>44084</v>
      </c>
      <c r="Z690" s="36">
        <v>46274</v>
      </c>
      <c r="AA690" s="36"/>
      <c r="AB690" s="36"/>
      <c r="AC690" s="36"/>
      <c r="AD690" s="36"/>
      <c r="AE690" s="36"/>
      <c r="AF690" s="53" t="s">
        <v>68</v>
      </c>
      <c r="AG690" s="42"/>
      <c r="AH690" s="42"/>
      <c r="AI690" s="43"/>
      <c r="AJ690" s="43"/>
      <c r="AK690" s="43"/>
      <c r="AL690" s="43"/>
      <c r="AM690" s="43"/>
      <c r="AN690" s="42"/>
      <c r="AO690" s="42"/>
      <c r="AP690" s="42"/>
      <c r="AQ690" s="43"/>
      <c r="AR690" s="42"/>
      <c r="AS690" s="42"/>
    </row>
    <row r="691" spans="1:45" ht="15" customHeight="1">
      <c r="A691" s="21" t="s">
        <v>260</v>
      </c>
      <c r="B691" s="21" t="s">
        <v>46</v>
      </c>
      <c r="C691" s="21" t="s">
        <v>188</v>
      </c>
      <c r="D691" s="21" t="s">
        <v>48</v>
      </c>
      <c r="E691" s="80" t="s">
        <v>919</v>
      </c>
      <c r="F691" s="21" t="s">
        <v>920</v>
      </c>
      <c r="G691" s="101" t="s">
        <v>77</v>
      </c>
      <c r="H691" s="25" t="s">
        <v>921</v>
      </c>
      <c r="I691" s="102" t="s">
        <v>78</v>
      </c>
      <c r="J691" s="65" t="s">
        <v>922</v>
      </c>
      <c r="K691" s="104"/>
      <c r="L691" s="48" t="s">
        <v>923</v>
      </c>
      <c r="M691" s="27">
        <v>44128</v>
      </c>
      <c r="N691" s="105" t="s">
        <v>182</v>
      </c>
      <c r="O691" s="106">
        <v>11200</v>
      </c>
      <c r="P691" s="106">
        <v>74</v>
      </c>
      <c r="Q691" s="51">
        <f t="shared" si="19"/>
        <v>828800</v>
      </c>
      <c r="R691" s="31">
        <v>202310</v>
      </c>
      <c r="S691" s="54" t="s">
        <v>933</v>
      </c>
      <c r="T691" s="54"/>
      <c r="U691" s="54"/>
      <c r="V691" s="54"/>
      <c r="W691" s="67"/>
      <c r="X691" s="67"/>
      <c r="Y691" s="36">
        <v>44084</v>
      </c>
      <c r="Z691" s="36">
        <v>46274</v>
      </c>
      <c r="AA691" s="36"/>
      <c r="AB691" s="36"/>
      <c r="AC691" s="36"/>
      <c r="AD691" s="36"/>
      <c r="AE691" s="36"/>
      <c r="AF691" s="53" t="s">
        <v>68</v>
      </c>
      <c r="AG691" s="42"/>
      <c r="AH691" s="42"/>
      <c r="AI691" s="43"/>
      <c r="AJ691" s="43"/>
      <c r="AK691" s="43"/>
      <c r="AL691" s="43"/>
      <c r="AM691" s="43"/>
      <c r="AN691" s="42"/>
      <c r="AO691" s="42"/>
      <c r="AP691" s="42"/>
      <c r="AQ691" s="43"/>
      <c r="AR691" s="42"/>
      <c r="AS691" s="42"/>
    </row>
    <row r="692" spans="1:45" ht="15" customHeight="1">
      <c r="A692" s="21" t="s">
        <v>260</v>
      </c>
      <c r="B692" s="21" t="s">
        <v>46</v>
      </c>
      <c r="C692" s="21" t="s">
        <v>188</v>
      </c>
      <c r="D692" s="21" t="s">
        <v>48</v>
      </c>
      <c r="E692" s="80" t="s">
        <v>919</v>
      </c>
      <c r="F692" s="21" t="s">
        <v>920</v>
      </c>
      <c r="G692" s="101" t="s">
        <v>77</v>
      </c>
      <c r="H692" s="25" t="s">
        <v>921</v>
      </c>
      <c r="I692" s="102" t="s">
        <v>78</v>
      </c>
      <c r="J692" s="65" t="s">
        <v>922</v>
      </c>
      <c r="K692" s="104"/>
      <c r="L692" s="48" t="s">
        <v>923</v>
      </c>
      <c r="M692" s="27">
        <v>44129</v>
      </c>
      <c r="N692" s="105" t="s">
        <v>182</v>
      </c>
      <c r="O692" s="106">
        <v>11200</v>
      </c>
      <c r="P692" s="106">
        <v>69</v>
      </c>
      <c r="Q692" s="51">
        <f t="shared" si="19"/>
        <v>772800</v>
      </c>
      <c r="R692" s="31">
        <v>202310</v>
      </c>
      <c r="S692" s="54" t="s">
        <v>934</v>
      </c>
      <c r="T692" s="54"/>
      <c r="U692" s="54"/>
      <c r="V692" s="54"/>
      <c r="W692" s="67"/>
      <c r="X692" s="67"/>
      <c r="Y692" s="36">
        <v>44084</v>
      </c>
      <c r="Z692" s="36">
        <v>46274</v>
      </c>
      <c r="AA692" s="36"/>
      <c r="AB692" s="36"/>
      <c r="AC692" s="36"/>
      <c r="AD692" s="36"/>
      <c r="AE692" s="36"/>
      <c r="AF692" s="53" t="s">
        <v>68</v>
      </c>
      <c r="AG692" s="42"/>
      <c r="AH692" s="42"/>
      <c r="AI692" s="43"/>
      <c r="AJ692" s="43"/>
      <c r="AK692" s="43"/>
      <c r="AL692" s="43"/>
      <c r="AM692" s="43"/>
      <c r="AN692" s="42"/>
      <c r="AO692" s="42"/>
      <c r="AP692" s="42"/>
      <c r="AQ692" s="43"/>
      <c r="AR692" s="42"/>
      <c r="AS692" s="42"/>
    </row>
    <row r="693" spans="1:45" ht="15" customHeight="1">
      <c r="A693" s="21" t="s">
        <v>260</v>
      </c>
      <c r="B693" s="21" t="s">
        <v>46</v>
      </c>
      <c r="C693" s="21" t="s">
        <v>188</v>
      </c>
      <c r="D693" s="21" t="s">
        <v>48</v>
      </c>
      <c r="E693" s="80" t="s">
        <v>919</v>
      </c>
      <c r="F693" s="21" t="s">
        <v>920</v>
      </c>
      <c r="G693" s="101" t="s">
        <v>77</v>
      </c>
      <c r="H693" s="25" t="s">
        <v>921</v>
      </c>
      <c r="I693" s="102" t="s">
        <v>78</v>
      </c>
      <c r="J693" s="65" t="s">
        <v>922</v>
      </c>
      <c r="K693" s="104"/>
      <c r="L693" s="48" t="s">
        <v>923</v>
      </c>
      <c r="M693" s="27">
        <v>44130</v>
      </c>
      <c r="N693" s="105" t="s">
        <v>182</v>
      </c>
      <c r="O693" s="106">
        <v>11200</v>
      </c>
      <c r="P693" s="106">
        <v>35</v>
      </c>
      <c r="Q693" s="51">
        <f t="shared" si="19"/>
        <v>392000</v>
      </c>
      <c r="R693" s="31">
        <v>202310</v>
      </c>
      <c r="S693" s="54" t="s">
        <v>935</v>
      </c>
      <c r="T693" s="54"/>
      <c r="U693" s="54"/>
      <c r="V693" s="54"/>
      <c r="W693" s="67"/>
      <c r="X693" s="67"/>
      <c r="Y693" s="36">
        <v>44084</v>
      </c>
      <c r="Z693" s="36">
        <v>46274</v>
      </c>
      <c r="AA693" s="36"/>
      <c r="AB693" s="36"/>
      <c r="AC693" s="36"/>
      <c r="AD693" s="36"/>
      <c r="AE693" s="36"/>
      <c r="AF693" s="53" t="s">
        <v>68</v>
      </c>
      <c r="AG693" s="42"/>
      <c r="AH693" s="42"/>
      <c r="AI693" s="43"/>
      <c r="AJ693" s="43"/>
      <c r="AK693" s="43"/>
      <c r="AL693" s="43"/>
      <c r="AM693" s="43"/>
      <c r="AN693" s="42"/>
      <c r="AO693" s="42"/>
      <c r="AP693" s="42"/>
      <c r="AQ693" s="43"/>
      <c r="AR693" s="42"/>
      <c r="AS693" s="42"/>
    </row>
    <row r="694" spans="1:45" ht="15" customHeight="1">
      <c r="A694" s="21" t="s">
        <v>260</v>
      </c>
      <c r="B694" s="21" t="s">
        <v>46</v>
      </c>
      <c r="C694" s="21" t="s">
        <v>188</v>
      </c>
      <c r="D694" s="21" t="s">
        <v>48</v>
      </c>
      <c r="E694" s="80" t="s">
        <v>919</v>
      </c>
      <c r="F694" s="21" t="s">
        <v>920</v>
      </c>
      <c r="G694" s="101" t="s">
        <v>77</v>
      </c>
      <c r="H694" s="25" t="s">
        <v>921</v>
      </c>
      <c r="I694" s="102" t="s">
        <v>78</v>
      </c>
      <c r="J694" s="65" t="s">
        <v>922</v>
      </c>
      <c r="K694" s="104"/>
      <c r="L694" s="48" t="s">
        <v>923</v>
      </c>
      <c r="M694" s="27">
        <v>44162</v>
      </c>
      <c r="N694" s="105" t="s">
        <v>291</v>
      </c>
      <c r="O694" s="106">
        <v>8900</v>
      </c>
      <c r="P694" s="106">
        <v>2</v>
      </c>
      <c r="Q694" s="51">
        <f t="shared" si="19"/>
        <v>17800</v>
      </c>
      <c r="R694" s="31">
        <v>202310</v>
      </c>
      <c r="S694" s="110" t="s">
        <v>936</v>
      </c>
      <c r="T694" s="54"/>
      <c r="U694" s="54"/>
      <c r="V694" s="54"/>
      <c r="W694" s="67"/>
      <c r="X694" s="67"/>
      <c r="Y694" s="36">
        <v>44084</v>
      </c>
      <c r="Z694" s="36">
        <v>46274</v>
      </c>
      <c r="AA694" s="36"/>
      <c r="AB694" s="36"/>
      <c r="AC694" s="36"/>
      <c r="AD694" s="36"/>
      <c r="AE694" s="36"/>
      <c r="AF694" s="53" t="s">
        <v>68</v>
      </c>
      <c r="AG694" s="42"/>
      <c r="AH694" s="42"/>
      <c r="AI694" s="43"/>
      <c r="AJ694" s="43"/>
      <c r="AK694" s="43"/>
      <c r="AL694" s="43"/>
      <c r="AM694" s="43"/>
      <c r="AN694" s="42"/>
      <c r="AO694" s="42"/>
      <c r="AP694" s="42"/>
      <c r="AQ694" s="43"/>
      <c r="AR694" s="42"/>
      <c r="AS694" s="42"/>
    </row>
    <row r="695" spans="1:45" ht="15" customHeight="1">
      <c r="A695" s="21" t="s">
        <v>260</v>
      </c>
      <c r="B695" s="21" t="s">
        <v>46</v>
      </c>
      <c r="C695" s="21" t="s">
        <v>188</v>
      </c>
      <c r="D695" s="21" t="s">
        <v>48</v>
      </c>
      <c r="E695" s="80" t="s">
        <v>919</v>
      </c>
      <c r="F695" s="21" t="s">
        <v>920</v>
      </c>
      <c r="G695" s="101" t="s">
        <v>77</v>
      </c>
      <c r="H695" s="25" t="s">
        <v>921</v>
      </c>
      <c r="I695" s="102" t="s">
        <v>78</v>
      </c>
      <c r="J695" s="65" t="s">
        <v>922</v>
      </c>
      <c r="K695" s="104"/>
      <c r="L695" s="48" t="s">
        <v>923</v>
      </c>
      <c r="M695" s="27">
        <v>44168</v>
      </c>
      <c r="N695" s="105" t="s">
        <v>177</v>
      </c>
      <c r="O695" s="106">
        <v>5900</v>
      </c>
      <c r="P695" s="106">
        <v>5</v>
      </c>
      <c r="Q695" s="51">
        <f t="shared" si="19"/>
        <v>29500</v>
      </c>
      <c r="R695" s="31">
        <v>202310</v>
      </c>
      <c r="S695" s="54" t="s">
        <v>937</v>
      </c>
      <c r="T695" s="54"/>
      <c r="U695" s="54"/>
      <c r="V695" s="54"/>
      <c r="W695" s="67"/>
      <c r="X695" s="67"/>
      <c r="Y695" s="36">
        <v>44084</v>
      </c>
      <c r="Z695" s="36">
        <v>46274</v>
      </c>
      <c r="AA695" s="36"/>
      <c r="AB695" s="36"/>
      <c r="AC695" s="36"/>
      <c r="AD695" s="36"/>
      <c r="AE695" s="36"/>
      <c r="AF695" s="53" t="s">
        <v>68</v>
      </c>
      <c r="AG695" s="42"/>
      <c r="AH695" s="42"/>
      <c r="AI695" s="43"/>
      <c r="AJ695" s="43"/>
      <c r="AK695" s="43"/>
      <c r="AL695" s="43"/>
      <c r="AM695" s="43"/>
      <c r="AN695" s="42"/>
      <c r="AO695" s="42"/>
      <c r="AP695" s="42"/>
      <c r="AQ695" s="43"/>
      <c r="AR695" s="42"/>
      <c r="AS695" s="42"/>
    </row>
    <row r="696" spans="1:45" ht="15" customHeight="1">
      <c r="A696" s="21" t="s">
        <v>260</v>
      </c>
      <c r="B696" s="21" t="s">
        <v>46</v>
      </c>
      <c r="C696" s="21" t="s">
        <v>188</v>
      </c>
      <c r="D696" s="21" t="s">
        <v>48</v>
      </c>
      <c r="E696" s="80" t="s">
        <v>919</v>
      </c>
      <c r="F696" s="21" t="s">
        <v>920</v>
      </c>
      <c r="G696" s="101" t="s">
        <v>77</v>
      </c>
      <c r="H696" s="25" t="s">
        <v>921</v>
      </c>
      <c r="I696" s="102" t="s">
        <v>78</v>
      </c>
      <c r="J696" s="65" t="s">
        <v>922</v>
      </c>
      <c r="K696" s="104"/>
      <c r="L696" s="48" t="s">
        <v>923</v>
      </c>
      <c r="M696" s="27">
        <v>44175</v>
      </c>
      <c r="N696" s="105" t="s">
        <v>177</v>
      </c>
      <c r="O696" s="106">
        <v>5900</v>
      </c>
      <c r="P696" s="106">
        <v>19</v>
      </c>
      <c r="Q696" s="51">
        <f t="shared" si="19"/>
        <v>112100</v>
      </c>
      <c r="R696" s="31">
        <v>202310</v>
      </c>
      <c r="S696" s="54" t="s">
        <v>938</v>
      </c>
      <c r="T696" s="54"/>
      <c r="U696" s="54"/>
      <c r="V696" s="54"/>
      <c r="W696" s="67"/>
      <c r="X696" s="67"/>
      <c r="Y696" s="36">
        <v>44084</v>
      </c>
      <c r="Z696" s="36">
        <v>46274</v>
      </c>
      <c r="AA696" s="36"/>
      <c r="AB696" s="36"/>
      <c r="AC696" s="36"/>
      <c r="AD696" s="36"/>
      <c r="AE696" s="36"/>
      <c r="AF696" s="53" t="s">
        <v>68</v>
      </c>
      <c r="AG696" s="42"/>
      <c r="AH696" s="42"/>
      <c r="AI696" s="43"/>
      <c r="AJ696" s="43"/>
      <c r="AK696" s="43"/>
      <c r="AL696" s="43"/>
      <c r="AM696" s="43"/>
      <c r="AN696" s="42"/>
      <c r="AO696" s="42"/>
      <c r="AP696" s="42"/>
      <c r="AQ696" s="43"/>
      <c r="AR696" s="42"/>
      <c r="AS696" s="42"/>
    </row>
    <row r="697" spans="1:45" ht="15" customHeight="1">
      <c r="A697" s="21" t="s">
        <v>260</v>
      </c>
      <c r="B697" s="21" t="s">
        <v>46</v>
      </c>
      <c r="C697" s="21" t="s">
        <v>188</v>
      </c>
      <c r="D697" s="21" t="s">
        <v>48</v>
      </c>
      <c r="E697" s="80" t="s">
        <v>919</v>
      </c>
      <c r="F697" s="21" t="s">
        <v>920</v>
      </c>
      <c r="G697" s="101" t="s">
        <v>77</v>
      </c>
      <c r="H697" s="25" t="s">
        <v>921</v>
      </c>
      <c r="I697" s="102" t="s">
        <v>78</v>
      </c>
      <c r="J697" s="65" t="s">
        <v>922</v>
      </c>
      <c r="K697" s="104"/>
      <c r="L697" s="48" t="s">
        <v>923</v>
      </c>
      <c r="M697" s="27">
        <v>44294</v>
      </c>
      <c r="N697" s="105" t="s">
        <v>177</v>
      </c>
      <c r="O697" s="106">
        <v>5900</v>
      </c>
      <c r="P697" s="106">
        <v>1</v>
      </c>
      <c r="Q697" s="51">
        <f t="shared" si="19"/>
        <v>5900</v>
      </c>
      <c r="R697" s="31">
        <v>202310</v>
      </c>
      <c r="S697" s="107" t="s">
        <v>939</v>
      </c>
      <c r="T697" s="67"/>
      <c r="U697" s="107"/>
      <c r="V697" s="67"/>
      <c r="W697" s="67"/>
      <c r="X697" s="67"/>
      <c r="Y697" s="36">
        <v>44084</v>
      </c>
      <c r="Z697" s="36">
        <v>46274</v>
      </c>
      <c r="AA697" s="36"/>
      <c r="AB697" s="36"/>
      <c r="AC697" s="36"/>
      <c r="AD697" s="36"/>
      <c r="AE697" s="36"/>
      <c r="AF697" s="53" t="s">
        <v>68</v>
      </c>
      <c r="AG697" s="42"/>
      <c r="AH697" s="42"/>
      <c r="AI697" s="43"/>
      <c r="AJ697" s="43"/>
      <c r="AK697" s="43"/>
      <c r="AL697" s="43"/>
      <c r="AM697" s="43"/>
      <c r="AN697" s="42"/>
      <c r="AO697" s="42"/>
      <c r="AP697" s="42"/>
      <c r="AQ697" s="43"/>
      <c r="AR697" s="42"/>
      <c r="AS697" s="42"/>
    </row>
    <row r="698" spans="1:45" ht="15" customHeight="1">
      <c r="A698" s="21" t="s">
        <v>260</v>
      </c>
      <c r="B698" s="21" t="s">
        <v>46</v>
      </c>
      <c r="C698" s="21" t="s">
        <v>188</v>
      </c>
      <c r="D698" s="21" t="s">
        <v>48</v>
      </c>
      <c r="E698" s="80" t="s">
        <v>919</v>
      </c>
      <c r="F698" s="21" t="s">
        <v>920</v>
      </c>
      <c r="G698" s="101" t="s">
        <v>77</v>
      </c>
      <c r="H698" s="25" t="s">
        <v>921</v>
      </c>
      <c r="I698" s="102" t="s">
        <v>78</v>
      </c>
      <c r="J698" s="65" t="s">
        <v>922</v>
      </c>
      <c r="K698" s="104"/>
      <c r="L698" s="48" t="s">
        <v>923</v>
      </c>
      <c r="M698" s="27">
        <v>44294</v>
      </c>
      <c r="N698" s="105" t="s">
        <v>291</v>
      </c>
      <c r="O698" s="106">
        <v>8900</v>
      </c>
      <c r="P698" s="106">
        <v>2</v>
      </c>
      <c r="Q698" s="51">
        <f t="shared" si="19"/>
        <v>17800</v>
      </c>
      <c r="R698" s="31">
        <v>202310</v>
      </c>
      <c r="S698" s="54" t="s">
        <v>940</v>
      </c>
      <c r="T698" s="54"/>
      <c r="U698" s="54"/>
      <c r="V698" s="54"/>
      <c r="W698" s="67"/>
      <c r="X698" s="67"/>
      <c r="Y698" s="36">
        <v>44084</v>
      </c>
      <c r="Z698" s="36">
        <v>46274</v>
      </c>
      <c r="AA698" s="36"/>
      <c r="AB698" s="36"/>
      <c r="AC698" s="36"/>
      <c r="AD698" s="36"/>
      <c r="AE698" s="36"/>
      <c r="AF698" s="53" t="s">
        <v>68</v>
      </c>
      <c r="AG698" s="42"/>
      <c r="AH698" s="42"/>
      <c r="AI698" s="43"/>
      <c r="AJ698" s="43"/>
      <c r="AK698" s="43"/>
      <c r="AL698" s="43"/>
      <c r="AM698" s="43"/>
      <c r="AN698" s="42"/>
      <c r="AO698" s="42"/>
      <c r="AP698" s="42"/>
      <c r="AQ698" s="43"/>
      <c r="AR698" s="42"/>
      <c r="AS698" s="42"/>
    </row>
    <row r="699" spans="1:45" ht="15" customHeight="1">
      <c r="A699" s="21" t="s">
        <v>260</v>
      </c>
      <c r="B699" s="21" t="s">
        <v>46</v>
      </c>
      <c r="C699" s="21" t="s">
        <v>188</v>
      </c>
      <c r="D699" s="21" t="s">
        <v>48</v>
      </c>
      <c r="E699" s="80" t="s">
        <v>919</v>
      </c>
      <c r="F699" s="21" t="s">
        <v>920</v>
      </c>
      <c r="G699" s="101" t="s">
        <v>77</v>
      </c>
      <c r="H699" s="25" t="s">
        <v>921</v>
      </c>
      <c r="I699" s="102" t="s">
        <v>78</v>
      </c>
      <c r="J699" s="65" t="s">
        <v>922</v>
      </c>
      <c r="K699" s="104"/>
      <c r="L699" s="48" t="s">
        <v>923</v>
      </c>
      <c r="M699" s="27">
        <v>44294</v>
      </c>
      <c r="N699" s="105" t="s">
        <v>182</v>
      </c>
      <c r="O699" s="106">
        <v>11200</v>
      </c>
      <c r="P699" s="106">
        <v>4</v>
      </c>
      <c r="Q699" s="51">
        <f t="shared" si="19"/>
        <v>44800</v>
      </c>
      <c r="R699" s="31">
        <v>202310</v>
      </c>
      <c r="S699" s="54" t="s">
        <v>941</v>
      </c>
      <c r="T699" s="54"/>
      <c r="U699" s="54"/>
      <c r="V699" s="54"/>
      <c r="W699" s="67"/>
      <c r="X699" s="67"/>
      <c r="Y699" s="36">
        <v>44084</v>
      </c>
      <c r="Z699" s="36">
        <v>46274</v>
      </c>
      <c r="AA699" s="36"/>
      <c r="AB699" s="36"/>
      <c r="AC699" s="36"/>
      <c r="AD699" s="36"/>
      <c r="AE699" s="36"/>
      <c r="AF699" s="53" t="s">
        <v>68</v>
      </c>
      <c r="AG699" s="42"/>
      <c r="AH699" s="42"/>
      <c r="AI699" s="43"/>
      <c r="AJ699" s="43"/>
      <c r="AK699" s="43"/>
      <c r="AL699" s="43"/>
      <c r="AM699" s="43"/>
      <c r="AN699" s="42"/>
      <c r="AO699" s="42"/>
      <c r="AP699" s="42"/>
      <c r="AQ699" s="43"/>
      <c r="AR699" s="42"/>
      <c r="AS699" s="42"/>
    </row>
    <row r="700" spans="1:45" ht="15" customHeight="1">
      <c r="A700" s="21" t="s">
        <v>260</v>
      </c>
      <c r="B700" s="21" t="s">
        <v>46</v>
      </c>
      <c r="C700" s="21" t="s">
        <v>188</v>
      </c>
      <c r="D700" s="21" t="s">
        <v>48</v>
      </c>
      <c r="E700" s="80" t="s">
        <v>919</v>
      </c>
      <c r="F700" s="21" t="s">
        <v>920</v>
      </c>
      <c r="G700" s="101" t="s">
        <v>77</v>
      </c>
      <c r="H700" s="25" t="s">
        <v>921</v>
      </c>
      <c r="I700" s="102" t="s">
        <v>78</v>
      </c>
      <c r="J700" s="65" t="s">
        <v>922</v>
      </c>
      <c r="K700" s="104"/>
      <c r="L700" s="48" t="s">
        <v>923</v>
      </c>
      <c r="M700" s="27">
        <v>44294</v>
      </c>
      <c r="N700" s="105" t="s">
        <v>388</v>
      </c>
      <c r="O700" s="106">
        <v>31900</v>
      </c>
      <c r="P700" s="106">
        <v>10</v>
      </c>
      <c r="Q700" s="51">
        <f t="shared" si="19"/>
        <v>319000</v>
      </c>
      <c r="R700" s="31">
        <v>202310</v>
      </c>
      <c r="S700" s="54" t="s">
        <v>942</v>
      </c>
      <c r="T700" s="54"/>
      <c r="U700" s="54"/>
      <c r="V700" s="54"/>
      <c r="W700" s="67"/>
      <c r="X700" s="67"/>
      <c r="Y700" s="36">
        <v>44084</v>
      </c>
      <c r="Z700" s="36">
        <v>46274</v>
      </c>
      <c r="AA700" s="36"/>
      <c r="AB700" s="36"/>
      <c r="AC700" s="36"/>
      <c r="AD700" s="36"/>
      <c r="AE700" s="36"/>
      <c r="AF700" s="53" t="s">
        <v>68</v>
      </c>
      <c r="AG700" s="42"/>
      <c r="AH700" s="42"/>
      <c r="AI700" s="43"/>
      <c r="AJ700" s="43"/>
      <c r="AK700" s="43"/>
      <c r="AL700" s="43"/>
      <c r="AM700" s="43"/>
      <c r="AN700" s="42"/>
      <c r="AO700" s="42"/>
      <c r="AP700" s="42"/>
      <c r="AQ700" s="43"/>
      <c r="AR700" s="42"/>
      <c r="AS700" s="42"/>
    </row>
    <row r="701" spans="1:45" ht="15" customHeight="1">
      <c r="A701" s="21" t="s">
        <v>260</v>
      </c>
      <c r="B701" s="21" t="s">
        <v>46</v>
      </c>
      <c r="C701" s="21" t="s">
        <v>188</v>
      </c>
      <c r="D701" s="21" t="s">
        <v>48</v>
      </c>
      <c r="E701" s="80" t="s">
        <v>919</v>
      </c>
      <c r="F701" s="21" t="s">
        <v>920</v>
      </c>
      <c r="G701" s="101" t="s">
        <v>77</v>
      </c>
      <c r="H701" s="25" t="s">
        <v>921</v>
      </c>
      <c r="I701" s="102" t="s">
        <v>78</v>
      </c>
      <c r="J701" s="65" t="s">
        <v>922</v>
      </c>
      <c r="K701" s="104"/>
      <c r="L701" s="48" t="s">
        <v>923</v>
      </c>
      <c r="M701" s="27">
        <v>44298</v>
      </c>
      <c r="N701" s="105" t="s">
        <v>388</v>
      </c>
      <c r="O701" s="106">
        <v>31900</v>
      </c>
      <c r="P701" s="106">
        <v>4</v>
      </c>
      <c r="Q701" s="51">
        <f t="shared" si="19"/>
        <v>127600</v>
      </c>
      <c r="R701" s="31">
        <v>202310</v>
      </c>
      <c r="S701" s="54" t="s">
        <v>943</v>
      </c>
      <c r="T701" s="54"/>
      <c r="U701" s="54"/>
      <c r="V701" s="54"/>
      <c r="W701" s="67"/>
      <c r="X701" s="67"/>
      <c r="Y701" s="36">
        <v>44084</v>
      </c>
      <c r="Z701" s="36">
        <v>46274</v>
      </c>
      <c r="AA701" s="36"/>
      <c r="AB701" s="36"/>
      <c r="AC701" s="36"/>
      <c r="AD701" s="36"/>
      <c r="AE701" s="36"/>
      <c r="AF701" s="53" t="s">
        <v>68</v>
      </c>
      <c r="AG701" s="42"/>
      <c r="AH701" s="42"/>
      <c r="AI701" s="43"/>
      <c r="AJ701" s="43"/>
      <c r="AK701" s="43"/>
      <c r="AL701" s="43"/>
      <c r="AM701" s="43"/>
      <c r="AN701" s="42"/>
      <c r="AO701" s="42"/>
      <c r="AP701" s="42"/>
      <c r="AQ701" s="43"/>
      <c r="AR701" s="42"/>
      <c r="AS701" s="42"/>
    </row>
    <row r="702" spans="1:45" ht="15" customHeight="1">
      <c r="A702" s="21" t="s">
        <v>260</v>
      </c>
      <c r="B702" s="21" t="s">
        <v>46</v>
      </c>
      <c r="C702" s="21" t="s">
        <v>188</v>
      </c>
      <c r="D702" s="21" t="s">
        <v>48</v>
      </c>
      <c r="E702" s="80" t="s">
        <v>919</v>
      </c>
      <c r="F702" s="21" t="s">
        <v>920</v>
      </c>
      <c r="G702" s="101" t="s">
        <v>77</v>
      </c>
      <c r="H702" s="25" t="s">
        <v>921</v>
      </c>
      <c r="I702" s="102" t="s">
        <v>78</v>
      </c>
      <c r="J702" s="65" t="s">
        <v>922</v>
      </c>
      <c r="K702" s="104"/>
      <c r="L702" s="48" t="s">
        <v>923</v>
      </c>
      <c r="M702" s="27">
        <v>44329</v>
      </c>
      <c r="N702" s="105" t="s">
        <v>182</v>
      </c>
      <c r="O702" s="106">
        <v>11200</v>
      </c>
      <c r="P702" s="106">
        <v>4</v>
      </c>
      <c r="Q702" s="51">
        <f t="shared" si="19"/>
        <v>44800</v>
      </c>
      <c r="R702" s="31">
        <v>202310</v>
      </c>
      <c r="S702" s="54" t="s">
        <v>944</v>
      </c>
      <c r="T702" s="54"/>
      <c r="U702" s="54"/>
      <c r="V702" s="54"/>
      <c r="W702" s="67"/>
      <c r="X702" s="67"/>
      <c r="Y702" s="36">
        <v>44084</v>
      </c>
      <c r="Z702" s="36">
        <v>46274</v>
      </c>
      <c r="AA702" s="36"/>
      <c r="AB702" s="36"/>
      <c r="AC702" s="36"/>
      <c r="AD702" s="36"/>
      <c r="AE702" s="36"/>
      <c r="AF702" s="53" t="s">
        <v>68</v>
      </c>
      <c r="AG702" s="42"/>
      <c r="AH702" s="42"/>
      <c r="AI702" s="43"/>
      <c r="AJ702" s="43"/>
      <c r="AK702" s="43"/>
      <c r="AL702" s="43"/>
      <c r="AM702" s="43"/>
      <c r="AN702" s="42"/>
      <c r="AO702" s="42"/>
      <c r="AP702" s="42"/>
      <c r="AQ702" s="43"/>
      <c r="AR702" s="42"/>
      <c r="AS702" s="42"/>
    </row>
    <row r="703" spans="1:45" ht="15" customHeight="1">
      <c r="A703" s="21" t="s">
        <v>260</v>
      </c>
      <c r="B703" s="21" t="s">
        <v>46</v>
      </c>
      <c r="C703" s="21" t="s">
        <v>188</v>
      </c>
      <c r="D703" s="21" t="s">
        <v>48</v>
      </c>
      <c r="E703" s="80" t="s">
        <v>919</v>
      </c>
      <c r="F703" s="21" t="s">
        <v>920</v>
      </c>
      <c r="G703" s="101" t="s">
        <v>77</v>
      </c>
      <c r="H703" s="25" t="s">
        <v>921</v>
      </c>
      <c r="I703" s="102" t="s">
        <v>78</v>
      </c>
      <c r="J703" s="65" t="s">
        <v>922</v>
      </c>
      <c r="K703" s="104"/>
      <c r="L703" s="48" t="s">
        <v>923</v>
      </c>
      <c r="M703" s="27">
        <v>44389</v>
      </c>
      <c r="N703" s="105" t="s">
        <v>177</v>
      </c>
      <c r="O703" s="106">
        <v>5900</v>
      </c>
      <c r="P703" s="106">
        <v>12</v>
      </c>
      <c r="Q703" s="51">
        <f t="shared" si="19"/>
        <v>70800</v>
      </c>
      <c r="R703" s="31">
        <v>202310</v>
      </c>
      <c r="S703" s="54" t="s">
        <v>945</v>
      </c>
      <c r="T703" s="54"/>
      <c r="U703" s="54"/>
      <c r="V703" s="54"/>
      <c r="W703" s="67"/>
      <c r="X703" s="67"/>
      <c r="Y703" s="36">
        <v>44084</v>
      </c>
      <c r="Z703" s="36">
        <v>46274</v>
      </c>
      <c r="AA703" s="36"/>
      <c r="AB703" s="36"/>
      <c r="AC703" s="36"/>
      <c r="AD703" s="36"/>
      <c r="AE703" s="36"/>
      <c r="AF703" s="53" t="s">
        <v>68</v>
      </c>
      <c r="AG703" s="42"/>
      <c r="AH703" s="42"/>
      <c r="AI703" s="43"/>
      <c r="AJ703" s="43"/>
      <c r="AK703" s="43"/>
      <c r="AL703" s="43"/>
      <c r="AM703" s="43"/>
      <c r="AN703" s="42"/>
      <c r="AO703" s="42"/>
      <c r="AP703" s="42"/>
      <c r="AQ703" s="43"/>
      <c r="AR703" s="42"/>
      <c r="AS703" s="42"/>
    </row>
    <row r="704" spans="1:45" ht="15" customHeight="1">
      <c r="A704" s="21" t="s">
        <v>260</v>
      </c>
      <c r="B704" s="21" t="s">
        <v>46</v>
      </c>
      <c r="C704" s="21" t="s">
        <v>188</v>
      </c>
      <c r="D704" s="21" t="s">
        <v>48</v>
      </c>
      <c r="E704" s="80" t="s">
        <v>919</v>
      </c>
      <c r="F704" s="21" t="s">
        <v>920</v>
      </c>
      <c r="G704" s="101" t="s">
        <v>77</v>
      </c>
      <c r="H704" s="25" t="s">
        <v>921</v>
      </c>
      <c r="I704" s="102" t="s">
        <v>78</v>
      </c>
      <c r="J704" s="65" t="s">
        <v>922</v>
      </c>
      <c r="K704" s="104"/>
      <c r="L704" s="48" t="s">
        <v>923</v>
      </c>
      <c r="M704" s="27">
        <v>44396</v>
      </c>
      <c r="N704" s="105" t="s">
        <v>177</v>
      </c>
      <c r="O704" s="106">
        <v>5900</v>
      </c>
      <c r="P704" s="106">
        <v>2</v>
      </c>
      <c r="Q704" s="51">
        <f t="shared" si="19"/>
        <v>11800</v>
      </c>
      <c r="R704" s="31">
        <v>202310</v>
      </c>
      <c r="S704" s="54" t="s">
        <v>946</v>
      </c>
      <c r="T704" s="54"/>
      <c r="U704" s="54"/>
      <c r="V704" s="54"/>
      <c r="W704" s="67"/>
      <c r="X704" s="67"/>
      <c r="Y704" s="36">
        <v>44084</v>
      </c>
      <c r="Z704" s="36">
        <v>46274</v>
      </c>
      <c r="AA704" s="36"/>
      <c r="AB704" s="36"/>
      <c r="AC704" s="36"/>
      <c r="AD704" s="36"/>
      <c r="AE704" s="36"/>
      <c r="AF704" s="53" t="s">
        <v>68</v>
      </c>
      <c r="AG704" s="42"/>
      <c r="AH704" s="42"/>
      <c r="AI704" s="43"/>
      <c r="AJ704" s="43"/>
      <c r="AK704" s="43"/>
      <c r="AL704" s="43"/>
      <c r="AM704" s="43"/>
      <c r="AN704" s="42"/>
      <c r="AO704" s="42"/>
      <c r="AP704" s="42"/>
      <c r="AQ704" s="43"/>
      <c r="AR704" s="42"/>
      <c r="AS704" s="42"/>
    </row>
    <row r="705" spans="1:45" ht="15" customHeight="1">
      <c r="A705" s="21" t="s">
        <v>260</v>
      </c>
      <c r="B705" s="21" t="s">
        <v>46</v>
      </c>
      <c r="C705" s="21" t="s">
        <v>188</v>
      </c>
      <c r="D705" s="21" t="s">
        <v>48</v>
      </c>
      <c r="E705" s="80" t="s">
        <v>919</v>
      </c>
      <c r="F705" s="21" t="s">
        <v>920</v>
      </c>
      <c r="G705" s="101" t="s">
        <v>77</v>
      </c>
      <c r="H705" s="25" t="s">
        <v>921</v>
      </c>
      <c r="I705" s="102" t="s">
        <v>78</v>
      </c>
      <c r="J705" s="65" t="s">
        <v>922</v>
      </c>
      <c r="K705" s="104"/>
      <c r="L705" s="48" t="s">
        <v>923</v>
      </c>
      <c r="M705" s="27">
        <v>44467</v>
      </c>
      <c r="N705" s="105" t="s">
        <v>388</v>
      </c>
      <c r="O705" s="106">
        <v>31900</v>
      </c>
      <c r="P705" s="106">
        <v>2</v>
      </c>
      <c r="Q705" s="51">
        <f t="shared" si="19"/>
        <v>63800</v>
      </c>
      <c r="R705" s="31">
        <v>202310</v>
      </c>
      <c r="S705" s="107" t="s">
        <v>947</v>
      </c>
      <c r="T705" s="67"/>
      <c r="U705" s="107"/>
      <c r="V705" s="67"/>
      <c r="W705" s="67"/>
      <c r="X705" s="67"/>
      <c r="Y705" s="36">
        <v>44084</v>
      </c>
      <c r="Z705" s="36">
        <v>46274</v>
      </c>
      <c r="AA705" s="36"/>
      <c r="AB705" s="36"/>
      <c r="AC705" s="36"/>
      <c r="AD705" s="36"/>
      <c r="AE705" s="36"/>
      <c r="AF705" s="53" t="s">
        <v>68</v>
      </c>
      <c r="AG705" s="42"/>
      <c r="AH705" s="42"/>
      <c r="AI705" s="43"/>
      <c r="AJ705" s="43"/>
      <c r="AK705" s="43"/>
      <c r="AL705" s="43"/>
      <c r="AM705" s="43"/>
      <c r="AN705" s="42"/>
      <c r="AO705" s="42"/>
      <c r="AP705" s="42"/>
      <c r="AQ705" s="43"/>
      <c r="AR705" s="42"/>
      <c r="AS705" s="42"/>
    </row>
    <row r="706" spans="1:45" ht="15" customHeight="1">
      <c r="A706" s="21" t="s">
        <v>260</v>
      </c>
      <c r="B706" s="21" t="s">
        <v>46</v>
      </c>
      <c r="C706" s="21" t="s">
        <v>188</v>
      </c>
      <c r="D706" s="21" t="s">
        <v>48</v>
      </c>
      <c r="E706" s="80" t="s">
        <v>919</v>
      </c>
      <c r="F706" s="21" t="s">
        <v>920</v>
      </c>
      <c r="G706" s="101" t="s">
        <v>77</v>
      </c>
      <c r="H706" s="25" t="s">
        <v>921</v>
      </c>
      <c r="I706" s="102" t="s">
        <v>78</v>
      </c>
      <c r="J706" s="65" t="s">
        <v>922</v>
      </c>
      <c r="K706" s="104"/>
      <c r="L706" s="48" t="s">
        <v>923</v>
      </c>
      <c r="M706" s="27">
        <v>44573</v>
      </c>
      <c r="N706" s="105" t="s">
        <v>177</v>
      </c>
      <c r="O706" s="106">
        <v>5900</v>
      </c>
      <c r="P706" s="106">
        <v>1</v>
      </c>
      <c r="Q706" s="51">
        <f t="shared" si="19"/>
        <v>5900</v>
      </c>
      <c r="R706" s="31">
        <v>202310</v>
      </c>
      <c r="S706" s="107" t="s">
        <v>948</v>
      </c>
      <c r="T706" s="67"/>
      <c r="U706" s="107"/>
      <c r="V706" s="67"/>
      <c r="W706" s="67"/>
      <c r="X706" s="67"/>
      <c r="Y706" s="36">
        <v>44084</v>
      </c>
      <c r="Z706" s="36">
        <v>46274</v>
      </c>
      <c r="AA706" s="36"/>
      <c r="AB706" s="36"/>
      <c r="AC706" s="36"/>
      <c r="AD706" s="36"/>
      <c r="AE706" s="36"/>
      <c r="AF706" s="53" t="s">
        <v>68</v>
      </c>
      <c r="AG706" s="42"/>
      <c r="AH706" s="42"/>
      <c r="AI706" s="43"/>
      <c r="AJ706" s="43"/>
      <c r="AK706" s="43"/>
      <c r="AL706" s="43"/>
      <c r="AM706" s="43"/>
      <c r="AN706" s="42"/>
      <c r="AO706" s="42"/>
      <c r="AP706" s="42"/>
      <c r="AQ706" s="43"/>
      <c r="AR706" s="42"/>
      <c r="AS706" s="42"/>
    </row>
    <row r="707" spans="1:45" ht="15" customHeight="1">
      <c r="A707" s="21" t="s">
        <v>260</v>
      </c>
      <c r="B707" s="21" t="s">
        <v>46</v>
      </c>
      <c r="C707" s="21" t="s">
        <v>188</v>
      </c>
      <c r="D707" s="21" t="s">
        <v>48</v>
      </c>
      <c r="E707" s="80" t="s">
        <v>919</v>
      </c>
      <c r="F707" s="21" t="s">
        <v>920</v>
      </c>
      <c r="G707" s="101" t="s">
        <v>77</v>
      </c>
      <c r="H707" s="25" t="s">
        <v>921</v>
      </c>
      <c r="I707" s="102" t="s">
        <v>78</v>
      </c>
      <c r="J707" s="65" t="s">
        <v>922</v>
      </c>
      <c r="K707" s="104"/>
      <c r="L707" s="48" t="s">
        <v>923</v>
      </c>
      <c r="M707" s="27">
        <v>44729</v>
      </c>
      <c r="N707" s="105" t="s">
        <v>177</v>
      </c>
      <c r="O707" s="106">
        <v>5900</v>
      </c>
      <c r="P707" s="106">
        <v>2</v>
      </c>
      <c r="Q707" s="51">
        <f t="shared" si="19"/>
        <v>11800</v>
      </c>
      <c r="R707" s="31">
        <v>202310</v>
      </c>
      <c r="S707" s="107" t="s">
        <v>949</v>
      </c>
      <c r="T707" s="67"/>
      <c r="U707" s="107"/>
      <c r="V707" s="67"/>
      <c r="W707" s="67"/>
      <c r="X707" s="67"/>
      <c r="Y707" s="36">
        <v>44084</v>
      </c>
      <c r="Z707" s="36">
        <v>46274</v>
      </c>
      <c r="AA707" s="36"/>
      <c r="AB707" s="36"/>
      <c r="AC707" s="36"/>
      <c r="AD707" s="36"/>
      <c r="AE707" s="36"/>
      <c r="AF707" s="53" t="s">
        <v>68</v>
      </c>
      <c r="AG707" s="42"/>
      <c r="AH707" s="42"/>
      <c r="AI707" s="43"/>
      <c r="AJ707" s="43"/>
      <c r="AK707" s="43"/>
      <c r="AL707" s="43"/>
      <c r="AM707" s="43"/>
      <c r="AN707" s="42"/>
      <c r="AO707" s="42"/>
      <c r="AP707" s="42"/>
      <c r="AQ707" s="43"/>
      <c r="AR707" s="42"/>
      <c r="AS707" s="42"/>
    </row>
    <row r="708" spans="1:45" ht="15" customHeight="1">
      <c r="A708" s="21" t="s">
        <v>260</v>
      </c>
      <c r="B708" s="21" t="s">
        <v>46</v>
      </c>
      <c r="C708" s="21" t="s">
        <v>188</v>
      </c>
      <c r="D708" s="21" t="s">
        <v>48</v>
      </c>
      <c r="E708" s="80" t="s">
        <v>919</v>
      </c>
      <c r="F708" s="21" t="s">
        <v>920</v>
      </c>
      <c r="G708" s="101" t="s">
        <v>77</v>
      </c>
      <c r="H708" s="25" t="s">
        <v>921</v>
      </c>
      <c r="I708" s="102" t="s">
        <v>78</v>
      </c>
      <c r="J708" s="65" t="s">
        <v>922</v>
      </c>
      <c r="K708" s="151"/>
      <c r="L708" s="48" t="s">
        <v>923</v>
      </c>
      <c r="M708" s="27">
        <v>44778</v>
      </c>
      <c r="N708" s="105" t="s">
        <v>177</v>
      </c>
      <c r="O708" s="106">
        <v>5900</v>
      </c>
      <c r="P708" s="106">
        <v>1</v>
      </c>
      <c r="Q708" s="51">
        <f t="shared" si="19"/>
        <v>5900</v>
      </c>
      <c r="R708" s="31">
        <v>202310</v>
      </c>
      <c r="S708" s="107" t="s">
        <v>950</v>
      </c>
      <c r="T708" s="67"/>
      <c r="U708" s="107"/>
      <c r="V708" s="67"/>
      <c r="W708" s="67"/>
      <c r="X708" s="67"/>
      <c r="Y708" s="36">
        <v>44084</v>
      </c>
      <c r="Z708" s="36">
        <v>46274</v>
      </c>
      <c r="AA708" s="36"/>
      <c r="AB708" s="36"/>
      <c r="AC708" s="36"/>
      <c r="AD708" s="36"/>
      <c r="AE708" s="36"/>
      <c r="AF708" s="53" t="s">
        <v>68</v>
      </c>
      <c r="AG708" s="42"/>
      <c r="AH708" s="42"/>
      <c r="AI708" s="43"/>
      <c r="AJ708" s="43"/>
      <c r="AK708" s="43"/>
      <c r="AL708" s="43"/>
      <c r="AM708" s="43"/>
      <c r="AN708" s="42"/>
      <c r="AO708" s="42"/>
      <c r="AP708" s="42"/>
      <c r="AQ708" s="43"/>
      <c r="AR708" s="42"/>
      <c r="AS708" s="42"/>
    </row>
    <row r="709" spans="1:45" ht="15" customHeight="1">
      <c r="A709" s="21" t="s">
        <v>260</v>
      </c>
      <c r="B709" s="21" t="s">
        <v>46</v>
      </c>
      <c r="C709" s="21" t="s">
        <v>188</v>
      </c>
      <c r="D709" s="21" t="s">
        <v>48</v>
      </c>
      <c r="E709" s="80" t="s">
        <v>919</v>
      </c>
      <c r="F709" s="21" t="s">
        <v>920</v>
      </c>
      <c r="G709" s="101" t="s">
        <v>77</v>
      </c>
      <c r="H709" s="25" t="s">
        <v>921</v>
      </c>
      <c r="I709" s="102" t="s">
        <v>78</v>
      </c>
      <c r="J709" s="65" t="s">
        <v>922</v>
      </c>
      <c r="K709" s="151"/>
      <c r="L709" s="48" t="s">
        <v>923</v>
      </c>
      <c r="M709" s="27">
        <v>44823</v>
      </c>
      <c r="N709" s="105" t="s">
        <v>177</v>
      </c>
      <c r="O709" s="106">
        <v>5900</v>
      </c>
      <c r="P709" s="106">
        <v>2</v>
      </c>
      <c r="Q709" s="51">
        <f t="shared" si="19"/>
        <v>11800</v>
      </c>
      <c r="R709" s="31">
        <v>202310</v>
      </c>
      <c r="S709" s="107" t="s">
        <v>951</v>
      </c>
      <c r="T709" s="67"/>
      <c r="U709" s="107"/>
      <c r="V709" s="67"/>
      <c r="W709" s="67"/>
      <c r="X709" s="67"/>
      <c r="Y709" s="36">
        <v>44084</v>
      </c>
      <c r="Z709" s="36">
        <v>46274</v>
      </c>
      <c r="AA709" s="36"/>
      <c r="AB709" s="36"/>
      <c r="AC709" s="36"/>
      <c r="AD709" s="36"/>
      <c r="AE709" s="36"/>
      <c r="AF709" s="53" t="s">
        <v>68</v>
      </c>
      <c r="AG709" s="42"/>
      <c r="AH709" s="42"/>
      <c r="AI709" s="43"/>
      <c r="AJ709" s="43"/>
      <c r="AK709" s="43"/>
      <c r="AL709" s="43"/>
      <c r="AM709" s="43"/>
      <c r="AN709" s="42"/>
      <c r="AO709" s="42"/>
      <c r="AP709" s="42"/>
      <c r="AQ709" s="43"/>
      <c r="AR709" s="42"/>
      <c r="AS709" s="42"/>
    </row>
    <row r="710" spans="1:45" ht="15" customHeight="1">
      <c r="A710" s="21" t="s">
        <v>260</v>
      </c>
      <c r="B710" s="21" t="s">
        <v>46</v>
      </c>
      <c r="C710" s="21" t="s">
        <v>188</v>
      </c>
      <c r="D710" s="21" t="s">
        <v>48</v>
      </c>
      <c r="E710" s="80" t="s">
        <v>919</v>
      </c>
      <c r="F710" s="21" t="s">
        <v>920</v>
      </c>
      <c r="G710" s="101" t="s">
        <v>77</v>
      </c>
      <c r="H710" s="25" t="s">
        <v>921</v>
      </c>
      <c r="I710" s="102" t="s">
        <v>78</v>
      </c>
      <c r="J710" s="65" t="s">
        <v>922</v>
      </c>
      <c r="K710" s="151"/>
      <c r="L710" s="48" t="s">
        <v>923</v>
      </c>
      <c r="M710" s="27">
        <v>44866</v>
      </c>
      <c r="N710" s="105" t="s">
        <v>382</v>
      </c>
      <c r="O710" s="106">
        <v>0</v>
      </c>
      <c r="P710" s="106">
        <v>26</v>
      </c>
      <c r="Q710" s="51">
        <f t="shared" si="19"/>
        <v>0</v>
      </c>
      <c r="R710" s="31">
        <v>202310</v>
      </c>
      <c r="S710" s="107" t="s">
        <v>952</v>
      </c>
      <c r="T710" s="67"/>
      <c r="U710" s="107"/>
      <c r="V710" s="67"/>
      <c r="W710" s="67"/>
      <c r="X710" s="67"/>
      <c r="Y710" s="36">
        <v>44084</v>
      </c>
      <c r="Z710" s="36">
        <v>46274</v>
      </c>
      <c r="AA710" s="36"/>
      <c r="AB710" s="36"/>
      <c r="AC710" s="36"/>
      <c r="AD710" s="36"/>
      <c r="AE710" s="36"/>
      <c r="AF710" s="53" t="s">
        <v>68</v>
      </c>
      <c r="AG710" s="42"/>
      <c r="AH710" s="42"/>
      <c r="AI710" s="43"/>
      <c r="AJ710" s="43"/>
      <c r="AK710" s="43"/>
      <c r="AL710" s="43"/>
      <c r="AM710" s="43"/>
      <c r="AN710" s="42"/>
      <c r="AO710" s="42"/>
      <c r="AP710" s="42"/>
      <c r="AQ710" s="43"/>
      <c r="AR710" s="42"/>
      <c r="AS710" s="42"/>
    </row>
    <row r="711" spans="1:45" ht="15" customHeight="1">
      <c r="A711" s="21" t="s">
        <v>260</v>
      </c>
      <c r="B711" s="21" t="s">
        <v>46</v>
      </c>
      <c r="C711" s="21" t="s">
        <v>188</v>
      </c>
      <c r="D711" s="21" t="s">
        <v>48</v>
      </c>
      <c r="E711" s="80" t="s">
        <v>919</v>
      </c>
      <c r="F711" s="21" t="s">
        <v>953</v>
      </c>
      <c r="G711" s="101" t="s">
        <v>77</v>
      </c>
      <c r="H711" s="25" t="s">
        <v>954</v>
      </c>
      <c r="I711" s="102" t="s">
        <v>78</v>
      </c>
      <c r="J711" s="65" t="s">
        <v>955</v>
      </c>
      <c r="K711" s="104"/>
      <c r="L711" s="48" t="s">
        <v>956</v>
      </c>
      <c r="M711" s="27">
        <v>44241</v>
      </c>
      <c r="N711" s="105" t="s">
        <v>177</v>
      </c>
      <c r="O711" s="106">
        <v>5900</v>
      </c>
      <c r="P711" s="106">
        <v>24</v>
      </c>
      <c r="Q711" s="51">
        <f t="shared" si="19"/>
        <v>141600</v>
      </c>
      <c r="R711" s="31">
        <v>202310</v>
      </c>
      <c r="S711" s="54" t="s">
        <v>957</v>
      </c>
      <c r="T711" s="54"/>
      <c r="U711" s="54"/>
      <c r="V711" s="54"/>
      <c r="W711" s="67"/>
      <c r="X711" s="67"/>
      <c r="Y711" s="36">
        <v>44211</v>
      </c>
      <c r="Z711" s="36">
        <v>46401</v>
      </c>
      <c r="AA711" s="36"/>
      <c r="AB711" s="36"/>
      <c r="AC711" s="36"/>
      <c r="AD711" s="36"/>
      <c r="AE711" s="36"/>
      <c r="AF711" s="53" t="s">
        <v>68</v>
      </c>
      <c r="AG711" s="42"/>
      <c r="AH711" s="42"/>
      <c r="AI711" s="43"/>
      <c r="AJ711" s="43"/>
      <c r="AK711" s="43"/>
      <c r="AL711" s="43"/>
      <c r="AM711" s="43"/>
      <c r="AN711" s="42"/>
      <c r="AO711" s="42"/>
      <c r="AP711" s="42"/>
      <c r="AQ711" s="43"/>
      <c r="AR711" s="42"/>
      <c r="AS711" s="42"/>
    </row>
    <row r="712" spans="1:45" ht="15" customHeight="1">
      <c r="A712" s="21" t="s">
        <v>260</v>
      </c>
      <c r="B712" s="21" t="s">
        <v>46</v>
      </c>
      <c r="C712" s="21" t="s">
        <v>188</v>
      </c>
      <c r="D712" s="21" t="s">
        <v>48</v>
      </c>
      <c r="E712" s="80" t="s">
        <v>919</v>
      </c>
      <c r="F712" s="21" t="s">
        <v>953</v>
      </c>
      <c r="G712" s="101" t="s">
        <v>77</v>
      </c>
      <c r="H712" s="25" t="s">
        <v>954</v>
      </c>
      <c r="I712" s="102" t="s">
        <v>78</v>
      </c>
      <c r="J712" s="65" t="s">
        <v>955</v>
      </c>
      <c r="K712" s="104"/>
      <c r="L712" s="48" t="s">
        <v>956</v>
      </c>
      <c r="M712" s="27">
        <v>44241</v>
      </c>
      <c r="N712" s="105" t="s">
        <v>182</v>
      </c>
      <c r="O712" s="106">
        <v>11700</v>
      </c>
      <c r="P712" s="106">
        <v>27</v>
      </c>
      <c r="Q712" s="51">
        <f t="shared" si="19"/>
        <v>315900</v>
      </c>
      <c r="R712" s="31">
        <v>202310</v>
      </c>
      <c r="S712" s="54" t="s">
        <v>958</v>
      </c>
      <c r="T712" s="54"/>
      <c r="U712" s="54"/>
      <c r="V712" s="54"/>
      <c r="W712" s="67"/>
      <c r="X712" s="67"/>
      <c r="Y712" s="36">
        <v>44211</v>
      </c>
      <c r="Z712" s="36">
        <v>46401</v>
      </c>
      <c r="AA712" s="36"/>
      <c r="AB712" s="36"/>
      <c r="AC712" s="36"/>
      <c r="AD712" s="36"/>
      <c r="AE712" s="36"/>
      <c r="AF712" s="53" t="s">
        <v>68</v>
      </c>
      <c r="AG712" s="42"/>
      <c r="AH712" s="42"/>
      <c r="AI712" s="43"/>
      <c r="AJ712" s="43"/>
      <c r="AK712" s="43"/>
      <c r="AL712" s="43"/>
      <c r="AM712" s="43"/>
      <c r="AN712" s="42"/>
      <c r="AO712" s="42"/>
      <c r="AP712" s="42"/>
      <c r="AQ712" s="43"/>
      <c r="AR712" s="42"/>
      <c r="AS712" s="42"/>
    </row>
    <row r="713" spans="1:45" ht="15" customHeight="1">
      <c r="A713" s="21" t="s">
        <v>260</v>
      </c>
      <c r="B713" s="21" t="s">
        <v>46</v>
      </c>
      <c r="C713" s="21" t="s">
        <v>188</v>
      </c>
      <c r="D713" s="21" t="s">
        <v>48</v>
      </c>
      <c r="E713" s="80" t="s">
        <v>919</v>
      </c>
      <c r="F713" s="21" t="s">
        <v>953</v>
      </c>
      <c r="G713" s="101" t="s">
        <v>77</v>
      </c>
      <c r="H713" s="25" t="s">
        <v>954</v>
      </c>
      <c r="I713" s="102" t="s">
        <v>78</v>
      </c>
      <c r="J713" s="65" t="s">
        <v>955</v>
      </c>
      <c r="K713" s="104"/>
      <c r="L713" s="48" t="s">
        <v>956</v>
      </c>
      <c r="M713" s="27">
        <v>44241</v>
      </c>
      <c r="N713" s="105" t="s">
        <v>348</v>
      </c>
      <c r="O713" s="106">
        <v>11970</v>
      </c>
      <c r="P713" s="106">
        <v>4</v>
      </c>
      <c r="Q713" s="51">
        <f t="shared" si="19"/>
        <v>47880</v>
      </c>
      <c r="R713" s="31">
        <v>202310</v>
      </c>
      <c r="S713" s="54" t="s">
        <v>959</v>
      </c>
      <c r="T713" s="54"/>
      <c r="U713" s="54"/>
      <c r="V713" s="54"/>
      <c r="W713" s="67"/>
      <c r="X713" s="67"/>
      <c r="Y713" s="36">
        <v>44211</v>
      </c>
      <c r="Z713" s="36">
        <v>46401</v>
      </c>
      <c r="AA713" s="36"/>
      <c r="AB713" s="36"/>
      <c r="AC713" s="36"/>
      <c r="AD713" s="36"/>
      <c r="AE713" s="36"/>
      <c r="AF713" s="53" t="s">
        <v>68</v>
      </c>
      <c r="AG713" s="42"/>
      <c r="AH713" s="42"/>
      <c r="AI713" s="43"/>
      <c r="AJ713" s="43"/>
      <c r="AK713" s="43"/>
      <c r="AL713" s="43"/>
      <c r="AM713" s="43"/>
      <c r="AN713" s="42"/>
      <c r="AO713" s="42"/>
      <c r="AP713" s="42"/>
      <c r="AQ713" s="43"/>
      <c r="AR713" s="42"/>
      <c r="AS713" s="42"/>
    </row>
    <row r="714" spans="1:45" ht="15" customHeight="1">
      <c r="A714" s="21" t="s">
        <v>260</v>
      </c>
      <c r="B714" s="21" t="s">
        <v>46</v>
      </c>
      <c r="C714" s="21" t="s">
        <v>188</v>
      </c>
      <c r="D714" s="21" t="s">
        <v>48</v>
      </c>
      <c r="E714" s="80" t="s">
        <v>919</v>
      </c>
      <c r="F714" s="21" t="s">
        <v>953</v>
      </c>
      <c r="G714" s="101" t="s">
        <v>77</v>
      </c>
      <c r="H714" s="25" t="s">
        <v>954</v>
      </c>
      <c r="I714" s="102" t="s">
        <v>78</v>
      </c>
      <c r="J714" s="65" t="s">
        <v>955</v>
      </c>
      <c r="K714" s="104"/>
      <c r="L714" s="48" t="s">
        <v>956</v>
      </c>
      <c r="M714" s="27">
        <v>44241</v>
      </c>
      <c r="N714" s="105" t="s">
        <v>388</v>
      </c>
      <c r="O714" s="106">
        <v>32400</v>
      </c>
      <c r="P714" s="106">
        <v>10</v>
      </c>
      <c r="Q714" s="51">
        <f t="shared" si="19"/>
        <v>324000</v>
      </c>
      <c r="R714" s="31">
        <v>202310</v>
      </c>
      <c r="S714" s="54" t="s">
        <v>960</v>
      </c>
      <c r="T714" s="54"/>
      <c r="U714" s="54"/>
      <c r="V714" s="54"/>
      <c r="W714" s="67"/>
      <c r="X714" s="67"/>
      <c r="Y714" s="36">
        <v>44211</v>
      </c>
      <c r="Z714" s="36">
        <v>46401</v>
      </c>
      <c r="AA714" s="36"/>
      <c r="AB714" s="36"/>
      <c r="AC714" s="36"/>
      <c r="AD714" s="36"/>
      <c r="AE714" s="36"/>
      <c r="AF714" s="53" t="s">
        <v>68</v>
      </c>
      <c r="AG714" s="42"/>
      <c r="AH714" s="42"/>
      <c r="AI714" s="43"/>
      <c r="AJ714" s="43"/>
      <c r="AK714" s="43"/>
      <c r="AL714" s="43"/>
      <c r="AM714" s="43"/>
      <c r="AN714" s="42"/>
      <c r="AO714" s="42"/>
      <c r="AP714" s="42"/>
      <c r="AQ714" s="43"/>
      <c r="AR714" s="42"/>
      <c r="AS714" s="42"/>
    </row>
    <row r="715" spans="1:45" ht="15" customHeight="1">
      <c r="A715" s="21" t="s">
        <v>260</v>
      </c>
      <c r="B715" s="21" t="s">
        <v>46</v>
      </c>
      <c r="C715" s="21" t="s">
        <v>188</v>
      </c>
      <c r="D715" s="21" t="s">
        <v>48</v>
      </c>
      <c r="E715" s="80" t="s">
        <v>919</v>
      </c>
      <c r="F715" s="21" t="s">
        <v>953</v>
      </c>
      <c r="G715" s="101" t="s">
        <v>77</v>
      </c>
      <c r="H715" s="25" t="s">
        <v>954</v>
      </c>
      <c r="I715" s="102" t="s">
        <v>78</v>
      </c>
      <c r="J715" s="65" t="s">
        <v>955</v>
      </c>
      <c r="K715" s="104"/>
      <c r="L715" s="48" t="s">
        <v>956</v>
      </c>
      <c r="M715" s="27">
        <v>44254</v>
      </c>
      <c r="N715" s="105" t="s">
        <v>182</v>
      </c>
      <c r="O715" s="106">
        <v>11700</v>
      </c>
      <c r="P715" s="106">
        <v>7</v>
      </c>
      <c r="Q715" s="51">
        <f t="shared" si="19"/>
        <v>81900</v>
      </c>
      <c r="R715" s="31">
        <v>202310</v>
      </c>
      <c r="S715" s="107" t="s">
        <v>961</v>
      </c>
      <c r="T715" s="67"/>
      <c r="U715" s="107"/>
      <c r="V715" s="67"/>
      <c r="W715" s="67"/>
      <c r="X715" s="67"/>
      <c r="Y715" s="36">
        <v>44211</v>
      </c>
      <c r="Z715" s="36">
        <v>46401</v>
      </c>
      <c r="AA715" s="36"/>
      <c r="AB715" s="36"/>
      <c r="AC715" s="36"/>
      <c r="AD715" s="36"/>
      <c r="AE715" s="36"/>
      <c r="AF715" s="53" t="s">
        <v>68</v>
      </c>
      <c r="AG715" s="42"/>
      <c r="AH715" s="42"/>
      <c r="AI715" s="43"/>
      <c r="AJ715" s="43"/>
      <c r="AK715" s="43"/>
      <c r="AL715" s="43"/>
      <c r="AM715" s="43"/>
      <c r="AN715" s="42"/>
      <c r="AO715" s="42"/>
      <c r="AP715" s="42"/>
      <c r="AQ715" s="43"/>
      <c r="AR715" s="42"/>
      <c r="AS715" s="42"/>
    </row>
    <row r="716" spans="1:45" ht="15" customHeight="1">
      <c r="A716" s="21" t="s">
        <v>260</v>
      </c>
      <c r="B716" s="21" t="s">
        <v>46</v>
      </c>
      <c r="C716" s="21" t="s">
        <v>188</v>
      </c>
      <c r="D716" s="21" t="s">
        <v>48</v>
      </c>
      <c r="E716" s="80" t="s">
        <v>919</v>
      </c>
      <c r="F716" s="21" t="s">
        <v>953</v>
      </c>
      <c r="G716" s="101" t="s">
        <v>77</v>
      </c>
      <c r="H716" s="25" t="s">
        <v>954</v>
      </c>
      <c r="I716" s="102" t="s">
        <v>78</v>
      </c>
      <c r="J716" s="65" t="s">
        <v>955</v>
      </c>
      <c r="K716" s="104"/>
      <c r="L716" s="48" t="s">
        <v>956</v>
      </c>
      <c r="M716" s="27">
        <v>44270</v>
      </c>
      <c r="N716" s="105" t="s">
        <v>182</v>
      </c>
      <c r="O716" s="106">
        <v>11700</v>
      </c>
      <c r="P716" s="106">
        <v>3</v>
      </c>
      <c r="Q716" s="51">
        <f t="shared" si="19"/>
        <v>35100</v>
      </c>
      <c r="R716" s="31">
        <v>202310</v>
      </c>
      <c r="S716" s="54" t="s">
        <v>962</v>
      </c>
      <c r="T716" s="54"/>
      <c r="U716" s="54"/>
      <c r="V716" s="54"/>
      <c r="W716" s="67"/>
      <c r="X716" s="67"/>
      <c r="Y716" s="36">
        <v>44211</v>
      </c>
      <c r="Z716" s="36">
        <v>46401</v>
      </c>
      <c r="AA716" s="36"/>
      <c r="AB716" s="36"/>
      <c r="AC716" s="36"/>
      <c r="AD716" s="36"/>
      <c r="AE716" s="36"/>
      <c r="AF716" s="53" t="s">
        <v>68</v>
      </c>
      <c r="AG716" s="42"/>
      <c r="AH716" s="42"/>
      <c r="AI716" s="43"/>
      <c r="AJ716" s="43"/>
      <c r="AK716" s="43"/>
      <c r="AL716" s="43"/>
      <c r="AM716" s="43"/>
      <c r="AN716" s="42"/>
      <c r="AO716" s="42"/>
      <c r="AP716" s="42"/>
      <c r="AQ716" s="43"/>
      <c r="AR716" s="42"/>
      <c r="AS716" s="42"/>
    </row>
    <row r="717" spans="1:45" ht="15" customHeight="1">
      <c r="A717" s="21" t="s">
        <v>260</v>
      </c>
      <c r="B717" s="21" t="s">
        <v>46</v>
      </c>
      <c r="C717" s="21" t="s">
        <v>188</v>
      </c>
      <c r="D717" s="21" t="s">
        <v>48</v>
      </c>
      <c r="E717" s="80" t="s">
        <v>919</v>
      </c>
      <c r="F717" s="21" t="s">
        <v>953</v>
      </c>
      <c r="G717" s="101" t="s">
        <v>77</v>
      </c>
      <c r="H717" s="25" t="s">
        <v>954</v>
      </c>
      <c r="I717" s="102" t="s">
        <v>78</v>
      </c>
      <c r="J717" s="65" t="s">
        <v>955</v>
      </c>
      <c r="K717" s="104"/>
      <c r="L717" s="48" t="s">
        <v>956</v>
      </c>
      <c r="M717" s="27">
        <v>44272</v>
      </c>
      <c r="N717" s="105" t="s">
        <v>177</v>
      </c>
      <c r="O717" s="106">
        <v>5900</v>
      </c>
      <c r="P717" s="106">
        <v>6</v>
      </c>
      <c r="Q717" s="51">
        <f t="shared" si="19"/>
        <v>35400</v>
      </c>
      <c r="R717" s="31">
        <v>202310</v>
      </c>
      <c r="S717" s="54" t="s">
        <v>963</v>
      </c>
      <c r="T717" s="54"/>
      <c r="U717" s="54"/>
      <c r="V717" s="54"/>
      <c r="W717" s="67"/>
      <c r="X717" s="67"/>
      <c r="Y717" s="36">
        <v>44211</v>
      </c>
      <c r="Z717" s="36">
        <v>46401</v>
      </c>
      <c r="AA717" s="36"/>
      <c r="AB717" s="36"/>
      <c r="AC717" s="36"/>
      <c r="AD717" s="36"/>
      <c r="AE717" s="36"/>
      <c r="AF717" s="53" t="s">
        <v>68</v>
      </c>
      <c r="AG717" s="42"/>
      <c r="AH717" s="42"/>
      <c r="AI717" s="43"/>
      <c r="AJ717" s="43"/>
      <c r="AK717" s="43"/>
      <c r="AL717" s="43"/>
      <c r="AM717" s="43"/>
      <c r="AN717" s="42"/>
      <c r="AO717" s="42"/>
      <c r="AP717" s="42"/>
      <c r="AQ717" s="43"/>
      <c r="AR717" s="42"/>
      <c r="AS717" s="42"/>
    </row>
    <row r="718" spans="1:45" ht="15" customHeight="1">
      <c r="A718" s="21" t="s">
        <v>260</v>
      </c>
      <c r="B718" s="21" t="s">
        <v>46</v>
      </c>
      <c r="C718" s="21" t="s">
        <v>188</v>
      </c>
      <c r="D718" s="21" t="s">
        <v>48</v>
      </c>
      <c r="E718" s="80" t="s">
        <v>919</v>
      </c>
      <c r="F718" s="21" t="s">
        <v>953</v>
      </c>
      <c r="G718" s="101" t="s">
        <v>77</v>
      </c>
      <c r="H718" s="25" t="s">
        <v>954</v>
      </c>
      <c r="I718" s="102" t="s">
        <v>78</v>
      </c>
      <c r="J718" s="65" t="s">
        <v>955</v>
      </c>
      <c r="K718" s="104"/>
      <c r="L718" s="48" t="s">
        <v>956</v>
      </c>
      <c r="M718" s="27">
        <v>44277</v>
      </c>
      <c r="N718" s="105" t="s">
        <v>182</v>
      </c>
      <c r="O718" s="106">
        <v>11700</v>
      </c>
      <c r="P718" s="106">
        <v>8</v>
      </c>
      <c r="Q718" s="51">
        <f t="shared" si="19"/>
        <v>93600</v>
      </c>
      <c r="R718" s="31">
        <v>202310</v>
      </c>
      <c r="S718" s="54" t="s">
        <v>964</v>
      </c>
      <c r="T718" s="54"/>
      <c r="U718" s="54"/>
      <c r="V718" s="54"/>
      <c r="W718" s="67"/>
      <c r="X718" s="67"/>
      <c r="Y718" s="36">
        <v>44211</v>
      </c>
      <c r="Z718" s="36">
        <v>46401</v>
      </c>
      <c r="AA718" s="36"/>
      <c r="AB718" s="36"/>
      <c r="AC718" s="36"/>
      <c r="AD718" s="36"/>
      <c r="AE718" s="36"/>
      <c r="AF718" s="53" t="s">
        <v>68</v>
      </c>
      <c r="AG718" s="42"/>
      <c r="AH718" s="42"/>
      <c r="AI718" s="43"/>
      <c r="AJ718" s="43"/>
      <c r="AK718" s="43"/>
      <c r="AL718" s="43"/>
      <c r="AM718" s="43"/>
      <c r="AN718" s="42"/>
      <c r="AO718" s="42"/>
      <c r="AP718" s="42"/>
      <c r="AQ718" s="43"/>
      <c r="AR718" s="42"/>
      <c r="AS718" s="42"/>
    </row>
    <row r="719" spans="1:45" ht="15" customHeight="1">
      <c r="A719" s="21" t="s">
        <v>260</v>
      </c>
      <c r="B719" s="21" t="s">
        <v>46</v>
      </c>
      <c r="C719" s="21" t="s">
        <v>188</v>
      </c>
      <c r="D719" s="21" t="s">
        <v>48</v>
      </c>
      <c r="E719" s="80" t="s">
        <v>919</v>
      </c>
      <c r="F719" s="21" t="s">
        <v>953</v>
      </c>
      <c r="G719" s="101" t="s">
        <v>77</v>
      </c>
      <c r="H719" s="25" t="s">
        <v>954</v>
      </c>
      <c r="I719" s="102" t="s">
        <v>78</v>
      </c>
      <c r="J719" s="65" t="s">
        <v>955</v>
      </c>
      <c r="K719" s="104"/>
      <c r="L719" s="48" t="s">
        <v>956</v>
      </c>
      <c r="M719" s="27">
        <v>44278</v>
      </c>
      <c r="N719" s="105" t="s">
        <v>182</v>
      </c>
      <c r="O719" s="106">
        <v>11700</v>
      </c>
      <c r="P719" s="106">
        <v>26</v>
      </c>
      <c r="Q719" s="51">
        <f t="shared" si="19"/>
        <v>304200</v>
      </c>
      <c r="R719" s="31">
        <v>202310</v>
      </c>
      <c r="S719" s="54" t="s">
        <v>965</v>
      </c>
      <c r="T719" s="54"/>
      <c r="U719" s="54"/>
      <c r="V719" s="54"/>
      <c r="W719" s="67"/>
      <c r="X719" s="67"/>
      <c r="Y719" s="36">
        <v>44211</v>
      </c>
      <c r="Z719" s="36">
        <v>46401</v>
      </c>
      <c r="AA719" s="36"/>
      <c r="AB719" s="36"/>
      <c r="AC719" s="36"/>
      <c r="AD719" s="36"/>
      <c r="AE719" s="36"/>
      <c r="AF719" s="53" t="s">
        <v>68</v>
      </c>
      <c r="AG719" s="42"/>
      <c r="AH719" s="42"/>
      <c r="AI719" s="43"/>
      <c r="AJ719" s="43"/>
      <c r="AK719" s="43"/>
      <c r="AL719" s="43"/>
      <c r="AM719" s="43"/>
      <c r="AN719" s="42"/>
      <c r="AO719" s="42"/>
      <c r="AP719" s="42"/>
      <c r="AQ719" s="43"/>
      <c r="AR719" s="42"/>
      <c r="AS719" s="42"/>
    </row>
    <row r="720" spans="1:45" ht="15" customHeight="1">
      <c r="A720" s="21" t="s">
        <v>260</v>
      </c>
      <c r="B720" s="21" t="s">
        <v>46</v>
      </c>
      <c r="C720" s="21" t="s">
        <v>188</v>
      </c>
      <c r="D720" s="21" t="s">
        <v>48</v>
      </c>
      <c r="E720" s="80" t="s">
        <v>919</v>
      </c>
      <c r="F720" s="21" t="s">
        <v>953</v>
      </c>
      <c r="G720" s="101" t="s">
        <v>77</v>
      </c>
      <c r="H720" s="25" t="s">
        <v>954</v>
      </c>
      <c r="I720" s="102" t="s">
        <v>78</v>
      </c>
      <c r="J720" s="65" t="s">
        <v>955</v>
      </c>
      <c r="K720" s="104"/>
      <c r="L720" s="48" t="s">
        <v>956</v>
      </c>
      <c r="M720" s="27">
        <v>44265</v>
      </c>
      <c r="N720" s="105" t="s">
        <v>348</v>
      </c>
      <c r="O720" s="106">
        <v>11970</v>
      </c>
      <c r="P720" s="106">
        <v>-4</v>
      </c>
      <c r="Q720" s="51">
        <f t="shared" si="19"/>
        <v>-47880</v>
      </c>
      <c r="R720" s="31">
        <v>202310</v>
      </c>
      <c r="S720" s="54" t="s">
        <v>959</v>
      </c>
      <c r="T720" s="54"/>
      <c r="U720" s="54"/>
      <c r="V720" s="54"/>
      <c r="W720" s="67"/>
      <c r="X720" s="67"/>
      <c r="Y720" s="36">
        <v>44211</v>
      </c>
      <c r="Z720" s="36">
        <v>46401</v>
      </c>
      <c r="AA720" s="36"/>
      <c r="AB720" s="36"/>
      <c r="AC720" s="36"/>
      <c r="AD720" s="36"/>
      <c r="AE720" s="36"/>
      <c r="AF720" s="53" t="s">
        <v>68</v>
      </c>
      <c r="AG720" s="42"/>
      <c r="AH720" s="42"/>
      <c r="AI720" s="43"/>
      <c r="AJ720" s="43"/>
      <c r="AK720" s="43"/>
      <c r="AL720" s="43"/>
      <c r="AM720" s="43"/>
      <c r="AN720" s="42"/>
      <c r="AO720" s="42"/>
      <c r="AP720" s="42"/>
      <c r="AQ720" s="43"/>
      <c r="AR720" s="42"/>
      <c r="AS720" s="42"/>
    </row>
    <row r="721" spans="1:45" ht="15" customHeight="1">
      <c r="A721" s="21" t="s">
        <v>260</v>
      </c>
      <c r="B721" s="21" t="s">
        <v>46</v>
      </c>
      <c r="C721" s="21" t="s">
        <v>188</v>
      </c>
      <c r="D721" s="21" t="s">
        <v>48</v>
      </c>
      <c r="E721" s="80" t="s">
        <v>919</v>
      </c>
      <c r="F721" s="21" t="s">
        <v>953</v>
      </c>
      <c r="G721" s="101" t="s">
        <v>77</v>
      </c>
      <c r="H721" s="25" t="s">
        <v>954</v>
      </c>
      <c r="I721" s="102" t="s">
        <v>78</v>
      </c>
      <c r="J721" s="65" t="s">
        <v>955</v>
      </c>
      <c r="K721" s="104"/>
      <c r="L721" s="48" t="s">
        <v>956</v>
      </c>
      <c r="M721" s="27">
        <v>44272</v>
      </c>
      <c r="N721" s="105" t="s">
        <v>348</v>
      </c>
      <c r="O721" s="106">
        <v>11970</v>
      </c>
      <c r="P721" s="106">
        <v>4</v>
      </c>
      <c r="Q721" s="51">
        <f t="shared" si="19"/>
        <v>47880</v>
      </c>
      <c r="R721" s="31">
        <v>202310</v>
      </c>
      <c r="S721" s="54" t="s">
        <v>966</v>
      </c>
      <c r="T721" s="54"/>
      <c r="U721" s="54"/>
      <c r="V721" s="54"/>
      <c r="W721" s="67"/>
      <c r="X721" s="67"/>
      <c r="Y721" s="36">
        <v>44211</v>
      </c>
      <c r="Z721" s="36">
        <v>46401</v>
      </c>
      <c r="AA721" s="36"/>
      <c r="AB721" s="36"/>
      <c r="AC721" s="36"/>
      <c r="AD721" s="36"/>
      <c r="AE721" s="36"/>
      <c r="AF721" s="53" t="s">
        <v>68</v>
      </c>
      <c r="AG721" s="42"/>
      <c r="AH721" s="42"/>
      <c r="AI721" s="43"/>
      <c r="AJ721" s="43"/>
      <c r="AK721" s="43"/>
      <c r="AL721" s="43"/>
      <c r="AM721" s="43"/>
      <c r="AN721" s="42"/>
      <c r="AO721" s="42"/>
      <c r="AP721" s="42"/>
      <c r="AQ721" s="43"/>
      <c r="AR721" s="42"/>
      <c r="AS721" s="42"/>
    </row>
    <row r="722" spans="1:45" ht="15" customHeight="1">
      <c r="A722" s="21" t="s">
        <v>260</v>
      </c>
      <c r="B722" s="21" t="s">
        <v>46</v>
      </c>
      <c r="C722" s="21" t="s">
        <v>188</v>
      </c>
      <c r="D722" s="21" t="s">
        <v>48</v>
      </c>
      <c r="E722" s="80" t="s">
        <v>919</v>
      </c>
      <c r="F722" s="21" t="s">
        <v>953</v>
      </c>
      <c r="G722" s="101" t="s">
        <v>77</v>
      </c>
      <c r="H722" s="25" t="s">
        <v>954</v>
      </c>
      <c r="I722" s="102" t="s">
        <v>78</v>
      </c>
      <c r="J722" s="65" t="s">
        <v>955</v>
      </c>
      <c r="K722" s="104"/>
      <c r="L722" s="48" t="s">
        <v>956</v>
      </c>
      <c r="M722" s="27">
        <v>44280</v>
      </c>
      <c r="N722" s="105" t="s">
        <v>182</v>
      </c>
      <c r="O722" s="106">
        <v>11700</v>
      </c>
      <c r="P722" s="106">
        <v>8</v>
      </c>
      <c r="Q722" s="51">
        <f t="shared" si="19"/>
        <v>93600</v>
      </c>
      <c r="R722" s="31">
        <v>202310</v>
      </c>
      <c r="S722" s="54" t="s">
        <v>967</v>
      </c>
      <c r="T722" s="54"/>
      <c r="U722" s="54"/>
      <c r="V722" s="54"/>
      <c r="W722" s="67"/>
      <c r="X722" s="67"/>
      <c r="Y722" s="36">
        <v>44211</v>
      </c>
      <c r="Z722" s="36">
        <v>46401</v>
      </c>
      <c r="AA722" s="36"/>
      <c r="AB722" s="36"/>
      <c r="AC722" s="36"/>
      <c r="AD722" s="36"/>
      <c r="AE722" s="36"/>
      <c r="AF722" s="53" t="s">
        <v>68</v>
      </c>
      <c r="AG722" s="42"/>
      <c r="AH722" s="42"/>
      <c r="AI722" s="43"/>
      <c r="AJ722" s="43"/>
      <c r="AK722" s="43"/>
      <c r="AL722" s="43"/>
      <c r="AM722" s="43"/>
      <c r="AN722" s="42"/>
      <c r="AO722" s="42"/>
      <c r="AP722" s="42"/>
      <c r="AQ722" s="43"/>
      <c r="AR722" s="42"/>
      <c r="AS722" s="42"/>
    </row>
    <row r="723" spans="1:45" ht="15" customHeight="1">
      <c r="A723" s="21" t="s">
        <v>260</v>
      </c>
      <c r="B723" s="21" t="s">
        <v>46</v>
      </c>
      <c r="C723" s="21" t="s">
        <v>188</v>
      </c>
      <c r="D723" s="21" t="s">
        <v>48</v>
      </c>
      <c r="E723" s="80" t="s">
        <v>919</v>
      </c>
      <c r="F723" s="21" t="s">
        <v>953</v>
      </c>
      <c r="G723" s="101" t="s">
        <v>77</v>
      </c>
      <c r="H723" s="25" t="s">
        <v>954</v>
      </c>
      <c r="I723" s="102" t="s">
        <v>78</v>
      </c>
      <c r="J723" s="65" t="s">
        <v>955</v>
      </c>
      <c r="K723" s="104"/>
      <c r="L723" s="48" t="s">
        <v>956</v>
      </c>
      <c r="M723" s="27">
        <v>44284</v>
      </c>
      <c r="N723" s="105" t="s">
        <v>182</v>
      </c>
      <c r="O723" s="106">
        <v>11700</v>
      </c>
      <c r="P723" s="106">
        <v>6</v>
      </c>
      <c r="Q723" s="51">
        <f t="shared" si="19"/>
        <v>70200</v>
      </c>
      <c r="R723" s="31">
        <v>202310</v>
      </c>
      <c r="S723" s="54" t="s">
        <v>968</v>
      </c>
      <c r="T723" s="54"/>
      <c r="U723" s="54"/>
      <c r="V723" s="54"/>
      <c r="W723" s="67"/>
      <c r="X723" s="67"/>
      <c r="Y723" s="36">
        <v>44211</v>
      </c>
      <c r="Z723" s="36">
        <v>46401</v>
      </c>
      <c r="AA723" s="36"/>
      <c r="AB723" s="36"/>
      <c r="AC723" s="36"/>
      <c r="AD723" s="36"/>
      <c r="AE723" s="36"/>
      <c r="AF723" s="53" t="s">
        <v>68</v>
      </c>
      <c r="AG723" s="42"/>
      <c r="AH723" s="42"/>
      <c r="AI723" s="43"/>
      <c r="AJ723" s="43"/>
      <c r="AK723" s="43"/>
      <c r="AL723" s="43"/>
      <c r="AM723" s="43"/>
      <c r="AN723" s="42"/>
      <c r="AO723" s="42"/>
      <c r="AP723" s="42"/>
      <c r="AQ723" s="43"/>
      <c r="AR723" s="42"/>
      <c r="AS723" s="42"/>
    </row>
    <row r="724" spans="1:45" ht="15" customHeight="1">
      <c r="A724" s="21" t="s">
        <v>260</v>
      </c>
      <c r="B724" s="21" t="s">
        <v>46</v>
      </c>
      <c r="C724" s="21" t="s">
        <v>188</v>
      </c>
      <c r="D724" s="21" t="s">
        <v>48</v>
      </c>
      <c r="E724" s="80" t="s">
        <v>919</v>
      </c>
      <c r="F724" s="21" t="s">
        <v>953</v>
      </c>
      <c r="G724" s="101" t="s">
        <v>77</v>
      </c>
      <c r="H724" s="25" t="s">
        <v>954</v>
      </c>
      <c r="I724" s="102" t="s">
        <v>78</v>
      </c>
      <c r="J724" s="65" t="s">
        <v>955</v>
      </c>
      <c r="K724" s="104"/>
      <c r="L724" s="48" t="s">
        <v>956</v>
      </c>
      <c r="M724" s="27">
        <v>44301</v>
      </c>
      <c r="N724" s="105" t="s">
        <v>177</v>
      </c>
      <c r="O724" s="106">
        <v>5900</v>
      </c>
      <c r="P724" s="106">
        <v>2</v>
      </c>
      <c r="Q724" s="51">
        <f t="shared" si="19"/>
        <v>11800</v>
      </c>
      <c r="R724" s="31">
        <v>202310</v>
      </c>
      <c r="S724" s="54" t="s">
        <v>969</v>
      </c>
      <c r="T724" s="54"/>
      <c r="U724" s="54"/>
      <c r="V724" s="54"/>
      <c r="W724" s="67"/>
      <c r="X724" s="67"/>
      <c r="Y724" s="36">
        <v>44211</v>
      </c>
      <c r="Z724" s="36">
        <v>46401</v>
      </c>
      <c r="AA724" s="36"/>
      <c r="AB724" s="36"/>
      <c r="AC724" s="36"/>
      <c r="AD724" s="36"/>
      <c r="AE724" s="36"/>
      <c r="AF724" s="53" t="s">
        <v>68</v>
      </c>
      <c r="AG724" s="42"/>
      <c r="AH724" s="42"/>
      <c r="AI724" s="43"/>
      <c r="AJ724" s="43"/>
      <c r="AK724" s="43"/>
      <c r="AL724" s="43"/>
      <c r="AM724" s="43"/>
      <c r="AN724" s="42"/>
      <c r="AO724" s="42"/>
      <c r="AP724" s="42"/>
      <c r="AQ724" s="43"/>
      <c r="AR724" s="42"/>
      <c r="AS724" s="42"/>
    </row>
    <row r="725" spans="1:45" ht="15" customHeight="1">
      <c r="A725" s="21" t="s">
        <v>260</v>
      </c>
      <c r="B725" s="21" t="s">
        <v>46</v>
      </c>
      <c r="C725" s="21" t="s">
        <v>188</v>
      </c>
      <c r="D725" s="21" t="s">
        <v>48</v>
      </c>
      <c r="E725" s="80" t="s">
        <v>919</v>
      </c>
      <c r="F725" s="21" t="s">
        <v>953</v>
      </c>
      <c r="G725" s="101" t="s">
        <v>77</v>
      </c>
      <c r="H725" s="25" t="s">
        <v>954</v>
      </c>
      <c r="I725" s="102" t="s">
        <v>78</v>
      </c>
      <c r="J725" s="65" t="s">
        <v>955</v>
      </c>
      <c r="K725" s="104"/>
      <c r="L725" s="48" t="s">
        <v>956</v>
      </c>
      <c r="M725" s="27">
        <v>44301</v>
      </c>
      <c r="N725" s="105" t="s">
        <v>182</v>
      </c>
      <c r="O725" s="106">
        <v>11700</v>
      </c>
      <c r="P725" s="106">
        <v>2</v>
      </c>
      <c r="Q725" s="51">
        <f t="shared" ref="Q725:Q794" si="20">ROUND(O725*P725,2)</f>
        <v>23400</v>
      </c>
      <c r="R725" s="31">
        <v>202310</v>
      </c>
      <c r="S725" s="54" t="s">
        <v>970</v>
      </c>
      <c r="T725" s="54"/>
      <c r="U725" s="54"/>
      <c r="V725" s="54"/>
      <c r="W725" s="67"/>
      <c r="X725" s="67"/>
      <c r="Y725" s="36">
        <v>44211</v>
      </c>
      <c r="Z725" s="36">
        <v>46401</v>
      </c>
      <c r="AA725" s="36"/>
      <c r="AB725" s="36"/>
      <c r="AC725" s="36"/>
      <c r="AD725" s="36"/>
      <c r="AE725" s="36"/>
      <c r="AF725" s="53" t="s">
        <v>68</v>
      </c>
      <c r="AG725" s="42"/>
      <c r="AH725" s="42"/>
      <c r="AI725" s="43"/>
      <c r="AJ725" s="43"/>
      <c r="AK725" s="43"/>
      <c r="AL725" s="43"/>
      <c r="AM725" s="43"/>
      <c r="AN725" s="42"/>
      <c r="AO725" s="42"/>
      <c r="AP725" s="42"/>
      <c r="AQ725" s="43"/>
      <c r="AR725" s="42"/>
      <c r="AS725" s="42"/>
    </row>
    <row r="726" spans="1:45" ht="15" customHeight="1">
      <c r="A726" s="21" t="s">
        <v>260</v>
      </c>
      <c r="B726" s="21" t="s">
        <v>46</v>
      </c>
      <c r="C726" s="21" t="s">
        <v>188</v>
      </c>
      <c r="D726" s="21" t="s">
        <v>48</v>
      </c>
      <c r="E726" s="80" t="s">
        <v>919</v>
      </c>
      <c r="F726" s="21" t="s">
        <v>953</v>
      </c>
      <c r="G726" s="101" t="s">
        <v>77</v>
      </c>
      <c r="H726" s="25" t="s">
        <v>954</v>
      </c>
      <c r="I726" s="102" t="s">
        <v>78</v>
      </c>
      <c r="J726" s="65" t="s">
        <v>955</v>
      </c>
      <c r="K726" s="104"/>
      <c r="L726" s="48" t="s">
        <v>956</v>
      </c>
      <c r="M726" s="27">
        <v>44302</v>
      </c>
      <c r="N726" s="105" t="s">
        <v>182</v>
      </c>
      <c r="O726" s="106">
        <v>11700</v>
      </c>
      <c r="P726" s="106">
        <v>4</v>
      </c>
      <c r="Q726" s="51">
        <f t="shared" si="20"/>
        <v>46800</v>
      </c>
      <c r="R726" s="31">
        <v>202310</v>
      </c>
      <c r="S726" s="54" t="s">
        <v>971</v>
      </c>
      <c r="T726" s="54"/>
      <c r="U726" s="54"/>
      <c r="V726" s="54"/>
      <c r="W726" s="67"/>
      <c r="X726" s="67"/>
      <c r="Y726" s="36">
        <v>44211</v>
      </c>
      <c r="Z726" s="36">
        <v>46401</v>
      </c>
      <c r="AA726" s="36"/>
      <c r="AB726" s="36"/>
      <c r="AC726" s="36"/>
      <c r="AD726" s="36"/>
      <c r="AE726" s="36"/>
      <c r="AF726" s="53" t="s">
        <v>68</v>
      </c>
      <c r="AG726" s="42"/>
      <c r="AH726" s="42"/>
      <c r="AI726" s="43"/>
      <c r="AJ726" s="43"/>
      <c r="AK726" s="43"/>
      <c r="AL726" s="43"/>
      <c r="AM726" s="43"/>
      <c r="AN726" s="42"/>
      <c r="AO726" s="42"/>
      <c r="AP726" s="42"/>
      <c r="AQ726" s="43"/>
      <c r="AR726" s="42"/>
      <c r="AS726" s="42"/>
    </row>
    <row r="727" spans="1:45" ht="15" customHeight="1">
      <c r="A727" s="21" t="s">
        <v>260</v>
      </c>
      <c r="B727" s="21" t="s">
        <v>46</v>
      </c>
      <c r="C727" s="21" t="s">
        <v>188</v>
      </c>
      <c r="D727" s="21" t="s">
        <v>48</v>
      </c>
      <c r="E727" s="80" t="s">
        <v>919</v>
      </c>
      <c r="F727" s="21" t="s">
        <v>953</v>
      </c>
      <c r="G727" s="101" t="s">
        <v>77</v>
      </c>
      <c r="H727" s="25" t="s">
        <v>954</v>
      </c>
      <c r="I727" s="102" t="s">
        <v>78</v>
      </c>
      <c r="J727" s="65" t="s">
        <v>955</v>
      </c>
      <c r="K727" s="104"/>
      <c r="L727" s="48" t="s">
        <v>956</v>
      </c>
      <c r="M727" s="27">
        <v>44308</v>
      </c>
      <c r="N727" s="105" t="s">
        <v>182</v>
      </c>
      <c r="O727" s="106">
        <v>11700</v>
      </c>
      <c r="P727" s="106">
        <v>11</v>
      </c>
      <c r="Q727" s="51">
        <f t="shared" si="20"/>
        <v>128700</v>
      </c>
      <c r="R727" s="31">
        <v>202310</v>
      </c>
      <c r="S727" s="54" t="s">
        <v>972</v>
      </c>
      <c r="T727" s="54"/>
      <c r="U727" s="54"/>
      <c r="V727" s="54"/>
      <c r="W727" s="67"/>
      <c r="X727" s="67"/>
      <c r="Y727" s="36">
        <v>44211</v>
      </c>
      <c r="Z727" s="36">
        <v>46401</v>
      </c>
      <c r="AA727" s="36"/>
      <c r="AB727" s="36"/>
      <c r="AC727" s="36"/>
      <c r="AD727" s="36"/>
      <c r="AE727" s="36"/>
      <c r="AF727" s="53" t="s">
        <v>68</v>
      </c>
      <c r="AG727" s="42"/>
      <c r="AH727" s="42"/>
      <c r="AI727" s="43"/>
      <c r="AJ727" s="43"/>
      <c r="AK727" s="43"/>
      <c r="AL727" s="43"/>
      <c r="AM727" s="43"/>
      <c r="AN727" s="42"/>
      <c r="AO727" s="42"/>
      <c r="AP727" s="42"/>
      <c r="AQ727" s="43"/>
      <c r="AR727" s="42"/>
      <c r="AS727" s="42"/>
    </row>
    <row r="728" spans="1:45" ht="15" customHeight="1">
      <c r="A728" s="21" t="s">
        <v>260</v>
      </c>
      <c r="B728" s="21" t="s">
        <v>46</v>
      </c>
      <c r="C728" s="21" t="s">
        <v>188</v>
      </c>
      <c r="D728" s="21" t="s">
        <v>48</v>
      </c>
      <c r="E728" s="80" t="s">
        <v>919</v>
      </c>
      <c r="F728" s="21" t="s">
        <v>953</v>
      </c>
      <c r="G728" s="101" t="s">
        <v>77</v>
      </c>
      <c r="H728" s="25" t="s">
        <v>954</v>
      </c>
      <c r="I728" s="102" t="s">
        <v>78</v>
      </c>
      <c r="J728" s="65" t="s">
        <v>955</v>
      </c>
      <c r="K728" s="104"/>
      <c r="L728" s="48" t="s">
        <v>956</v>
      </c>
      <c r="M728" s="27">
        <v>44313</v>
      </c>
      <c r="N728" s="105" t="s">
        <v>182</v>
      </c>
      <c r="O728" s="106">
        <v>11700</v>
      </c>
      <c r="P728" s="106">
        <v>2</v>
      </c>
      <c r="Q728" s="51">
        <f t="shared" si="20"/>
        <v>23400</v>
      </c>
      <c r="R728" s="31">
        <v>202310</v>
      </c>
      <c r="S728" s="54" t="s">
        <v>973</v>
      </c>
      <c r="T728" s="54"/>
      <c r="U728" s="54"/>
      <c r="V728" s="54"/>
      <c r="W728" s="67"/>
      <c r="X728" s="67"/>
      <c r="Y728" s="36">
        <v>44211</v>
      </c>
      <c r="Z728" s="36">
        <v>46401</v>
      </c>
      <c r="AA728" s="36"/>
      <c r="AB728" s="36"/>
      <c r="AC728" s="36"/>
      <c r="AD728" s="36"/>
      <c r="AE728" s="36"/>
      <c r="AF728" s="53" t="s">
        <v>68</v>
      </c>
      <c r="AG728" s="42"/>
      <c r="AH728" s="42"/>
      <c r="AI728" s="43"/>
      <c r="AJ728" s="43"/>
      <c r="AK728" s="43"/>
      <c r="AL728" s="43"/>
      <c r="AM728" s="43"/>
      <c r="AN728" s="42"/>
      <c r="AO728" s="42"/>
      <c r="AP728" s="42"/>
      <c r="AQ728" s="43"/>
      <c r="AR728" s="42"/>
      <c r="AS728" s="42"/>
    </row>
    <row r="729" spans="1:45" ht="15" customHeight="1">
      <c r="A729" s="21" t="s">
        <v>260</v>
      </c>
      <c r="B729" s="21" t="s">
        <v>46</v>
      </c>
      <c r="C729" s="21" t="s">
        <v>188</v>
      </c>
      <c r="D729" s="21" t="s">
        <v>48</v>
      </c>
      <c r="E729" s="80" t="s">
        <v>919</v>
      </c>
      <c r="F729" s="21" t="s">
        <v>953</v>
      </c>
      <c r="G729" s="101" t="s">
        <v>77</v>
      </c>
      <c r="H729" s="25" t="s">
        <v>954</v>
      </c>
      <c r="I729" s="102" t="s">
        <v>78</v>
      </c>
      <c r="J729" s="65" t="s">
        <v>955</v>
      </c>
      <c r="K729" s="104"/>
      <c r="L729" s="48" t="s">
        <v>956</v>
      </c>
      <c r="M729" s="27">
        <v>44315</v>
      </c>
      <c r="N729" s="105" t="s">
        <v>182</v>
      </c>
      <c r="O729" s="106">
        <v>11700</v>
      </c>
      <c r="P729" s="106">
        <v>9</v>
      </c>
      <c r="Q729" s="51">
        <f t="shared" si="20"/>
        <v>105300</v>
      </c>
      <c r="R729" s="31">
        <v>202310</v>
      </c>
      <c r="S729" s="54" t="s">
        <v>974</v>
      </c>
      <c r="T729" s="54"/>
      <c r="U729" s="54"/>
      <c r="V729" s="54"/>
      <c r="W729" s="67"/>
      <c r="X729" s="67"/>
      <c r="Y729" s="36">
        <v>44211</v>
      </c>
      <c r="Z729" s="36">
        <v>46401</v>
      </c>
      <c r="AA729" s="36"/>
      <c r="AB729" s="36"/>
      <c r="AC729" s="36"/>
      <c r="AD729" s="36"/>
      <c r="AE729" s="36"/>
      <c r="AF729" s="53" t="s">
        <v>68</v>
      </c>
      <c r="AG729" s="42"/>
      <c r="AH729" s="42"/>
      <c r="AI729" s="43"/>
      <c r="AJ729" s="43"/>
      <c r="AK729" s="43"/>
      <c r="AL729" s="43"/>
      <c r="AM729" s="43"/>
      <c r="AN729" s="42"/>
      <c r="AO729" s="42"/>
      <c r="AP729" s="42"/>
      <c r="AQ729" s="43"/>
      <c r="AR729" s="42"/>
      <c r="AS729" s="42"/>
    </row>
    <row r="730" spans="1:45" ht="15" customHeight="1">
      <c r="A730" s="21" t="s">
        <v>260</v>
      </c>
      <c r="B730" s="21" t="s">
        <v>46</v>
      </c>
      <c r="C730" s="21" t="s">
        <v>188</v>
      </c>
      <c r="D730" s="21" t="s">
        <v>48</v>
      </c>
      <c r="E730" s="80" t="s">
        <v>919</v>
      </c>
      <c r="F730" s="21" t="s">
        <v>953</v>
      </c>
      <c r="G730" s="101" t="s">
        <v>77</v>
      </c>
      <c r="H730" s="25" t="s">
        <v>954</v>
      </c>
      <c r="I730" s="102" t="s">
        <v>78</v>
      </c>
      <c r="J730" s="65" t="s">
        <v>955</v>
      </c>
      <c r="K730" s="104"/>
      <c r="L730" s="48" t="s">
        <v>956</v>
      </c>
      <c r="M730" s="27">
        <v>44329</v>
      </c>
      <c r="N730" s="105" t="s">
        <v>182</v>
      </c>
      <c r="O730" s="106">
        <v>11700</v>
      </c>
      <c r="P730" s="106">
        <v>2</v>
      </c>
      <c r="Q730" s="51">
        <f t="shared" si="20"/>
        <v>23400</v>
      </c>
      <c r="R730" s="31">
        <v>202310</v>
      </c>
      <c r="S730" s="54" t="s">
        <v>975</v>
      </c>
      <c r="T730" s="54"/>
      <c r="U730" s="54"/>
      <c r="V730" s="54"/>
      <c r="W730" s="67"/>
      <c r="X730" s="67"/>
      <c r="Y730" s="36">
        <v>44211</v>
      </c>
      <c r="Z730" s="36">
        <v>46401</v>
      </c>
      <c r="AA730" s="36"/>
      <c r="AB730" s="36"/>
      <c r="AC730" s="36"/>
      <c r="AD730" s="36"/>
      <c r="AE730" s="36"/>
      <c r="AF730" s="53" t="s">
        <v>68</v>
      </c>
      <c r="AG730" s="42"/>
      <c r="AH730" s="42"/>
      <c r="AI730" s="43"/>
      <c r="AJ730" s="43"/>
      <c r="AK730" s="43"/>
      <c r="AL730" s="43"/>
      <c r="AM730" s="43"/>
      <c r="AN730" s="42"/>
      <c r="AO730" s="42"/>
      <c r="AP730" s="42"/>
      <c r="AQ730" s="43"/>
      <c r="AR730" s="42"/>
      <c r="AS730" s="42"/>
    </row>
    <row r="731" spans="1:45" ht="15" customHeight="1">
      <c r="A731" s="21" t="s">
        <v>260</v>
      </c>
      <c r="B731" s="21" t="s">
        <v>46</v>
      </c>
      <c r="C731" s="21" t="s">
        <v>188</v>
      </c>
      <c r="D731" s="21" t="s">
        <v>48</v>
      </c>
      <c r="E731" s="80" t="s">
        <v>919</v>
      </c>
      <c r="F731" s="21" t="s">
        <v>953</v>
      </c>
      <c r="G731" s="101" t="s">
        <v>77</v>
      </c>
      <c r="H731" s="25" t="s">
        <v>954</v>
      </c>
      <c r="I731" s="102" t="s">
        <v>78</v>
      </c>
      <c r="J731" s="65" t="s">
        <v>955</v>
      </c>
      <c r="K731" s="104"/>
      <c r="L731" s="48" t="s">
        <v>956</v>
      </c>
      <c r="M731" s="27">
        <v>44342</v>
      </c>
      <c r="N731" s="105" t="s">
        <v>182</v>
      </c>
      <c r="O731" s="106">
        <v>11700</v>
      </c>
      <c r="P731" s="106">
        <v>6</v>
      </c>
      <c r="Q731" s="51">
        <f t="shared" si="20"/>
        <v>70200</v>
      </c>
      <c r="R731" s="31">
        <v>202310</v>
      </c>
      <c r="S731" s="54" t="s">
        <v>976</v>
      </c>
      <c r="T731" s="54"/>
      <c r="U731" s="54"/>
      <c r="V731" s="54"/>
      <c r="W731" s="67"/>
      <c r="X731" s="67"/>
      <c r="Y731" s="36">
        <v>44211</v>
      </c>
      <c r="Z731" s="36">
        <v>46401</v>
      </c>
      <c r="AA731" s="36"/>
      <c r="AB731" s="36"/>
      <c r="AC731" s="36"/>
      <c r="AD731" s="36"/>
      <c r="AE731" s="36"/>
      <c r="AF731" s="53" t="s">
        <v>68</v>
      </c>
      <c r="AG731" s="42"/>
      <c r="AH731" s="42"/>
      <c r="AI731" s="43"/>
      <c r="AJ731" s="43"/>
      <c r="AK731" s="43"/>
      <c r="AL731" s="43"/>
      <c r="AM731" s="43"/>
      <c r="AN731" s="42"/>
      <c r="AO731" s="42"/>
      <c r="AP731" s="42"/>
      <c r="AQ731" s="43"/>
      <c r="AR731" s="42"/>
      <c r="AS731" s="42"/>
    </row>
    <row r="732" spans="1:45" ht="15" customHeight="1">
      <c r="A732" s="21" t="s">
        <v>260</v>
      </c>
      <c r="B732" s="21" t="s">
        <v>46</v>
      </c>
      <c r="C732" s="21" t="s">
        <v>188</v>
      </c>
      <c r="D732" s="21" t="s">
        <v>48</v>
      </c>
      <c r="E732" s="80" t="s">
        <v>919</v>
      </c>
      <c r="F732" s="21" t="s">
        <v>953</v>
      </c>
      <c r="G732" s="101" t="s">
        <v>77</v>
      </c>
      <c r="H732" s="25" t="s">
        <v>954</v>
      </c>
      <c r="I732" s="102" t="s">
        <v>78</v>
      </c>
      <c r="J732" s="65" t="s">
        <v>955</v>
      </c>
      <c r="K732" s="104"/>
      <c r="L732" s="48" t="s">
        <v>956</v>
      </c>
      <c r="M732" s="27">
        <v>44382</v>
      </c>
      <c r="N732" s="105" t="s">
        <v>182</v>
      </c>
      <c r="O732" s="106">
        <v>11700</v>
      </c>
      <c r="P732" s="106">
        <v>93</v>
      </c>
      <c r="Q732" s="51">
        <f t="shared" si="20"/>
        <v>1088100</v>
      </c>
      <c r="R732" s="31">
        <v>202310</v>
      </c>
      <c r="S732" s="54" t="s">
        <v>977</v>
      </c>
      <c r="T732" s="54"/>
      <c r="U732" s="54"/>
      <c r="V732" s="54"/>
      <c r="W732" s="67"/>
      <c r="X732" s="67"/>
      <c r="Y732" s="36">
        <v>44211</v>
      </c>
      <c r="Z732" s="36">
        <v>46401</v>
      </c>
      <c r="AA732" s="36"/>
      <c r="AB732" s="36"/>
      <c r="AC732" s="36"/>
      <c r="AD732" s="36"/>
      <c r="AE732" s="36"/>
      <c r="AF732" s="53" t="s">
        <v>68</v>
      </c>
      <c r="AG732" s="42"/>
      <c r="AH732" s="42"/>
      <c r="AI732" s="43"/>
      <c r="AJ732" s="43"/>
      <c r="AK732" s="43"/>
      <c r="AL732" s="43"/>
      <c r="AM732" s="43"/>
      <c r="AN732" s="42"/>
      <c r="AO732" s="42"/>
      <c r="AP732" s="42"/>
      <c r="AQ732" s="43"/>
      <c r="AR732" s="42"/>
      <c r="AS732" s="42"/>
    </row>
    <row r="733" spans="1:45" ht="15" customHeight="1">
      <c r="A733" s="21" t="s">
        <v>260</v>
      </c>
      <c r="B733" s="21" t="s">
        <v>46</v>
      </c>
      <c r="C733" s="21" t="s">
        <v>188</v>
      </c>
      <c r="D733" s="21" t="s">
        <v>48</v>
      </c>
      <c r="E733" s="80" t="s">
        <v>919</v>
      </c>
      <c r="F733" s="21" t="s">
        <v>953</v>
      </c>
      <c r="G733" s="101" t="s">
        <v>77</v>
      </c>
      <c r="H733" s="25" t="s">
        <v>954</v>
      </c>
      <c r="I733" s="102" t="s">
        <v>78</v>
      </c>
      <c r="J733" s="65" t="s">
        <v>955</v>
      </c>
      <c r="K733" s="104"/>
      <c r="L733" s="48" t="s">
        <v>956</v>
      </c>
      <c r="M733" s="27">
        <v>44386</v>
      </c>
      <c r="N733" s="105" t="s">
        <v>177</v>
      </c>
      <c r="O733" s="106">
        <v>5900</v>
      </c>
      <c r="P733" s="106">
        <v>6</v>
      </c>
      <c r="Q733" s="51">
        <f t="shared" si="20"/>
        <v>35400</v>
      </c>
      <c r="R733" s="31">
        <v>202310</v>
      </c>
      <c r="S733" s="54" t="s">
        <v>978</v>
      </c>
      <c r="T733" s="54"/>
      <c r="U733" s="54"/>
      <c r="V733" s="54"/>
      <c r="W733" s="67"/>
      <c r="X733" s="67"/>
      <c r="Y733" s="36">
        <v>44211</v>
      </c>
      <c r="Z733" s="36">
        <v>46401</v>
      </c>
      <c r="AA733" s="36"/>
      <c r="AB733" s="36"/>
      <c r="AC733" s="36"/>
      <c r="AD733" s="36"/>
      <c r="AE733" s="36"/>
      <c r="AF733" s="53" t="s">
        <v>68</v>
      </c>
      <c r="AG733" s="42"/>
      <c r="AH733" s="42"/>
      <c r="AI733" s="43"/>
      <c r="AJ733" s="43"/>
      <c r="AK733" s="43"/>
      <c r="AL733" s="43"/>
      <c r="AM733" s="43"/>
      <c r="AN733" s="42"/>
      <c r="AO733" s="42"/>
      <c r="AP733" s="42"/>
      <c r="AQ733" s="43"/>
      <c r="AR733" s="42"/>
      <c r="AS733" s="42"/>
    </row>
    <row r="734" spans="1:45" ht="15" customHeight="1">
      <c r="A734" s="21" t="s">
        <v>260</v>
      </c>
      <c r="B734" s="21" t="s">
        <v>46</v>
      </c>
      <c r="C734" s="21" t="s">
        <v>188</v>
      </c>
      <c r="D734" s="21" t="s">
        <v>48</v>
      </c>
      <c r="E734" s="80" t="s">
        <v>919</v>
      </c>
      <c r="F734" s="21" t="s">
        <v>953</v>
      </c>
      <c r="G734" s="101" t="s">
        <v>77</v>
      </c>
      <c r="H734" s="25" t="s">
        <v>954</v>
      </c>
      <c r="I734" s="102" t="s">
        <v>78</v>
      </c>
      <c r="J734" s="65" t="s">
        <v>955</v>
      </c>
      <c r="K734" s="104"/>
      <c r="L734" s="48" t="s">
        <v>956</v>
      </c>
      <c r="M734" s="27">
        <v>44400</v>
      </c>
      <c r="N734" s="105" t="s">
        <v>182</v>
      </c>
      <c r="O734" s="106">
        <v>11700</v>
      </c>
      <c r="P734" s="106">
        <v>3</v>
      </c>
      <c r="Q734" s="51">
        <f t="shared" si="20"/>
        <v>35100</v>
      </c>
      <c r="R734" s="31">
        <v>202310</v>
      </c>
      <c r="S734" s="54" t="s">
        <v>979</v>
      </c>
      <c r="T734" s="54"/>
      <c r="U734" s="54"/>
      <c r="V734" s="54"/>
      <c r="W734" s="67"/>
      <c r="X734" s="67"/>
      <c r="Y734" s="36">
        <v>44211</v>
      </c>
      <c r="Z734" s="36">
        <v>46401</v>
      </c>
      <c r="AA734" s="36"/>
      <c r="AB734" s="36"/>
      <c r="AC734" s="36"/>
      <c r="AD734" s="36"/>
      <c r="AE734" s="36"/>
      <c r="AF734" s="53" t="s">
        <v>68</v>
      </c>
      <c r="AG734" s="42"/>
      <c r="AH734" s="42"/>
      <c r="AI734" s="43"/>
      <c r="AJ734" s="43"/>
      <c r="AK734" s="43"/>
      <c r="AL734" s="43"/>
      <c r="AM734" s="43"/>
      <c r="AN734" s="42"/>
      <c r="AO734" s="42"/>
      <c r="AP734" s="42"/>
      <c r="AQ734" s="43"/>
      <c r="AR734" s="42"/>
      <c r="AS734" s="42"/>
    </row>
    <row r="735" spans="1:45" ht="15" customHeight="1">
      <c r="A735" s="21" t="s">
        <v>260</v>
      </c>
      <c r="B735" s="21" t="s">
        <v>46</v>
      </c>
      <c r="C735" s="21" t="s">
        <v>188</v>
      </c>
      <c r="D735" s="21" t="s">
        <v>48</v>
      </c>
      <c r="E735" s="80" t="s">
        <v>919</v>
      </c>
      <c r="F735" s="21" t="s">
        <v>953</v>
      </c>
      <c r="G735" s="101" t="s">
        <v>77</v>
      </c>
      <c r="H735" s="25" t="s">
        <v>954</v>
      </c>
      <c r="I735" s="102" t="s">
        <v>78</v>
      </c>
      <c r="J735" s="65" t="s">
        <v>955</v>
      </c>
      <c r="K735" s="104"/>
      <c r="L735" s="48" t="s">
        <v>956</v>
      </c>
      <c r="M735" s="27">
        <v>44407</v>
      </c>
      <c r="N735" s="105" t="s">
        <v>182</v>
      </c>
      <c r="O735" s="106">
        <v>11700</v>
      </c>
      <c r="P735" s="106">
        <v>22</v>
      </c>
      <c r="Q735" s="51">
        <f t="shared" si="20"/>
        <v>257400</v>
      </c>
      <c r="R735" s="31">
        <v>202310</v>
      </c>
      <c r="S735" s="54" t="s">
        <v>980</v>
      </c>
      <c r="T735" s="54"/>
      <c r="U735" s="54"/>
      <c r="V735" s="54"/>
      <c r="W735" s="67"/>
      <c r="X735" s="67"/>
      <c r="Y735" s="36">
        <v>44211</v>
      </c>
      <c r="Z735" s="36">
        <v>46401</v>
      </c>
      <c r="AA735" s="36"/>
      <c r="AB735" s="36"/>
      <c r="AC735" s="36"/>
      <c r="AD735" s="36"/>
      <c r="AE735" s="36"/>
      <c r="AF735" s="53" t="s">
        <v>68</v>
      </c>
      <c r="AG735" s="42"/>
      <c r="AH735" s="42"/>
      <c r="AI735" s="43"/>
      <c r="AJ735" s="43"/>
      <c r="AK735" s="43"/>
      <c r="AL735" s="43"/>
      <c r="AM735" s="43"/>
      <c r="AN735" s="42"/>
      <c r="AO735" s="42"/>
      <c r="AP735" s="42"/>
      <c r="AQ735" s="43"/>
      <c r="AR735" s="42"/>
      <c r="AS735" s="42"/>
    </row>
    <row r="736" spans="1:45" ht="15" customHeight="1">
      <c r="A736" s="21" t="s">
        <v>260</v>
      </c>
      <c r="B736" s="21" t="s">
        <v>46</v>
      </c>
      <c r="C736" s="21" t="s">
        <v>188</v>
      </c>
      <c r="D736" s="21" t="s">
        <v>48</v>
      </c>
      <c r="E736" s="80" t="s">
        <v>919</v>
      </c>
      <c r="F736" s="21" t="s">
        <v>953</v>
      </c>
      <c r="G736" s="101" t="s">
        <v>77</v>
      </c>
      <c r="H736" s="25" t="s">
        <v>954</v>
      </c>
      <c r="I736" s="102" t="s">
        <v>78</v>
      </c>
      <c r="J736" s="65" t="s">
        <v>955</v>
      </c>
      <c r="K736" s="104"/>
      <c r="L736" s="48" t="s">
        <v>956</v>
      </c>
      <c r="M736" s="27">
        <v>44432</v>
      </c>
      <c r="N736" s="105" t="s">
        <v>182</v>
      </c>
      <c r="O736" s="106">
        <v>11700</v>
      </c>
      <c r="P736" s="106">
        <v>6</v>
      </c>
      <c r="Q736" s="51">
        <f t="shared" si="20"/>
        <v>70200</v>
      </c>
      <c r="R736" s="31">
        <v>202310</v>
      </c>
      <c r="S736" s="54" t="s">
        <v>981</v>
      </c>
      <c r="T736" s="54"/>
      <c r="U736" s="54"/>
      <c r="V736" s="54"/>
      <c r="W736" s="67"/>
      <c r="X736" s="67"/>
      <c r="Y736" s="36">
        <v>44211</v>
      </c>
      <c r="Z736" s="36">
        <v>46401</v>
      </c>
      <c r="AA736" s="36"/>
      <c r="AB736" s="36"/>
      <c r="AC736" s="36"/>
      <c r="AD736" s="36"/>
      <c r="AE736" s="36"/>
      <c r="AF736" s="53" t="s">
        <v>68</v>
      </c>
      <c r="AG736" s="42"/>
      <c r="AH736" s="42"/>
      <c r="AI736" s="43"/>
      <c r="AJ736" s="43"/>
      <c r="AK736" s="43"/>
      <c r="AL736" s="43"/>
      <c r="AM736" s="43"/>
      <c r="AN736" s="42"/>
      <c r="AO736" s="42"/>
      <c r="AP736" s="42"/>
      <c r="AQ736" s="43"/>
      <c r="AR736" s="42"/>
      <c r="AS736" s="42"/>
    </row>
    <row r="737" spans="1:45" ht="15" customHeight="1">
      <c r="A737" s="21" t="s">
        <v>260</v>
      </c>
      <c r="B737" s="21" t="s">
        <v>46</v>
      </c>
      <c r="C737" s="21" t="s">
        <v>188</v>
      </c>
      <c r="D737" s="21" t="s">
        <v>48</v>
      </c>
      <c r="E737" s="80" t="s">
        <v>919</v>
      </c>
      <c r="F737" s="21" t="s">
        <v>953</v>
      </c>
      <c r="G737" s="101" t="s">
        <v>77</v>
      </c>
      <c r="H737" s="25" t="s">
        <v>954</v>
      </c>
      <c r="I737" s="102" t="s">
        <v>78</v>
      </c>
      <c r="J737" s="65" t="s">
        <v>955</v>
      </c>
      <c r="K737" s="104"/>
      <c r="L737" s="48" t="s">
        <v>956</v>
      </c>
      <c r="M737" s="27">
        <v>44434</v>
      </c>
      <c r="N737" s="105" t="s">
        <v>182</v>
      </c>
      <c r="O737" s="106">
        <v>11700</v>
      </c>
      <c r="P737" s="106">
        <v>34</v>
      </c>
      <c r="Q737" s="51">
        <f t="shared" si="20"/>
        <v>397800</v>
      </c>
      <c r="R737" s="31">
        <v>202310</v>
      </c>
      <c r="S737" s="54" t="s">
        <v>982</v>
      </c>
      <c r="T737" s="54"/>
      <c r="U737" s="54"/>
      <c r="V737" s="54"/>
      <c r="W737" s="67"/>
      <c r="X737" s="67"/>
      <c r="Y737" s="36">
        <v>44211</v>
      </c>
      <c r="Z737" s="36">
        <v>46401</v>
      </c>
      <c r="AA737" s="36"/>
      <c r="AB737" s="36"/>
      <c r="AC737" s="36"/>
      <c r="AD737" s="36"/>
      <c r="AE737" s="36"/>
      <c r="AF737" s="53" t="s">
        <v>68</v>
      </c>
      <c r="AG737" s="42"/>
      <c r="AH737" s="42"/>
      <c r="AI737" s="43"/>
      <c r="AJ737" s="43"/>
      <c r="AK737" s="43"/>
      <c r="AL737" s="43"/>
      <c r="AM737" s="43"/>
      <c r="AN737" s="42"/>
      <c r="AO737" s="42"/>
      <c r="AP737" s="42"/>
      <c r="AQ737" s="43"/>
      <c r="AR737" s="42"/>
      <c r="AS737" s="42"/>
    </row>
    <row r="738" spans="1:45" ht="15" customHeight="1">
      <c r="A738" s="21" t="s">
        <v>260</v>
      </c>
      <c r="B738" s="21" t="s">
        <v>46</v>
      </c>
      <c r="C738" s="21" t="s">
        <v>188</v>
      </c>
      <c r="D738" s="21" t="s">
        <v>48</v>
      </c>
      <c r="E738" s="80" t="s">
        <v>919</v>
      </c>
      <c r="F738" s="21" t="s">
        <v>953</v>
      </c>
      <c r="G738" s="101" t="s">
        <v>77</v>
      </c>
      <c r="H738" s="25" t="s">
        <v>954</v>
      </c>
      <c r="I738" s="102" t="s">
        <v>78</v>
      </c>
      <c r="J738" s="65" t="s">
        <v>955</v>
      </c>
      <c r="K738" s="104"/>
      <c r="L738" s="48" t="s">
        <v>956</v>
      </c>
      <c r="M738" s="27">
        <v>44435</v>
      </c>
      <c r="N738" s="105" t="s">
        <v>182</v>
      </c>
      <c r="O738" s="106">
        <v>11700</v>
      </c>
      <c r="P738" s="106">
        <v>10</v>
      </c>
      <c r="Q738" s="51">
        <f t="shared" si="20"/>
        <v>117000</v>
      </c>
      <c r="R738" s="31">
        <v>202310</v>
      </c>
      <c r="S738" s="54" t="s">
        <v>983</v>
      </c>
      <c r="T738" s="54"/>
      <c r="U738" s="54"/>
      <c r="V738" s="54"/>
      <c r="W738" s="67"/>
      <c r="X738" s="67"/>
      <c r="Y738" s="36">
        <v>44211</v>
      </c>
      <c r="Z738" s="36">
        <v>46401</v>
      </c>
      <c r="AA738" s="36"/>
      <c r="AB738" s="36"/>
      <c r="AC738" s="36"/>
      <c r="AD738" s="36"/>
      <c r="AE738" s="36"/>
      <c r="AF738" s="53" t="s">
        <v>68</v>
      </c>
      <c r="AG738" s="42"/>
      <c r="AH738" s="42"/>
      <c r="AI738" s="43"/>
      <c r="AJ738" s="43"/>
      <c r="AK738" s="43"/>
      <c r="AL738" s="43"/>
      <c r="AM738" s="43"/>
      <c r="AN738" s="42"/>
      <c r="AO738" s="42"/>
      <c r="AP738" s="42"/>
      <c r="AQ738" s="43"/>
      <c r="AR738" s="42"/>
      <c r="AS738" s="42"/>
    </row>
    <row r="739" spans="1:45" ht="15" customHeight="1">
      <c r="A739" s="21" t="s">
        <v>260</v>
      </c>
      <c r="B739" s="21" t="s">
        <v>46</v>
      </c>
      <c r="C739" s="21" t="s">
        <v>188</v>
      </c>
      <c r="D739" s="21" t="s">
        <v>48</v>
      </c>
      <c r="E739" s="80" t="s">
        <v>919</v>
      </c>
      <c r="F739" s="21" t="s">
        <v>953</v>
      </c>
      <c r="G739" s="101" t="s">
        <v>77</v>
      </c>
      <c r="H739" s="25" t="s">
        <v>954</v>
      </c>
      <c r="I739" s="102" t="s">
        <v>78</v>
      </c>
      <c r="J739" s="65" t="s">
        <v>955</v>
      </c>
      <c r="K739" s="104"/>
      <c r="L739" s="48" t="s">
        <v>956</v>
      </c>
      <c r="M739" s="27">
        <v>44439</v>
      </c>
      <c r="N739" s="105" t="s">
        <v>182</v>
      </c>
      <c r="O739" s="106">
        <v>11700</v>
      </c>
      <c r="P739" s="106">
        <v>5</v>
      </c>
      <c r="Q739" s="51">
        <f t="shared" si="20"/>
        <v>58500</v>
      </c>
      <c r="R739" s="31">
        <v>202310</v>
      </c>
      <c r="S739" s="54" t="s">
        <v>984</v>
      </c>
      <c r="T739" s="54"/>
      <c r="U739" s="54"/>
      <c r="V739" s="54"/>
      <c r="W739" s="67"/>
      <c r="X739" s="67"/>
      <c r="Y739" s="36">
        <v>44211</v>
      </c>
      <c r="Z739" s="36">
        <v>46401</v>
      </c>
      <c r="AA739" s="36"/>
      <c r="AB739" s="36"/>
      <c r="AC739" s="36"/>
      <c r="AD739" s="36"/>
      <c r="AE739" s="36"/>
      <c r="AF739" s="53" t="s">
        <v>68</v>
      </c>
      <c r="AG739" s="42"/>
      <c r="AH739" s="42"/>
      <c r="AI739" s="43"/>
      <c r="AJ739" s="43"/>
      <c r="AK739" s="43"/>
      <c r="AL739" s="43"/>
      <c r="AM739" s="43"/>
      <c r="AN739" s="42"/>
      <c r="AO739" s="42"/>
      <c r="AP739" s="42"/>
      <c r="AQ739" s="43"/>
      <c r="AR739" s="42"/>
      <c r="AS739" s="42"/>
    </row>
    <row r="740" spans="1:45" ht="15" customHeight="1">
      <c r="A740" s="21" t="s">
        <v>260</v>
      </c>
      <c r="B740" s="21" t="s">
        <v>46</v>
      </c>
      <c r="C740" s="21" t="s">
        <v>188</v>
      </c>
      <c r="D740" s="21" t="s">
        <v>48</v>
      </c>
      <c r="E740" s="80" t="s">
        <v>919</v>
      </c>
      <c r="F740" s="21" t="s">
        <v>953</v>
      </c>
      <c r="G740" s="101" t="s">
        <v>77</v>
      </c>
      <c r="H740" s="25" t="s">
        <v>954</v>
      </c>
      <c r="I740" s="102" t="s">
        <v>78</v>
      </c>
      <c r="J740" s="65" t="s">
        <v>955</v>
      </c>
      <c r="K740" s="104"/>
      <c r="L740" s="48" t="s">
        <v>956</v>
      </c>
      <c r="M740" s="27">
        <v>44254</v>
      </c>
      <c r="N740" s="105" t="s">
        <v>182</v>
      </c>
      <c r="O740" s="106">
        <v>11700</v>
      </c>
      <c r="P740" s="106">
        <v>1</v>
      </c>
      <c r="Q740" s="51">
        <f t="shared" si="20"/>
        <v>11700</v>
      </c>
      <c r="R740" s="31">
        <v>202310</v>
      </c>
      <c r="S740" s="54" t="s">
        <v>985</v>
      </c>
      <c r="T740" s="54"/>
      <c r="U740" s="54"/>
      <c r="V740" s="54"/>
      <c r="W740" s="67"/>
      <c r="X740" s="67"/>
      <c r="Y740" s="36">
        <v>44211</v>
      </c>
      <c r="Z740" s="36">
        <v>46401</v>
      </c>
      <c r="AA740" s="36"/>
      <c r="AB740" s="36"/>
      <c r="AC740" s="36"/>
      <c r="AD740" s="36"/>
      <c r="AE740" s="36"/>
      <c r="AF740" s="53" t="s">
        <v>68</v>
      </c>
      <c r="AG740" s="42"/>
      <c r="AH740" s="42"/>
      <c r="AI740" s="43"/>
      <c r="AJ740" s="43"/>
      <c r="AK740" s="43"/>
      <c r="AL740" s="43"/>
      <c r="AM740" s="43"/>
      <c r="AN740" s="42"/>
      <c r="AO740" s="42"/>
      <c r="AP740" s="42"/>
      <c r="AQ740" s="43"/>
      <c r="AR740" s="42"/>
      <c r="AS740" s="42"/>
    </row>
    <row r="741" spans="1:45" ht="15" customHeight="1">
      <c r="A741" s="21" t="s">
        <v>260</v>
      </c>
      <c r="B741" s="21" t="s">
        <v>46</v>
      </c>
      <c r="C741" s="21" t="s">
        <v>188</v>
      </c>
      <c r="D741" s="21" t="s">
        <v>48</v>
      </c>
      <c r="E741" s="80" t="s">
        <v>919</v>
      </c>
      <c r="F741" s="21" t="s">
        <v>953</v>
      </c>
      <c r="G741" s="101" t="s">
        <v>77</v>
      </c>
      <c r="H741" s="25" t="s">
        <v>954</v>
      </c>
      <c r="I741" s="102" t="s">
        <v>78</v>
      </c>
      <c r="J741" s="65" t="s">
        <v>955</v>
      </c>
      <c r="K741" s="104"/>
      <c r="L741" s="48" t="s">
        <v>956</v>
      </c>
      <c r="M741" s="27">
        <v>44442</v>
      </c>
      <c r="N741" s="105" t="s">
        <v>182</v>
      </c>
      <c r="O741" s="106">
        <v>11700</v>
      </c>
      <c r="P741" s="106">
        <v>3</v>
      </c>
      <c r="Q741" s="51">
        <f t="shared" si="20"/>
        <v>35100</v>
      </c>
      <c r="R741" s="31">
        <v>202310</v>
      </c>
      <c r="S741" s="54" t="s">
        <v>986</v>
      </c>
      <c r="T741" s="54"/>
      <c r="U741" s="54"/>
      <c r="V741" s="54"/>
      <c r="W741" s="67"/>
      <c r="X741" s="67"/>
      <c r="Y741" s="36">
        <v>44211</v>
      </c>
      <c r="Z741" s="36">
        <v>46401</v>
      </c>
      <c r="AA741" s="36"/>
      <c r="AB741" s="36"/>
      <c r="AC741" s="36"/>
      <c r="AD741" s="36"/>
      <c r="AE741" s="36"/>
      <c r="AF741" s="53" t="s">
        <v>68</v>
      </c>
      <c r="AG741" s="42"/>
      <c r="AH741" s="42"/>
      <c r="AI741" s="43"/>
      <c r="AJ741" s="43"/>
      <c r="AK741" s="43"/>
      <c r="AL741" s="43"/>
      <c r="AM741" s="43"/>
      <c r="AN741" s="42"/>
      <c r="AO741" s="42"/>
      <c r="AP741" s="42"/>
      <c r="AQ741" s="43"/>
      <c r="AR741" s="42"/>
      <c r="AS741" s="42"/>
    </row>
    <row r="742" spans="1:45" ht="15" customHeight="1">
      <c r="A742" s="21" t="s">
        <v>260</v>
      </c>
      <c r="B742" s="21" t="s">
        <v>46</v>
      </c>
      <c r="C742" s="21" t="s">
        <v>188</v>
      </c>
      <c r="D742" s="21" t="s">
        <v>48</v>
      </c>
      <c r="E742" s="80" t="s">
        <v>919</v>
      </c>
      <c r="F742" s="21" t="s">
        <v>953</v>
      </c>
      <c r="G742" s="101" t="s">
        <v>77</v>
      </c>
      <c r="H742" s="25" t="s">
        <v>954</v>
      </c>
      <c r="I742" s="102" t="s">
        <v>78</v>
      </c>
      <c r="J742" s="65" t="s">
        <v>955</v>
      </c>
      <c r="K742" s="104"/>
      <c r="L742" s="48" t="s">
        <v>956</v>
      </c>
      <c r="M742" s="27">
        <v>44447</v>
      </c>
      <c r="N742" s="105" t="s">
        <v>182</v>
      </c>
      <c r="O742" s="106">
        <v>11700</v>
      </c>
      <c r="P742" s="106">
        <v>2</v>
      </c>
      <c r="Q742" s="51">
        <f t="shared" si="20"/>
        <v>23400</v>
      </c>
      <c r="R742" s="31">
        <v>202310</v>
      </c>
      <c r="S742" s="54" t="s">
        <v>987</v>
      </c>
      <c r="T742" s="54"/>
      <c r="U742" s="54"/>
      <c r="V742" s="54"/>
      <c r="W742" s="67"/>
      <c r="X742" s="67"/>
      <c r="Y742" s="36">
        <v>44211</v>
      </c>
      <c r="Z742" s="36">
        <v>46401</v>
      </c>
      <c r="AA742" s="36"/>
      <c r="AB742" s="36"/>
      <c r="AC742" s="36"/>
      <c r="AD742" s="36"/>
      <c r="AE742" s="36"/>
      <c r="AF742" s="53" t="s">
        <v>68</v>
      </c>
      <c r="AG742" s="42"/>
      <c r="AH742" s="42"/>
      <c r="AI742" s="43"/>
      <c r="AJ742" s="43"/>
      <c r="AK742" s="43"/>
      <c r="AL742" s="43"/>
      <c r="AM742" s="43"/>
      <c r="AN742" s="42"/>
      <c r="AO742" s="42"/>
      <c r="AP742" s="42"/>
      <c r="AQ742" s="43"/>
      <c r="AR742" s="42"/>
      <c r="AS742" s="42"/>
    </row>
    <row r="743" spans="1:45" ht="15" customHeight="1">
      <c r="A743" s="21" t="s">
        <v>260</v>
      </c>
      <c r="B743" s="21" t="s">
        <v>46</v>
      </c>
      <c r="C743" s="21" t="s">
        <v>188</v>
      </c>
      <c r="D743" s="21" t="s">
        <v>48</v>
      </c>
      <c r="E743" s="80" t="s">
        <v>919</v>
      </c>
      <c r="F743" s="21" t="s">
        <v>953</v>
      </c>
      <c r="G743" s="101" t="s">
        <v>77</v>
      </c>
      <c r="H743" s="25" t="s">
        <v>954</v>
      </c>
      <c r="I743" s="102" t="s">
        <v>78</v>
      </c>
      <c r="J743" s="65" t="s">
        <v>955</v>
      </c>
      <c r="K743" s="104"/>
      <c r="L743" s="48" t="s">
        <v>956</v>
      </c>
      <c r="M743" s="27">
        <v>44453</v>
      </c>
      <c r="N743" s="105" t="s">
        <v>177</v>
      </c>
      <c r="O743" s="106">
        <v>5900</v>
      </c>
      <c r="P743" s="106">
        <v>8</v>
      </c>
      <c r="Q743" s="51">
        <f t="shared" si="20"/>
        <v>47200</v>
      </c>
      <c r="R743" s="31">
        <v>202310</v>
      </c>
      <c r="S743" s="54" t="s">
        <v>988</v>
      </c>
      <c r="T743" s="54"/>
      <c r="U743" s="54"/>
      <c r="V743" s="54"/>
      <c r="W743" s="67"/>
      <c r="X743" s="67"/>
      <c r="Y743" s="36">
        <v>44211</v>
      </c>
      <c r="Z743" s="36">
        <v>46401</v>
      </c>
      <c r="AA743" s="36"/>
      <c r="AB743" s="36"/>
      <c r="AC743" s="36"/>
      <c r="AD743" s="36"/>
      <c r="AE743" s="36"/>
      <c r="AF743" s="53" t="s">
        <v>68</v>
      </c>
      <c r="AG743" s="42"/>
      <c r="AH743" s="42"/>
      <c r="AI743" s="43"/>
      <c r="AJ743" s="43"/>
      <c r="AK743" s="43"/>
      <c r="AL743" s="43"/>
      <c r="AM743" s="43"/>
      <c r="AN743" s="42"/>
      <c r="AO743" s="42"/>
      <c r="AP743" s="42"/>
      <c r="AQ743" s="43"/>
      <c r="AR743" s="42"/>
      <c r="AS743" s="42"/>
    </row>
    <row r="744" spans="1:45" ht="15" customHeight="1">
      <c r="A744" s="21" t="s">
        <v>260</v>
      </c>
      <c r="B744" s="21" t="s">
        <v>46</v>
      </c>
      <c r="C744" s="21" t="s">
        <v>188</v>
      </c>
      <c r="D744" s="21" t="s">
        <v>48</v>
      </c>
      <c r="E744" s="80" t="s">
        <v>919</v>
      </c>
      <c r="F744" s="21" t="s">
        <v>953</v>
      </c>
      <c r="G744" s="101" t="s">
        <v>77</v>
      </c>
      <c r="H744" s="25" t="s">
        <v>954</v>
      </c>
      <c r="I744" s="102" t="s">
        <v>78</v>
      </c>
      <c r="J744" s="65" t="s">
        <v>955</v>
      </c>
      <c r="K744" s="104"/>
      <c r="L744" s="48" t="s">
        <v>956</v>
      </c>
      <c r="M744" s="27">
        <v>44477</v>
      </c>
      <c r="N744" s="105" t="s">
        <v>182</v>
      </c>
      <c r="O744" s="106">
        <v>11700</v>
      </c>
      <c r="P744" s="106">
        <v>13</v>
      </c>
      <c r="Q744" s="51">
        <f t="shared" si="20"/>
        <v>152100</v>
      </c>
      <c r="R744" s="31">
        <v>202310</v>
      </c>
      <c r="S744" s="54" t="s">
        <v>989</v>
      </c>
      <c r="T744" s="54"/>
      <c r="U744" s="54"/>
      <c r="V744" s="54"/>
      <c r="W744" s="67"/>
      <c r="X744" s="67"/>
      <c r="Y744" s="36">
        <v>44211</v>
      </c>
      <c r="Z744" s="36">
        <v>46401</v>
      </c>
      <c r="AA744" s="36"/>
      <c r="AB744" s="36"/>
      <c r="AC744" s="36"/>
      <c r="AD744" s="36"/>
      <c r="AE744" s="36"/>
      <c r="AF744" s="53" t="s">
        <v>68</v>
      </c>
      <c r="AG744" s="42"/>
      <c r="AH744" s="42"/>
      <c r="AI744" s="43"/>
      <c r="AJ744" s="43"/>
      <c r="AK744" s="43"/>
      <c r="AL744" s="43"/>
      <c r="AM744" s="43"/>
      <c r="AN744" s="42"/>
      <c r="AO744" s="42"/>
      <c r="AP744" s="42"/>
      <c r="AQ744" s="43"/>
      <c r="AR744" s="42"/>
      <c r="AS744" s="42"/>
    </row>
    <row r="745" spans="1:45" ht="15" customHeight="1">
      <c r="A745" s="21" t="s">
        <v>260</v>
      </c>
      <c r="B745" s="21" t="s">
        <v>46</v>
      </c>
      <c r="C745" s="21" t="s">
        <v>188</v>
      </c>
      <c r="D745" s="21" t="s">
        <v>48</v>
      </c>
      <c r="E745" s="80" t="s">
        <v>919</v>
      </c>
      <c r="F745" s="21" t="s">
        <v>953</v>
      </c>
      <c r="G745" s="101" t="s">
        <v>77</v>
      </c>
      <c r="H745" s="25" t="s">
        <v>954</v>
      </c>
      <c r="I745" s="102" t="s">
        <v>78</v>
      </c>
      <c r="J745" s="65" t="s">
        <v>955</v>
      </c>
      <c r="K745" s="104"/>
      <c r="L745" s="48" t="s">
        <v>956</v>
      </c>
      <c r="M745" s="27">
        <v>44481</v>
      </c>
      <c r="N745" s="105" t="s">
        <v>182</v>
      </c>
      <c r="O745" s="106">
        <v>11700</v>
      </c>
      <c r="P745" s="106">
        <v>69</v>
      </c>
      <c r="Q745" s="51">
        <f t="shared" si="20"/>
        <v>807300</v>
      </c>
      <c r="R745" s="31">
        <v>202310</v>
      </c>
      <c r="S745" s="54" t="s">
        <v>990</v>
      </c>
      <c r="T745" s="54"/>
      <c r="U745" s="54"/>
      <c r="V745" s="54"/>
      <c r="W745" s="67"/>
      <c r="X745" s="67"/>
      <c r="Y745" s="36">
        <v>44211</v>
      </c>
      <c r="Z745" s="36">
        <v>46401</v>
      </c>
      <c r="AA745" s="36"/>
      <c r="AB745" s="36"/>
      <c r="AC745" s="36"/>
      <c r="AD745" s="36"/>
      <c r="AE745" s="36"/>
      <c r="AF745" s="53" t="s">
        <v>68</v>
      </c>
      <c r="AG745" s="42"/>
      <c r="AH745" s="42"/>
      <c r="AI745" s="43"/>
      <c r="AJ745" s="43"/>
      <c r="AK745" s="43"/>
      <c r="AL745" s="43"/>
      <c r="AM745" s="43"/>
      <c r="AN745" s="42"/>
      <c r="AO745" s="42"/>
      <c r="AP745" s="42"/>
      <c r="AQ745" s="43"/>
      <c r="AR745" s="42"/>
      <c r="AS745" s="42"/>
    </row>
    <row r="746" spans="1:45" ht="15" customHeight="1">
      <c r="A746" s="21" t="s">
        <v>260</v>
      </c>
      <c r="B746" s="21" t="s">
        <v>46</v>
      </c>
      <c r="C746" s="21" t="s">
        <v>188</v>
      </c>
      <c r="D746" s="21" t="s">
        <v>48</v>
      </c>
      <c r="E746" s="80" t="s">
        <v>919</v>
      </c>
      <c r="F746" s="21" t="s">
        <v>953</v>
      </c>
      <c r="G746" s="101" t="s">
        <v>77</v>
      </c>
      <c r="H746" s="25" t="s">
        <v>954</v>
      </c>
      <c r="I746" s="102" t="s">
        <v>78</v>
      </c>
      <c r="J746" s="65" t="s">
        <v>955</v>
      </c>
      <c r="K746" s="104"/>
      <c r="L746" s="48" t="s">
        <v>956</v>
      </c>
      <c r="M746" s="27">
        <v>44498</v>
      </c>
      <c r="N746" s="105" t="s">
        <v>182</v>
      </c>
      <c r="O746" s="106">
        <v>11700</v>
      </c>
      <c r="P746" s="106">
        <v>4</v>
      </c>
      <c r="Q746" s="51">
        <f t="shared" si="20"/>
        <v>46800</v>
      </c>
      <c r="R746" s="31">
        <v>202310</v>
      </c>
      <c r="S746" s="54" t="s">
        <v>991</v>
      </c>
      <c r="T746" s="54"/>
      <c r="U746" s="54"/>
      <c r="V746" s="54"/>
      <c r="W746" s="67"/>
      <c r="X746" s="67"/>
      <c r="Y746" s="36">
        <v>44211</v>
      </c>
      <c r="Z746" s="36">
        <v>46401</v>
      </c>
      <c r="AA746" s="36"/>
      <c r="AB746" s="36"/>
      <c r="AC746" s="36"/>
      <c r="AD746" s="36"/>
      <c r="AE746" s="36"/>
      <c r="AF746" s="53" t="s">
        <v>68</v>
      </c>
      <c r="AG746" s="42"/>
      <c r="AH746" s="42"/>
      <c r="AI746" s="43"/>
      <c r="AJ746" s="43"/>
      <c r="AK746" s="43"/>
      <c r="AL746" s="43"/>
      <c r="AM746" s="43"/>
      <c r="AN746" s="42"/>
      <c r="AO746" s="42"/>
      <c r="AP746" s="42"/>
      <c r="AQ746" s="43"/>
      <c r="AR746" s="42"/>
      <c r="AS746" s="42"/>
    </row>
    <row r="747" spans="1:45" ht="15" customHeight="1">
      <c r="A747" s="21" t="s">
        <v>260</v>
      </c>
      <c r="B747" s="21" t="s">
        <v>46</v>
      </c>
      <c r="C747" s="21" t="s">
        <v>188</v>
      </c>
      <c r="D747" s="21" t="s">
        <v>48</v>
      </c>
      <c r="E747" s="80" t="s">
        <v>919</v>
      </c>
      <c r="F747" s="21" t="s">
        <v>953</v>
      </c>
      <c r="G747" s="101" t="s">
        <v>77</v>
      </c>
      <c r="H747" s="25" t="s">
        <v>954</v>
      </c>
      <c r="I747" s="102" t="s">
        <v>78</v>
      </c>
      <c r="J747" s="65" t="s">
        <v>955</v>
      </c>
      <c r="K747" s="104"/>
      <c r="L747" s="48" t="s">
        <v>956</v>
      </c>
      <c r="M747" s="27">
        <v>44501</v>
      </c>
      <c r="N747" s="105" t="s">
        <v>182</v>
      </c>
      <c r="O747" s="106">
        <v>11700</v>
      </c>
      <c r="P747" s="106">
        <v>2</v>
      </c>
      <c r="Q747" s="51">
        <f t="shared" si="20"/>
        <v>23400</v>
      </c>
      <c r="R747" s="31">
        <v>202310</v>
      </c>
      <c r="S747" s="54" t="s">
        <v>992</v>
      </c>
      <c r="T747" s="54"/>
      <c r="U747" s="54"/>
      <c r="V747" s="54"/>
      <c r="W747" s="67"/>
      <c r="X747" s="67"/>
      <c r="Y747" s="36">
        <v>44211</v>
      </c>
      <c r="Z747" s="36">
        <v>46401</v>
      </c>
      <c r="AA747" s="36"/>
      <c r="AB747" s="36"/>
      <c r="AC747" s="36"/>
      <c r="AD747" s="36"/>
      <c r="AE747" s="36"/>
      <c r="AF747" s="53" t="s">
        <v>68</v>
      </c>
      <c r="AG747" s="42"/>
      <c r="AH747" s="42"/>
      <c r="AI747" s="43"/>
      <c r="AJ747" s="43"/>
      <c r="AK747" s="43"/>
      <c r="AL747" s="43"/>
      <c r="AM747" s="43"/>
      <c r="AN747" s="42"/>
      <c r="AO747" s="42"/>
      <c r="AP747" s="42"/>
      <c r="AQ747" s="43"/>
      <c r="AR747" s="42"/>
      <c r="AS747" s="42"/>
    </row>
    <row r="748" spans="1:45" ht="15" customHeight="1">
      <c r="A748" s="21" t="s">
        <v>260</v>
      </c>
      <c r="B748" s="21" t="s">
        <v>46</v>
      </c>
      <c r="C748" s="21" t="s">
        <v>188</v>
      </c>
      <c r="D748" s="21" t="s">
        <v>48</v>
      </c>
      <c r="E748" s="80" t="s">
        <v>919</v>
      </c>
      <c r="F748" s="21" t="s">
        <v>953</v>
      </c>
      <c r="G748" s="101" t="s">
        <v>77</v>
      </c>
      <c r="H748" s="25" t="s">
        <v>954</v>
      </c>
      <c r="I748" s="102" t="s">
        <v>78</v>
      </c>
      <c r="J748" s="65" t="s">
        <v>955</v>
      </c>
      <c r="K748" s="104"/>
      <c r="L748" s="48" t="s">
        <v>956</v>
      </c>
      <c r="M748" s="27">
        <v>44531</v>
      </c>
      <c r="N748" s="105" t="s">
        <v>182</v>
      </c>
      <c r="O748" s="106">
        <v>11700</v>
      </c>
      <c r="P748" s="106">
        <v>31</v>
      </c>
      <c r="Q748" s="51">
        <f t="shared" si="20"/>
        <v>362700</v>
      </c>
      <c r="R748" s="31">
        <v>202310</v>
      </c>
      <c r="S748" s="110" t="s">
        <v>993</v>
      </c>
      <c r="T748" s="54"/>
      <c r="U748" s="54"/>
      <c r="V748" s="54"/>
      <c r="W748" s="67"/>
      <c r="X748" s="67"/>
      <c r="Y748" s="36">
        <v>44211</v>
      </c>
      <c r="Z748" s="36">
        <v>46401</v>
      </c>
      <c r="AA748" s="36"/>
      <c r="AB748" s="36"/>
      <c r="AC748" s="36"/>
      <c r="AD748" s="36"/>
      <c r="AE748" s="36"/>
      <c r="AF748" s="53" t="s">
        <v>68</v>
      </c>
      <c r="AG748" s="42"/>
      <c r="AH748" s="42"/>
      <c r="AI748" s="43"/>
      <c r="AJ748" s="43"/>
      <c r="AK748" s="43"/>
      <c r="AL748" s="43"/>
      <c r="AM748" s="43"/>
      <c r="AN748" s="42"/>
      <c r="AO748" s="42"/>
      <c r="AP748" s="42"/>
      <c r="AQ748" s="43"/>
      <c r="AR748" s="42"/>
      <c r="AS748" s="42"/>
    </row>
    <row r="749" spans="1:45" ht="15" customHeight="1">
      <c r="A749" s="21" t="s">
        <v>260</v>
      </c>
      <c r="B749" s="21" t="s">
        <v>46</v>
      </c>
      <c r="C749" s="21" t="s">
        <v>188</v>
      </c>
      <c r="D749" s="21" t="s">
        <v>48</v>
      </c>
      <c r="E749" s="80" t="s">
        <v>919</v>
      </c>
      <c r="F749" s="21" t="s">
        <v>953</v>
      </c>
      <c r="G749" s="101" t="s">
        <v>77</v>
      </c>
      <c r="H749" s="25" t="s">
        <v>954</v>
      </c>
      <c r="I749" s="102" t="s">
        <v>78</v>
      </c>
      <c r="J749" s="65" t="s">
        <v>955</v>
      </c>
      <c r="K749" s="104"/>
      <c r="L749" s="48" t="s">
        <v>956</v>
      </c>
      <c r="M749" s="27">
        <v>44536</v>
      </c>
      <c r="N749" s="105" t="s">
        <v>182</v>
      </c>
      <c r="O749" s="106">
        <v>11700</v>
      </c>
      <c r="P749" s="106">
        <v>3</v>
      </c>
      <c r="Q749" s="51">
        <f t="shared" si="20"/>
        <v>35100</v>
      </c>
      <c r="R749" s="31">
        <v>202310</v>
      </c>
      <c r="S749" s="54" t="s">
        <v>994</v>
      </c>
      <c r="T749" s="54"/>
      <c r="U749" s="54"/>
      <c r="V749" s="54"/>
      <c r="W749" s="67"/>
      <c r="X749" s="67"/>
      <c r="Y749" s="36">
        <v>44211</v>
      </c>
      <c r="Z749" s="36">
        <v>46401</v>
      </c>
      <c r="AA749" s="36"/>
      <c r="AB749" s="36"/>
      <c r="AC749" s="36"/>
      <c r="AD749" s="36"/>
      <c r="AE749" s="36"/>
      <c r="AF749" s="53" t="s">
        <v>68</v>
      </c>
      <c r="AG749" s="42"/>
      <c r="AH749" s="42"/>
      <c r="AI749" s="43"/>
      <c r="AJ749" s="43"/>
      <c r="AK749" s="43"/>
      <c r="AL749" s="43"/>
      <c r="AM749" s="43"/>
      <c r="AN749" s="42"/>
      <c r="AO749" s="42"/>
      <c r="AP749" s="42"/>
      <c r="AQ749" s="43"/>
      <c r="AR749" s="42"/>
      <c r="AS749" s="42"/>
    </row>
    <row r="750" spans="1:45" ht="15" customHeight="1">
      <c r="A750" s="21" t="s">
        <v>260</v>
      </c>
      <c r="B750" s="21" t="s">
        <v>46</v>
      </c>
      <c r="C750" s="21" t="s">
        <v>188</v>
      </c>
      <c r="D750" s="21" t="s">
        <v>48</v>
      </c>
      <c r="E750" s="80" t="s">
        <v>919</v>
      </c>
      <c r="F750" s="21" t="s">
        <v>953</v>
      </c>
      <c r="G750" s="101" t="s">
        <v>77</v>
      </c>
      <c r="H750" s="25" t="s">
        <v>954</v>
      </c>
      <c r="I750" s="102" t="s">
        <v>78</v>
      </c>
      <c r="J750" s="65" t="s">
        <v>955</v>
      </c>
      <c r="K750" s="104"/>
      <c r="L750" s="48" t="s">
        <v>956</v>
      </c>
      <c r="M750" s="27">
        <v>44540</v>
      </c>
      <c r="N750" s="105" t="s">
        <v>182</v>
      </c>
      <c r="O750" s="106">
        <v>11700</v>
      </c>
      <c r="P750" s="106">
        <v>5</v>
      </c>
      <c r="Q750" s="51">
        <f t="shared" si="20"/>
        <v>58500</v>
      </c>
      <c r="R750" s="31">
        <v>202310</v>
      </c>
      <c r="S750" s="54" t="s">
        <v>995</v>
      </c>
      <c r="T750" s="54"/>
      <c r="U750" s="54"/>
      <c r="V750" s="54"/>
      <c r="W750" s="67"/>
      <c r="X750" s="67"/>
      <c r="Y750" s="36">
        <v>44211</v>
      </c>
      <c r="Z750" s="36">
        <v>46401</v>
      </c>
      <c r="AA750" s="36"/>
      <c r="AB750" s="36"/>
      <c r="AC750" s="36"/>
      <c r="AD750" s="36"/>
      <c r="AE750" s="36"/>
      <c r="AF750" s="53" t="s">
        <v>68</v>
      </c>
      <c r="AG750" s="42"/>
      <c r="AH750" s="42"/>
      <c r="AI750" s="43"/>
      <c r="AJ750" s="43"/>
      <c r="AK750" s="43"/>
      <c r="AL750" s="43"/>
      <c r="AM750" s="43"/>
      <c r="AN750" s="42"/>
      <c r="AO750" s="42"/>
      <c r="AP750" s="42"/>
      <c r="AQ750" s="43"/>
      <c r="AR750" s="42"/>
      <c r="AS750" s="42"/>
    </row>
    <row r="751" spans="1:45" ht="15" customHeight="1">
      <c r="A751" s="21" t="s">
        <v>260</v>
      </c>
      <c r="B751" s="21" t="s">
        <v>46</v>
      </c>
      <c r="C751" s="21" t="s">
        <v>188</v>
      </c>
      <c r="D751" s="21" t="s">
        <v>48</v>
      </c>
      <c r="E751" s="80" t="s">
        <v>919</v>
      </c>
      <c r="F751" s="21" t="s">
        <v>953</v>
      </c>
      <c r="G751" s="101" t="s">
        <v>77</v>
      </c>
      <c r="H751" s="25" t="s">
        <v>954</v>
      </c>
      <c r="I751" s="102" t="s">
        <v>78</v>
      </c>
      <c r="J751" s="65" t="s">
        <v>955</v>
      </c>
      <c r="K751" s="104"/>
      <c r="L751" s="48" t="s">
        <v>956</v>
      </c>
      <c r="M751" s="27">
        <v>44546</v>
      </c>
      <c r="N751" s="105" t="s">
        <v>182</v>
      </c>
      <c r="O751" s="106">
        <v>11700</v>
      </c>
      <c r="P751" s="106">
        <v>36</v>
      </c>
      <c r="Q751" s="51">
        <f t="shared" si="20"/>
        <v>421200</v>
      </c>
      <c r="R751" s="31">
        <v>202310</v>
      </c>
      <c r="S751" s="54" t="s">
        <v>996</v>
      </c>
      <c r="T751" s="54"/>
      <c r="U751" s="54"/>
      <c r="V751" s="54"/>
      <c r="W751" s="67"/>
      <c r="X751" s="67"/>
      <c r="Y751" s="36">
        <v>44211</v>
      </c>
      <c r="Z751" s="36">
        <v>46401</v>
      </c>
      <c r="AA751" s="36"/>
      <c r="AB751" s="36"/>
      <c r="AC751" s="36"/>
      <c r="AD751" s="36"/>
      <c r="AE751" s="36"/>
      <c r="AF751" s="53" t="s">
        <v>68</v>
      </c>
      <c r="AG751" s="42"/>
      <c r="AH751" s="42"/>
      <c r="AI751" s="43"/>
      <c r="AJ751" s="43"/>
      <c r="AK751" s="43"/>
      <c r="AL751" s="43"/>
      <c r="AM751" s="43"/>
      <c r="AN751" s="42"/>
      <c r="AO751" s="42"/>
      <c r="AP751" s="42"/>
      <c r="AQ751" s="43"/>
      <c r="AR751" s="42"/>
      <c r="AS751" s="42"/>
    </row>
    <row r="752" spans="1:45" ht="15" customHeight="1">
      <c r="A752" s="21" t="s">
        <v>260</v>
      </c>
      <c r="B752" s="21" t="s">
        <v>46</v>
      </c>
      <c r="C752" s="21" t="s">
        <v>188</v>
      </c>
      <c r="D752" s="21" t="s">
        <v>48</v>
      </c>
      <c r="E752" s="80" t="s">
        <v>919</v>
      </c>
      <c r="F752" s="21" t="s">
        <v>953</v>
      </c>
      <c r="G752" s="101" t="s">
        <v>77</v>
      </c>
      <c r="H752" s="25" t="s">
        <v>954</v>
      </c>
      <c r="I752" s="102" t="s">
        <v>78</v>
      </c>
      <c r="J752" s="65" t="s">
        <v>955</v>
      </c>
      <c r="K752" s="104"/>
      <c r="L752" s="48" t="s">
        <v>956</v>
      </c>
      <c r="M752" s="27">
        <v>44553</v>
      </c>
      <c r="N752" s="105" t="s">
        <v>182</v>
      </c>
      <c r="O752" s="106">
        <v>11700</v>
      </c>
      <c r="P752" s="106">
        <v>4</v>
      </c>
      <c r="Q752" s="51">
        <f t="shared" si="20"/>
        <v>46800</v>
      </c>
      <c r="R752" s="31">
        <v>202310</v>
      </c>
      <c r="S752" s="54" t="s">
        <v>997</v>
      </c>
      <c r="T752" s="54"/>
      <c r="U752" s="54"/>
      <c r="V752" s="54"/>
      <c r="W752" s="67"/>
      <c r="X752" s="67"/>
      <c r="Y752" s="36">
        <v>44211</v>
      </c>
      <c r="Z752" s="36">
        <v>46401</v>
      </c>
      <c r="AA752" s="36"/>
      <c r="AB752" s="36"/>
      <c r="AC752" s="36"/>
      <c r="AD752" s="36"/>
      <c r="AE752" s="36"/>
      <c r="AF752" s="53" t="s">
        <v>68</v>
      </c>
      <c r="AG752" s="42"/>
      <c r="AH752" s="42"/>
      <c r="AI752" s="43"/>
      <c r="AJ752" s="43"/>
      <c r="AK752" s="43"/>
      <c r="AL752" s="43"/>
      <c r="AM752" s="43"/>
      <c r="AN752" s="42"/>
      <c r="AO752" s="42"/>
      <c r="AP752" s="42"/>
      <c r="AQ752" s="43"/>
      <c r="AR752" s="42"/>
      <c r="AS752" s="42"/>
    </row>
    <row r="753" spans="1:45" ht="15" customHeight="1">
      <c r="A753" s="21" t="s">
        <v>260</v>
      </c>
      <c r="B753" s="21" t="s">
        <v>46</v>
      </c>
      <c r="C753" s="21" t="s">
        <v>188</v>
      </c>
      <c r="D753" s="21" t="s">
        <v>48</v>
      </c>
      <c r="E753" s="80" t="s">
        <v>919</v>
      </c>
      <c r="F753" s="21" t="s">
        <v>953</v>
      </c>
      <c r="G753" s="101" t="s">
        <v>77</v>
      </c>
      <c r="H753" s="25" t="s">
        <v>954</v>
      </c>
      <c r="I753" s="102" t="s">
        <v>78</v>
      </c>
      <c r="J753" s="65" t="s">
        <v>955</v>
      </c>
      <c r="K753" s="104"/>
      <c r="L753" s="48" t="s">
        <v>956</v>
      </c>
      <c r="M753" s="27">
        <v>44556</v>
      </c>
      <c r="N753" s="105" t="s">
        <v>182</v>
      </c>
      <c r="O753" s="106">
        <v>11700</v>
      </c>
      <c r="P753" s="106">
        <v>2</v>
      </c>
      <c r="Q753" s="51">
        <f t="shared" si="20"/>
        <v>23400</v>
      </c>
      <c r="R753" s="31">
        <v>202310</v>
      </c>
      <c r="S753" s="54" t="s">
        <v>998</v>
      </c>
      <c r="T753" s="54"/>
      <c r="U753" s="54"/>
      <c r="V753" s="54"/>
      <c r="W753" s="67"/>
      <c r="X753" s="67"/>
      <c r="Y753" s="36">
        <v>44211</v>
      </c>
      <c r="Z753" s="36">
        <v>46401</v>
      </c>
      <c r="AA753" s="36"/>
      <c r="AB753" s="36"/>
      <c r="AC753" s="36"/>
      <c r="AD753" s="36"/>
      <c r="AE753" s="36"/>
      <c r="AF753" s="53" t="s">
        <v>68</v>
      </c>
      <c r="AG753" s="42"/>
      <c r="AH753" s="42"/>
      <c r="AI753" s="43"/>
      <c r="AJ753" s="43"/>
      <c r="AK753" s="43"/>
      <c r="AL753" s="43"/>
      <c r="AM753" s="43"/>
      <c r="AN753" s="42"/>
      <c r="AO753" s="42"/>
      <c r="AP753" s="42"/>
      <c r="AQ753" s="43"/>
      <c r="AR753" s="42"/>
      <c r="AS753" s="42"/>
    </row>
    <row r="754" spans="1:45" ht="15" customHeight="1">
      <c r="A754" s="21" t="s">
        <v>260</v>
      </c>
      <c r="B754" s="21" t="s">
        <v>46</v>
      </c>
      <c r="C754" s="21" t="s">
        <v>188</v>
      </c>
      <c r="D754" s="21" t="s">
        <v>48</v>
      </c>
      <c r="E754" s="80" t="s">
        <v>919</v>
      </c>
      <c r="F754" s="21" t="s">
        <v>953</v>
      </c>
      <c r="G754" s="101" t="s">
        <v>77</v>
      </c>
      <c r="H754" s="25" t="s">
        <v>954</v>
      </c>
      <c r="I754" s="102" t="s">
        <v>78</v>
      </c>
      <c r="J754" s="65" t="s">
        <v>955</v>
      </c>
      <c r="K754" s="104"/>
      <c r="L754" s="48" t="s">
        <v>956</v>
      </c>
      <c r="M754" s="27">
        <v>44693</v>
      </c>
      <c r="N754" s="105" t="s">
        <v>388</v>
      </c>
      <c r="O754" s="106">
        <v>32400</v>
      </c>
      <c r="P754" s="106">
        <v>2</v>
      </c>
      <c r="Q754" s="51">
        <f t="shared" si="20"/>
        <v>64800</v>
      </c>
      <c r="R754" s="31">
        <v>202310</v>
      </c>
      <c r="S754" s="54" t="s">
        <v>999</v>
      </c>
      <c r="T754" s="54"/>
      <c r="U754" s="54"/>
      <c r="V754" s="54"/>
      <c r="W754" s="67"/>
      <c r="X754" s="67"/>
      <c r="Y754" s="36">
        <v>44211</v>
      </c>
      <c r="Z754" s="36">
        <v>46401</v>
      </c>
      <c r="AA754" s="36"/>
      <c r="AB754" s="36"/>
      <c r="AC754" s="36"/>
      <c r="AD754" s="36"/>
      <c r="AE754" s="36"/>
      <c r="AF754" s="53" t="s">
        <v>68</v>
      </c>
      <c r="AG754" s="42"/>
      <c r="AH754" s="42"/>
      <c r="AI754" s="43"/>
      <c r="AJ754" s="43"/>
      <c r="AK754" s="43"/>
      <c r="AL754" s="43"/>
      <c r="AM754" s="43"/>
      <c r="AN754" s="42"/>
      <c r="AO754" s="42"/>
      <c r="AP754" s="42"/>
      <c r="AQ754" s="43"/>
      <c r="AR754" s="42"/>
      <c r="AS754" s="42"/>
    </row>
    <row r="755" spans="1:45" ht="15" customHeight="1">
      <c r="A755" s="21" t="s">
        <v>260</v>
      </c>
      <c r="B755" s="21" t="s">
        <v>46</v>
      </c>
      <c r="C755" s="21" t="s">
        <v>188</v>
      </c>
      <c r="D755" s="21" t="s">
        <v>48</v>
      </c>
      <c r="E755" s="80" t="s">
        <v>919</v>
      </c>
      <c r="F755" s="21" t="s">
        <v>953</v>
      </c>
      <c r="G755" s="101" t="s">
        <v>77</v>
      </c>
      <c r="H755" s="25" t="s">
        <v>954</v>
      </c>
      <c r="I755" s="102" t="s">
        <v>78</v>
      </c>
      <c r="J755" s="65" t="s">
        <v>955</v>
      </c>
      <c r="K755" s="104"/>
      <c r="L755" s="48" t="s">
        <v>956</v>
      </c>
      <c r="M755" s="27">
        <v>44844</v>
      </c>
      <c r="N755" s="105" t="s">
        <v>182</v>
      </c>
      <c r="O755" s="106">
        <v>11700</v>
      </c>
      <c r="P755" s="106">
        <v>3</v>
      </c>
      <c r="Q755" s="51">
        <f t="shared" si="20"/>
        <v>35100</v>
      </c>
      <c r="R755" s="31">
        <v>202310</v>
      </c>
      <c r="S755" s="54" t="s">
        <v>1000</v>
      </c>
      <c r="T755" s="54"/>
      <c r="U755" s="54"/>
      <c r="V755" s="54"/>
      <c r="W755" s="67"/>
      <c r="X755" s="67"/>
      <c r="Y755" s="36">
        <v>44211</v>
      </c>
      <c r="Z755" s="36">
        <v>46401</v>
      </c>
      <c r="AA755" s="36"/>
      <c r="AB755" s="36"/>
      <c r="AC755" s="36"/>
      <c r="AD755" s="36"/>
      <c r="AE755" s="36"/>
      <c r="AF755" s="53" t="s">
        <v>68</v>
      </c>
      <c r="AG755" s="42"/>
      <c r="AH755" s="42"/>
      <c r="AI755" s="43"/>
      <c r="AJ755" s="43"/>
      <c r="AK755" s="43"/>
      <c r="AL755" s="43"/>
      <c r="AM755" s="43"/>
      <c r="AN755" s="42"/>
      <c r="AO755" s="42"/>
      <c r="AP755" s="42"/>
      <c r="AQ755" s="43"/>
      <c r="AR755" s="42"/>
      <c r="AS755" s="42"/>
    </row>
    <row r="756" spans="1:45" ht="15" customHeight="1">
      <c r="A756" s="21" t="s">
        <v>260</v>
      </c>
      <c r="B756" s="21" t="s">
        <v>46</v>
      </c>
      <c r="C756" s="21" t="s">
        <v>188</v>
      </c>
      <c r="D756" s="21" t="s">
        <v>48</v>
      </c>
      <c r="E756" s="80" t="s">
        <v>919</v>
      </c>
      <c r="F756" s="21" t="s">
        <v>953</v>
      </c>
      <c r="G756" s="101" t="s">
        <v>77</v>
      </c>
      <c r="H756" s="25" t="s">
        <v>954</v>
      </c>
      <c r="I756" s="102" t="s">
        <v>78</v>
      </c>
      <c r="J756" s="65" t="s">
        <v>955</v>
      </c>
      <c r="K756" s="104"/>
      <c r="L756" s="48" t="s">
        <v>956</v>
      </c>
      <c r="M756" s="27">
        <v>44844</v>
      </c>
      <c r="N756" s="105" t="s">
        <v>182</v>
      </c>
      <c r="O756" s="106">
        <v>11700</v>
      </c>
      <c r="P756" s="106">
        <v>-1</v>
      </c>
      <c r="Q756" s="51">
        <f t="shared" si="20"/>
        <v>-11700</v>
      </c>
      <c r="R756" s="31">
        <v>202310</v>
      </c>
      <c r="S756" s="54" t="s">
        <v>1001</v>
      </c>
      <c r="T756" s="54"/>
      <c r="U756" s="54"/>
      <c r="V756" s="54"/>
      <c r="W756" s="67"/>
      <c r="X756" s="67"/>
      <c r="Y756" s="36">
        <v>44211</v>
      </c>
      <c r="Z756" s="36">
        <v>46401</v>
      </c>
      <c r="AA756" s="36"/>
      <c r="AB756" s="36"/>
      <c r="AC756" s="36"/>
      <c r="AD756" s="36"/>
      <c r="AE756" s="36"/>
      <c r="AF756" s="53" t="s">
        <v>68</v>
      </c>
      <c r="AG756" s="42"/>
      <c r="AH756" s="42"/>
      <c r="AI756" s="43"/>
      <c r="AJ756" s="43"/>
      <c r="AK756" s="43"/>
      <c r="AL756" s="43"/>
      <c r="AM756" s="43"/>
      <c r="AN756" s="42"/>
      <c r="AO756" s="42"/>
      <c r="AP756" s="42"/>
      <c r="AQ756" s="43"/>
      <c r="AR756" s="42"/>
      <c r="AS756" s="42"/>
    </row>
    <row r="757" spans="1:45" ht="15" customHeight="1">
      <c r="A757" s="21" t="s">
        <v>260</v>
      </c>
      <c r="B757" s="21" t="s">
        <v>46</v>
      </c>
      <c r="C757" s="21" t="s">
        <v>188</v>
      </c>
      <c r="D757" s="21" t="s">
        <v>48</v>
      </c>
      <c r="E757" s="80" t="s">
        <v>919</v>
      </c>
      <c r="F757" s="21" t="s">
        <v>953</v>
      </c>
      <c r="G757" s="101" t="s">
        <v>77</v>
      </c>
      <c r="H757" s="25" t="s">
        <v>954</v>
      </c>
      <c r="I757" s="102" t="s">
        <v>78</v>
      </c>
      <c r="J757" s="65" t="s">
        <v>955</v>
      </c>
      <c r="K757" s="104"/>
      <c r="L757" s="48" t="s">
        <v>956</v>
      </c>
      <c r="M757" s="27">
        <v>44874</v>
      </c>
      <c r="N757" s="105" t="s">
        <v>182</v>
      </c>
      <c r="O757" s="106">
        <v>11700</v>
      </c>
      <c r="P757" s="106">
        <v>4</v>
      </c>
      <c r="Q757" s="51">
        <f t="shared" si="20"/>
        <v>46800</v>
      </c>
      <c r="R757" s="31">
        <v>202310</v>
      </c>
      <c r="S757" s="54" t="s">
        <v>1002</v>
      </c>
      <c r="T757" s="54"/>
      <c r="U757" s="54"/>
      <c r="V757" s="54"/>
      <c r="W757" s="67"/>
      <c r="X757" s="67"/>
      <c r="Y757" s="36">
        <v>44211</v>
      </c>
      <c r="Z757" s="36">
        <v>46401</v>
      </c>
      <c r="AA757" s="36"/>
      <c r="AB757" s="36"/>
      <c r="AC757" s="36"/>
      <c r="AD757" s="36"/>
      <c r="AE757" s="36"/>
      <c r="AF757" s="53" t="s">
        <v>68</v>
      </c>
      <c r="AG757" s="42"/>
      <c r="AH757" s="42"/>
      <c r="AI757" s="43"/>
      <c r="AJ757" s="43"/>
      <c r="AK757" s="43"/>
      <c r="AL757" s="43"/>
      <c r="AM757" s="43"/>
      <c r="AN757" s="42"/>
      <c r="AO757" s="42"/>
      <c r="AP757" s="42"/>
      <c r="AQ757" s="43"/>
      <c r="AR757" s="42"/>
      <c r="AS757" s="42"/>
    </row>
    <row r="758" spans="1:45" ht="15" customHeight="1">
      <c r="A758" s="21" t="s">
        <v>260</v>
      </c>
      <c r="B758" s="21" t="s">
        <v>46</v>
      </c>
      <c r="C758" s="21" t="s">
        <v>188</v>
      </c>
      <c r="D758" s="21" t="s">
        <v>48</v>
      </c>
      <c r="E758" s="80" t="s">
        <v>919</v>
      </c>
      <c r="F758" s="21" t="s">
        <v>953</v>
      </c>
      <c r="G758" s="101" t="s">
        <v>77</v>
      </c>
      <c r="H758" s="25" t="s">
        <v>954</v>
      </c>
      <c r="I758" s="102" t="s">
        <v>78</v>
      </c>
      <c r="J758" s="65" t="s">
        <v>955</v>
      </c>
      <c r="K758" s="104"/>
      <c r="L758" s="48" t="s">
        <v>956</v>
      </c>
      <c r="M758" s="27">
        <v>44861</v>
      </c>
      <c r="N758" s="105" t="s">
        <v>182</v>
      </c>
      <c r="O758" s="106">
        <v>11700</v>
      </c>
      <c r="P758" s="106">
        <v>-10</v>
      </c>
      <c r="Q758" s="51">
        <f t="shared" si="20"/>
        <v>-117000</v>
      </c>
      <c r="R758" s="31">
        <v>202310</v>
      </c>
      <c r="S758" s="54" t="s">
        <v>1003</v>
      </c>
      <c r="T758" s="54"/>
      <c r="U758" s="54"/>
      <c r="V758" s="54"/>
      <c r="W758" s="67"/>
      <c r="X758" s="67"/>
      <c r="Y758" s="36">
        <v>44211</v>
      </c>
      <c r="Z758" s="36">
        <v>46401</v>
      </c>
      <c r="AA758" s="36"/>
      <c r="AB758" s="36"/>
      <c r="AC758" s="36"/>
      <c r="AD758" s="36"/>
      <c r="AE758" s="36"/>
      <c r="AF758" s="53" t="s">
        <v>68</v>
      </c>
      <c r="AG758" s="42"/>
      <c r="AH758" s="42"/>
      <c r="AI758" s="43"/>
      <c r="AJ758" s="43"/>
      <c r="AK758" s="43"/>
      <c r="AL758" s="43"/>
      <c r="AM758" s="43"/>
      <c r="AN758" s="42"/>
      <c r="AO758" s="42"/>
      <c r="AP758" s="42"/>
      <c r="AQ758" s="43"/>
      <c r="AR758" s="42"/>
      <c r="AS758" s="42"/>
    </row>
    <row r="759" spans="1:45" ht="15" customHeight="1">
      <c r="A759" s="21" t="s">
        <v>260</v>
      </c>
      <c r="B759" s="21" t="s">
        <v>46</v>
      </c>
      <c r="C759" s="21" t="s">
        <v>188</v>
      </c>
      <c r="D759" s="21" t="s">
        <v>48</v>
      </c>
      <c r="E759" s="80" t="s">
        <v>919</v>
      </c>
      <c r="F759" s="21" t="s">
        <v>953</v>
      </c>
      <c r="G759" s="101" t="s">
        <v>77</v>
      </c>
      <c r="H759" s="25" t="s">
        <v>954</v>
      </c>
      <c r="I759" s="102" t="s">
        <v>78</v>
      </c>
      <c r="J759" s="65" t="s">
        <v>955</v>
      </c>
      <c r="K759" s="104"/>
      <c r="L759" s="48" t="s">
        <v>956</v>
      </c>
      <c r="M759" s="27">
        <v>44869</v>
      </c>
      <c r="N759" s="105" t="s">
        <v>182</v>
      </c>
      <c r="O759" s="106">
        <v>11700</v>
      </c>
      <c r="P759" s="106">
        <v>-1</v>
      </c>
      <c r="Q759" s="51">
        <f t="shared" si="20"/>
        <v>-11700</v>
      </c>
      <c r="R759" s="31">
        <v>202310</v>
      </c>
      <c r="S759" s="54" t="s">
        <v>1004</v>
      </c>
      <c r="T759" s="54"/>
      <c r="U759" s="54"/>
      <c r="V759" s="54"/>
      <c r="W759" s="67"/>
      <c r="X759" s="67"/>
      <c r="Y759" s="36">
        <v>44211</v>
      </c>
      <c r="Z759" s="36">
        <v>46401</v>
      </c>
      <c r="AA759" s="36"/>
      <c r="AB759" s="36"/>
      <c r="AC759" s="36"/>
      <c r="AD759" s="36"/>
      <c r="AE759" s="36"/>
      <c r="AF759" s="53" t="s">
        <v>68</v>
      </c>
      <c r="AG759" s="42"/>
      <c r="AH759" s="42"/>
      <c r="AI759" s="43"/>
      <c r="AJ759" s="43"/>
      <c r="AK759" s="43"/>
      <c r="AL759" s="43"/>
      <c r="AM759" s="43"/>
      <c r="AN759" s="42"/>
      <c r="AO759" s="42"/>
      <c r="AP759" s="42"/>
      <c r="AQ759" s="43"/>
      <c r="AR759" s="42"/>
      <c r="AS759" s="42"/>
    </row>
    <row r="760" spans="1:45" ht="15" customHeight="1">
      <c r="A760" s="21" t="s">
        <v>260</v>
      </c>
      <c r="B760" s="21" t="s">
        <v>46</v>
      </c>
      <c r="C760" s="21" t="s">
        <v>188</v>
      </c>
      <c r="D760" s="21" t="s">
        <v>48</v>
      </c>
      <c r="E760" s="80" t="s">
        <v>919</v>
      </c>
      <c r="F760" s="21" t="s">
        <v>953</v>
      </c>
      <c r="G760" s="101" t="s">
        <v>77</v>
      </c>
      <c r="H760" s="25" t="s">
        <v>954</v>
      </c>
      <c r="I760" s="102" t="s">
        <v>78</v>
      </c>
      <c r="J760" s="65" t="s">
        <v>955</v>
      </c>
      <c r="K760" s="151"/>
      <c r="L760" s="48" t="s">
        <v>956</v>
      </c>
      <c r="M760" s="27">
        <v>44937</v>
      </c>
      <c r="N760" s="105" t="s">
        <v>182</v>
      </c>
      <c r="O760" s="106">
        <v>11700</v>
      </c>
      <c r="P760" s="106">
        <v>3</v>
      </c>
      <c r="Q760" s="51">
        <f t="shared" si="20"/>
        <v>35100</v>
      </c>
      <c r="R760" s="31">
        <v>202310</v>
      </c>
      <c r="S760" s="54" t="s">
        <v>1005</v>
      </c>
      <c r="T760" s="152"/>
      <c r="U760" s="54"/>
      <c r="V760" s="54"/>
      <c r="W760" s="67"/>
      <c r="X760" s="67"/>
      <c r="Y760" s="36">
        <v>44211</v>
      </c>
      <c r="Z760" s="36">
        <v>46401</v>
      </c>
      <c r="AA760" s="36"/>
      <c r="AB760" s="36"/>
      <c r="AC760" s="36"/>
      <c r="AD760" s="36"/>
      <c r="AE760" s="36"/>
      <c r="AF760" s="53" t="s">
        <v>68</v>
      </c>
      <c r="AG760" s="42"/>
      <c r="AH760" s="42"/>
      <c r="AI760" s="43"/>
      <c r="AJ760" s="43"/>
      <c r="AK760" s="43"/>
      <c r="AL760" s="43"/>
      <c r="AM760" s="43"/>
      <c r="AN760" s="42"/>
      <c r="AO760" s="42"/>
      <c r="AP760" s="42"/>
      <c r="AQ760" s="43"/>
      <c r="AR760" s="42"/>
      <c r="AS760" s="42"/>
    </row>
    <row r="761" spans="1:45" ht="15" customHeight="1">
      <c r="A761" s="21" t="s">
        <v>260</v>
      </c>
      <c r="B761" s="21" t="s">
        <v>46</v>
      </c>
      <c r="C761" s="21" t="s">
        <v>188</v>
      </c>
      <c r="D761" s="21" t="s">
        <v>48</v>
      </c>
      <c r="E761" s="80" t="s">
        <v>919</v>
      </c>
      <c r="F761" s="21" t="s">
        <v>953</v>
      </c>
      <c r="G761" s="101" t="s">
        <v>77</v>
      </c>
      <c r="H761" s="25" t="s">
        <v>954</v>
      </c>
      <c r="I761" s="102" t="s">
        <v>78</v>
      </c>
      <c r="J761" s="65" t="s">
        <v>955</v>
      </c>
      <c r="K761" s="151"/>
      <c r="L761" s="48" t="s">
        <v>956</v>
      </c>
      <c r="M761" s="27">
        <v>45068</v>
      </c>
      <c r="N761" s="105" t="s">
        <v>182</v>
      </c>
      <c r="O761" s="106">
        <v>11700</v>
      </c>
      <c r="P761" s="106">
        <v>3</v>
      </c>
      <c r="Q761" s="51">
        <f t="shared" si="20"/>
        <v>35100</v>
      </c>
      <c r="R761" s="31">
        <v>202310</v>
      </c>
      <c r="S761" s="54" t="s">
        <v>1006</v>
      </c>
      <c r="T761" s="152"/>
      <c r="U761" s="54"/>
      <c r="V761" s="54"/>
      <c r="W761" s="67"/>
      <c r="X761" s="67"/>
      <c r="Y761" s="36">
        <v>44211</v>
      </c>
      <c r="Z761" s="36">
        <v>46401</v>
      </c>
      <c r="AA761" s="36"/>
      <c r="AB761" s="36"/>
      <c r="AC761" s="36"/>
      <c r="AD761" s="36"/>
      <c r="AE761" s="36"/>
      <c r="AF761" s="53" t="s">
        <v>68</v>
      </c>
      <c r="AG761" s="42"/>
      <c r="AH761" s="42"/>
      <c r="AI761" s="43"/>
      <c r="AJ761" s="43"/>
      <c r="AK761" s="43"/>
      <c r="AL761" s="43"/>
      <c r="AM761" s="43"/>
      <c r="AN761" s="42"/>
      <c r="AO761" s="42"/>
      <c r="AP761" s="42"/>
      <c r="AQ761" s="43"/>
      <c r="AR761" s="42"/>
      <c r="AS761" s="42"/>
    </row>
    <row r="762" spans="1:45" ht="15" customHeight="1">
      <c r="A762" s="21" t="s">
        <v>260</v>
      </c>
      <c r="B762" s="21" t="s">
        <v>46</v>
      </c>
      <c r="C762" s="21" t="s">
        <v>188</v>
      </c>
      <c r="D762" s="21" t="s">
        <v>48</v>
      </c>
      <c r="E762" s="80" t="s">
        <v>919</v>
      </c>
      <c r="F762" s="21" t="s">
        <v>953</v>
      </c>
      <c r="G762" s="101" t="s">
        <v>77</v>
      </c>
      <c r="H762" s="25" t="s">
        <v>954</v>
      </c>
      <c r="I762" s="102" t="s">
        <v>78</v>
      </c>
      <c r="J762" s="65" t="s">
        <v>955</v>
      </c>
      <c r="K762" s="151"/>
      <c r="L762" s="48" t="s">
        <v>956</v>
      </c>
      <c r="M762" s="27">
        <v>45070</v>
      </c>
      <c r="N762" s="105" t="s">
        <v>177</v>
      </c>
      <c r="O762" s="106">
        <v>5900</v>
      </c>
      <c r="P762" s="106">
        <v>2</v>
      </c>
      <c r="Q762" s="51">
        <f t="shared" si="20"/>
        <v>11800</v>
      </c>
      <c r="R762" s="31">
        <v>202310</v>
      </c>
      <c r="S762" s="54" t="s">
        <v>1007</v>
      </c>
      <c r="T762" s="152"/>
      <c r="U762" s="54"/>
      <c r="V762" s="54"/>
      <c r="W762" s="67"/>
      <c r="X762" s="67"/>
      <c r="Y762" s="36">
        <v>44211</v>
      </c>
      <c r="Z762" s="36">
        <v>46401</v>
      </c>
      <c r="AA762" s="36"/>
      <c r="AB762" s="36"/>
      <c r="AC762" s="36"/>
      <c r="AD762" s="36"/>
      <c r="AE762" s="36"/>
      <c r="AF762" s="53" t="s">
        <v>68</v>
      </c>
      <c r="AG762" s="42"/>
      <c r="AH762" s="42"/>
      <c r="AI762" s="43"/>
      <c r="AJ762" s="43"/>
      <c r="AK762" s="43"/>
      <c r="AL762" s="43"/>
      <c r="AM762" s="43"/>
      <c r="AN762" s="42"/>
      <c r="AO762" s="42"/>
      <c r="AP762" s="42"/>
      <c r="AQ762" s="43"/>
      <c r="AR762" s="42"/>
      <c r="AS762" s="42"/>
    </row>
    <row r="763" spans="1:45" ht="15" customHeight="1">
      <c r="A763" s="21" t="s">
        <v>260</v>
      </c>
      <c r="B763" s="21" t="s">
        <v>46</v>
      </c>
      <c r="C763" s="21" t="s">
        <v>188</v>
      </c>
      <c r="D763" s="21" t="s">
        <v>48</v>
      </c>
      <c r="E763" s="80" t="s">
        <v>919</v>
      </c>
      <c r="F763" s="21" t="s">
        <v>953</v>
      </c>
      <c r="G763" s="101" t="s">
        <v>77</v>
      </c>
      <c r="H763" s="25" t="s">
        <v>954</v>
      </c>
      <c r="I763" s="102" t="s">
        <v>78</v>
      </c>
      <c r="J763" s="65" t="s">
        <v>955</v>
      </c>
      <c r="K763" s="151"/>
      <c r="L763" s="48" t="s">
        <v>956</v>
      </c>
      <c r="M763" s="27">
        <v>45083</v>
      </c>
      <c r="N763" s="105" t="s">
        <v>182</v>
      </c>
      <c r="O763" s="106">
        <v>11700</v>
      </c>
      <c r="P763" s="106">
        <v>9</v>
      </c>
      <c r="Q763" s="51">
        <f>ROUND(O763*P763,2)</f>
        <v>105300</v>
      </c>
      <c r="R763" s="31">
        <v>202310</v>
      </c>
      <c r="S763" s="54" t="s">
        <v>1008</v>
      </c>
      <c r="T763" s="152"/>
      <c r="U763" s="54"/>
      <c r="V763" s="54"/>
      <c r="W763" s="67"/>
      <c r="X763" s="67"/>
      <c r="Y763" s="36">
        <v>44211</v>
      </c>
      <c r="Z763" s="36">
        <v>46401</v>
      </c>
      <c r="AA763" s="36"/>
      <c r="AB763" s="36"/>
      <c r="AC763" s="36"/>
      <c r="AD763" s="36"/>
      <c r="AE763" s="36"/>
      <c r="AF763" s="53" t="s">
        <v>68</v>
      </c>
      <c r="AG763" s="42"/>
      <c r="AH763" s="42"/>
      <c r="AI763" s="43"/>
      <c r="AJ763" s="43"/>
      <c r="AK763" s="43"/>
      <c r="AL763" s="43"/>
      <c r="AM763" s="43"/>
      <c r="AN763" s="42"/>
      <c r="AO763" s="42"/>
      <c r="AP763" s="42"/>
      <c r="AQ763" s="43"/>
      <c r="AR763" s="42"/>
      <c r="AS763" s="42"/>
    </row>
    <row r="764" spans="1:45" ht="15" customHeight="1">
      <c r="A764" s="21" t="s">
        <v>260</v>
      </c>
      <c r="B764" s="21" t="s">
        <v>46</v>
      </c>
      <c r="C764" s="21" t="s">
        <v>188</v>
      </c>
      <c r="D764" s="21" t="s">
        <v>48</v>
      </c>
      <c r="E764" s="80" t="s">
        <v>919</v>
      </c>
      <c r="F764" s="21" t="s">
        <v>953</v>
      </c>
      <c r="G764" s="101" t="s">
        <v>77</v>
      </c>
      <c r="H764" s="25" t="s">
        <v>954</v>
      </c>
      <c r="I764" s="102" t="s">
        <v>78</v>
      </c>
      <c r="J764" s="65" t="s">
        <v>955</v>
      </c>
      <c r="K764" s="151"/>
      <c r="L764" s="48" t="s">
        <v>956</v>
      </c>
      <c r="M764" s="27">
        <v>45126</v>
      </c>
      <c r="N764" s="105" t="s">
        <v>182</v>
      </c>
      <c r="O764" s="106">
        <v>11700</v>
      </c>
      <c r="P764" s="106">
        <v>18</v>
      </c>
      <c r="Q764" s="30">
        <f t="shared" ref="Q764:Q766" si="21">ROUND(O764*P764,2)</f>
        <v>210600</v>
      </c>
      <c r="R764" s="31">
        <v>202310</v>
      </c>
      <c r="S764" s="153" t="s">
        <v>1009</v>
      </c>
      <c r="T764" s="152"/>
      <c r="U764" s="54"/>
      <c r="V764" s="54"/>
      <c r="W764" s="67"/>
      <c r="X764" s="67"/>
      <c r="Y764" s="36">
        <v>44211</v>
      </c>
      <c r="Z764" s="36">
        <v>46401</v>
      </c>
      <c r="AA764" s="36"/>
      <c r="AB764" s="36"/>
      <c r="AC764" s="36"/>
      <c r="AD764" s="36"/>
      <c r="AE764" s="36"/>
      <c r="AF764" s="53" t="s">
        <v>68</v>
      </c>
      <c r="AG764" s="42"/>
      <c r="AH764" s="42"/>
      <c r="AI764" s="43"/>
      <c r="AJ764" s="43"/>
      <c r="AK764" s="43"/>
      <c r="AL764" s="43"/>
      <c r="AM764" s="43"/>
      <c r="AN764" s="42"/>
      <c r="AO764" s="42"/>
      <c r="AP764" s="42"/>
      <c r="AQ764" s="43"/>
      <c r="AR764" s="42"/>
      <c r="AS764" s="42"/>
    </row>
    <row r="765" spans="1:45" ht="15" customHeight="1">
      <c r="A765" s="21" t="s">
        <v>260</v>
      </c>
      <c r="B765" s="21" t="s">
        <v>46</v>
      </c>
      <c r="C765" s="21" t="s">
        <v>188</v>
      </c>
      <c r="D765" s="21" t="s">
        <v>48</v>
      </c>
      <c r="E765" s="80" t="s">
        <v>919</v>
      </c>
      <c r="F765" s="21" t="s">
        <v>953</v>
      </c>
      <c r="G765" s="101" t="s">
        <v>77</v>
      </c>
      <c r="H765" s="25" t="s">
        <v>954</v>
      </c>
      <c r="I765" s="102" t="s">
        <v>78</v>
      </c>
      <c r="J765" s="65" t="s">
        <v>955</v>
      </c>
      <c r="K765" s="151"/>
      <c r="L765" s="48" t="s">
        <v>956</v>
      </c>
      <c r="M765" s="27">
        <v>45156</v>
      </c>
      <c r="N765" s="105" t="s">
        <v>182</v>
      </c>
      <c r="O765" s="106">
        <v>11700</v>
      </c>
      <c r="P765" s="106">
        <v>1</v>
      </c>
      <c r="Q765" s="51">
        <f t="shared" si="21"/>
        <v>11700</v>
      </c>
      <c r="R765" s="31">
        <v>202310</v>
      </c>
      <c r="S765" s="153" t="s">
        <v>1010</v>
      </c>
      <c r="T765" s="152"/>
      <c r="U765" s="54"/>
      <c r="V765" s="54"/>
      <c r="W765" s="67"/>
      <c r="X765" s="67"/>
      <c r="Y765" s="36">
        <v>44211</v>
      </c>
      <c r="Z765" s="36">
        <v>46401</v>
      </c>
      <c r="AA765" s="36"/>
      <c r="AB765" s="36"/>
      <c r="AC765" s="36"/>
      <c r="AD765" s="36"/>
      <c r="AE765" s="36"/>
      <c r="AF765" s="53" t="s">
        <v>68</v>
      </c>
      <c r="AG765" s="42"/>
      <c r="AH765" s="42"/>
      <c r="AI765" s="43"/>
      <c r="AJ765" s="43"/>
      <c r="AK765" s="43"/>
      <c r="AL765" s="43"/>
      <c r="AM765" s="43"/>
      <c r="AN765" s="42"/>
      <c r="AO765" s="42"/>
      <c r="AP765" s="42"/>
      <c r="AQ765" s="43"/>
      <c r="AR765" s="42"/>
      <c r="AS765" s="42"/>
    </row>
    <row r="766" spans="1:45" ht="15" customHeight="1">
      <c r="A766" s="21" t="s">
        <v>260</v>
      </c>
      <c r="B766" s="21" t="s">
        <v>46</v>
      </c>
      <c r="C766" s="21" t="s">
        <v>188</v>
      </c>
      <c r="D766" s="21" t="s">
        <v>48</v>
      </c>
      <c r="E766" s="80" t="s">
        <v>919</v>
      </c>
      <c r="F766" s="21" t="s">
        <v>953</v>
      </c>
      <c r="G766" s="101" t="s">
        <v>77</v>
      </c>
      <c r="H766" s="25" t="s">
        <v>954</v>
      </c>
      <c r="I766" s="102" t="s">
        <v>78</v>
      </c>
      <c r="J766" s="65" t="s">
        <v>955</v>
      </c>
      <c r="K766" s="151"/>
      <c r="L766" s="48" t="s">
        <v>956</v>
      </c>
      <c r="M766" s="27">
        <v>45163</v>
      </c>
      <c r="N766" s="105" t="s">
        <v>182</v>
      </c>
      <c r="O766" s="106">
        <v>11700</v>
      </c>
      <c r="P766" s="106">
        <v>1</v>
      </c>
      <c r="Q766" s="51">
        <f t="shared" si="21"/>
        <v>11700</v>
      </c>
      <c r="R766" s="31">
        <v>202310</v>
      </c>
      <c r="S766" s="153" t="s">
        <v>1011</v>
      </c>
      <c r="T766" s="152"/>
      <c r="U766" s="54"/>
      <c r="V766" s="54"/>
      <c r="W766" s="67"/>
      <c r="X766" s="67"/>
      <c r="Y766" s="36">
        <v>44211</v>
      </c>
      <c r="Z766" s="36">
        <v>46401</v>
      </c>
      <c r="AA766" s="36"/>
      <c r="AB766" s="36"/>
      <c r="AC766" s="36"/>
      <c r="AD766" s="36"/>
      <c r="AE766" s="36"/>
      <c r="AF766" s="53" t="s">
        <v>68</v>
      </c>
      <c r="AG766" s="42"/>
      <c r="AH766" s="42"/>
      <c r="AI766" s="43"/>
      <c r="AJ766" s="43"/>
      <c r="AK766" s="43"/>
      <c r="AL766" s="43"/>
      <c r="AM766" s="43"/>
      <c r="AN766" s="42"/>
      <c r="AO766" s="42"/>
      <c r="AP766" s="42"/>
      <c r="AQ766" s="43"/>
      <c r="AR766" s="42"/>
      <c r="AS766" s="42"/>
    </row>
    <row r="767" spans="1:45" ht="15" customHeight="1">
      <c r="A767" s="21" t="s">
        <v>260</v>
      </c>
      <c r="B767" s="21" t="s">
        <v>46</v>
      </c>
      <c r="C767" s="21" t="s">
        <v>188</v>
      </c>
      <c r="D767" s="21" t="s">
        <v>48</v>
      </c>
      <c r="E767" s="80" t="s">
        <v>919</v>
      </c>
      <c r="F767" s="21" t="s">
        <v>953</v>
      </c>
      <c r="G767" s="101" t="s">
        <v>77</v>
      </c>
      <c r="H767" s="25" t="s">
        <v>954</v>
      </c>
      <c r="I767" s="102" t="s">
        <v>78</v>
      </c>
      <c r="J767" s="65" t="s">
        <v>955</v>
      </c>
      <c r="K767" s="151"/>
      <c r="L767" s="48" t="s">
        <v>956</v>
      </c>
      <c r="M767" s="27">
        <v>45212</v>
      </c>
      <c r="N767" s="105" t="s">
        <v>182</v>
      </c>
      <c r="O767" s="106">
        <v>11700</v>
      </c>
      <c r="P767" s="106">
        <v>6</v>
      </c>
      <c r="Q767" s="51">
        <f>ROUND(O767*P767*19/31,2)</f>
        <v>43025.81</v>
      </c>
      <c r="R767" s="31">
        <v>202310</v>
      </c>
      <c r="S767" s="153" t="s">
        <v>1012</v>
      </c>
      <c r="T767" s="152"/>
      <c r="U767" s="54"/>
      <c r="V767" s="54"/>
      <c r="W767" s="67"/>
      <c r="X767" s="67"/>
      <c r="Y767" s="36">
        <v>44211</v>
      </c>
      <c r="Z767" s="36">
        <v>46401</v>
      </c>
      <c r="AA767" s="36"/>
      <c r="AB767" s="36"/>
      <c r="AC767" s="36"/>
      <c r="AD767" s="36"/>
      <c r="AE767" s="36"/>
      <c r="AF767" s="53" t="s">
        <v>68</v>
      </c>
      <c r="AG767" s="42"/>
      <c r="AH767" s="42"/>
      <c r="AI767" s="43"/>
      <c r="AJ767" s="43"/>
      <c r="AK767" s="43"/>
      <c r="AL767" s="43"/>
      <c r="AM767" s="43"/>
      <c r="AN767" s="42"/>
      <c r="AO767" s="42"/>
      <c r="AP767" s="42"/>
      <c r="AQ767" s="43"/>
      <c r="AR767" s="42"/>
      <c r="AS767" s="42"/>
    </row>
    <row r="768" spans="1:45" ht="15" customHeight="1">
      <c r="A768" s="21" t="s">
        <v>260</v>
      </c>
      <c r="B768" s="21" t="s">
        <v>46</v>
      </c>
      <c r="C768" s="21" t="s">
        <v>188</v>
      </c>
      <c r="D768" s="21" t="s">
        <v>48</v>
      </c>
      <c r="E768" s="80" t="s">
        <v>919</v>
      </c>
      <c r="F768" s="21" t="s">
        <v>953</v>
      </c>
      <c r="G768" s="101" t="s">
        <v>77</v>
      </c>
      <c r="H768" s="25" t="s">
        <v>954</v>
      </c>
      <c r="I768" s="102" t="s">
        <v>78</v>
      </c>
      <c r="J768" s="65" t="s">
        <v>955</v>
      </c>
      <c r="K768" s="151"/>
      <c r="L768" s="48" t="s">
        <v>956</v>
      </c>
      <c r="M768" s="27">
        <v>45215</v>
      </c>
      <c r="N768" s="105" t="s">
        <v>182</v>
      </c>
      <c r="O768" s="106">
        <v>11700</v>
      </c>
      <c r="P768" s="106">
        <v>8</v>
      </c>
      <c r="Q768" s="51">
        <f>ROUND(O768*P768*16/31,2)</f>
        <v>48309.68</v>
      </c>
      <c r="R768" s="31">
        <v>202310</v>
      </c>
      <c r="S768" s="153" t="s">
        <v>1013</v>
      </c>
      <c r="T768" s="152"/>
      <c r="U768" s="54"/>
      <c r="V768" s="54"/>
      <c r="W768" s="67"/>
      <c r="X768" s="67"/>
      <c r="Y768" s="36">
        <v>44211</v>
      </c>
      <c r="Z768" s="36">
        <v>46401</v>
      </c>
      <c r="AA768" s="36"/>
      <c r="AB768" s="36"/>
      <c r="AC768" s="36"/>
      <c r="AD768" s="36"/>
      <c r="AE768" s="36"/>
      <c r="AF768" s="53" t="s">
        <v>68</v>
      </c>
      <c r="AG768" s="42"/>
      <c r="AH768" s="42"/>
      <c r="AI768" s="43"/>
      <c r="AJ768" s="43"/>
      <c r="AK768" s="43"/>
      <c r="AL768" s="43"/>
      <c r="AM768" s="43"/>
      <c r="AN768" s="42"/>
      <c r="AO768" s="42"/>
      <c r="AP768" s="42"/>
      <c r="AQ768" s="43"/>
      <c r="AR768" s="42"/>
      <c r="AS768" s="42"/>
    </row>
    <row r="769" spans="1:45" ht="15" customHeight="1">
      <c r="A769" s="21" t="s">
        <v>260</v>
      </c>
      <c r="B769" s="21" t="s">
        <v>46</v>
      </c>
      <c r="C769" s="21" t="s">
        <v>188</v>
      </c>
      <c r="D769" s="21" t="s">
        <v>48</v>
      </c>
      <c r="E769" s="80" t="s">
        <v>919</v>
      </c>
      <c r="F769" s="21" t="s">
        <v>920</v>
      </c>
      <c r="G769" s="101" t="s">
        <v>77</v>
      </c>
      <c r="H769" s="25" t="s">
        <v>1014</v>
      </c>
      <c r="I769" s="102" t="s">
        <v>78</v>
      </c>
      <c r="J769" s="65" t="s">
        <v>1015</v>
      </c>
      <c r="K769" s="104"/>
      <c r="L769" s="48" t="s">
        <v>923</v>
      </c>
      <c r="M769" s="27">
        <v>44331</v>
      </c>
      <c r="N769" s="105" t="s">
        <v>177</v>
      </c>
      <c r="O769" s="106">
        <v>5900</v>
      </c>
      <c r="P769" s="106">
        <v>6</v>
      </c>
      <c r="Q769" s="51">
        <f t="shared" si="20"/>
        <v>35400</v>
      </c>
      <c r="R769" s="31">
        <v>202310</v>
      </c>
      <c r="S769" s="54" t="s">
        <v>1016</v>
      </c>
      <c r="T769" s="54"/>
      <c r="U769" s="54"/>
      <c r="V769" s="54"/>
      <c r="W769" s="67"/>
      <c r="X769" s="67"/>
      <c r="Y769" s="36">
        <v>44301</v>
      </c>
      <c r="Z769" s="36">
        <v>46491</v>
      </c>
      <c r="AA769" s="36"/>
      <c r="AB769" s="36"/>
      <c r="AC769" s="36"/>
      <c r="AD769" s="36"/>
      <c r="AE769" s="36"/>
      <c r="AF769" s="53" t="s">
        <v>68</v>
      </c>
      <c r="AG769" s="42"/>
      <c r="AH769" s="42"/>
      <c r="AI769" s="43"/>
      <c r="AJ769" s="43"/>
      <c r="AK769" s="43"/>
      <c r="AL769" s="43"/>
      <c r="AM769" s="43"/>
      <c r="AN769" s="42"/>
      <c r="AO769" s="42"/>
      <c r="AP769" s="42"/>
      <c r="AQ769" s="43"/>
      <c r="AR769" s="42"/>
      <c r="AS769" s="42"/>
    </row>
    <row r="770" spans="1:45" ht="15" customHeight="1">
      <c r="A770" s="21" t="s">
        <v>260</v>
      </c>
      <c r="B770" s="21" t="s">
        <v>46</v>
      </c>
      <c r="C770" s="21" t="s">
        <v>188</v>
      </c>
      <c r="D770" s="21" t="s">
        <v>48</v>
      </c>
      <c r="E770" s="80" t="s">
        <v>919</v>
      </c>
      <c r="F770" s="21" t="s">
        <v>920</v>
      </c>
      <c r="G770" s="101" t="s">
        <v>77</v>
      </c>
      <c r="H770" s="25" t="s">
        <v>1014</v>
      </c>
      <c r="I770" s="102" t="s">
        <v>78</v>
      </c>
      <c r="J770" s="65" t="s">
        <v>1015</v>
      </c>
      <c r="K770" s="104"/>
      <c r="L770" s="48" t="s">
        <v>923</v>
      </c>
      <c r="M770" s="27">
        <v>44331</v>
      </c>
      <c r="N770" s="105" t="s">
        <v>182</v>
      </c>
      <c r="O770" s="106">
        <v>8595</v>
      </c>
      <c r="P770" s="106">
        <v>367</v>
      </c>
      <c r="Q770" s="51">
        <f t="shared" si="20"/>
        <v>3154365</v>
      </c>
      <c r="R770" s="31">
        <v>202310</v>
      </c>
      <c r="S770" s="54" t="s">
        <v>1017</v>
      </c>
      <c r="T770" s="54"/>
      <c r="U770" s="54"/>
      <c r="V770" s="54"/>
      <c r="W770" s="67"/>
      <c r="X770" s="67"/>
      <c r="Y770" s="36">
        <v>44301</v>
      </c>
      <c r="Z770" s="36">
        <v>46491</v>
      </c>
      <c r="AA770" s="36"/>
      <c r="AB770" s="36"/>
      <c r="AC770" s="36"/>
      <c r="AD770" s="36"/>
      <c r="AE770" s="36"/>
      <c r="AF770" s="53" t="s">
        <v>68</v>
      </c>
      <c r="AG770" s="42"/>
      <c r="AH770" s="42"/>
      <c r="AI770" s="43"/>
      <c r="AJ770" s="43"/>
      <c r="AK770" s="43"/>
      <c r="AL770" s="43"/>
      <c r="AM770" s="43"/>
      <c r="AN770" s="42"/>
      <c r="AO770" s="42"/>
      <c r="AP770" s="42"/>
      <c r="AQ770" s="43"/>
      <c r="AR770" s="42"/>
      <c r="AS770" s="42"/>
    </row>
    <row r="771" spans="1:45" ht="15" customHeight="1">
      <c r="A771" s="21" t="s">
        <v>260</v>
      </c>
      <c r="B771" s="21" t="s">
        <v>46</v>
      </c>
      <c r="C771" s="21" t="s">
        <v>188</v>
      </c>
      <c r="D771" s="21" t="s">
        <v>48</v>
      </c>
      <c r="E771" s="80" t="s">
        <v>919</v>
      </c>
      <c r="F771" s="21" t="s">
        <v>920</v>
      </c>
      <c r="G771" s="101" t="s">
        <v>77</v>
      </c>
      <c r="H771" s="25" t="s">
        <v>1014</v>
      </c>
      <c r="I771" s="102" t="s">
        <v>78</v>
      </c>
      <c r="J771" s="65" t="s">
        <v>1015</v>
      </c>
      <c r="K771" s="104"/>
      <c r="L771" s="48" t="s">
        <v>923</v>
      </c>
      <c r="M771" s="27">
        <v>44331</v>
      </c>
      <c r="N771" s="105" t="s">
        <v>182</v>
      </c>
      <c r="O771" s="106">
        <v>8595</v>
      </c>
      <c r="P771" s="106">
        <v>170</v>
      </c>
      <c r="Q771" s="51">
        <f t="shared" si="20"/>
        <v>1461150</v>
      </c>
      <c r="R771" s="31">
        <v>202310</v>
      </c>
      <c r="S771" s="54" t="s">
        <v>1018</v>
      </c>
      <c r="T771" s="54"/>
      <c r="U771" s="54"/>
      <c r="V771" s="54"/>
      <c r="W771" s="67"/>
      <c r="X771" s="67"/>
      <c r="Y771" s="36">
        <v>44301</v>
      </c>
      <c r="Z771" s="36">
        <v>46491</v>
      </c>
      <c r="AA771" s="36"/>
      <c r="AB771" s="36"/>
      <c r="AC771" s="36"/>
      <c r="AD771" s="36"/>
      <c r="AE771" s="36"/>
      <c r="AF771" s="53" t="s">
        <v>68</v>
      </c>
      <c r="AG771" s="42"/>
      <c r="AH771" s="42"/>
      <c r="AI771" s="43"/>
      <c r="AJ771" s="43"/>
      <c r="AK771" s="43"/>
      <c r="AL771" s="43"/>
      <c r="AM771" s="43"/>
      <c r="AN771" s="42"/>
      <c r="AO771" s="42"/>
      <c r="AP771" s="42"/>
      <c r="AQ771" s="43"/>
      <c r="AR771" s="42"/>
      <c r="AS771" s="42"/>
    </row>
    <row r="772" spans="1:45" ht="15" customHeight="1">
      <c r="A772" s="21" t="s">
        <v>260</v>
      </c>
      <c r="B772" s="21" t="s">
        <v>46</v>
      </c>
      <c r="C772" s="21" t="s">
        <v>188</v>
      </c>
      <c r="D772" s="21" t="s">
        <v>48</v>
      </c>
      <c r="E772" s="80" t="s">
        <v>919</v>
      </c>
      <c r="F772" s="21" t="s">
        <v>920</v>
      </c>
      <c r="G772" s="101" t="s">
        <v>77</v>
      </c>
      <c r="H772" s="25" t="s">
        <v>1014</v>
      </c>
      <c r="I772" s="102" t="s">
        <v>78</v>
      </c>
      <c r="J772" s="65" t="s">
        <v>1015</v>
      </c>
      <c r="K772" s="104"/>
      <c r="L772" s="48" t="s">
        <v>923</v>
      </c>
      <c r="M772" s="27">
        <v>44335</v>
      </c>
      <c r="N772" s="105" t="s">
        <v>182</v>
      </c>
      <c r="O772" s="106">
        <v>8595</v>
      </c>
      <c r="P772" s="106">
        <v>4</v>
      </c>
      <c r="Q772" s="51">
        <f t="shared" si="20"/>
        <v>34380</v>
      </c>
      <c r="R772" s="31">
        <v>202310</v>
      </c>
      <c r="S772" s="54" t="s">
        <v>1019</v>
      </c>
      <c r="T772" s="54"/>
      <c r="U772" s="54"/>
      <c r="V772" s="54"/>
      <c r="W772" s="67"/>
      <c r="X772" s="67"/>
      <c r="Y772" s="36">
        <v>44301</v>
      </c>
      <c r="Z772" s="36">
        <v>46491</v>
      </c>
      <c r="AA772" s="36"/>
      <c r="AB772" s="36"/>
      <c r="AC772" s="36"/>
      <c r="AD772" s="36"/>
      <c r="AE772" s="36"/>
      <c r="AF772" s="53" t="s">
        <v>68</v>
      </c>
      <c r="AG772" s="42"/>
      <c r="AH772" s="42"/>
      <c r="AI772" s="43"/>
      <c r="AJ772" s="43"/>
      <c r="AK772" s="43"/>
      <c r="AL772" s="43"/>
      <c r="AM772" s="43"/>
      <c r="AN772" s="42"/>
      <c r="AO772" s="42"/>
      <c r="AP772" s="42"/>
      <c r="AQ772" s="43"/>
      <c r="AR772" s="42"/>
      <c r="AS772" s="42"/>
    </row>
    <row r="773" spans="1:45" ht="15" customHeight="1">
      <c r="A773" s="21" t="s">
        <v>260</v>
      </c>
      <c r="B773" s="21" t="s">
        <v>46</v>
      </c>
      <c r="C773" s="21" t="s">
        <v>188</v>
      </c>
      <c r="D773" s="21" t="s">
        <v>48</v>
      </c>
      <c r="E773" s="80" t="s">
        <v>919</v>
      </c>
      <c r="F773" s="21" t="s">
        <v>920</v>
      </c>
      <c r="G773" s="101" t="s">
        <v>77</v>
      </c>
      <c r="H773" s="25" t="s">
        <v>1014</v>
      </c>
      <c r="I773" s="102" t="s">
        <v>78</v>
      </c>
      <c r="J773" s="65" t="s">
        <v>1015</v>
      </c>
      <c r="K773" s="104"/>
      <c r="L773" s="48" t="s">
        <v>923</v>
      </c>
      <c r="M773" s="27">
        <v>44336</v>
      </c>
      <c r="N773" s="105" t="s">
        <v>182</v>
      </c>
      <c r="O773" s="106">
        <v>8595</v>
      </c>
      <c r="P773" s="106">
        <v>6</v>
      </c>
      <c r="Q773" s="51">
        <f t="shared" si="20"/>
        <v>51570</v>
      </c>
      <c r="R773" s="31">
        <v>202310</v>
      </c>
      <c r="S773" s="54" t="s">
        <v>1020</v>
      </c>
      <c r="T773" s="54"/>
      <c r="U773" s="54"/>
      <c r="V773" s="54"/>
      <c r="W773" s="67"/>
      <c r="X773" s="67"/>
      <c r="Y773" s="36">
        <v>44301</v>
      </c>
      <c r="Z773" s="36">
        <v>46491</v>
      </c>
      <c r="AA773" s="36"/>
      <c r="AB773" s="36"/>
      <c r="AC773" s="36"/>
      <c r="AD773" s="36"/>
      <c r="AE773" s="36"/>
      <c r="AF773" s="53" t="s">
        <v>68</v>
      </c>
      <c r="AG773" s="42"/>
      <c r="AH773" s="42"/>
      <c r="AI773" s="43"/>
      <c r="AJ773" s="43"/>
      <c r="AK773" s="43"/>
      <c r="AL773" s="43"/>
      <c r="AM773" s="43"/>
      <c r="AN773" s="42"/>
      <c r="AO773" s="42"/>
      <c r="AP773" s="42"/>
      <c r="AQ773" s="43"/>
      <c r="AR773" s="42"/>
      <c r="AS773" s="42"/>
    </row>
    <row r="774" spans="1:45" ht="15" customHeight="1">
      <c r="A774" s="21" t="s">
        <v>260</v>
      </c>
      <c r="B774" s="21" t="s">
        <v>46</v>
      </c>
      <c r="C774" s="21" t="s">
        <v>188</v>
      </c>
      <c r="D774" s="21" t="s">
        <v>48</v>
      </c>
      <c r="E774" s="80" t="s">
        <v>919</v>
      </c>
      <c r="F774" s="21" t="s">
        <v>920</v>
      </c>
      <c r="G774" s="101" t="s">
        <v>77</v>
      </c>
      <c r="H774" s="25" t="s">
        <v>1014</v>
      </c>
      <c r="I774" s="102" t="s">
        <v>78</v>
      </c>
      <c r="J774" s="65" t="s">
        <v>1015</v>
      </c>
      <c r="K774" s="104"/>
      <c r="L774" s="48" t="s">
        <v>923</v>
      </c>
      <c r="M774" s="27">
        <v>44340</v>
      </c>
      <c r="N774" s="105" t="s">
        <v>182</v>
      </c>
      <c r="O774" s="106">
        <v>8595</v>
      </c>
      <c r="P774" s="106">
        <v>2</v>
      </c>
      <c r="Q774" s="51">
        <f t="shared" si="20"/>
        <v>17190</v>
      </c>
      <c r="R774" s="31">
        <v>202310</v>
      </c>
      <c r="S774" s="54" t="s">
        <v>1021</v>
      </c>
      <c r="T774" s="54"/>
      <c r="U774" s="54"/>
      <c r="V774" s="54"/>
      <c r="W774" s="67"/>
      <c r="X774" s="67"/>
      <c r="Y774" s="36">
        <v>44301</v>
      </c>
      <c r="Z774" s="36">
        <v>46491</v>
      </c>
      <c r="AA774" s="36"/>
      <c r="AB774" s="36"/>
      <c r="AC774" s="36"/>
      <c r="AD774" s="36"/>
      <c r="AE774" s="36"/>
      <c r="AF774" s="53" t="s">
        <v>68</v>
      </c>
      <c r="AG774" s="42"/>
      <c r="AH774" s="42"/>
      <c r="AI774" s="43"/>
      <c r="AJ774" s="43"/>
      <c r="AK774" s="43"/>
      <c r="AL774" s="43"/>
      <c r="AM774" s="43"/>
      <c r="AN774" s="42"/>
      <c r="AO774" s="42"/>
      <c r="AP774" s="42"/>
      <c r="AQ774" s="43"/>
      <c r="AR774" s="42"/>
      <c r="AS774" s="42"/>
    </row>
    <row r="775" spans="1:45" ht="15" customHeight="1">
      <c r="A775" s="21" t="s">
        <v>260</v>
      </c>
      <c r="B775" s="21" t="s">
        <v>46</v>
      </c>
      <c r="C775" s="21" t="s">
        <v>188</v>
      </c>
      <c r="D775" s="21" t="s">
        <v>48</v>
      </c>
      <c r="E775" s="80" t="s">
        <v>919</v>
      </c>
      <c r="F775" s="21" t="s">
        <v>920</v>
      </c>
      <c r="G775" s="101" t="s">
        <v>77</v>
      </c>
      <c r="H775" s="25" t="s">
        <v>1014</v>
      </c>
      <c r="I775" s="102" t="s">
        <v>78</v>
      </c>
      <c r="J775" s="65" t="s">
        <v>1015</v>
      </c>
      <c r="K775" s="104"/>
      <c r="L775" s="48" t="s">
        <v>923</v>
      </c>
      <c r="M775" s="27">
        <v>44341</v>
      </c>
      <c r="N775" s="105" t="s">
        <v>182</v>
      </c>
      <c r="O775" s="106">
        <v>8595</v>
      </c>
      <c r="P775" s="106">
        <v>6</v>
      </c>
      <c r="Q775" s="51">
        <f t="shared" si="20"/>
        <v>51570</v>
      </c>
      <c r="R775" s="31">
        <v>202310</v>
      </c>
      <c r="S775" s="54" t="s">
        <v>1022</v>
      </c>
      <c r="T775" s="54"/>
      <c r="U775" s="54"/>
      <c r="V775" s="54"/>
      <c r="W775" s="67"/>
      <c r="X775" s="67"/>
      <c r="Y775" s="36">
        <v>44301</v>
      </c>
      <c r="Z775" s="36">
        <v>46491</v>
      </c>
      <c r="AA775" s="36"/>
      <c r="AB775" s="36"/>
      <c r="AC775" s="36"/>
      <c r="AD775" s="36"/>
      <c r="AE775" s="36"/>
      <c r="AF775" s="53" t="s">
        <v>68</v>
      </c>
      <c r="AG775" s="42"/>
      <c r="AH775" s="42"/>
      <c r="AI775" s="43"/>
      <c r="AJ775" s="43"/>
      <c r="AK775" s="43"/>
      <c r="AL775" s="43"/>
      <c r="AM775" s="43"/>
      <c r="AN775" s="42"/>
      <c r="AO775" s="42"/>
      <c r="AP775" s="42"/>
      <c r="AQ775" s="43"/>
      <c r="AR775" s="42"/>
      <c r="AS775" s="42"/>
    </row>
    <row r="776" spans="1:45" ht="15" customHeight="1">
      <c r="A776" s="21" t="s">
        <v>260</v>
      </c>
      <c r="B776" s="21" t="s">
        <v>46</v>
      </c>
      <c r="C776" s="21" t="s">
        <v>188</v>
      </c>
      <c r="D776" s="21" t="s">
        <v>48</v>
      </c>
      <c r="E776" s="80" t="s">
        <v>919</v>
      </c>
      <c r="F776" s="21" t="s">
        <v>920</v>
      </c>
      <c r="G776" s="101" t="s">
        <v>77</v>
      </c>
      <c r="H776" s="25" t="s">
        <v>1014</v>
      </c>
      <c r="I776" s="102" t="s">
        <v>78</v>
      </c>
      <c r="J776" s="65" t="s">
        <v>1015</v>
      </c>
      <c r="K776" s="104"/>
      <c r="L776" s="48" t="s">
        <v>923</v>
      </c>
      <c r="M776" s="27">
        <v>44343</v>
      </c>
      <c r="N776" s="105" t="s">
        <v>182</v>
      </c>
      <c r="O776" s="106">
        <v>8595</v>
      </c>
      <c r="P776" s="106">
        <v>16</v>
      </c>
      <c r="Q776" s="51">
        <f t="shared" si="20"/>
        <v>137520</v>
      </c>
      <c r="R776" s="31">
        <v>202310</v>
      </c>
      <c r="S776" s="54" t="s">
        <v>1023</v>
      </c>
      <c r="T776" s="54"/>
      <c r="U776" s="54"/>
      <c r="V776" s="54"/>
      <c r="W776" s="67"/>
      <c r="X776" s="67"/>
      <c r="Y776" s="36">
        <v>44301</v>
      </c>
      <c r="Z776" s="36">
        <v>46491</v>
      </c>
      <c r="AA776" s="36"/>
      <c r="AB776" s="36"/>
      <c r="AC776" s="36"/>
      <c r="AD776" s="36"/>
      <c r="AE776" s="36"/>
      <c r="AF776" s="53" t="s">
        <v>68</v>
      </c>
      <c r="AG776" s="42"/>
      <c r="AH776" s="42"/>
      <c r="AI776" s="43"/>
      <c r="AJ776" s="43"/>
      <c r="AK776" s="43"/>
      <c r="AL776" s="43"/>
      <c r="AM776" s="43"/>
      <c r="AN776" s="42"/>
      <c r="AO776" s="42"/>
      <c r="AP776" s="42"/>
      <c r="AQ776" s="43"/>
      <c r="AR776" s="42"/>
      <c r="AS776" s="42"/>
    </row>
    <row r="777" spans="1:45" ht="15" customHeight="1">
      <c r="A777" s="21" t="s">
        <v>260</v>
      </c>
      <c r="B777" s="21" t="s">
        <v>46</v>
      </c>
      <c r="C777" s="21" t="s">
        <v>188</v>
      </c>
      <c r="D777" s="21" t="s">
        <v>48</v>
      </c>
      <c r="E777" s="80" t="s">
        <v>919</v>
      </c>
      <c r="F777" s="21" t="s">
        <v>920</v>
      </c>
      <c r="G777" s="101" t="s">
        <v>77</v>
      </c>
      <c r="H777" s="25" t="s">
        <v>1014</v>
      </c>
      <c r="I777" s="102" t="s">
        <v>78</v>
      </c>
      <c r="J777" s="65" t="s">
        <v>1015</v>
      </c>
      <c r="K777" s="104"/>
      <c r="L777" s="48" t="s">
        <v>923</v>
      </c>
      <c r="M777" s="27">
        <v>44344</v>
      </c>
      <c r="N777" s="105" t="s">
        <v>182</v>
      </c>
      <c r="O777" s="106">
        <v>8595</v>
      </c>
      <c r="P777" s="106">
        <v>9</v>
      </c>
      <c r="Q777" s="51">
        <f t="shared" si="20"/>
        <v>77355</v>
      </c>
      <c r="R777" s="31">
        <v>202310</v>
      </c>
      <c r="S777" s="54" t="s">
        <v>1024</v>
      </c>
      <c r="T777" s="54"/>
      <c r="U777" s="54"/>
      <c r="V777" s="54"/>
      <c r="W777" s="67"/>
      <c r="X777" s="67"/>
      <c r="Y777" s="36">
        <v>44301</v>
      </c>
      <c r="Z777" s="36">
        <v>46491</v>
      </c>
      <c r="AA777" s="36"/>
      <c r="AB777" s="36"/>
      <c r="AC777" s="36"/>
      <c r="AD777" s="36"/>
      <c r="AE777" s="36"/>
      <c r="AF777" s="53" t="s">
        <v>68</v>
      </c>
      <c r="AG777" s="42"/>
      <c r="AH777" s="42"/>
      <c r="AI777" s="43"/>
      <c r="AJ777" s="43"/>
      <c r="AK777" s="43"/>
      <c r="AL777" s="43"/>
      <c r="AM777" s="43"/>
      <c r="AN777" s="42"/>
      <c r="AO777" s="42"/>
      <c r="AP777" s="42"/>
      <c r="AQ777" s="43"/>
      <c r="AR777" s="42"/>
      <c r="AS777" s="42"/>
    </row>
    <row r="778" spans="1:45" ht="15" customHeight="1">
      <c r="A778" s="21" t="s">
        <v>260</v>
      </c>
      <c r="B778" s="21" t="s">
        <v>46</v>
      </c>
      <c r="C778" s="21" t="s">
        <v>188</v>
      </c>
      <c r="D778" s="21" t="s">
        <v>48</v>
      </c>
      <c r="E778" s="80" t="s">
        <v>919</v>
      </c>
      <c r="F778" s="21" t="s">
        <v>920</v>
      </c>
      <c r="G778" s="101" t="s">
        <v>77</v>
      </c>
      <c r="H778" s="25" t="s">
        <v>1014</v>
      </c>
      <c r="I778" s="102" t="s">
        <v>78</v>
      </c>
      <c r="J778" s="65" t="s">
        <v>1015</v>
      </c>
      <c r="K778" s="104"/>
      <c r="L778" s="48" t="s">
        <v>923</v>
      </c>
      <c r="M778" s="27">
        <v>44347</v>
      </c>
      <c r="N778" s="105" t="s">
        <v>182</v>
      </c>
      <c r="O778" s="106">
        <v>8595</v>
      </c>
      <c r="P778" s="106">
        <v>2</v>
      </c>
      <c r="Q778" s="51">
        <f t="shared" si="20"/>
        <v>17190</v>
      </c>
      <c r="R778" s="31">
        <v>202310</v>
      </c>
      <c r="S778" s="54" t="s">
        <v>1025</v>
      </c>
      <c r="T778" s="54"/>
      <c r="U778" s="54"/>
      <c r="V778" s="54"/>
      <c r="W778" s="67"/>
      <c r="X778" s="67"/>
      <c r="Y778" s="36">
        <v>44301</v>
      </c>
      <c r="Z778" s="36">
        <v>46491</v>
      </c>
      <c r="AA778" s="36"/>
      <c r="AB778" s="36"/>
      <c r="AC778" s="36"/>
      <c r="AD778" s="36"/>
      <c r="AE778" s="36"/>
      <c r="AF778" s="53" t="s">
        <v>68</v>
      </c>
      <c r="AG778" s="42"/>
      <c r="AH778" s="42"/>
      <c r="AI778" s="43"/>
      <c r="AJ778" s="43"/>
      <c r="AK778" s="43"/>
      <c r="AL778" s="43"/>
      <c r="AM778" s="43"/>
      <c r="AN778" s="42"/>
      <c r="AO778" s="42"/>
      <c r="AP778" s="42"/>
      <c r="AQ778" s="43"/>
      <c r="AR778" s="42"/>
      <c r="AS778" s="42"/>
    </row>
    <row r="779" spans="1:45" ht="15" customHeight="1">
      <c r="A779" s="21" t="s">
        <v>260</v>
      </c>
      <c r="B779" s="21" t="s">
        <v>46</v>
      </c>
      <c r="C779" s="21" t="s">
        <v>188</v>
      </c>
      <c r="D779" s="21" t="s">
        <v>48</v>
      </c>
      <c r="E779" s="80" t="s">
        <v>919</v>
      </c>
      <c r="F779" s="21" t="s">
        <v>920</v>
      </c>
      <c r="G779" s="101" t="s">
        <v>77</v>
      </c>
      <c r="H779" s="25" t="s">
        <v>1014</v>
      </c>
      <c r="I779" s="102" t="s">
        <v>78</v>
      </c>
      <c r="J779" s="65" t="s">
        <v>1015</v>
      </c>
      <c r="K779" s="104"/>
      <c r="L779" s="48" t="s">
        <v>923</v>
      </c>
      <c r="M779" s="27">
        <v>44344</v>
      </c>
      <c r="N779" s="105" t="s">
        <v>182</v>
      </c>
      <c r="O779" s="106">
        <v>8595</v>
      </c>
      <c r="P779" s="106">
        <v>3</v>
      </c>
      <c r="Q779" s="51">
        <f t="shared" si="20"/>
        <v>25785</v>
      </c>
      <c r="R779" s="31">
        <v>202310</v>
      </c>
      <c r="S779" s="54" t="s">
        <v>1026</v>
      </c>
      <c r="T779" s="54"/>
      <c r="U779" s="54"/>
      <c r="V779" s="54"/>
      <c r="W779" s="67"/>
      <c r="X779" s="67"/>
      <c r="Y779" s="36">
        <v>44301</v>
      </c>
      <c r="Z779" s="36">
        <v>46491</v>
      </c>
      <c r="AA779" s="36"/>
      <c r="AB779" s="36"/>
      <c r="AC779" s="36"/>
      <c r="AD779" s="36"/>
      <c r="AE779" s="36"/>
      <c r="AF779" s="53" t="s">
        <v>68</v>
      </c>
      <c r="AG779" s="42"/>
      <c r="AH779" s="42"/>
      <c r="AI779" s="43"/>
      <c r="AJ779" s="43"/>
      <c r="AK779" s="43"/>
      <c r="AL779" s="43"/>
      <c r="AM779" s="43"/>
      <c r="AN779" s="42"/>
      <c r="AO779" s="42"/>
      <c r="AP779" s="42"/>
      <c r="AQ779" s="43"/>
      <c r="AR779" s="42"/>
      <c r="AS779" s="42"/>
    </row>
    <row r="780" spans="1:45" ht="15" customHeight="1">
      <c r="A780" s="21" t="s">
        <v>260</v>
      </c>
      <c r="B780" s="21" t="s">
        <v>46</v>
      </c>
      <c r="C780" s="21" t="s">
        <v>188</v>
      </c>
      <c r="D780" s="21" t="s">
        <v>48</v>
      </c>
      <c r="E780" s="80" t="s">
        <v>919</v>
      </c>
      <c r="F780" s="21" t="s">
        <v>920</v>
      </c>
      <c r="G780" s="101" t="s">
        <v>77</v>
      </c>
      <c r="H780" s="25" t="s">
        <v>1014</v>
      </c>
      <c r="I780" s="102" t="s">
        <v>78</v>
      </c>
      <c r="J780" s="65" t="s">
        <v>1015</v>
      </c>
      <c r="K780" s="104"/>
      <c r="L780" s="48" t="s">
        <v>923</v>
      </c>
      <c r="M780" s="27">
        <v>44345</v>
      </c>
      <c r="N780" s="105" t="s">
        <v>182</v>
      </c>
      <c r="O780" s="106">
        <v>8595</v>
      </c>
      <c r="P780" s="106">
        <v>1</v>
      </c>
      <c r="Q780" s="51">
        <f t="shared" si="20"/>
        <v>8595</v>
      </c>
      <c r="R780" s="31">
        <v>202310</v>
      </c>
      <c r="S780" s="54" t="s">
        <v>1027</v>
      </c>
      <c r="T780" s="54"/>
      <c r="U780" s="54"/>
      <c r="V780" s="54"/>
      <c r="W780" s="67"/>
      <c r="X780" s="67"/>
      <c r="Y780" s="36">
        <v>44301</v>
      </c>
      <c r="Z780" s="36">
        <v>46491</v>
      </c>
      <c r="AA780" s="36"/>
      <c r="AB780" s="36"/>
      <c r="AC780" s="36"/>
      <c r="AD780" s="36"/>
      <c r="AE780" s="36"/>
      <c r="AF780" s="53" t="s">
        <v>68</v>
      </c>
      <c r="AG780" s="42"/>
      <c r="AH780" s="42"/>
      <c r="AI780" s="43"/>
      <c r="AJ780" s="43"/>
      <c r="AK780" s="43"/>
      <c r="AL780" s="43"/>
      <c r="AM780" s="43"/>
      <c r="AN780" s="42"/>
      <c r="AO780" s="42"/>
      <c r="AP780" s="42"/>
      <c r="AQ780" s="43"/>
      <c r="AR780" s="42"/>
      <c r="AS780" s="42"/>
    </row>
    <row r="781" spans="1:45" ht="15" customHeight="1">
      <c r="A781" s="21" t="s">
        <v>260</v>
      </c>
      <c r="B781" s="21" t="s">
        <v>46</v>
      </c>
      <c r="C781" s="21" t="s">
        <v>188</v>
      </c>
      <c r="D781" s="21" t="s">
        <v>48</v>
      </c>
      <c r="E781" s="80" t="s">
        <v>919</v>
      </c>
      <c r="F781" s="21" t="s">
        <v>920</v>
      </c>
      <c r="G781" s="101" t="s">
        <v>77</v>
      </c>
      <c r="H781" s="25" t="s">
        <v>1014</v>
      </c>
      <c r="I781" s="102" t="s">
        <v>78</v>
      </c>
      <c r="J781" s="65" t="s">
        <v>1015</v>
      </c>
      <c r="K781" s="104"/>
      <c r="L781" s="48" t="s">
        <v>923</v>
      </c>
      <c r="M781" s="27">
        <v>44349</v>
      </c>
      <c r="N781" s="105" t="s">
        <v>182</v>
      </c>
      <c r="O781" s="106">
        <v>8595</v>
      </c>
      <c r="P781" s="106">
        <v>1</v>
      </c>
      <c r="Q781" s="51">
        <f t="shared" si="20"/>
        <v>8595</v>
      </c>
      <c r="R781" s="31">
        <v>202310</v>
      </c>
      <c r="S781" s="54" t="s">
        <v>1028</v>
      </c>
      <c r="T781" s="54"/>
      <c r="U781" s="54"/>
      <c r="V781" s="54"/>
      <c r="W781" s="67"/>
      <c r="X781" s="67"/>
      <c r="Y781" s="36">
        <v>44301</v>
      </c>
      <c r="Z781" s="36">
        <v>46491</v>
      </c>
      <c r="AA781" s="36"/>
      <c r="AB781" s="36"/>
      <c r="AC781" s="36"/>
      <c r="AD781" s="36"/>
      <c r="AE781" s="36"/>
      <c r="AF781" s="53" t="s">
        <v>68</v>
      </c>
      <c r="AG781" s="42"/>
      <c r="AH781" s="42"/>
      <c r="AI781" s="43"/>
      <c r="AJ781" s="43"/>
      <c r="AK781" s="43"/>
      <c r="AL781" s="43"/>
      <c r="AM781" s="43"/>
      <c r="AN781" s="42"/>
      <c r="AO781" s="42"/>
      <c r="AP781" s="42"/>
      <c r="AQ781" s="43"/>
      <c r="AR781" s="42"/>
      <c r="AS781" s="42"/>
    </row>
    <row r="782" spans="1:45" ht="15" customHeight="1">
      <c r="A782" s="21" t="s">
        <v>260</v>
      </c>
      <c r="B782" s="21" t="s">
        <v>46</v>
      </c>
      <c r="C782" s="21" t="s">
        <v>188</v>
      </c>
      <c r="D782" s="21" t="s">
        <v>48</v>
      </c>
      <c r="E782" s="80" t="s">
        <v>919</v>
      </c>
      <c r="F782" s="21" t="s">
        <v>920</v>
      </c>
      <c r="G782" s="101" t="s">
        <v>77</v>
      </c>
      <c r="H782" s="25" t="s">
        <v>1014</v>
      </c>
      <c r="I782" s="102" t="s">
        <v>78</v>
      </c>
      <c r="J782" s="65" t="s">
        <v>1015</v>
      </c>
      <c r="K782" s="104"/>
      <c r="L782" s="48" t="s">
        <v>923</v>
      </c>
      <c r="M782" s="27">
        <v>44354</v>
      </c>
      <c r="N782" s="105" t="s">
        <v>182</v>
      </c>
      <c r="O782" s="106">
        <v>8595</v>
      </c>
      <c r="P782" s="106">
        <v>13</v>
      </c>
      <c r="Q782" s="51">
        <f t="shared" si="20"/>
        <v>111735</v>
      </c>
      <c r="R782" s="31">
        <v>202310</v>
      </c>
      <c r="S782" s="54" t="s">
        <v>1029</v>
      </c>
      <c r="T782" s="122"/>
      <c r="U782" s="54"/>
      <c r="V782" s="122"/>
      <c r="W782" s="67"/>
      <c r="X782" s="67"/>
      <c r="Y782" s="36">
        <v>44301</v>
      </c>
      <c r="Z782" s="36">
        <v>46491</v>
      </c>
      <c r="AA782" s="36"/>
      <c r="AB782" s="36"/>
      <c r="AC782" s="36"/>
      <c r="AD782" s="36"/>
      <c r="AE782" s="36"/>
      <c r="AF782" s="53" t="s">
        <v>68</v>
      </c>
      <c r="AG782" s="42"/>
      <c r="AH782" s="42"/>
      <c r="AI782" s="43"/>
      <c r="AJ782" s="43"/>
      <c r="AK782" s="43"/>
      <c r="AL782" s="43"/>
      <c r="AM782" s="43"/>
      <c r="AN782" s="42"/>
      <c r="AO782" s="42"/>
      <c r="AP782" s="42"/>
      <c r="AQ782" s="43"/>
      <c r="AR782" s="42"/>
      <c r="AS782" s="42"/>
    </row>
    <row r="783" spans="1:45" ht="15" customHeight="1">
      <c r="A783" s="21" t="s">
        <v>260</v>
      </c>
      <c r="B783" s="21" t="s">
        <v>46</v>
      </c>
      <c r="C783" s="21" t="s">
        <v>188</v>
      </c>
      <c r="D783" s="21" t="s">
        <v>48</v>
      </c>
      <c r="E783" s="80" t="s">
        <v>919</v>
      </c>
      <c r="F783" s="21" t="s">
        <v>920</v>
      </c>
      <c r="G783" s="101" t="s">
        <v>77</v>
      </c>
      <c r="H783" s="25" t="s">
        <v>1014</v>
      </c>
      <c r="I783" s="102" t="s">
        <v>78</v>
      </c>
      <c r="J783" s="65" t="s">
        <v>1015</v>
      </c>
      <c r="K783" s="104"/>
      <c r="L783" s="48" t="s">
        <v>923</v>
      </c>
      <c r="M783" s="27">
        <v>44363</v>
      </c>
      <c r="N783" s="105" t="s">
        <v>182</v>
      </c>
      <c r="O783" s="106">
        <v>8595</v>
      </c>
      <c r="P783" s="106">
        <v>2</v>
      </c>
      <c r="Q783" s="51">
        <f t="shared" si="20"/>
        <v>17190</v>
      </c>
      <c r="R783" s="31">
        <v>202310</v>
      </c>
      <c r="S783" s="54" t="s">
        <v>1030</v>
      </c>
      <c r="T783" s="54"/>
      <c r="U783" s="54"/>
      <c r="V783" s="54"/>
      <c r="W783" s="67"/>
      <c r="X783" s="67"/>
      <c r="Y783" s="36">
        <v>44301</v>
      </c>
      <c r="Z783" s="36">
        <v>46491</v>
      </c>
      <c r="AA783" s="36"/>
      <c r="AB783" s="36"/>
      <c r="AC783" s="36"/>
      <c r="AD783" s="36"/>
      <c r="AE783" s="36"/>
      <c r="AF783" s="53" t="s">
        <v>68</v>
      </c>
      <c r="AG783" s="42"/>
      <c r="AH783" s="42"/>
      <c r="AI783" s="43"/>
      <c r="AJ783" s="43"/>
      <c r="AK783" s="43"/>
      <c r="AL783" s="43"/>
      <c r="AM783" s="43"/>
      <c r="AN783" s="42"/>
      <c r="AO783" s="42"/>
      <c r="AP783" s="42"/>
      <c r="AQ783" s="43"/>
      <c r="AR783" s="42"/>
      <c r="AS783" s="42"/>
    </row>
    <row r="784" spans="1:45" ht="15" customHeight="1">
      <c r="A784" s="21" t="s">
        <v>260</v>
      </c>
      <c r="B784" s="21" t="s">
        <v>46</v>
      </c>
      <c r="C784" s="21" t="s">
        <v>188</v>
      </c>
      <c r="D784" s="21" t="s">
        <v>48</v>
      </c>
      <c r="E784" s="80" t="s">
        <v>919</v>
      </c>
      <c r="F784" s="21" t="s">
        <v>920</v>
      </c>
      <c r="G784" s="101" t="s">
        <v>77</v>
      </c>
      <c r="H784" s="25" t="s">
        <v>1014</v>
      </c>
      <c r="I784" s="102" t="s">
        <v>78</v>
      </c>
      <c r="J784" s="65" t="s">
        <v>1015</v>
      </c>
      <c r="K784" s="104"/>
      <c r="L784" s="48" t="s">
        <v>923</v>
      </c>
      <c r="M784" s="27">
        <v>44365</v>
      </c>
      <c r="N784" s="105" t="s">
        <v>182</v>
      </c>
      <c r="O784" s="106">
        <v>8595</v>
      </c>
      <c r="P784" s="106">
        <v>2</v>
      </c>
      <c r="Q784" s="51">
        <f t="shared" si="20"/>
        <v>17190</v>
      </c>
      <c r="R784" s="31">
        <v>202310</v>
      </c>
      <c r="S784" s="54" t="s">
        <v>1031</v>
      </c>
      <c r="T784" s="54"/>
      <c r="U784" s="54"/>
      <c r="V784" s="54"/>
      <c r="W784" s="67"/>
      <c r="X784" s="67"/>
      <c r="Y784" s="36">
        <v>44301</v>
      </c>
      <c r="Z784" s="36">
        <v>46491</v>
      </c>
      <c r="AA784" s="36"/>
      <c r="AB784" s="36"/>
      <c r="AC784" s="36"/>
      <c r="AD784" s="36"/>
      <c r="AE784" s="36"/>
      <c r="AF784" s="53" t="s">
        <v>68</v>
      </c>
      <c r="AG784" s="42"/>
      <c r="AH784" s="42"/>
      <c r="AI784" s="43"/>
      <c r="AJ784" s="43"/>
      <c r="AK784" s="43"/>
      <c r="AL784" s="43"/>
      <c r="AM784" s="43"/>
      <c r="AN784" s="42"/>
      <c r="AO784" s="42"/>
      <c r="AP784" s="42"/>
      <c r="AQ784" s="43"/>
      <c r="AR784" s="42"/>
      <c r="AS784" s="42"/>
    </row>
    <row r="785" spans="1:45" ht="15" customHeight="1">
      <c r="A785" s="21" t="s">
        <v>260</v>
      </c>
      <c r="B785" s="21" t="s">
        <v>46</v>
      </c>
      <c r="C785" s="21" t="s">
        <v>188</v>
      </c>
      <c r="D785" s="21" t="s">
        <v>48</v>
      </c>
      <c r="E785" s="80" t="s">
        <v>919</v>
      </c>
      <c r="F785" s="21" t="s">
        <v>920</v>
      </c>
      <c r="G785" s="101" t="s">
        <v>77</v>
      </c>
      <c r="H785" s="25" t="s">
        <v>1014</v>
      </c>
      <c r="I785" s="102" t="s">
        <v>78</v>
      </c>
      <c r="J785" s="65" t="s">
        <v>1015</v>
      </c>
      <c r="K785" s="104"/>
      <c r="L785" s="48" t="s">
        <v>923</v>
      </c>
      <c r="M785" s="27">
        <v>44377</v>
      </c>
      <c r="N785" s="105" t="s">
        <v>182</v>
      </c>
      <c r="O785" s="106">
        <v>8595</v>
      </c>
      <c r="P785" s="106">
        <v>3</v>
      </c>
      <c r="Q785" s="51">
        <f t="shared" si="20"/>
        <v>25785</v>
      </c>
      <c r="R785" s="31">
        <v>202310</v>
      </c>
      <c r="S785" s="54" t="s">
        <v>1032</v>
      </c>
      <c r="T785" s="54"/>
      <c r="U785" s="54"/>
      <c r="V785" s="54"/>
      <c r="W785" s="67"/>
      <c r="X785" s="67"/>
      <c r="Y785" s="36">
        <v>44301</v>
      </c>
      <c r="Z785" s="36">
        <v>46491</v>
      </c>
      <c r="AA785" s="36"/>
      <c r="AB785" s="36"/>
      <c r="AC785" s="36"/>
      <c r="AD785" s="36"/>
      <c r="AE785" s="36"/>
      <c r="AF785" s="53" t="s">
        <v>68</v>
      </c>
      <c r="AG785" s="42"/>
      <c r="AH785" s="42"/>
      <c r="AI785" s="43"/>
      <c r="AJ785" s="43"/>
      <c r="AK785" s="43"/>
      <c r="AL785" s="43"/>
      <c r="AM785" s="43"/>
      <c r="AN785" s="42"/>
      <c r="AO785" s="42"/>
      <c r="AP785" s="42"/>
      <c r="AQ785" s="43"/>
      <c r="AR785" s="42"/>
      <c r="AS785" s="42"/>
    </row>
    <row r="786" spans="1:45" ht="15" customHeight="1">
      <c r="A786" s="21" t="s">
        <v>260</v>
      </c>
      <c r="B786" s="21" t="s">
        <v>46</v>
      </c>
      <c r="C786" s="21" t="s">
        <v>188</v>
      </c>
      <c r="D786" s="21" t="s">
        <v>48</v>
      </c>
      <c r="E786" s="80" t="s">
        <v>919</v>
      </c>
      <c r="F786" s="21" t="s">
        <v>920</v>
      </c>
      <c r="G786" s="101" t="s">
        <v>77</v>
      </c>
      <c r="H786" s="25" t="s">
        <v>1014</v>
      </c>
      <c r="I786" s="102" t="s">
        <v>78</v>
      </c>
      <c r="J786" s="65" t="s">
        <v>1015</v>
      </c>
      <c r="K786" s="104"/>
      <c r="L786" s="48" t="s">
        <v>923</v>
      </c>
      <c r="M786" s="27">
        <v>44392</v>
      </c>
      <c r="N786" s="105" t="s">
        <v>182</v>
      </c>
      <c r="O786" s="106">
        <v>8595</v>
      </c>
      <c r="P786" s="106">
        <v>3</v>
      </c>
      <c r="Q786" s="51">
        <f t="shared" si="20"/>
        <v>25785</v>
      </c>
      <c r="R786" s="31">
        <v>202310</v>
      </c>
      <c r="S786" s="54" t="s">
        <v>1033</v>
      </c>
      <c r="T786" s="54"/>
      <c r="U786" s="54"/>
      <c r="V786" s="54"/>
      <c r="W786" s="67"/>
      <c r="X786" s="67"/>
      <c r="Y786" s="36">
        <v>44301</v>
      </c>
      <c r="Z786" s="36">
        <v>46491</v>
      </c>
      <c r="AA786" s="36"/>
      <c r="AB786" s="36"/>
      <c r="AC786" s="36"/>
      <c r="AD786" s="36"/>
      <c r="AE786" s="36"/>
      <c r="AF786" s="53" t="s">
        <v>68</v>
      </c>
      <c r="AG786" s="42"/>
      <c r="AH786" s="42"/>
      <c r="AI786" s="43"/>
      <c r="AJ786" s="43"/>
      <c r="AK786" s="43"/>
      <c r="AL786" s="43"/>
      <c r="AM786" s="43"/>
      <c r="AN786" s="42"/>
      <c r="AO786" s="42"/>
      <c r="AP786" s="42"/>
      <c r="AQ786" s="43"/>
      <c r="AR786" s="42"/>
      <c r="AS786" s="42"/>
    </row>
    <row r="787" spans="1:45" ht="15" customHeight="1">
      <c r="A787" s="21" t="s">
        <v>260</v>
      </c>
      <c r="B787" s="21" t="s">
        <v>46</v>
      </c>
      <c r="C787" s="21" t="s">
        <v>188</v>
      </c>
      <c r="D787" s="21" t="s">
        <v>48</v>
      </c>
      <c r="E787" s="80" t="s">
        <v>919</v>
      </c>
      <c r="F787" s="21" t="s">
        <v>920</v>
      </c>
      <c r="G787" s="101" t="s">
        <v>77</v>
      </c>
      <c r="H787" s="25" t="s">
        <v>1014</v>
      </c>
      <c r="I787" s="102" t="s">
        <v>78</v>
      </c>
      <c r="J787" s="65" t="s">
        <v>1015</v>
      </c>
      <c r="K787" s="104"/>
      <c r="L787" s="48" t="s">
        <v>923</v>
      </c>
      <c r="M787" s="27">
        <v>44399</v>
      </c>
      <c r="N787" s="105" t="s">
        <v>182</v>
      </c>
      <c r="O787" s="106">
        <v>8595</v>
      </c>
      <c r="P787" s="106">
        <v>2</v>
      </c>
      <c r="Q787" s="51">
        <f t="shared" si="20"/>
        <v>17190</v>
      </c>
      <c r="R787" s="31">
        <v>202310</v>
      </c>
      <c r="S787" s="54" t="s">
        <v>1034</v>
      </c>
      <c r="T787" s="54"/>
      <c r="U787" s="54"/>
      <c r="V787" s="54"/>
      <c r="W787" s="67"/>
      <c r="X787" s="67"/>
      <c r="Y787" s="36">
        <v>44301</v>
      </c>
      <c r="Z787" s="36">
        <v>46491</v>
      </c>
      <c r="AA787" s="36"/>
      <c r="AB787" s="36"/>
      <c r="AC787" s="36"/>
      <c r="AD787" s="36"/>
      <c r="AE787" s="36"/>
      <c r="AF787" s="53" t="s">
        <v>68</v>
      </c>
      <c r="AG787" s="42"/>
      <c r="AH787" s="42"/>
      <c r="AI787" s="43"/>
      <c r="AJ787" s="43"/>
      <c r="AK787" s="43"/>
      <c r="AL787" s="43"/>
      <c r="AM787" s="43"/>
      <c r="AN787" s="42"/>
      <c r="AO787" s="42"/>
      <c r="AP787" s="42"/>
      <c r="AQ787" s="43"/>
      <c r="AR787" s="42"/>
      <c r="AS787" s="42"/>
    </row>
    <row r="788" spans="1:45" ht="15" customHeight="1">
      <c r="A788" s="21" t="s">
        <v>260</v>
      </c>
      <c r="B788" s="21" t="s">
        <v>46</v>
      </c>
      <c r="C788" s="21" t="s">
        <v>188</v>
      </c>
      <c r="D788" s="21" t="s">
        <v>48</v>
      </c>
      <c r="E788" s="80" t="s">
        <v>919</v>
      </c>
      <c r="F788" s="21" t="s">
        <v>920</v>
      </c>
      <c r="G788" s="101" t="s">
        <v>77</v>
      </c>
      <c r="H788" s="25" t="s">
        <v>1014</v>
      </c>
      <c r="I788" s="102" t="s">
        <v>78</v>
      </c>
      <c r="J788" s="65" t="s">
        <v>1015</v>
      </c>
      <c r="K788" s="104"/>
      <c r="L788" s="48" t="s">
        <v>923</v>
      </c>
      <c r="M788" s="27">
        <v>44866</v>
      </c>
      <c r="N788" s="105" t="s">
        <v>382</v>
      </c>
      <c r="O788" s="106">
        <v>0</v>
      </c>
      <c r="P788" s="106">
        <v>6</v>
      </c>
      <c r="Q788" s="51">
        <f t="shared" si="20"/>
        <v>0</v>
      </c>
      <c r="R788" s="31">
        <v>202310</v>
      </c>
      <c r="S788" s="54" t="s">
        <v>1035</v>
      </c>
      <c r="T788" s="54"/>
      <c r="U788" s="54"/>
      <c r="V788" s="54"/>
      <c r="W788" s="67"/>
      <c r="X788" s="67"/>
      <c r="Y788" s="36">
        <v>44301</v>
      </c>
      <c r="Z788" s="36">
        <v>46491</v>
      </c>
      <c r="AA788" s="36"/>
      <c r="AB788" s="36"/>
      <c r="AC788" s="36"/>
      <c r="AD788" s="36"/>
      <c r="AE788" s="36"/>
      <c r="AF788" s="53" t="s">
        <v>68</v>
      </c>
      <c r="AG788" s="42"/>
      <c r="AH788" s="42"/>
      <c r="AI788" s="43"/>
      <c r="AJ788" s="43"/>
      <c r="AK788" s="43"/>
      <c r="AL788" s="43"/>
      <c r="AM788" s="43"/>
      <c r="AN788" s="42"/>
      <c r="AO788" s="42"/>
      <c r="AP788" s="42"/>
      <c r="AQ788" s="43"/>
      <c r="AR788" s="42"/>
      <c r="AS788" s="42"/>
    </row>
    <row r="789" spans="1:45" ht="15" customHeight="1">
      <c r="A789" s="21" t="s">
        <v>260</v>
      </c>
      <c r="B789" s="21" t="s">
        <v>46</v>
      </c>
      <c r="C789" s="21" t="s">
        <v>188</v>
      </c>
      <c r="D789" s="21" t="s">
        <v>48</v>
      </c>
      <c r="E789" s="80" t="s">
        <v>919</v>
      </c>
      <c r="F789" s="21" t="s">
        <v>920</v>
      </c>
      <c r="G789" s="101" t="s">
        <v>77</v>
      </c>
      <c r="H789" s="25" t="s">
        <v>1014</v>
      </c>
      <c r="I789" s="65" t="s">
        <v>366</v>
      </c>
      <c r="J789" s="65" t="s">
        <v>1015</v>
      </c>
      <c r="K789" s="104"/>
      <c r="L789" s="48" t="s">
        <v>923</v>
      </c>
      <c r="M789" s="27"/>
      <c r="N789" s="105"/>
      <c r="O789" s="106">
        <v>300</v>
      </c>
      <c r="P789" s="106">
        <v>150</v>
      </c>
      <c r="Q789" s="51">
        <f t="shared" si="20"/>
        <v>45000</v>
      </c>
      <c r="R789" s="31">
        <v>202310</v>
      </c>
      <c r="S789" s="54" t="s">
        <v>1036</v>
      </c>
      <c r="T789" s="33" t="s">
        <v>1037</v>
      </c>
      <c r="U789" s="32"/>
      <c r="V789" s="54"/>
      <c r="W789" s="67"/>
      <c r="X789" s="67"/>
      <c r="Y789" s="36">
        <v>44301</v>
      </c>
      <c r="Z789" s="36">
        <v>46491</v>
      </c>
      <c r="AA789" s="36"/>
      <c r="AB789" s="36"/>
      <c r="AC789" s="36"/>
      <c r="AD789" s="36"/>
      <c r="AE789" s="36"/>
      <c r="AF789" s="53" t="s">
        <v>68</v>
      </c>
      <c r="AG789" s="42"/>
      <c r="AH789" s="42"/>
      <c r="AI789" s="43"/>
      <c r="AJ789" s="43"/>
      <c r="AK789" s="43"/>
      <c r="AL789" s="43"/>
      <c r="AM789" s="43"/>
      <c r="AN789" s="42"/>
      <c r="AO789" s="42"/>
      <c r="AP789" s="42"/>
      <c r="AQ789" s="43"/>
      <c r="AR789" s="42"/>
      <c r="AS789" s="42"/>
    </row>
    <row r="790" spans="1:45" ht="15" customHeight="1">
      <c r="A790" s="21" t="s">
        <v>260</v>
      </c>
      <c r="B790" s="21" t="s">
        <v>46</v>
      </c>
      <c r="C790" s="21" t="s">
        <v>188</v>
      </c>
      <c r="D790" s="21" t="s">
        <v>48</v>
      </c>
      <c r="E790" s="80" t="s">
        <v>919</v>
      </c>
      <c r="F790" s="21" t="s">
        <v>920</v>
      </c>
      <c r="G790" s="101" t="s">
        <v>77</v>
      </c>
      <c r="H790" s="25" t="s">
        <v>1038</v>
      </c>
      <c r="I790" s="102" t="s">
        <v>78</v>
      </c>
      <c r="J790" s="65" t="s">
        <v>1039</v>
      </c>
      <c r="K790" s="104"/>
      <c r="L790" s="48" t="s">
        <v>923</v>
      </c>
      <c r="M790" s="27">
        <v>44386</v>
      </c>
      <c r="N790" s="105" t="s">
        <v>177</v>
      </c>
      <c r="O790" s="106">
        <v>5900</v>
      </c>
      <c r="P790" s="106">
        <v>7</v>
      </c>
      <c r="Q790" s="51">
        <f t="shared" si="20"/>
        <v>41300</v>
      </c>
      <c r="R790" s="31">
        <v>202310</v>
      </c>
      <c r="S790" s="54" t="s">
        <v>1040</v>
      </c>
      <c r="T790" s="54"/>
      <c r="U790" s="54"/>
      <c r="V790" s="54"/>
      <c r="W790" s="67"/>
      <c r="X790" s="67"/>
      <c r="Y790" s="36">
        <v>44356</v>
      </c>
      <c r="Z790" s="36">
        <v>46546</v>
      </c>
      <c r="AA790" s="36"/>
      <c r="AB790" s="36"/>
      <c r="AC790" s="36"/>
      <c r="AD790" s="36"/>
      <c r="AE790" s="36"/>
      <c r="AF790" s="53" t="s">
        <v>68</v>
      </c>
      <c r="AG790" s="42"/>
      <c r="AH790" s="42"/>
      <c r="AI790" s="43"/>
      <c r="AJ790" s="43"/>
      <c r="AK790" s="43"/>
      <c r="AL790" s="43"/>
      <c r="AM790" s="43"/>
      <c r="AN790" s="42"/>
      <c r="AO790" s="42"/>
      <c r="AP790" s="42"/>
      <c r="AQ790" s="43"/>
      <c r="AR790" s="42"/>
      <c r="AS790" s="42"/>
    </row>
    <row r="791" spans="1:45" ht="15" customHeight="1">
      <c r="A791" s="21" t="s">
        <v>260</v>
      </c>
      <c r="B791" s="21" t="s">
        <v>46</v>
      </c>
      <c r="C791" s="21" t="s">
        <v>188</v>
      </c>
      <c r="D791" s="21" t="s">
        <v>48</v>
      </c>
      <c r="E791" s="80" t="s">
        <v>919</v>
      </c>
      <c r="F791" s="21" t="s">
        <v>920</v>
      </c>
      <c r="G791" s="101" t="s">
        <v>77</v>
      </c>
      <c r="H791" s="25" t="s">
        <v>1038</v>
      </c>
      <c r="I791" s="102" t="s">
        <v>78</v>
      </c>
      <c r="J791" s="65" t="s">
        <v>1039</v>
      </c>
      <c r="K791" s="104"/>
      <c r="L791" s="48" t="s">
        <v>923</v>
      </c>
      <c r="M791" s="27">
        <v>44386</v>
      </c>
      <c r="N791" s="105" t="s">
        <v>182</v>
      </c>
      <c r="O791" s="106">
        <v>8595</v>
      </c>
      <c r="P791" s="106">
        <v>345</v>
      </c>
      <c r="Q791" s="51">
        <f t="shared" si="20"/>
        <v>2965275</v>
      </c>
      <c r="R791" s="31">
        <v>202310</v>
      </c>
      <c r="S791" s="54" t="s">
        <v>1041</v>
      </c>
      <c r="T791" s="54"/>
      <c r="U791" s="54"/>
      <c r="V791" s="54"/>
      <c r="W791" s="67"/>
      <c r="X791" s="67"/>
      <c r="Y791" s="36">
        <v>44356</v>
      </c>
      <c r="Z791" s="36">
        <v>46546</v>
      </c>
      <c r="AA791" s="36"/>
      <c r="AB791" s="36"/>
      <c r="AC791" s="36"/>
      <c r="AD791" s="36"/>
      <c r="AE791" s="36"/>
      <c r="AF791" s="53" t="s">
        <v>68</v>
      </c>
      <c r="AG791" s="42"/>
      <c r="AH791" s="42"/>
      <c r="AI791" s="43"/>
      <c r="AJ791" s="43"/>
      <c r="AK791" s="43"/>
      <c r="AL791" s="43"/>
      <c r="AM791" s="43"/>
      <c r="AN791" s="42"/>
      <c r="AO791" s="42"/>
      <c r="AP791" s="42"/>
      <c r="AQ791" s="43"/>
      <c r="AR791" s="42"/>
      <c r="AS791" s="42"/>
    </row>
    <row r="792" spans="1:45" ht="15" customHeight="1">
      <c r="A792" s="21" t="s">
        <v>260</v>
      </c>
      <c r="B792" s="21" t="s">
        <v>46</v>
      </c>
      <c r="C792" s="21" t="s">
        <v>188</v>
      </c>
      <c r="D792" s="21" t="s">
        <v>48</v>
      </c>
      <c r="E792" s="80" t="s">
        <v>919</v>
      </c>
      <c r="F792" s="21" t="s">
        <v>920</v>
      </c>
      <c r="G792" s="101" t="s">
        <v>77</v>
      </c>
      <c r="H792" s="25" t="s">
        <v>1038</v>
      </c>
      <c r="I792" s="102" t="s">
        <v>78</v>
      </c>
      <c r="J792" s="65" t="s">
        <v>1039</v>
      </c>
      <c r="K792" s="104"/>
      <c r="L792" s="48" t="s">
        <v>923</v>
      </c>
      <c r="M792" s="27">
        <v>44386</v>
      </c>
      <c r="N792" s="105" t="s">
        <v>388</v>
      </c>
      <c r="O792" s="106">
        <v>11200</v>
      </c>
      <c r="P792" s="106">
        <v>8</v>
      </c>
      <c r="Q792" s="51">
        <f t="shared" si="20"/>
        <v>89600</v>
      </c>
      <c r="R792" s="31">
        <v>202310</v>
      </c>
      <c r="S792" s="54" t="s">
        <v>1042</v>
      </c>
      <c r="T792" s="54"/>
      <c r="U792" s="54"/>
      <c r="V792" s="54"/>
      <c r="W792" s="67"/>
      <c r="X792" s="67"/>
      <c r="Y792" s="36">
        <v>44356</v>
      </c>
      <c r="Z792" s="36">
        <v>46546</v>
      </c>
      <c r="AA792" s="36"/>
      <c r="AB792" s="36"/>
      <c r="AC792" s="36"/>
      <c r="AD792" s="36"/>
      <c r="AE792" s="36"/>
      <c r="AF792" s="53" t="s">
        <v>68</v>
      </c>
      <c r="AG792" s="42"/>
      <c r="AH792" s="42"/>
      <c r="AI792" s="43"/>
      <c r="AJ792" s="43"/>
      <c r="AK792" s="43"/>
      <c r="AL792" s="43"/>
      <c r="AM792" s="43"/>
      <c r="AN792" s="42"/>
      <c r="AO792" s="42"/>
      <c r="AP792" s="42"/>
      <c r="AQ792" s="43"/>
      <c r="AR792" s="42"/>
      <c r="AS792" s="42"/>
    </row>
    <row r="793" spans="1:45" ht="15" customHeight="1">
      <c r="A793" s="21" t="s">
        <v>260</v>
      </c>
      <c r="B793" s="21" t="s">
        <v>46</v>
      </c>
      <c r="C793" s="21" t="s">
        <v>188</v>
      </c>
      <c r="D793" s="21" t="s">
        <v>48</v>
      </c>
      <c r="E793" s="80" t="s">
        <v>919</v>
      </c>
      <c r="F793" s="21" t="s">
        <v>920</v>
      </c>
      <c r="G793" s="101" t="s">
        <v>77</v>
      </c>
      <c r="H793" s="25" t="s">
        <v>1038</v>
      </c>
      <c r="I793" s="102" t="s">
        <v>78</v>
      </c>
      <c r="J793" s="65" t="s">
        <v>1039</v>
      </c>
      <c r="K793" s="104"/>
      <c r="L793" s="48" t="s">
        <v>923</v>
      </c>
      <c r="M793" s="27">
        <v>44391</v>
      </c>
      <c r="N793" s="105" t="s">
        <v>182</v>
      </c>
      <c r="O793" s="106">
        <v>8595</v>
      </c>
      <c r="P793" s="106">
        <v>14</v>
      </c>
      <c r="Q793" s="51">
        <f t="shared" si="20"/>
        <v>120330</v>
      </c>
      <c r="R793" s="31">
        <v>202310</v>
      </c>
      <c r="S793" s="54" t="s">
        <v>1043</v>
      </c>
      <c r="T793" s="54"/>
      <c r="U793" s="54"/>
      <c r="V793" s="54"/>
      <c r="W793" s="67"/>
      <c r="X793" s="67"/>
      <c r="Y793" s="36">
        <v>44356</v>
      </c>
      <c r="Z793" s="36">
        <v>46546</v>
      </c>
      <c r="AA793" s="36"/>
      <c r="AB793" s="36"/>
      <c r="AC793" s="36"/>
      <c r="AD793" s="36"/>
      <c r="AE793" s="36"/>
      <c r="AF793" s="53" t="s">
        <v>68</v>
      </c>
      <c r="AG793" s="42"/>
      <c r="AH793" s="42"/>
      <c r="AI793" s="43"/>
      <c r="AJ793" s="43"/>
      <c r="AK793" s="43"/>
      <c r="AL793" s="43"/>
      <c r="AM793" s="43"/>
      <c r="AN793" s="42"/>
      <c r="AO793" s="42"/>
      <c r="AP793" s="42"/>
      <c r="AQ793" s="43"/>
      <c r="AR793" s="42"/>
      <c r="AS793" s="42"/>
    </row>
    <row r="794" spans="1:45" ht="15" customHeight="1">
      <c r="A794" s="21" t="s">
        <v>260</v>
      </c>
      <c r="B794" s="21" t="s">
        <v>46</v>
      </c>
      <c r="C794" s="21" t="s">
        <v>188</v>
      </c>
      <c r="D794" s="21" t="s">
        <v>48</v>
      </c>
      <c r="E794" s="80" t="s">
        <v>919</v>
      </c>
      <c r="F794" s="21" t="s">
        <v>920</v>
      </c>
      <c r="G794" s="101" t="s">
        <v>77</v>
      </c>
      <c r="H794" s="25" t="s">
        <v>1038</v>
      </c>
      <c r="I794" s="102" t="s">
        <v>78</v>
      </c>
      <c r="J794" s="65" t="s">
        <v>1039</v>
      </c>
      <c r="K794" s="104"/>
      <c r="L794" s="48" t="s">
        <v>923</v>
      </c>
      <c r="M794" s="27">
        <v>44393</v>
      </c>
      <c r="N794" s="105" t="s">
        <v>182</v>
      </c>
      <c r="O794" s="106">
        <v>8595</v>
      </c>
      <c r="P794" s="106">
        <v>8</v>
      </c>
      <c r="Q794" s="51">
        <f t="shared" si="20"/>
        <v>68760</v>
      </c>
      <c r="R794" s="31">
        <v>202310</v>
      </c>
      <c r="S794" s="54" t="s">
        <v>1044</v>
      </c>
      <c r="T794" s="54"/>
      <c r="U794" s="54"/>
      <c r="V794" s="54"/>
      <c r="W794" s="67"/>
      <c r="X794" s="67"/>
      <c r="Y794" s="36">
        <v>44356</v>
      </c>
      <c r="Z794" s="36">
        <v>46546</v>
      </c>
      <c r="AA794" s="36"/>
      <c r="AB794" s="36"/>
      <c r="AC794" s="36"/>
      <c r="AD794" s="36"/>
      <c r="AE794" s="36"/>
      <c r="AF794" s="53" t="s">
        <v>68</v>
      </c>
      <c r="AG794" s="42"/>
      <c r="AH794" s="42"/>
      <c r="AI794" s="43"/>
      <c r="AJ794" s="43"/>
      <c r="AK794" s="43"/>
      <c r="AL794" s="43"/>
      <c r="AM794" s="43"/>
      <c r="AN794" s="42"/>
      <c r="AO794" s="42"/>
      <c r="AP794" s="42"/>
      <c r="AQ794" s="43"/>
      <c r="AR794" s="42"/>
      <c r="AS794" s="42"/>
    </row>
    <row r="795" spans="1:45" ht="15" customHeight="1">
      <c r="A795" s="21" t="s">
        <v>260</v>
      </c>
      <c r="B795" s="21" t="s">
        <v>46</v>
      </c>
      <c r="C795" s="21" t="s">
        <v>188</v>
      </c>
      <c r="D795" s="21" t="s">
        <v>48</v>
      </c>
      <c r="E795" s="80" t="s">
        <v>919</v>
      </c>
      <c r="F795" s="21" t="s">
        <v>920</v>
      </c>
      <c r="G795" s="101" t="s">
        <v>77</v>
      </c>
      <c r="H795" s="25" t="s">
        <v>1038</v>
      </c>
      <c r="I795" s="102" t="s">
        <v>78</v>
      </c>
      <c r="J795" s="65" t="s">
        <v>1039</v>
      </c>
      <c r="K795" s="104"/>
      <c r="L795" s="48" t="s">
        <v>923</v>
      </c>
      <c r="M795" s="27">
        <v>44396</v>
      </c>
      <c r="N795" s="105" t="s">
        <v>182</v>
      </c>
      <c r="O795" s="106">
        <v>8595</v>
      </c>
      <c r="P795" s="106">
        <v>7</v>
      </c>
      <c r="Q795" s="51">
        <f t="shared" ref="Q795:Q861" si="22">ROUND(O795*P795,2)</f>
        <v>60165</v>
      </c>
      <c r="R795" s="31">
        <v>202310</v>
      </c>
      <c r="S795" s="54" t="s">
        <v>1045</v>
      </c>
      <c r="T795" s="54"/>
      <c r="U795" s="54"/>
      <c r="V795" s="54"/>
      <c r="W795" s="67"/>
      <c r="X795" s="67"/>
      <c r="Y795" s="36">
        <v>44356</v>
      </c>
      <c r="Z795" s="36">
        <v>46546</v>
      </c>
      <c r="AA795" s="36"/>
      <c r="AB795" s="36"/>
      <c r="AC795" s="36"/>
      <c r="AD795" s="36"/>
      <c r="AE795" s="36"/>
      <c r="AF795" s="53" t="s">
        <v>68</v>
      </c>
      <c r="AG795" s="42"/>
      <c r="AH795" s="42"/>
      <c r="AI795" s="43"/>
      <c r="AJ795" s="43"/>
      <c r="AK795" s="43"/>
      <c r="AL795" s="43"/>
      <c r="AM795" s="43"/>
      <c r="AN795" s="42"/>
      <c r="AO795" s="42"/>
      <c r="AP795" s="42"/>
      <c r="AQ795" s="43"/>
      <c r="AR795" s="42"/>
      <c r="AS795" s="42"/>
    </row>
    <row r="796" spans="1:45" ht="15" customHeight="1">
      <c r="A796" s="21" t="s">
        <v>260</v>
      </c>
      <c r="B796" s="21" t="s">
        <v>46</v>
      </c>
      <c r="C796" s="21" t="s">
        <v>188</v>
      </c>
      <c r="D796" s="21" t="s">
        <v>48</v>
      </c>
      <c r="E796" s="80" t="s">
        <v>919</v>
      </c>
      <c r="F796" s="21" t="s">
        <v>920</v>
      </c>
      <c r="G796" s="101" t="s">
        <v>77</v>
      </c>
      <c r="H796" s="25" t="s">
        <v>1038</v>
      </c>
      <c r="I796" s="102" t="s">
        <v>78</v>
      </c>
      <c r="J796" s="65" t="s">
        <v>1039</v>
      </c>
      <c r="K796" s="104"/>
      <c r="L796" s="48" t="s">
        <v>923</v>
      </c>
      <c r="M796" s="27">
        <v>44398</v>
      </c>
      <c r="N796" s="105" t="s">
        <v>182</v>
      </c>
      <c r="O796" s="106">
        <v>8595</v>
      </c>
      <c r="P796" s="106">
        <v>7</v>
      </c>
      <c r="Q796" s="51">
        <f t="shared" si="22"/>
        <v>60165</v>
      </c>
      <c r="R796" s="31">
        <v>202310</v>
      </c>
      <c r="S796" s="54" t="s">
        <v>1046</v>
      </c>
      <c r="T796" s="54"/>
      <c r="U796" s="54"/>
      <c r="V796" s="54"/>
      <c r="W796" s="67"/>
      <c r="X796" s="67"/>
      <c r="Y796" s="36">
        <v>44356</v>
      </c>
      <c r="Z796" s="36">
        <v>46546</v>
      </c>
      <c r="AA796" s="36"/>
      <c r="AB796" s="36"/>
      <c r="AC796" s="36"/>
      <c r="AD796" s="36"/>
      <c r="AE796" s="36"/>
      <c r="AF796" s="53" t="s">
        <v>68</v>
      </c>
      <c r="AG796" s="42"/>
      <c r="AH796" s="42"/>
      <c r="AI796" s="43"/>
      <c r="AJ796" s="43"/>
      <c r="AK796" s="43"/>
      <c r="AL796" s="43"/>
      <c r="AM796" s="43"/>
      <c r="AN796" s="42"/>
      <c r="AO796" s="42"/>
      <c r="AP796" s="42"/>
      <c r="AQ796" s="43"/>
      <c r="AR796" s="42"/>
      <c r="AS796" s="42"/>
    </row>
    <row r="797" spans="1:45" ht="15" customHeight="1">
      <c r="A797" s="21" t="s">
        <v>260</v>
      </c>
      <c r="B797" s="21" t="s">
        <v>46</v>
      </c>
      <c r="C797" s="21" t="s">
        <v>188</v>
      </c>
      <c r="D797" s="21" t="s">
        <v>48</v>
      </c>
      <c r="E797" s="80" t="s">
        <v>919</v>
      </c>
      <c r="F797" s="21" t="s">
        <v>920</v>
      </c>
      <c r="G797" s="101" t="s">
        <v>77</v>
      </c>
      <c r="H797" s="25" t="s">
        <v>1038</v>
      </c>
      <c r="I797" s="102" t="s">
        <v>78</v>
      </c>
      <c r="J797" s="65" t="s">
        <v>1039</v>
      </c>
      <c r="K797" s="104"/>
      <c r="L797" s="48" t="s">
        <v>923</v>
      </c>
      <c r="M797" s="27">
        <v>44406</v>
      </c>
      <c r="N797" s="105" t="s">
        <v>182</v>
      </c>
      <c r="O797" s="106">
        <v>8595</v>
      </c>
      <c r="P797" s="106">
        <v>17</v>
      </c>
      <c r="Q797" s="51">
        <f t="shared" si="22"/>
        <v>146115</v>
      </c>
      <c r="R797" s="31">
        <v>202310</v>
      </c>
      <c r="S797" s="54" t="s">
        <v>1047</v>
      </c>
      <c r="T797" s="54"/>
      <c r="U797" s="54"/>
      <c r="V797" s="54"/>
      <c r="W797" s="67"/>
      <c r="X797" s="67"/>
      <c r="Y797" s="36">
        <v>44356</v>
      </c>
      <c r="Z797" s="36">
        <v>46546</v>
      </c>
      <c r="AA797" s="36"/>
      <c r="AB797" s="36"/>
      <c r="AC797" s="36"/>
      <c r="AD797" s="36"/>
      <c r="AE797" s="36"/>
      <c r="AF797" s="53" t="s">
        <v>68</v>
      </c>
      <c r="AG797" s="42"/>
      <c r="AH797" s="42"/>
      <c r="AI797" s="43"/>
      <c r="AJ797" s="43"/>
      <c r="AK797" s="43"/>
      <c r="AL797" s="43"/>
      <c r="AM797" s="43"/>
      <c r="AN797" s="42"/>
      <c r="AO797" s="42"/>
      <c r="AP797" s="42"/>
      <c r="AQ797" s="43"/>
      <c r="AR797" s="42"/>
      <c r="AS797" s="42"/>
    </row>
    <row r="798" spans="1:45" ht="15" customHeight="1">
      <c r="A798" s="21" t="s">
        <v>260</v>
      </c>
      <c r="B798" s="21" t="s">
        <v>46</v>
      </c>
      <c r="C798" s="21" t="s">
        <v>188</v>
      </c>
      <c r="D798" s="21" t="s">
        <v>48</v>
      </c>
      <c r="E798" s="80" t="s">
        <v>919</v>
      </c>
      <c r="F798" s="21" t="s">
        <v>920</v>
      </c>
      <c r="G798" s="101" t="s">
        <v>77</v>
      </c>
      <c r="H798" s="25" t="s">
        <v>1038</v>
      </c>
      <c r="I798" s="102" t="s">
        <v>78</v>
      </c>
      <c r="J798" s="65" t="s">
        <v>1039</v>
      </c>
      <c r="K798" s="104"/>
      <c r="L798" s="48" t="s">
        <v>923</v>
      </c>
      <c r="M798" s="27">
        <v>44407</v>
      </c>
      <c r="N798" s="105" t="s">
        <v>182</v>
      </c>
      <c r="O798" s="106">
        <v>8595</v>
      </c>
      <c r="P798" s="106">
        <v>16</v>
      </c>
      <c r="Q798" s="51">
        <f t="shared" si="22"/>
        <v>137520</v>
      </c>
      <c r="R798" s="31">
        <v>202310</v>
      </c>
      <c r="S798" s="54" t="s">
        <v>1048</v>
      </c>
      <c r="T798" s="54"/>
      <c r="U798" s="54"/>
      <c r="V798" s="54"/>
      <c r="W798" s="67"/>
      <c r="X798" s="67"/>
      <c r="Y798" s="36">
        <v>44356</v>
      </c>
      <c r="Z798" s="36">
        <v>46546</v>
      </c>
      <c r="AA798" s="36"/>
      <c r="AB798" s="36"/>
      <c r="AC798" s="36"/>
      <c r="AD798" s="36"/>
      <c r="AE798" s="36"/>
      <c r="AF798" s="53" t="s">
        <v>68</v>
      </c>
      <c r="AG798" s="42"/>
      <c r="AH798" s="42"/>
      <c r="AI798" s="43"/>
      <c r="AJ798" s="43"/>
      <c r="AK798" s="43"/>
      <c r="AL798" s="43"/>
      <c r="AM798" s="43"/>
      <c r="AN798" s="42"/>
      <c r="AO798" s="42"/>
      <c r="AP798" s="42"/>
      <c r="AQ798" s="43"/>
      <c r="AR798" s="42"/>
      <c r="AS798" s="42"/>
    </row>
    <row r="799" spans="1:45" ht="15" customHeight="1">
      <c r="A799" s="21" t="s">
        <v>260</v>
      </c>
      <c r="B799" s="21" t="s">
        <v>46</v>
      </c>
      <c r="C799" s="21" t="s">
        <v>188</v>
      </c>
      <c r="D799" s="21" t="s">
        <v>48</v>
      </c>
      <c r="E799" s="80" t="s">
        <v>919</v>
      </c>
      <c r="F799" s="21" t="s">
        <v>920</v>
      </c>
      <c r="G799" s="101" t="s">
        <v>77</v>
      </c>
      <c r="H799" s="25" t="s">
        <v>1038</v>
      </c>
      <c r="I799" s="102" t="s">
        <v>78</v>
      </c>
      <c r="J799" s="65" t="s">
        <v>1039</v>
      </c>
      <c r="K799" s="104"/>
      <c r="L799" s="48" t="s">
        <v>923</v>
      </c>
      <c r="M799" s="27">
        <v>44409</v>
      </c>
      <c r="N799" s="105" t="s">
        <v>182</v>
      </c>
      <c r="O799" s="106">
        <v>8595</v>
      </c>
      <c r="P799" s="106">
        <v>11</v>
      </c>
      <c r="Q799" s="51">
        <f t="shared" si="22"/>
        <v>94545</v>
      </c>
      <c r="R799" s="31">
        <v>202310</v>
      </c>
      <c r="S799" s="54" t="s">
        <v>1049</v>
      </c>
      <c r="T799" s="54"/>
      <c r="U799" s="54"/>
      <c r="V799" s="54"/>
      <c r="W799" s="67"/>
      <c r="X799" s="67"/>
      <c r="Y799" s="36">
        <v>44356</v>
      </c>
      <c r="Z799" s="36">
        <v>46546</v>
      </c>
      <c r="AA799" s="36"/>
      <c r="AB799" s="36"/>
      <c r="AC799" s="36"/>
      <c r="AD799" s="36"/>
      <c r="AE799" s="36"/>
      <c r="AF799" s="53" t="s">
        <v>68</v>
      </c>
      <c r="AG799" s="42"/>
      <c r="AH799" s="42"/>
      <c r="AI799" s="43"/>
      <c r="AJ799" s="43"/>
      <c r="AK799" s="43"/>
      <c r="AL799" s="43"/>
      <c r="AM799" s="43"/>
      <c r="AN799" s="42"/>
      <c r="AO799" s="42"/>
      <c r="AP799" s="42"/>
      <c r="AQ799" s="43"/>
      <c r="AR799" s="42"/>
      <c r="AS799" s="42"/>
    </row>
    <row r="800" spans="1:45" ht="15" customHeight="1">
      <c r="A800" s="21" t="s">
        <v>260</v>
      </c>
      <c r="B800" s="21" t="s">
        <v>46</v>
      </c>
      <c r="C800" s="21" t="s">
        <v>188</v>
      </c>
      <c r="D800" s="21" t="s">
        <v>48</v>
      </c>
      <c r="E800" s="80" t="s">
        <v>919</v>
      </c>
      <c r="F800" s="21" t="s">
        <v>920</v>
      </c>
      <c r="G800" s="101" t="s">
        <v>77</v>
      </c>
      <c r="H800" s="25" t="s">
        <v>1038</v>
      </c>
      <c r="I800" s="102" t="s">
        <v>78</v>
      </c>
      <c r="J800" s="65" t="s">
        <v>1039</v>
      </c>
      <c r="K800" s="104"/>
      <c r="L800" s="48" t="s">
        <v>923</v>
      </c>
      <c r="M800" s="27">
        <v>44417</v>
      </c>
      <c r="N800" s="105" t="s">
        <v>182</v>
      </c>
      <c r="O800" s="106">
        <v>8595</v>
      </c>
      <c r="P800" s="106">
        <v>4</v>
      </c>
      <c r="Q800" s="51">
        <f t="shared" si="22"/>
        <v>34380</v>
      </c>
      <c r="R800" s="31">
        <v>202310</v>
      </c>
      <c r="S800" s="107" t="s">
        <v>1050</v>
      </c>
      <c r="T800" s="67"/>
      <c r="U800" s="107"/>
      <c r="V800" s="67"/>
      <c r="W800" s="67"/>
      <c r="X800" s="67"/>
      <c r="Y800" s="36">
        <v>44356</v>
      </c>
      <c r="Z800" s="36">
        <v>46546</v>
      </c>
      <c r="AA800" s="36"/>
      <c r="AB800" s="36"/>
      <c r="AC800" s="36"/>
      <c r="AD800" s="36"/>
      <c r="AE800" s="36"/>
      <c r="AF800" s="53" t="s">
        <v>68</v>
      </c>
      <c r="AG800" s="42"/>
      <c r="AH800" s="42"/>
      <c r="AI800" s="43"/>
      <c r="AJ800" s="43"/>
      <c r="AK800" s="43"/>
      <c r="AL800" s="43"/>
      <c r="AM800" s="43"/>
      <c r="AN800" s="42"/>
      <c r="AO800" s="42"/>
      <c r="AP800" s="42"/>
      <c r="AQ800" s="43"/>
      <c r="AR800" s="42"/>
      <c r="AS800" s="42"/>
    </row>
    <row r="801" spans="1:45" ht="15" customHeight="1">
      <c r="A801" s="21" t="s">
        <v>260</v>
      </c>
      <c r="B801" s="21" t="s">
        <v>46</v>
      </c>
      <c r="C801" s="21" t="s">
        <v>188</v>
      </c>
      <c r="D801" s="21" t="s">
        <v>48</v>
      </c>
      <c r="E801" s="80" t="s">
        <v>919</v>
      </c>
      <c r="F801" s="21" t="s">
        <v>920</v>
      </c>
      <c r="G801" s="101" t="s">
        <v>77</v>
      </c>
      <c r="H801" s="25" t="s">
        <v>1038</v>
      </c>
      <c r="I801" s="102" t="s">
        <v>78</v>
      </c>
      <c r="J801" s="65" t="s">
        <v>1039</v>
      </c>
      <c r="K801" s="104"/>
      <c r="L801" s="48" t="s">
        <v>923</v>
      </c>
      <c r="M801" s="27">
        <v>44425</v>
      </c>
      <c r="N801" s="105" t="s">
        <v>182</v>
      </c>
      <c r="O801" s="106">
        <v>8595</v>
      </c>
      <c r="P801" s="106">
        <v>7</v>
      </c>
      <c r="Q801" s="51">
        <f t="shared" si="22"/>
        <v>60165</v>
      </c>
      <c r="R801" s="31">
        <v>202310</v>
      </c>
      <c r="S801" s="54" t="s">
        <v>1051</v>
      </c>
      <c r="T801" s="54"/>
      <c r="U801" s="54"/>
      <c r="V801" s="54"/>
      <c r="W801" s="67"/>
      <c r="X801" s="67"/>
      <c r="Y801" s="36">
        <v>44356</v>
      </c>
      <c r="Z801" s="36">
        <v>46546</v>
      </c>
      <c r="AA801" s="36"/>
      <c r="AB801" s="36"/>
      <c r="AC801" s="36"/>
      <c r="AD801" s="36"/>
      <c r="AE801" s="36"/>
      <c r="AF801" s="53" t="s">
        <v>68</v>
      </c>
      <c r="AG801" s="42"/>
      <c r="AH801" s="42"/>
      <c r="AI801" s="43"/>
      <c r="AJ801" s="43"/>
      <c r="AK801" s="43"/>
      <c r="AL801" s="43"/>
      <c r="AM801" s="43"/>
      <c r="AN801" s="42"/>
      <c r="AO801" s="42"/>
      <c r="AP801" s="42"/>
      <c r="AQ801" s="43"/>
      <c r="AR801" s="42"/>
      <c r="AS801" s="42"/>
    </row>
    <row r="802" spans="1:45" ht="15" customHeight="1">
      <c r="A802" s="21" t="s">
        <v>260</v>
      </c>
      <c r="B802" s="21" t="s">
        <v>46</v>
      </c>
      <c r="C802" s="21" t="s">
        <v>188</v>
      </c>
      <c r="D802" s="21" t="s">
        <v>48</v>
      </c>
      <c r="E802" s="80" t="s">
        <v>919</v>
      </c>
      <c r="F802" s="21" t="s">
        <v>920</v>
      </c>
      <c r="G802" s="101" t="s">
        <v>77</v>
      </c>
      <c r="H802" s="25" t="s">
        <v>1038</v>
      </c>
      <c r="I802" s="102" t="s">
        <v>78</v>
      </c>
      <c r="J802" s="65" t="s">
        <v>1039</v>
      </c>
      <c r="K802" s="104"/>
      <c r="L802" s="48" t="s">
        <v>923</v>
      </c>
      <c r="M802" s="27">
        <v>44415</v>
      </c>
      <c r="N802" s="105" t="s">
        <v>177</v>
      </c>
      <c r="O802" s="106">
        <v>5900</v>
      </c>
      <c r="P802" s="106">
        <v>4</v>
      </c>
      <c r="Q802" s="51">
        <f t="shared" si="22"/>
        <v>23600</v>
      </c>
      <c r="R802" s="31">
        <v>202310</v>
      </c>
      <c r="S802" s="54" t="s">
        <v>1052</v>
      </c>
      <c r="T802" s="54"/>
      <c r="U802" s="54"/>
      <c r="V802" s="54"/>
      <c r="W802" s="67"/>
      <c r="X802" s="67"/>
      <c r="Y802" s="36">
        <v>44356</v>
      </c>
      <c r="Z802" s="36">
        <v>46546</v>
      </c>
      <c r="AA802" s="36"/>
      <c r="AB802" s="36"/>
      <c r="AC802" s="36"/>
      <c r="AD802" s="36"/>
      <c r="AE802" s="36"/>
      <c r="AF802" s="53" t="s">
        <v>68</v>
      </c>
      <c r="AG802" s="42"/>
      <c r="AH802" s="42"/>
      <c r="AI802" s="43"/>
      <c r="AJ802" s="43"/>
      <c r="AK802" s="43"/>
      <c r="AL802" s="43"/>
      <c r="AM802" s="43"/>
      <c r="AN802" s="42"/>
      <c r="AO802" s="42"/>
      <c r="AP802" s="42"/>
      <c r="AQ802" s="43"/>
      <c r="AR802" s="42"/>
      <c r="AS802" s="42"/>
    </row>
    <row r="803" spans="1:45" ht="15" customHeight="1">
      <c r="A803" s="21" t="s">
        <v>260</v>
      </c>
      <c r="B803" s="21" t="s">
        <v>46</v>
      </c>
      <c r="C803" s="21" t="s">
        <v>188</v>
      </c>
      <c r="D803" s="21" t="s">
        <v>48</v>
      </c>
      <c r="E803" s="80" t="s">
        <v>919</v>
      </c>
      <c r="F803" s="21" t="s">
        <v>920</v>
      </c>
      <c r="G803" s="101" t="s">
        <v>77</v>
      </c>
      <c r="H803" s="25" t="s">
        <v>1038</v>
      </c>
      <c r="I803" s="102" t="s">
        <v>78</v>
      </c>
      <c r="J803" s="65" t="s">
        <v>1039</v>
      </c>
      <c r="K803" s="104"/>
      <c r="L803" s="48" t="s">
        <v>923</v>
      </c>
      <c r="M803" s="27">
        <v>44415</v>
      </c>
      <c r="N803" s="105" t="s">
        <v>182</v>
      </c>
      <c r="O803" s="106">
        <v>8595</v>
      </c>
      <c r="P803" s="106">
        <v>167</v>
      </c>
      <c r="Q803" s="51">
        <f t="shared" si="22"/>
        <v>1435365</v>
      </c>
      <c r="R803" s="31">
        <v>202310</v>
      </c>
      <c r="S803" s="107" t="s">
        <v>1053</v>
      </c>
      <c r="T803" s="67"/>
      <c r="U803" s="107"/>
      <c r="V803" s="67"/>
      <c r="W803" s="67"/>
      <c r="X803" s="67"/>
      <c r="Y803" s="36">
        <v>44356</v>
      </c>
      <c r="Z803" s="36">
        <v>46546</v>
      </c>
      <c r="AA803" s="36"/>
      <c r="AB803" s="36"/>
      <c r="AC803" s="36"/>
      <c r="AD803" s="36"/>
      <c r="AE803" s="36"/>
      <c r="AF803" s="53" t="s">
        <v>68</v>
      </c>
      <c r="AG803" s="42"/>
      <c r="AH803" s="42"/>
      <c r="AI803" s="43"/>
      <c r="AJ803" s="43"/>
      <c r="AK803" s="43"/>
      <c r="AL803" s="43"/>
      <c r="AM803" s="43"/>
      <c r="AN803" s="42"/>
      <c r="AO803" s="42"/>
      <c r="AP803" s="42"/>
      <c r="AQ803" s="43"/>
      <c r="AR803" s="42"/>
      <c r="AS803" s="42"/>
    </row>
    <row r="804" spans="1:45" ht="15" customHeight="1">
      <c r="A804" s="21" t="s">
        <v>260</v>
      </c>
      <c r="B804" s="21" t="s">
        <v>46</v>
      </c>
      <c r="C804" s="21" t="s">
        <v>188</v>
      </c>
      <c r="D804" s="21" t="s">
        <v>48</v>
      </c>
      <c r="E804" s="80" t="s">
        <v>919</v>
      </c>
      <c r="F804" s="21" t="s">
        <v>920</v>
      </c>
      <c r="G804" s="101" t="s">
        <v>77</v>
      </c>
      <c r="H804" s="25" t="s">
        <v>1038</v>
      </c>
      <c r="I804" s="102" t="s">
        <v>78</v>
      </c>
      <c r="J804" s="65" t="s">
        <v>1039</v>
      </c>
      <c r="K804" s="104"/>
      <c r="L804" s="48" t="s">
        <v>923</v>
      </c>
      <c r="M804" s="27">
        <v>44439</v>
      </c>
      <c r="N804" s="105" t="s">
        <v>182</v>
      </c>
      <c r="O804" s="106">
        <v>8595</v>
      </c>
      <c r="P804" s="106">
        <v>13</v>
      </c>
      <c r="Q804" s="51">
        <f t="shared" si="22"/>
        <v>111735</v>
      </c>
      <c r="R804" s="31">
        <v>202310</v>
      </c>
      <c r="S804" s="107" t="s">
        <v>1054</v>
      </c>
      <c r="T804" s="67"/>
      <c r="U804" s="107"/>
      <c r="V804" s="67"/>
      <c r="W804" s="67"/>
      <c r="X804" s="67"/>
      <c r="Y804" s="36">
        <v>44356</v>
      </c>
      <c r="Z804" s="36">
        <v>46546</v>
      </c>
      <c r="AA804" s="36"/>
      <c r="AB804" s="36"/>
      <c r="AC804" s="36"/>
      <c r="AD804" s="36"/>
      <c r="AE804" s="36"/>
      <c r="AF804" s="53" t="s">
        <v>68</v>
      </c>
      <c r="AG804" s="42"/>
      <c r="AH804" s="42"/>
      <c r="AI804" s="43"/>
      <c r="AJ804" s="43"/>
      <c r="AK804" s="43"/>
      <c r="AL804" s="43"/>
      <c r="AM804" s="43"/>
      <c r="AN804" s="42"/>
      <c r="AO804" s="42"/>
      <c r="AP804" s="42"/>
      <c r="AQ804" s="43"/>
      <c r="AR804" s="42"/>
      <c r="AS804" s="42"/>
    </row>
    <row r="805" spans="1:45" ht="15" customHeight="1">
      <c r="A805" s="21" t="s">
        <v>260</v>
      </c>
      <c r="B805" s="21" t="s">
        <v>46</v>
      </c>
      <c r="C805" s="21" t="s">
        <v>188</v>
      </c>
      <c r="D805" s="21" t="s">
        <v>48</v>
      </c>
      <c r="E805" s="80" t="s">
        <v>919</v>
      </c>
      <c r="F805" s="21" t="s">
        <v>920</v>
      </c>
      <c r="G805" s="101" t="s">
        <v>77</v>
      </c>
      <c r="H805" s="25" t="s">
        <v>1038</v>
      </c>
      <c r="I805" s="102" t="s">
        <v>78</v>
      </c>
      <c r="J805" s="65" t="s">
        <v>1039</v>
      </c>
      <c r="K805" s="104"/>
      <c r="L805" s="48" t="s">
        <v>923</v>
      </c>
      <c r="M805" s="27">
        <v>44452</v>
      </c>
      <c r="N805" s="105" t="s">
        <v>182</v>
      </c>
      <c r="O805" s="106">
        <v>8595</v>
      </c>
      <c r="P805" s="106">
        <v>11</v>
      </c>
      <c r="Q805" s="51">
        <f t="shared" si="22"/>
        <v>94545</v>
      </c>
      <c r="R805" s="31">
        <v>202310</v>
      </c>
      <c r="S805" s="107" t="s">
        <v>1055</v>
      </c>
      <c r="T805" s="67"/>
      <c r="U805" s="107"/>
      <c r="V805" s="67"/>
      <c r="W805" s="67"/>
      <c r="X805" s="67"/>
      <c r="Y805" s="36">
        <v>44356</v>
      </c>
      <c r="Z805" s="36">
        <v>46546</v>
      </c>
      <c r="AA805" s="36"/>
      <c r="AB805" s="36"/>
      <c r="AC805" s="36"/>
      <c r="AD805" s="36"/>
      <c r="AE805" s="36"/>
      <c r="AF805" s="53" t="s">
        <v>68</v>
      </c>
      <c r="AG805" s="42"/>
      <c r="AH805" s="42"/>
      <c r="AI805" s="43"/>
      <c r="AJ805" s="43"/>
      <c r="AK805" s="43"/>
      <c r="AL805" s="43"/>
      <c r="AM805" s="43"/>
      <c r="AN805" s="42"/>
      <c r="AO805" s="42"/>
      <c r="AP805" s="42"/>
      <c r="AQ805" s="43"/>
      <c r="AR805" s="42"/>
      <c r="AS805" s="42"/>
    </row>
    <row r="806" spans="1:45" ht="15" customHeight="1">
      <c r="A806" s="21" t="s">
        <v>260</v>
      </c>
      <c r="B806" s="21" t="s">
        <v>46</v>
      </c>
      <c r="C806" s="21" t="s">
        <v>188</v>
      </c>
      <c r="D806" s="21" t="s">
        <v>48</v>
      </c>
      <c r="E806" s="80" t="s">
        <v>919</v>
      </c>
      <c r="F806" s="21" t="s">
        <v>920</v>
      </c>
      <c r="G806" s="101" t="s">
        <v>77</v>
      </c>
      <c r="H806" s="25" t="s">
        <v>1038</v>
      </c>
      <c r="I806" s="102" t="s">
        <v>78</v>
      </c>
      <c r="J806" s="65" t="s">
        <v>1039</v>
      </c>
      <c r="K806" s="104"/>
      <c r="L806" s="48" t="s">
        <v>923</v>
      </c>
      <c r="M806" s="27">
        <v>44454</v>
      </c>
      <c r="N806" s="105" t="s">
        <v>182</v>
      </c>
      <c r="O806" s="106">
        <v>8595</v>
      </c>
      <c r="P806" s="106">
        <v>19</v>
      </c>
      <c r="Q806" s="51">
        <f t="shared" si="22"/>
        <v>163305</v>
      </c>
      <c r="R806" s="31">
        <v>202310</v>
      </c>
      <c r="S806" s="107" t="s">
        <v>1056</v>
      </c>
      <c r="T806" s="67"/>
      <c r="U806" s="107"/>
      <c r="V806" s="67"/>
      <c r="W806" s="67"/>
      <c r="X806" s="67"/>
      <c r="Y806" s="36">
        <v>44356</v>
      </c>
      <c r="Z806" s="36">
        <v>46546</v>
      </c>
      <c r="AA806" s="36"/>
      <c r="AB806" s="36"/>
      <c r="AC806" s="36"/>
      <c r="AD806" s="36"/>
      <c r="AE806" s="36"/>
      <c r="AF806" s="53" t="s">
        <v>68</v>
      </c>
      <c r="AG806" s="42"/>
      <c r="AH806" s="42"/>
      <c r="AI806" s="43"/>
      <c r="AJ806" s="43"/>
      <c r="AK806" s="43"/>
      <c r="AL806" s="43"/>
      <c r="AM806" s="43"/>
      <c r="AN806" s="42"/>
      <c r="AO806" s="42"/>
      <c r="AP806" s="42"/>
      <c r="AQ806" s="43"/>
      <c r="AR806" s="42"/>
      <c r="AS806" s="42"/>
    </row>
    <row r="807" spans="1:45" ht="15" customHeight="1">
      <c r="A807" s="21" t="s">
        <v>260</v>
      </c>
      <c r="B807" s="21" t="s">
        <v>46</v>
      </c>
      <c r="C807" s="21" t="s">
        <v>188</v>
      </c>
      <c r="D807" s="21" t="s">
        <v>48</v>
      </c>
      <c r="E807" s="80" t="s">
        <v>919</v>
      </c>
      <c r="F807" s="21" t="s">
        <v>920</v>
      </c>
      <c r="G807" s="101" t="s">
        <v>77</v>
      </c>
      <c r="H807" s="25" t="s">
        <v>1038</v>
      </c>
      <c r="I807" s="102" t="s">
        <v>78</v>
      </c>
      <c r="J807" s="65" t="s">
        <v>1039</v>
      </c>
      <c r="K807" s="104"/>
      <c r="L807" s="48" t="s">
        <v>923</v>
      </c>
      <c r="M807" s="27">
        <v>44461</v>
      </c>
      <c r="N807" s="105" t="s">
        <v>182</v>
      </c>
      <c r="O807" s="106">
        <v>8595</v>
      </c>
      <c r="P807" s="106">
        <v>41</v>
      </c>
      <c r="Q807" s="51">
        <f t="shared" si="22"/>
        <v>352395</v>
      </c>
      <c r="R807" s="31">
        <v>202310</v>
      </c>
      <c r="S807" s="54" t="s">
        <v>1057</v>
      </c>
      <c r="T807" s="54"/>
      <c r="U807" s="54"/>
      <c r="V807" s="54"/>
      <c r="W807" s="67"/>
      <c r="X807" s="67"/>
      <c r="Y807" s="36">
        <v>44356</v>
      </c>
      <c r="Z807" s="36">
        <v>46546</v>
      </c>
      <c r="AA807" s="36"/>
      <c r="AB807" s="36"/>
      <c r="AC807" s="36"/>
      <c r="AD807" s="36"/>
      <c r="AE807" s="36"/>
      <c r="AF807" s="53" t="s">
        <v>68</v>
      </c>
      <c r="AG807" s="42"/>
      <c r="AH807" s="42"/>
      <c r="AI807" s="43"/>
      <c r="AJ807" s="43"/>
      <c r="AK807" s="43"/>
      <c r="AL807" s="43"/>
      <c r="AM807" s="43"/>
      <c r="AN807" s="42"/>
      <c r="AO807" s="42"/>
      <c r="AP807" s="42"/>
      <c r="AQ807" s="43"/>
      <c r="AR807" s="42"/>
      <c r="AS807" s="42"/>
    </row>
    <row r="808" spans="1:45" ht="15" customHeight="1">
      <c r="A808" s="21" t="s">
        <v>260</v>
      </c>
      <c r="B808" s="21" t="s">
        <v>46</v>
      </c>
      <c r="C808" s="21" t="s">
        <v>188</v>
      </c>
      <c r="D808" s="21" t="s">
        <v>48</v>
      </c>
      <c r="E808" s="80" t="s">
        <v>919</v>
      </c>
      <c r="F808" s="21" t="s">
        <v>920</v>
      </c>
      <c r="G808" s="101" t="s">
        <v>77</v>
      </c>
      <c r="H808" s="25" t="s">
        <v>1038</v>
      </c>
      <c r="I808" s="102" t="s">
        <v>78</v>
      </c>
      <c r="J808" s="65" t="s">
        <v>1039</v>
      </c>
      <c r="K808" s="104"/>
      <c r="L808" s="48" t="s">
        <v>923</v>
      </c>
      <c r="M808" s="27">
        <v>44468</v>
      </c>
      <c r="N808" s="105" t="s">
        <v>182</v>
      </c>
      <c r="O808" s="106">
        <v>8595</v>
      </c>
      <c r="P808" s="106">
        <v>69</v>
      </c>
      <c r="Q808" s="51">
        <f t="shared" si="22"/>
        <v>593055</v>
      </c>
      <c r="R808" s="31">
        <v>202310</v>
      </c>
      <c r="S808" s="107" t="s">
        <v>1058</v>
      </c>
      <c r="T808" s="67"/>
      <c r="U808" s="107"/>
      <c r="V808" s="67"/>
      <c r="W808" s="67"/>
      <c r="X808" s="67"/>
      <c r="Y808" s="36">
        <v>44356</v>
      </c>
      <c r="Z808" s="36">
        <v>46546</v>
      </c>
      <c r="AA808" s="36"/>
      <c r="AB808" s="36"/>
      <c r="AC808" s="36"/>
      <c r="AD808" s="36"/>
      <c r="AE808" s="36"/>
      <c r="AF808" s="53" t="s">
        <v>68</v>
      </c>
      <c r="AG808" s="42"/>
      <c r="AH808" s="42"/>
      <c r="AI808" s="43"/>
      <c r="AJ808" s="43"/>
      <c r="AK808" s="43"/>
      <c r="AL808" s="43"/>
      <c r="AM808" s="43"/>
      <c r="AN808" s="42"/>
      <c r="AO808" s="42"/>
      <c r="AP808" s="42"/>
      <c r="AQ808" s="43"/>
      <c r="AR808" s="42"/>
      <c r="AS808" s="42"/>
    </row>
    <row r="809" spans="1:45" ht="15" customHeight="1">
      <c r="A809" s="21" t="s">
        <v>260</v>
      </c>
      <c r="B809" s="21" t="s">
        <v>46</v>
      </c>
      <c r="C809" s="21" t="s">
        <v>188</v>
      </c>
      <c r="D809" s="21" t="s">
        <v>48</v>
      </c>
      <c r="E809" s="80" t="s">
        <v>919</v>
      </c>
      <c r="F809" s="21" t="s">
        <v>920</v>
      </c>
      <c r="G809" s="101" t="s">
        <v>77</v>
      </c>
      <c r="H809" s="25" t="s">
        <v>1038</v>
      </c>
      <c r="I809" s="102" t="s">
        <v>78</v>
      </c>
      <c r="J809" s="65" t="s">
        <v>1039</v>
      </c>
      <c r="K809" s="104"/>
      <c r="L809" s="48" t="s">
        <v>923</v>
      </c>
      <c r="M809" s="27">
        <v>44468</v>
      </c>
      <c r="N809" s="105" t="s">
        <v>182</v>
      </c>
      <c r="O809" s="106">
        <v>8595</v>
      </c>
      <c r="P809" s="106">
        <v>10</v>
      </c>
      <c r="Q809" s="51">
        <f t="shared" si="22"/>
        <v>85950</v>
      </c>
      <c r="R809" s="31">
        <v>202310</v>
      </c>
      <c r="S809" s="107" t="s">
        <v>1059</v>
      </c>
      <c r="T809" s="67"/>
      <c r="U809" s="107"/>
      <c r="V809" s="67"/>
      <c r="W809" s="67"/>
      <c r="X809" s="67"/>
      <c r="Y809" s="36">
        <v>44356</v>
      </c>
      <c r="Z809" s="36">
        <v>46546</v>
      </c>
      <c r="AA809" s="36"/>
      <c r="AB809" s="36"/>
      <c r="AC809" s="36"/>
      <c r="AD809" s="36"/>
      <c r="AE809" s="36"/>
      <c r="AF809" s="53" t="s">
        <v>68</v>
      </c>
      <c r="AG809" s="42"/>
      <c r="AH809" s="42"/>
      <c r="AI809" s="43"/>
      <c r="AJ809" s="43"/>
      <c r="AK809" s="43"/>
      <c r="AL809" s="43"/>
      <c r="AM809" s="43"/>
      <c r="AN809" s="42"/>
      <c r="AO809" s="42"/>
      <c r="AP809" s="42"/>
      <c r="AQ809" s="43"/>
      <c r="AR809" s="42"/>
      <c r="AS809" s="42"/>
    </row>
    <row r="810" spans="1:45" ht="15" customHeight="1">
      <c r="A810" s="21" t="s">
        <v>260</v>
      </c>
      <c r="B810" s="21" t="s">
        <v>46</v>
      </c>
      <c r="C810" s="21" t="s">
        <v>188</v>
      </c>
      <c r="D810" s="21" t="s">
        <v>48</v>
      </c>
      <c r="E810" s="80" t="s">
        <v>919</v>
      </c>
      <c r="F810" s="21" t="s">
        <v>920</v>
      </c>
      <c r="G810" s="101" t="s">
        <v>77</v>
      </c>
      <c r="H810" s="25" t="s">
        <v>1038</v>
      </c>
      <c r="I810" s="102" t="s">
        <v>78</v>
      </c>
      <c r="J810" s="65" t="s">
        <v>1039</v>
      </c>
      <c r="K810" s="104"/>
      <c r="L810" s="48" t="s">
        <v>923</v>
      </c>
      <c r="M810" s="27">
        <v>44483</v>
      </c>
      <c r="N810" s="105" t="s">
        <v>182</v>
      </c>
      <c r="O810" s="106">
        <v>8595</v>
      </c>
      <c r="P810" s="106">
        <v>10</v>
      </c>
      <c r="Q810" s="51">
        <f t="shared" si="22"/>
        <v>85950</v>
      </c>
      <c r="R810" s="31">
        <v>202310</v>
      </c>
      <c r="S810" s="107" t="s">
        <v>1060</v>
      </c>
      <c r="T810" s="67"/>
      <c r="U810" s="107"/>
      <c r="V810" s="67"/>
      <c r="W810" s="67"/>
      <c r="X810" s="67"/>
      <c r="Y810" s="36">
        <v>44356</v>
      </c>
      <c r="Z810" s="36">
        <v>46546</v>
      </c>
      <c r="AA810" s="36"/>
      <c r="AB810" s="36"/>
      <c r="AC810" s="36"/>
      <c r="AD810" s="36"/>
      <c r="AE810" s="36"/>
      <c r="AF810" s="53" t="s">
        <v>68</v>
      </c>
      <c r="AG810" s="42"/>
      <c r="AH810" s="42"/>
      <c r="AI810" s="43"/>
      <c r="AJ810" s="43"/>
      <c r="AK810" s="43"/>
      <c r="AL810" s="43"/>
      <c r="AM810" s="43"/>
      <c r="AN810" s="42"/>
      <c r="AO810" s="42"/>
      <c r="AP810" s="42"/>
      <c r="AQ810" s="43"/>
      <c r="AR810" s="42"/>
      <c r="AS810" s="42"/>
    </row>
    <row r="811" spans="1:45" ht="15" customHeight="1">
      <c r="A811" s="21" t="s">
        <v>260</v>
      </c>
      <c r="B811" s="21" t="s">
        <v>46</v>
      </c>
      <c r="C811" s="21" t="s">
        <v>188</v>
      </c>
      <c r="D811" s="21" t="s">
        <v>48</v>
      </c>
      <c r="E811" s="80" t="s">
        <v>919</v>
      </c>
      <c r="F811" s="21" t="s">
        <v>920</v>
      </c>
      <c r="G811" s="101" t="s">
        <v>77</v>
      </c>
      <c r="H811" s="25" t="s">
        <v>1038</v>
      </c>
      <c r="I811" s="102" t="s">
        <v>78</v>
      </c>
      <c r="J811" s="65" t="s">
        <v>1039</v>
      </c>
      <c r="K811" s="104"/>
      <c r="L811" s="48" t="s">
        <v>923</v>
      </c>
      <c r="M811" s="27">
        <v>44483</v>
      </c>
      <c r="N811" s="105" t="s">
        <v>182</v>
      </c>
      <c r="O811" s="106">
        <v>8595</v>
      </c>
      <c r="P811" s="106">
        <v>51</v>
      </c>
      <c r="Q811" s="51">
        <f t="shared" si="22"/>
        <v>438345</v>
      </c>
      <c r="R811" s="31">
        <v>202310</v>
      </c>
      <c r="S811" s="54" t="s">
        <v>1061</v>
      </c>
      <c r="T811" s="54"/>
      <c r="U811" s="54"/>
      <c r="V811" s="54"/>
      <c r="W811" s="67"/>
      <c r="X811" s="67"/>
      <c r="Y811" s="36">
        <v>44356</v>
      </c>
      <c r="Z811" s="36">
        <v>46546</v>
      </c>
      <c r="AA811" s="36"/>
      <c r="AB811" s="36"/>
      <c r="AC811" s="36"/>
      <c r="AD811" s="36"/>
      <c r="AE811" s="36"/>
      <c r="AF811" s="53" t="s">
        <v>68</v>
      </c>
      <c r="AG811" s="42"/>
      <c r="AH811" s="42"/>
      <c r="AI811" s="43"/>
      <c r="AJ811" s="43"/>
      <c r="AK811" s="43"/>
      <c r="AL811" s="43"/>
      <c r="AM811" s="43"/>
      <c r="AN811" s="42"/>
      <c r="AO811" s="42"/>
      <c r="AP811" s="42"/>
      <c r="AQ811" s="43"/>
      <c r="AR811" s="42"/>
      <c r="AS811" s="42"/>
    </row>
    <row r="812" spans="1:45" ht="15" customHeight="1">
      <c r="A812" s="21" t="s">
        <v>260</v>
      </c>
      <c r="B812" s="21" t="s">
        <v>46</v>
      </c>
      <c r="C812" s="21" t="s">
        <v>188</v>
      </c>
      <c r="D812" s="21" t="s">
        <v>48</v>
      </c>
      <c r="E812" s="80" t="s">
        <v>919</v>
      </c>
      <c r="F812" s="21" t="s">
        <v>920</v>
      </c>
      <c r="G812" s="101" t="s">
        <v>77</v>
      </c>
      <c r="H812" s="25" t="s">
        <v>1038</v>
      </c>
      <c r="I812" s="102" t="s">
        <v>78</v>
      </c>
      <c r="J812" s="65" t="s">
        <v>1039</v>
      </c>
      <c r="K812" s="104"/>
      <c r="L812" s="48" t="s">
        <v>923</v>
      </c>
      <c r="M812" s="27">
        <v>44484</v>
      </c>
      <c r="N812" s="105" t="s">
        <v>182</v>
      </c>
      <c r="O812" s="106">
        <v>8595</v>
      </c>
      <c r="P812" s="106">
        <v>31</v>
      </c>
      <c r="Q812" s="51">
        <f t="shared" si="22"/>
        <v>266445</v>
      </c>
      <c r="R812" s="31">
        <v>202310</v>
      </c>
      <c r="S812" s="54" t="s">
        <v>1062</v>
      </c>
      <c r="T812" s="54"/>
      <c r="U812" s="54"/>
      <c r="V812" s="54"/>
      <c r="W812" s="67"/>
      <c r="X812" s="67"/>
      <c r="Y812" s="36">
        <v>44356</v>
      </c>
      <c r="Z812" s="36">
        <v>46546</v>
      </c>
      <c r="AA812" s="36"/>
      <c r="AB812" s="36"/>
      <c r="AC812" s="36"/>
      <c r="AD812" s="36"/>
      <c r="AE812" s="36"/>
      <c r="AF812" s="53" t="s">
        <v>68</v>
      </c>
      <c r="AG812" s="42"/>
      <c r="AH812" s="42"/>
      <c r="AI812" s="43"/>
      <c r="AJ812" s="43"/>
      <c r="AK812" s="43"/>
      <c r="AL812" s="43"/>
      <c r="AM812" s="43"/>
      <c r="AN812" s="42"/>
      <c r="AO812" s="42"/>
      <c r="AP812" s="42"/>
      <c r="AQ812" s="43"/>
      <c r="AR812" s="42"/>
      <c r="AS812" s="42"/>
    </row>
    <row r="813" spans="1:45" ht="15" customHeight="1">
      <c r="A813" s="21" t="s">
        <v>260</v>
      </c>
      <c r="B813" s="21" t="s">
        <v>46</v>
      </c>
      <c r="C813" s="21" t="s">
        <v>188</v>
      </c>
      <c r="D813" s="21" t="s">
        <v>48</v>
      </c>
      <c r="E813" s="80" t="s">
        <v>919</v>
      </c>
      <c r="F813" s="21" t="s">
        <v>920</v>
      </c>
      <c r="G813" s="101" t="s">
        <v>77</v>
      </c>
      <c r="H813" s="25" t="s">
        <v>1038</v>
      </c>
      <c r="I813" s="102" t="s">
        <v>78</v>
      </c>
      <c r="J813" s="65" t="s">
        <v>1039</v>
      </c>
      <c r="K813" s="104"/>
      <c r="L813" s="48" t="s">
        <v>923</v>
      </c>
      <c r="M813" s="27">
        <v>44487</v>
      </c>
      <c r="N813" s="105" t="s">
        <v>182</v>
      </c>
      <c r="O813" s="106">
        <v>8595</v>
      </c>
      <c r="P813" s="106">
        <v>2</v>
      </c>
      <c r="Q813" s="51">
        <f t="shared" si="22"/>
        <v>17190</v>
      </c>
      <c r="R813" s="31">
        <v>202310</v>
      </c>
      <c r="S813" s="107" t="s">
        <v>1063</v>
      </c>
      <c r="T813" s="67"/>
      <c r="U813" s="107"/>
      <c r="V813" s="67"/>
      <c r="W813" s="67"/>
      <c r="X813" s="67"/>
      <c r="Y813" s="36">
        <v>44356</v>
      </c>
      <c r="Z813" s="36">
        <v>46546</v>
      </c>
      <c r="AA813" s="36"/>
      <c r="AB813" s="36"/>
      <c r="AC813" s="36"/>
      <c r="AD813" s="36"/>
      <c r="AE813" s="36"/>
      <c r="AF813" s="53" t="s">
        <v>68</v>
      </c>
      <c r="AG813" s="42"/>
      <c r="AH813" s="42"/>
      <c r="AI813" s="43"/>
      <c r="AJ813" s="43"/>
      <c r="AK813" s="43"/>
      <c r="AL813" s="43"/>
      <c r="AM813" s="43"/>
      <c r="AN813" s="42"/>
      <c r="AO813" s="42"/>
      <c r="AP813" s="42"/>
      <c r="AQ813" s="43"/>
      <c r="AR813" s="42"/>
      <c r="AS813" s="42"/>
    </row>
    <row r="814" spans="1:45" ht="15" customHeight="1">
      <c r="A814" s="21" t="s">
        <v>260</v>
      </c>
      <c r="B814" s="21" t="s">
        <v>46</v>
      </c>
      <c r="C814" s="21" t="s">
        <v>188</v>
      </c>
      <c r="D814" s="21" t="s">
        <v>48</v>
      </c>
      <c r="E814" s="80" t="s">
        <v>919</v>
      </c>
      <c r="F814" s="21" t="s">
        <v>920</v>
      </c>
      <c r="G814" s="101" t="s">
        <v>77</v>
      </c>
      <c r="H814" s="25" t="s">
        <v>1038</v>
      </c>
      <c r="I814" s="102" t="s">
        <v>78</v>
      </c>
      <c r="J814" s="65" t="s">
        <v>1039</v>
      </c>
      <c r="K814" s="104"/>
      <c r="L814" s="48" t="s">
        <v>923</v>
      </c>
      <c r="M814" s="27">
        <v>44495</v>
      </c>
      <c r="N814" s="105" t="s">
        <v>182</v>
      </c>
      <c r="O814" s="106">
        <v>8595</v>
      </c>
      <c r="P814" s="106">
        <v>4</v>
      </c>
      <c r="Q814" s="51">
        <f t="shared" si="22"/>
        <v>34380</v>
      </c>
      <c r="R814" s="31">
        <v>202310</v>
      </c>
      <c r="S814" s="107" t="s">
        <v>1064</v>
      </c>
      <c r="T814" s="67"/>
      <c r="U814" s="107"/>
      <c r="V814" s="67"/>
      <c r="W814" s="67"/>
      <c r="X814" s="67"/>
      <c r="Y814" s="36">
        <v>44356</v>
      </c>
      <c r="Z814" s="36">
        <v>46546</v>
      </c>
      <c r="AA814" s="36"/>
      <c r="AB814" s="36"/>
      <c r="AC814" s="36"/>
      <c r="AD814" s="36"/>
      <c r="AE814" s="36"/>
      <c r="AF814" s="53" t="s">
        <v>68</v>
      </c>
      <c r="AG814" s="42"/>
      <c r="AH814" s="42"/>
      <c r="AI814" s="43"/>
      <c r="AJ814" s="43"/>
      <c r="AK814" s="43"/>
      <c r="AL814" s="43"/>
      <c r="AM814" s="43"/>
      <c r="AN814" s="42"/>
      <c r="AO814" s="42"/>
      <c r="AP814" s="42"/>
      <c r="AQ814" s="43"/>
      <c r="AR814" s="42"/>
      <c r="AS814" s="42"/>
    </row>
    <row r="815" spans="1:45" ht="15" customHeight="1">
      <c r="A815" s="21" t="s">
        <v>260</v>
      </c>
      <c r="B815" s="21" t="s">
        <v>46</v>
      </c>
      <c r="C815" s="21" t="s">
        <v>188</v>
      </c>
      <c r="D815" s="21" t="s">
        <v>48</v>
      </c>
      <c r="E815" s="80" t="s">
        <v>919</v>
      </c>
      <c r="F815" s="21" t="s">
        <v>920</v>
      </c>
      <c r="G815" s="101" t="s">
        <v>77</v>
      </c>
      <c r="H815" s="25" t="s">
        <v>1038</v>
      </c>
      <c r="I815" s="102" t="s">
        <v>78</v>
      </c>
      <c r="J815" s="65" t="s">
        <v>1039</v>
      </c>
      <c r="K815" s="104"/>
      <c r="L815" s="48" t="s">
        <v>923</v>
      </c>
      <c r="M815" s="27">
        <v>44501</v>
      </c>
      <c r="N815" s="105" t="s">
        <v>182</v>
      </c>
      <c r="O815" s="106">
        <v>8595</v>
      </c>
      <c r="P815" s="106">
        <v>1</v>
      </c>
      <c r="Q815" s="51">
        <f t="shared" si="22"/>
        <v>8595</v>
      </c>
      <c r="R815" s="31">
        <v>202310</v>
      </c>
      <c r="S815" s="107" t="s">
        <v>1065</v>
      </c>
      <c r="T815" s="67"/>
      <c r="U815" s="107"/>
      <c r="V815" s="67"/>
      <c r="W815" s="67"/>
      <c r="X815" s="67"/>
      <c r="Y815" s="36">
        <v>44356</v>
      </c>
      <c r="Z815" s="36">
        <v>46546</v>
      </c>
      <c r="AA815" s="36"/>
      <c r="AB815" s="36"/>
      <c r="AC815" s="36"/>
      <c r="AD815" s="36"/>
      <c r="AE815" s="36"/>
      <c r="AF815" s="53" t="s">
        <v>68</v>
      </c>
      <c r="AG815" s="42"/>
      <c r="AH815" s="42"/>
      <c r="AI815" s="43"/>
      <c r="AJ815" s="43"/>
      <c r="AK815" s="43"/>
      <c r="AL815" s="43"/>
      <c r="AM815" s="43"/>
      <c r="AN815" s="42"/>
      <c r="AO815" s="42"/>
      <c r="AP815" s="42"/>
      <c r="AQ815" s="43"/>
      <c r="AR815" s="42"/>
      <c r="AS815" s="42"/>
    </row>
    <row r="816" spans="1:45" ht="15" customHeight="1">
      <c r="A816" s="21" t="s">
        <v>260</v>
      </c>
      <c r="B816" s="21" t="s">
        <v>46</v>
      </c>
      <c r="C816" s="21" t="s">
        <v>188</v>
      </c>
      <c r="D816" s="21" t="s">
        <v>48</v>
      </c>
      <c r="E816" s="80" t="s">
        <v>919</v>
      </c>
      <c r="F816" s="21" t="s">
        <v>920</v>
      </c>
      <c r="G816" s="101" t="s">
        <v>77</v>
      </c>
      <c r="H816" s="25" t="s">
        <v>1038</v>
      </c>
      <c r="I816" s="102" t="s">
        <v>78</v>
      </c>
      <c r="J816" s="65" t="s">
        <v>1039</v>
      </c>
      <c r="K816" s="104"/>
      <c r="L816" s="48" t="s">
        <v>923</v>
      </c>
      <c r="M816" s="27">
        <v>44551</v>
      </c>
      <c r="N816" s="105" t="s">
        <v>182</v>
      </c>
      <c r="O816" s="106">
        <v>8595</v>
      </c>
      <c r="P816" s="106">
        <v>-10</v>
      </c>
      <c r="Q816" s="51">
        <f t="shared" si="22"/>
        <v>-85950</v>
      </c>
      <c r="R816" s="31">
        <v>202310</v>
      </c>
      <c r="S816" s="107" t="s">
        <v>1066</v>
      </c>
      <c r="T816" s="67"/>
      <c r="U816" s="107"/>
      <c r="V816" s="67"/>
      <c r="W816" s="67"/>
      <c r="X816" s="67"/>
      <c r="Y816" s="36">
        <v>44356</v>
      </c>
      <c r="Z816" s="36">
        <v>46546</v>
      </c>
      <c r="AA816" s="36"/>
      <c r="AB816" s="36"/>
      <c r="AC816" s="36"/>
      <c r="AD816" s="36"/>
      <c r="AE816" s="36"/>
      <c r="AF816" s="53" t="s">
        <v>68</v>
      </c>
      <c r="AG816" s="42"/>
      <c r="AH816" s="42"/>
      <c r="AI816" s="43"/>
      <c r="AJ816" s="43"/>
      <c r="AK816" s="43"/>
      <c r="AL816" s="43"/>
      <c r="AM816" s="43"/>
      <c r="AN816" s="42"/>
      <c r="AO816" s="42"/>
      <c r="AP816" s="42"/>
      <c r="AQ816" s="43"/>
      <c r="AR816" s="42"/>
      <c r="AS816" s="42"/>
    </row>
    <row r="817" spans="1:45" ht="15" customHeight="1">
      <c r="A817" s="21" t="s">
        <v>260</v>
      </c>
      <c r="B817" s="21" t="s">
        <v>46</v>
      </c>
      <c r="C817" s="21" t="s">
        <v>188</v>
      </c>
      <c r="D817" s="21" t="s">
        <v>48</v>
      </c>
      <c r="E817" s="80" t="s">
        <v>919</v>
      </c>
      <c r="F817" s="21" t="s">
        <v>920</v>
      </c>
      <c r="G817" s="101" t="s">
        <v>77</v>
      </c>
      <c r="H817" s="25" t="s">
        <v>1038</v>
      </c>
      <c r="I817" s="102" t="s">
        <v>78</v>
      </c>
      <c r="J817" s="65" t="s">
        <v>1039</v>
      </c>
      <c r="K817" s="104"/>
      <c r="L817" s="48" t="s">
        <v>923</v>
      </c>
      <c r="M817" s="27">
        <v>44560</v>
      </c>
      <c r="N817" s="105" t="s">
        <v>182</v>
      </c>
      <c r="O817" s="106">
        <v>8595</v>
      </c>
      <c r="P817" s="106">
        <v>10</v>
      </c>
      <c r="Q817" s="51">
        <f t="shared" si="22"/>
        <v>85950</v>
      </c>
      <c r="R817" s="31">
        <v>202310</v>
      </c>
      <c r="S817" s="107" t="s">
        <v>1067</v>
      </c>
      <c r="T817" s="67"/>
      <c r="U817" s="107"/>
      <c r="V817" s="67"/>
      <c r="W817" s="67"/>
      <c r="X817" s="67"/>
      <c r="Y817" s="36">
        <v>44356</v>
      </c>
      <c r="Z817" s="36">
        <v>46546</v>
      </c>
      <c r="AA817" s="36"/>
      <c r="AB817" s="36"/>
      <c r="AC817" s="36"/>
      <c r="AD817" s="36"/>
      <c r="AE817" s="36"/>
      <c r="AF817" s="53" t="s">
        <v>68</v>
      </c>
      <c r="AG817" s="42"/>
      <c r="AH817" s="42"/>
      <c r="AI817" s="43"/>
      <c r="AJ817" s="43"/>
      <c r="AK817" s="43"/>
      <c r="AL817" s="43"/>
      <c r="AM817" s="43"/>
      <c r="AN817" s="42"/>
      <c r="AO817" s="42"/>
      <c r="AP817" s="42"/>
      <c r="AQ817" s="43"/>
      <c r="AR817" s="42"/>
      <c r="AS817" s="42"/>
    </row>
    <row r="818" spans="1:45" ht="15" customHeight="1">
      <c r="A818" s="21" t="s">
        <v>260</v>
      </c>
      <c r="B818" s="21" t="s">
        <v>46</v>
      </c>
      <c r="C818" s="21" t="s">
        <v>188</v>
      </c>
      <c r="D818" s="21" t="s">
        <v>48</v>
      </c>
      <c r="E818" s="80" t="s">
        <v>919</v>
      </c>
      <c r="F818" s="21" t="s">
        <v>920</v>
      </c>
      <c r="G818" s="101" t="s">
        <v>77</v>
      </c>
      <c r="H818" s="25" t="s">
        <v>1038</v>
      </c>
      <c r="I818" s="102" t="s">
        <v>78</v>
      </c>
      <c r="J818" s="65" t="s">
        <v>1039</v>
      </c>
      <c r="K818" s="104"/>
      <c r="L818" s="48" t="s">
        <v>923</v>
      </c>
      <c r="M818" s="27">
        <v>44609</v>
      </c>
      <c r="N818" s="105" t="s">
        <v>182</v>
      </c>
      <c r="O818" s="106">
        <v>8595</v>
      </c>
      <c r="P818" s="106">
        <v>2</v>
      </c>
      <c r="Q818" s="51">
        <f t="shared" si="22"/>
        <v>17190</v>
      </c>
      <c r="R818" s="31">
        <v>202310</v>
      </c>
      <c r="S818" s="107" t="s">
        <v>1068</v>
      </c>
      <c r="T818" s="67"/>
      <c r="U818" s="107"/>
      <c r="V818" s="67"/>
      <c r="W818" s="67"/>
      <c r="X818" s="67"/>
      <c r="Y818" s="36">
        <v>44356</v>
      </c>
      <c r="Z818" s="36">
        <v>46546</v>
      </c>
      <c r="AA818" s="36"/>
      <c r="AB818" s="36"/>
      <c r="AC818" s="36"/>
      <c r="AD818" s="36"/>
      <c r="AE818" s="36"/>
      <c r="AF818" s="53" t="s">
        <v>68</v>
      </c>
      <c r="AG818" s="42"/>
      <c r="AH818" s="42"/>
      <c r="AI818" s="43"/>
      <c r="AJ818" s="43"/>
      <c r="AK818" s="43"/>
      <c r="AL818" s="43"/>
      <c r="AM818" s="43"/>
      <c r="AN818" s="42"/>
      <c r="AO818" s="42"/>
      <c r="AP818" s="42"/>
      <c r="AQ818" s="43"/>
      <c r="AR818" s="42"/>
      <c r="AS818" s="42"/>
    </row>
    <row r="819" spans="1:45" ht="15" customHeight="1">
      <c r="A819" s="65" t="s">
        <v>260</v>
      </c>
      <c r="B819" s="22" t="s">
        <v>46</v>
      </c>
      <c r="C819" s="21" t="s">
        <v>188</v>
      </c>
      <c r="D819" s="21" t="s">
        <v>48</v>
      </c>
      <c r="E819" s="66" t="s">
        <v>919</v>
      </c>
      <c r="F819" s="65" t="s">
        <v>920</v>
      </c>
      <c r="G819" s="26" t="s">
        <v>77</v>
      </c>
      <c r="H819" s="45" t="s">
        <v>1038</v>
      </c>
      <c r="I819" s="26" t="s">
        <v>78</v>
      </c>
      <c r="J819" s="65" t="s">
        <v>1039</v>
      </c>
      <c r="K819" s="47"/>
      <c r="L819" s="48" t="s">
        <v>923</v>
      </c>
      <c r="M819" s="49">
        <v>44620</v>
      </c>
      <c r="N819" s="47" t="s">
        <v>182</v>
      </c>
      <c r="O819" s="61">
        <v>8595</v>
      </c>
      <c r="P819" s="61">
        <v>8</v>
      </c>
      <c r="Q819" s="51">
        <f t="shared" si="22"/>
        <v>68760</v>
      </c>
      <c r="R819" s="31">
        <v>202310</v>
      </c>
      <c r="S819" s="154" t="s">
        <v>1069</v>
      </c>
      <c r="T819" s="54"/>
      <c r="U819" s="32"/>
      <c r="V819" s="33"/>
      <c r="W819" s="67"/>
      <c r="X819" s="67"/>
      <c r="Y819" s="36">
        <v>44356</v>
      </c>
      <c r="Z819" s="36">
        <v>46546</v>
      </c>
      <c r="AA819" s="36"/>
      <c r="AB819" s="36"/>
      <c r="AC819" s="36"/>
      <c r="AD819" s="36"/>
      <c r="AE819" s="36"/>
      <c r="AF819" s="53" t="s">
        <v>68</v>
      </c>
      <c r="AG819" s="42"/>
      <c r="AH819" s="42"/>
      <c r="AI819" s="43"/>
      <c r="AJ819" s="43"/>
      <c r="AK819" s="43"/>
      <c r="AL819" s="43"/>
      <c r="AM819" s="43"/>
      <c r="AN819" s="42"/>
      <c r="AO819" s="42"/>
      <c r="AP819" s="42"/>
      <c r="AQ819" s="43"/>
      <c r="AR819" s="42"/>
      <c r="AS819" s="42"/>
    </row>
    <row r="820" spans="1:45" ht="15" customHeight="1">
      <c r="A820" s="21" t="s">
        <v>260</v>
      </c>
      <c r="B820" s="21" t="s">
        <v>46</v>
      </c>
      <c r="C820" s="21" t="s">
        <v>188</v>
      </c>
      <c r="D820" s="21" t="s">
        <v>48</v>
      </c>
      <c r="E820" s="80" t="s">
        <v>919</v>
      </c>
      <c r="F820" s="21" t="s">
        <v>920</v>
      </c>
      <c r="G820" s="101" t="s">
        <v>77</v>
      </c>
      <c r="H820" s="25" t="s">
        <v>1038</v>
      </c>
      <c r="I820" s="102" t="s">
        <v>78</v>
      </c>
      <c r="J820" s="65" t="s">
        <v>1039</v>
      </c>
      <c r="K820" s="104"/>
      <c r="L820" s="48" t="s">
        <v>923</v>
      </c>
      <c r="M820" s="27">
        <v>44621</v>
      </c>
      <c r="N820" s="105" t="s">
        <v>182</v>
      </c>
      <c r="O820" s="106">
        <v>8595</v>
      </c>
      <c r="P820" s="106">
        <v>1</v>
      </c>
      <c r="Q820" s="51">
        <f t="shared" si="22"/>
        <v>8595</v>
      </c>
      <c r="R820" s="31">
        <v>202310</v>
      </c>
      <c r="S820" s="107" t="s">
        <v>1070</v>
      </c>
      <c r="T820" s="67"/>
      <c r="U820" s="107"/>
      <c r="V820" s="67"/>
      <c r="W820" s="67"/>
      <c r="X820" s="67"/>
      <c r="Y820" s="36">
        <v>44356</v>
      </c>
      <c r="Z820" s="36">
        <v>46546</v>
      </c>
      <c r="AA820" s="36"/>
      <c r="AB820" s="36"/>
      <c r="AC820" s="36"/>
      <c r="AD820" s="36"/>
      <c r="AE820" s="36"/>
      <c r="AF820" s="53" t="s">
        <v>68</v>
      </c>
      <c r="AG820" s="42"/>
      <c r="AH820" s="42"/>
      <c r="AI820" s="43"/>
      <c r="AJ820" s="43"/>
      <c r="AK820" s="43"/>
      <c r="AL820" s="43"/>
      <c r="AM820" s="43"/>
      <c r="AN820" s="42"/>
      <c r="AO820" s="42"/>
      <c r="AP820" s="42"/>
      <c r="AQ820" s="43"/>
      <c r="AR820" s="42"/>
      <c r="AS820" s="42"/>
    </row>
    <row r="821" spans="1:45" ht="15" customHeight="1">
      <c r="A821" s="21" t="s">
        <v>260</v>
      </c>
      <c r="B821" s="21" t="s">
        <v>46</v>
      </c>
      <c r="C821" s="21" t="s">
        <v>188</v>
      </c>
      <c r="D821" s="21" t="s">
        <v>48</v>
      </c>
      <c r="E821" s="80" t="s">
        <v>919</v>
      </c>
      <c r="F821" s="21" t="s">
        <v>920</v>
      </c>
      <c r="G821" s="101" t="s">
        <v>77</v>
      </c>
      <c r="H821" s="25" t="s">
        <v>1038</v>
      </c>
      <c r="I821" s="102" t="s">
        <v>78</v>
      </c>
      <c r="J821" s="65" t="s">
        <v>1039</v>
      </c>
      <c r="K821" s="104"/>
      <c r="L821" s="48" t="s">
        <v>923</v>
      </c>
      <c r="M821" s="27">
        <v>44630</v>
      </c>
      <c r="N821" s="105" t="s">
        <v>182</v>
      </c>
      <c r="O821" s="106">
        <v>8595</v>
      </c>
      <c r="P821" s="106">
        <v>-6</v>
      </c>
      <c r="Q821" s="51">
        <f t="shared" si="22"/>
        <v>-51570</v>
      </c>
      <c r="R821" s="31">
        <v>202310</v>
      </c>
      <c r="S821" s="107" t="s">
        <v>1071</v>
      </c>
      <c r="T821" s="67"/>
      <c r="U821" s="107"/>
      <c r="V821" s="67"/>
      <c r="W821" s="67"/>
      <c r="X821" s="67"/>
      <c r="Y821" s="36">
        <v>44356</v>
      </c>
      <c r="Z821" s="36">
        <v>46546</v>
      </c>
      <c r="AA821" s="36"/>
      <c r="AB821" s="36"/>
      <c r="AC821" s="36"/>
      <c r="AD821" s="36"/>
      <c r="AE821" s="36"/>
      <c r="AF821" s="53" t="s">
        <v>68</v>
      </c>
      <c r="AG821" s="42"/>
      <c r="AH821" s="42"/>
      <c r="AI821" s="43"/>
      <c r="AJ821" s="43"/>
      <c r="AK821" s="43"/>
      <c r="AL821" s="43"/>
      <c r="AM821" s="43"/>
      <c r="AN821" s="42"/>
      <c r="AO821" s="42"/>
      <c r="AP821" s="42"/>
      <c r="AQ821" s="43"/>
      <c r="AR821" s="42"/>
      <c r="AS821" s="42"/>
    </row>
    <row r="822" spans="1:45" ht="15" customHeight="1">
      <c r="A822" s="21" t="s">
        <v>260</v>
      </c>
      <c r="B822" s="21" t="s">
        <v>46</v>
      </c>
      <c r="C822" s="21" t="s">
        <v>188</v>
      </c>
      <c r="D822" s="21" t="s">
        <v>48</v>
      </c>
      <c r="E822" s="80" t="s">
        <v>919</v>
      </c>
      <c r="F822" s="21" t="s">
        <v>920</v>
      </c>
      <c r="G822" s="101" t="s">
        <v>77</v>
      </c>
      <c r="H822" s="25" t="s">
        <v>1038</v>
      </c>
      <c r="I822" s="102" t="s">
        <v>78</v>
      </c>
      <c r="J822" s="65" t="s">
        <v>1039</v>
      </c>
      <c r="K822" s="104"/>
      <c r="L822" s="48" t="s">
        <v>923</v>
      </c>
      <c r="M822" s="27">
        <v>44645</v>
      </c>
      <c r="N822" s="105" t="s">
        <v>182</v>
      </c>
      <c r="O822" s="106">
        <v>8595</v>
      </c>
      <c r="P822" s="106">
        <v>3</v>
      </c>
      <c r="Q822" s="51">
        <f t="shared" si="22"/>
        <v>25785</v>
      </c>
      <c r="R822" s="31">
        <v>202310</v>
      </c>
      <c r="S822" s="107" t="s">
        <v>1072</v>
      </c>
      <c r="T822" s="67"/>
      <c r="U822" s="107"/>
      <c r="V822" s="67"/>
      <c r="W822" s="67"/>
      <c r="X822" s="67"/>
      <c r="Y822" s="36">
        <v>44356</v>
      </c>
      <c r="Z822" s="36">
        <v>46546</v>
      </c>
      <c r="AA822" s="36"/>
      <c r="AB822" s="36"/>
      <c r="AC822" s="36"/>
      <c r="AD822" s="36"/>
      <c r="AE822" s="36"/>
      <c r="AF822" s="53" t="s">
        <v>68</v>
      </c>
      <c r="AG822" s="42"/>
      <c r="AH822" s="42"/>
      <c r="AI822" s="43"/>
      <c r="AJ822" s="43"/>
      <c r="AK822" s="43"/>
      <c r="AL822" s="43"/>
      <c r="AM822" s="43"/>
      <c r="AN822" s="42"/>
      <c r="AO822" s="42"/>
      <c r="AP822" s="42"/>
      <c r="AQ822" s="43"/>
      <c r="AR822" s="42"/>
      <c r="AS822" s="42"/>
    </row>
    <row r="823" spans="1:45" ht="15" customHeight="1">
      <c r="A823" s="21" t="s">
        <v>260</v>
      </c>
      <c r="B823" s="21" t="s">
        <v>46</v>
      </c>
      <c r="C823" s="21" t="s">
        <v>188</v>
      </c>
      <c r="D823" s="21" t="s">
        <v>48</v>
      </c>
      <c r="E823" s="80" t="s">
        <v>919</v>
      </c>
      <c r="F823" s="21" t="s">
        <v>920</v>
      </c>
      <c r="G823" s="101" t="s">
        <v>77</v>
      </c>
      <c r="H823" s="25" t="s">
        <v>1038</v>
      </c>
      <c r="I823" s="102" t="s">
        <v>78</v>
      </c>
      <c r="J823" s="65" t="s">
        <v>1039</v>
      </c>
      <c r="K823" s="104"/>
      <c r="L823" s="48" t="s">
        <v>923</v>
      </c>
      <c r="M823" s="27">
        <v>44755</v>
      </c>
      <c r="N823" s="105" t="s">
        <v>177</v>
      </c>
      <c r="O823" s="106">
        <v>5900</v>
      </c>
      <c r="P823" s="106">
        <v>2</v>
      </c>
      <c r="Q823" s="51">
        <f t="shared" si="22"/>
        <v>11800</v>
      </c>
      <c r="R823" s="31">
        <v>202310</v>
      </c>
      <c r="S823" s="107" t="s">
        <v>1073</v>
      </c>
      <c r="T823" s="67"/>
      <c r="U823" s="107"/>
      <c r="V823" s="67"/>
      <c r="W823" s="67"/>
      <c r="X823" s="67"/>
      <c r="Y823" s="36">
        <v>44356</v>
      </c>
      <c r="Z823" s="36">
        <v>46546</v>
      </c>
      <c r="AA823" s="36"/>
      <c r="AB823" s="36"/>
      <c r="AC823" s="36"/>
      <c r="AD823" s="36"/>
      <c r="AE823" s="36"/>
      <c r="AF823" s="53" t="s">
        <v>68</v>
      </c>
      <c r="AG823" s="42"/>
      <c r="AH823" s="42"/>
      <c r="AI823" s="43"/>
      <c r="AJ823" s="43"/>
      <c r="AK823" s="43"/>
      <c r="AL823" s="43"/>
      <c r="AM823" s="43"/>
      <c r="AN823" s="42"/>
      <c r="AO823" s="42"/>
      <c r="AP823" s="42"/>
      <c r="AQ823" s="43"/>
      <c r="AR823" s="42"/>
      <c r="AS823" s="42"/>
    </row>
    <row r="824" spans="1:45" ht="15" customHeight="1">
      <c r="A824" s="21" t="s">
        <v>260</v>
      </c>
      <c r="B824" s="21" t="s">
        <v>46</v>
      </c>
      <c r="C824" s="21" t="s">
        <v>188</v>
      </c>
      <c r="D824" s="21" t="s">
        <v>48</v>
      </c>
      <c r="E824" s="80" t="s">
        <v>919</v>
      </c>
      <c r="F824" s="21" t="s">
        <v>920</v>
      </c>
      <c r="G824" s="101" t="s">
        <v>77</v>
      </c>
      <c r="H824" s="25" t="s">
        <v>1038</v>
      </c>
      <c r="I824" s="102" t="s">
        <v>78</v>
      </c>
      <c r="J824" s="65" t="s">
        <v>1039</v>
      </c>
      <c r="K824" s="104"/>
      <c r="L824" s="48" t="s">
        <v>923</v>
      </c>
      <c r="M824" s="27">
        <v>44757</v>
      </c>
      <c r="N824" s="105" t="s">
        <v>388</v>
      </c>
      <c r="O824" s="106">
        <v>11200</v>
      </c>
      <c r="P824" s="106">
        <v>4</v>
      </c>
      <c r="Q824" s="51">
        <f t="shared" si="22"/>
        <v>44800</v>
      </c>
      <c r="R824" s="31">
        <v>202310</v>
      </c>
      <c r="S824" s="107" t="s">
        <v>1074</v>
      </c>
      <c r="T824" s="67"/>
      <c r="U824" s="107"/>
      <c r="V824" s="67"/>
      <c r="W824" s="67"/>
      <c r="X824" s="67"/>
      <c r="Y824" s="36">
        <v>44356</v>
      </c>
      <c r="Z824" s="36">
        <v>46546</v>
      </c>
      <c r="AA824" s="36"/>
      <c r="AB824" s="36"/>
      <c r="AC824" s="36"/>
      <c r="AD824" s="36"/>
      <c r="AE824" s="36"/>
      <c r="AF824" s="53" t="s">
        <v>68</v>
      </c>
      <c r="AG824" s="42"/>
      <c r="AH824" s="42"/>
      <c r="AI824" s="43"/>
      <c r="AJ824" s="43"/>
      <c r="AK824" s="43"/>
      <c r="AL824" s="43"/>
      <c r="AM824" s="43"/>
      <c r="AN824" s="42"/>
      <c r="AO824" s="42"/>
      <c r="AP824" s="42"/>
      <c r="AQ824" s="43"/>
      <c r="AR824" s="42"/>
      <c r="AS824" s="42"/>
    </row>
    <row r="825" spans="1:45" ht="15" customHeight="1">
      <c r="A825" s="21" t="s">
        <v>260</v>
      </c>
      <c r="B825" s="21" t="s">
        <v>46</v>
      </c>
      <c r="C825" s="21" t="s">
        <v>188</v>
      </c>
      <c r="D825" s="21" t="s">
        <v>48</v>
      </c>
      <c r="E825" s="80" t="s">
        <v>919</v>
      </c>
      <c r="F825" s="21" t="s">
        <v>920</v>
      </c>
      <c r="G825" s="101" t="s">
        <v>77</v>
      </c>
      <c r="H825" s="25" t="s">
        <v>1038</v>
      </c>
      <c r="I825" s="102" t="s">
        <v>78</v>
      </c>
      <c r="J825" s="65" t="s">
        <v>1039</v>
      </c>
      <c r="K825" s="104"/>
      <c r="L825" s="48" t="s">
        <v>923</v>
      </c>
      <c r="M825" s="27">
        <v>44862</v>
      </c>
      <c r="N825" s="105" t="s">
        <v>182</v>
      </c>
      <c r="O825" s="106">
        <v>8595</v>
      </c>
      <c r="P825" s="106">
        <v>-13</v>
      </c>
      <c r="Q825" s="51">
        <f t="shared" si="22"/>
        <v>-111735</v>
      </c>
      <c r="R825" s="31">
        <v>202310</v>
      </c>
      <c r="S825" s="107" t="s">
        <v>1075</v>
      </c>
      <c r="T825" s="67"/>
      <c r="U825" s="107"/>
      <c r="V825" s="67"/>
      <c r="W825" s="67"/>
      <c r="X825" s="67"/>
      <c r="Y825" s="36">
        <v>44356</v>
      </c>
      <c r="Z825" s="36">
        <v>46546</v>
      </c>
      <c r="AA825" s="36"/>
      <c r="AB825" s="36"/>
      <c r="AC825" s="36"/>
      <c r="AD825" s="36"/>
      <c r="AE825" s="36"/>
      <c r="AF825" s="53" t="s">
        <v>68</v>
      </c>
      <c r="AG825" s="42"/>
      <c r="AH825" s="42"/>
      <c r="AI825" s="43"/>
      <c r="AJ825" s="43"/>
      <c r="AK825" s="43"/>
      <c r="AL825" s="43"/>
      <c r="AM825" s="43"/>
      <c r="AN825" s="42"/>
      <c r="AO825" s="42"/>
      <c r="AP825" s="42"/>
      <c r="AQ825" s="43"/>
      <c r="AR825" s="42"/>
      <c r="AS825" s="42"/>
    </row>
    <row r="826" spans="1:45" ht="15" customHeight="1">
      <c r="A826" s="21" t="s">
        <v>260</v>
      </c>
      <c r="B826" s="21" t="s">
        <v>46</v>
      </c>
      <c r="C826" s="21" t="s">
        <v>188</v>
      </c>
      <c r="D826" s="21" t="s">
        <v>48</v>
      </c>
      <c r="E826" s="80" t="s">
        <v>919</v>
      </c>
      <c r="F826" s="21" t="s">
        <v>920</v>
      </c>
      <c r="G826" s="101" t="s">
        <v>77</v>
      </c>
      <c r="H826" s="25" t="s">
        <v>1038</v>
      </c>
      <c r="I826" s="102" t="s">
        <v>78</v>
      </c>
      <c r="J826" s="65" t="s">
        <v>1039</v>
      </c>
      <c r="K826" s="104"/>
      <c r="L826" s="48" t="s">
        <v>923</v>
      </c>
      <c r="M826" s="27">
        <v>44866</v>
      </c>
      <c r="N826" s="105" t="s">
        <v>382</v>
      </c>
      <c r="O826" s="106">
        <v>0</v>
      </c>
      <c r="P826" s="106">
        <v>20</v>
      </c>
      <c r="Q826" s="51">
        <f t="shared" si="22"/>
        <v>0</v>
      </c>
      <c r="R826" s="31">
        <v>202310</v>
      </c>
      <c r="S826" s="107" t="s">
        <v>1076</v>
      </c>
      <c r="T826" s="67"/>
      <c r="U826" s="107"/>
      <c r="V826" s="67"/>
      <c r="W826" s="67"/>
      <c r="X826" s="67"/>
      <c r="Y826" s="36">
        <v>44356</v>
      </c>
      <c r="Z826" s="36">
        <v>46546</v>
      </c>
      <c r="AA826" s="36"/>
      <c r="AB826" s="36"/>
      <c r="AC826" s="36"/>
      <c r="AD826" s="36"/>
      <c r="AE826" s="36"/>
      <c r="AF826" s="53" t="s">
        <v>68</v>
      </c>
      <c r="AG826" s="42"/>
      <c r="AH826" s="42"/>
      <c r="AI826" s="43"/>
      <c r="AJ826" s="43"/>
      <c r="AK826" s="43"/>
      <c r="AL826" s="43"/>
      <c r="AM826" s="43"/>
      <c r="AN826" s="42"/>
      <c r="AO826" s="42"/>
      <c r="AP826" s="42"/>
      <c r="AQ826" s="43"/>
      <c r="AR826" s="42"/>
      <c r="AS826" s="42"/>
    </row>
    <row r="827" spans="1:45" ht="15" customHeight="1">
      <c r="A827" s="21" t="s">
        <v>260</v>
      </c>
      <c r="B827" s="21" t="s">
        <v>46</v>
      </c>
      <c r="C827" s="21" t="s">
        <v>188</v>
      </c>
      <c r="D827" s="21" t="s">
        <v>48</v>
      </c>
      <c r="E827" s="80" t="s">
        <v>919</v>
      </c>
      <c r="F827" s="21" t="s">
        <v>920</v>
      </c>
      <c r="G827" s="101" t="s">
        <v>77</v>
      </c>
      <c r="H827" s="25" t="s">
        <v>1038</v>
      </c>
      <c r="I827" s="102" t="s">
        <v>78</v>
      </c>
      <c r="J827" s="65" t="s">
        <v>1039</v>
      </c>
      <c r="K827" s="104"/>
      <c r="L827" s="48" t="s">
        <v>923</v>
      </c>
      <c r="M827" s="27">
        <v>45131</v>
      </c>
      <c r="N827" s="105" t="s">
        <v>182</v>
      </c>
      <c r="O827" s="106">
        <v>8595</v>
      </c>
      <c r="P827" s="106">
        <v>2</v>
      </c>
      <c r="Q827" s="30">
        <f t="shared" si="22"/>
        <v>17190</v>
      </c>
      <c r="R827" s="31">
        <v>202310</v>
      </c>
      <c r="S827" s="107" t="s">
        <v>1077</v>
      </c>
      <c r="T827" s="67"/>
      <c r="U827" s="107"/>
      <c r="V827" s="67"/>
      <c r="W827" s="67"/>
      <c r="X827" s="67"/>
      <c r="Y827" s="36">
        <v>44356</v>
      </c>
      <c r="Z827" s="36">
        <v>46546</v>
      </c>
      <c r="AA827" s="36"/>
      <c r="AB827" s="36"/>
      <c r="AC827" s="36"/>
      <c r="AD827" s="36"/>
      <c r="AE827" s="36"/>
      <c r="AF827" s="53" t="s">
        <v>68</v>
      </c>
      <c r="AG827" s="42"/>
      <c r="AH827" s="42"/>
      <c r="AI827" s="43"/>
      <c r="AJ827" s="43"/>
      <c r="AK827" s="43"/>
      <c r="AL827" s="43"/>
      <c r="AM827" s="43"/>
      <c r="AN827" s="42"/>
      <c r="AO827" s="42"/>
      <c r="AP827" s="42"/>
      <c r="AQ827" s="43"/>
      <c r="AR827" s="42"/>
      <c r="AS827" s="42"/>
    </row>
    <row r="828" spans="1:45" ht="15" customHeight="1">
      <c r="A828" s="21" t="s">
        <v>260</v>
      </c>
      <c r="B828" s="21" t="s">
        <v>46</v>
      </c>
      <c r="C828" s="21" t="s">
        <v>188</v>
      </c>
      <c r="D828" s="21" t="s">
        <v>48</v>
      </c>
      <c r="E828" s="80" t="s">
        <v>919</v>
      </c>
      <c r="F828" s="21" t="s">
        <v>920</v>
      </c>
      <c r="G828" s="101" t="s">
        <v>77</v>
      </c>
      <c r="H828" s="25" t="s">
        <v>1038</v>
      </c>
      <c r="I828" s="102" t="s">
        <v>78</v>
      </c>
      <c r="J828" s="65" t="s">
        <v>1039</v>
      </c>
      <c r="K828" s="104"/>
      <c r="L828" s="48" t="s">
        <v>923</v>
      </c>
      <c r="M828" s="27">
        <v>45169</v>
      </c>
      <c r="N828" s="105" t="s">
        <v>182</v>
      </c>
      <c r="O828" s="106">
        <v>8595</v>
      </c>
      <c r="P828" s="106">
        <v>4</v>
      </c>
      <c r="Q828" s="51">
        <f>ROUND(O828*P828,2)</f>
        <v>34380</v>
      </c>
      <c r="R828" s="31">
        <v>202310</v>
      </c>
      <c r="S828" s="107" t="s">
        <v>1078</v>
      </c>
      <c r="T828" s="67"/>
      <c r="U828" s="107"/>
      <c r="V828" s="67"/>
      <c r="W828" s="67"/>
      <c r="X828" s="67"/>
      <c r="Y828" s="36">
        <v>44356</v>
      </c>
      <c r="Z828" s="36">
        <v>46546</v>
      </c>
      <c r="AA828" s="36"/>
      <c r="AB828" s="36"/>
      <c r="AC828" s="36"/>
      <c r="AD828" s="36"/>
      <c r="AE828" s="36"/>
      <c r="AF828" s="53" t="s">
        <v>68</v>
      </c>
      <c r="AG828" s="42"/>
      <c r="AH828" s="42"/>
      <c r="AI828" s="43"/>
      <c r="AJ828" s="43"/>
      <c r="AK828" s="43"/>
      <c r="AL828" s="43"/>
      <c r="AM828" s="43"/>
      <c r="AN828" s="42"/>
      <c r="AO828" s="42"/>
      <c r="AP828" s="42"/>
      <c r="AQ828" s="43"/>
      <c r="AR828" s="42"/>
      <c r="AS828" s="42"/>
    </row>
    <row r="829" spans="1:45" ht="15" customHeight="1">
      <c r="A829" s="21" t="s">
        <v>260</v>
      </c>
      <c r="B829" s="21" t="s">
        <v>46</v>
      </c>
      <c r="C829" s="21" t="s">
        <v>188</v>
      </c>
      <c r="D829" s="21" t="s">
        <v>48</v>
      </c>
      <c r="E829" s="80" t="s">
        <v>919</v>
      </c>
      <c r="F829" s="21" t="s">
        <v>920</v>
      </c>
      <c r="G829" s="101" t="s">
        <v>77</v>
      </c>
      <c r="H829" s="25" t="s">
        <v>1038</v>
      </c>
      <c r="I829" s="102" t="s">
        <v>366</v>
      </c>
      <c r="J829" s="65" t="s">
        <v>1039</v>
      </c>
      <c r="K829" s="104"/>
      <c r="L829" s="48" t="s">
        <v>923</v>
      </c>
      <c r="M829" s="27"/>
      <c r="N829" s="105"/>
      <c r="O829" s="106">
        <v>300</v>
      </c>
      <c r="P829" s="106">
        <v>700</v>
      </c>
      <c r="Q829" s="51">
        <f t="shared" si="22"/>
        <v>210000</v>
      </c>
      <c r="R829" s="31">
        <v>202310</v>
      </c>
      <c r="S829" s="107" t="s">
        <v>1079</v>
      </c>
      <c r="T829" s="33" t="s">
        <v>1080</v>
      </c>
      <c r="U829" s="32"/>
      <c r="V829" s="67"/>
      <c r="W829" s="67"/>
      <c r="X829" s="67"/>
      <c r="Y829" s="36">
        <v>44356</v>
      </c>
      <c r="Z829" s="36">
        <v>46546</v>
      </c>
      <c r="AA829" s="36"/>
      <c r="AB829" s="36"/>
      <c r="AC829" s="36"/>
      <c r="AD829" s="36"/>
      <c r="AE829" s="36"/>
      <c r="AF829" s="53" t="s">
        <v>68</v>
      </c>
      <c r="AG829" s="42"/>
      <c r="AH829" s="42"/>
      <c r="AI829" s="43"/>
      <c r="AJ829" s="43"/>
      <c r="AK829" s="43"/>
      <c r="AL829" s="43"/>
      <c r="AM829" s="43"/>
      <c r="AN829" s="42"/>
      <c r="AO829" s="42"/>
      <c r="AP829" s="42"/>
      <c r="AQ829" s="43"/>
      <c r="AR829" s="42"/>
      <c r="AS829" s="42"/>
    </row>
    <row r="830" spans="1:45" ht="15" customHeight="1">
      <c r="A830" s="21" t="s">
        <v>260</v>
      </c>
      <c r="B830" s="21" t="s">
        <v>46</v>
      </c>
      <c r="C830" s="21" t="s">
        <v>188</v>
      </c>
      <c r="D830" s="21" t="s">
        <v>48</v>
      </c>
      <c r="E830" s="80" t="s">
        <v>919</v>
      </c>
      <c r="F830" s="21" t="s">
        <v>920</v>
      </c>
      <c r="G830" s="101" t="s">
        <v>77</v>
      </c>
      <c r="H830" s="25" t="s">
        <v>1081</v>
      </c>
      <c r="I830" s="102" t="s">
        <v>78</v>
      </c>
      <c r="J830" s="65" t="s">
        <v>1082</v>
      </c>
      <c r="K830" s="104"/>
      <c r="L830" s="48" t="s">
        <v>923</v>
      </c>
      <c r="M830" s="27">
        <v>44637</v>
      </c>
      <c r="N830" s="105" t="s">
        <v>182</v>
      </c>
      <c r="O830" s="106">
        <v>8595</v>
      </c>
      <c r="P830" s="106">
        <v>178</v>
      </c>
      <c r="Q830" s="51">
        <f t="shared" si="22"/>
        <v>1529910</v>
      </c>
      <c r="R830" s="31">
        <v>202310</v>
      </c>
      <c r="S830" s="107" t="s">
        <v>1083</v>
      </c>
      <c r="T830" s="33"/>
      <c r="U830" s="32"/>
      <c r="V830" s="67"/>
      <c r="W830" s="67"/>
      <c r="X830" s="67"/>
      <c r="Y830" s="36">
        <v>44593</v>
      </c>
      <c r="Z830" s="36">
        <v>46783</v>
      </c>
      <c r="AA830" s="36"/>
      <c r="AB830" s="36"/>
      <c r="AC830" s="36"/>
      <c r="AD830" s="36"/>
      <c r="AE830" s="36"/>
      <c r="AF830" s="53" t="s">
        <v>68</v>
      </c>
      <c r="AG830" s="42"/>
      <c r="AH830" s="42"/>
      <c r="AI830" s="43"/>
      <c r="AJ830" s="43"/>
      <c r="AK830" s="43"/>
      <c r="AL830" s="43"/>
      <c r="AM830" s="43"/>
      <c r="AN830" s="42"/>
      <c r="AO830" s="42"/>
      <c r="AP830" s="42"/>
      <c r="AQ830" s="43"/>
      <c r="AR830" s="42"/>
      <c r="AS830" s="42"/>
    </row>
    <row r="831" spans="1:45" ht="15" customHeight="1">
      <c r="A831" s="21" t="s">
        <v>260</v>
      </c>
      <c r="B831" s="21" t="s">
        <v>46</v>
      </c>
      <c r="C831" s="21" t="s">
        <v>188</v>
      </c>
      <c r="D831" s="21" t="s">
        <v>48</v>
      </c>
      <c r="E831" s="80" t="s">
        <v>919</v>
      </c>
      <c r="F831" s="21" t="s">
        <v>920</v>
      </c>
      <c r="G831" s="101" t="s">
        <v>77</v>
      </c>
      <c r="H831" s="25" t="s">
        <v>1081</v>
      </c>
      <c r="I831" s="102" t="s">
        <v>78</v>
      </c>
      <c r="J831" s="65" t="s">
        <v>1082</v>
      </c>
      <c r="K831" s="104"/>
      <c r="L831" s="48" t="s">
        <v>923</v>
      </c>
      <c r="M831" s="27">
        <v>44637</v>
      </c>
      <c r="N831" s="105" t="s">
        <v>177</v>
      </c>
      <c r="O831" s="106">
        <v>5900</v>
      </c>
      <c r="P831" s="106">
        <v>2</v>
      </c>
      <c r="Q831" s="51">
        <f t="shared" si="22"/>
        <v>11800</v>
      </c>
      <c r="R831" s="31">
        <v>202310</v>
      </c>
      <c r="S831" s="107" t="s">
        <v>1084</v>
      </c>
      <c r="T831" s="33"/>
      <c r="U831" s="32"/>
      <c r="V831" s="67"/>
      <c r="W831" s="67"/>
      <c r="X831" s="67"/>
      <c r="Y831" s="36">
        <v>44593</v>
      </c>
      <c r="Z831" s="36">
        <v>46783</v>
      </c>
      <c r="AA831" s="36"/>
      <c r="AB831" s="36"/>
      <c r="AC831" s="36"/>
      <c r="AD831" s="36"/>
      <c r="AE831" s="36"/>
      <c r="AF831" s="53" t="s">
        <v>68</v>
      </c>
      <c r="AG831" s="42"/>
      <c r="AH831" s="42"/>
      <c r="AI831" s="43"/>
      <c r="AJ831" s="43"/>
      <c r="AK831" s="43"/>
      <c r="AL831" s="43"/>
      <c r="AM831" s="43"/>
      <c r="AN831" s="42"/>
      <c r="AO831" s="42"/>
      <c r="AP831" s="42"/>
      <c r="AQ831" s="43"/>
      <c r="AR831" s="42"/>
      <c r="AS831" s="42"/>
    </row>
    <row r="832" spans="1:45" ht="15" customHeight="1">
      <c r="A832" s="21" t="s">
        <v>260</v>
      </c>
      <c r="B832" s="21" t="s">
        <v>46</v>
      </c>
      <c r="C832" s="21" t="s">
        <v>188</v>
      </c>
      <c r="D832" s="21" t="s">
        <v>48</v>
      </c>
      <c r="E832" s="80" t="s">
        <v>919</v>
      </c>
      <c r="F832" s="21" t="s">
        <v>920</v>
      </c>
      <c r="G832" s="101" t="s">
        <v>77</v>
      </c>
      <c r="H832" s="25" t="s">
        <v>1081</v>
      </c>
      <c r="I832" s="102" t="s">
        <v>78</v>
      </c>
      <c r="J832" s="65" t="s">
        <v>1082</v>
      </c>
      <c r="K832" s="104"/>
      <c r="L832" s="48" t="s">
        <v>923</v>
      </c>
      <c r="M832" s="27">
        <v>44866</v>
      </c>
      <c r="N832" s="105" t="s">
        <v>382</v>
      </c>
      <c r="O832" s="106">
        <v>0</v>
      </c>
      <c r="P832" s="106">
        <v>2</v>
      </c>
      <c r="Q832" s="51">
        <f t="shared" si="22"/>
        <v>0</v>
      </c>
      <c r="R832" s="31">
        <v>202310</v>
      </c>
      <c r="S832" s="107" t="s">
        <v>1085</v>
      </c>
      <c r="T832" s="33"/>
      <c r="U832" s="32"/>
      <c r="V832" s="67"/>
      <c r="W832" s="67"/>
      <c r="X832" s="67"/>
      <c r="Y832" s="36">
        <v>44593</v>
      </c>
      <c r="Z832" s="36">
        <v>46783</v>
      </c>
      <c r="AA832" s="36"/>
      <c r="AB832" s="36"/>
      <c r="AC832" s="36"/>
      <c r="AD832" s="36"/>
      <c r="AE832" s="36"/>
      <c r="AF832" s="53" t="s">
        <v>68</v>
      </c>
      <c r="AG832" s="42"/>
      <c r="AH832" s="42"/>
      <c r="AI832" s="43"/>
      <c r="AJ832" s="43"/>
      <c r="AK832" s="43"/>
      <c r="AL832" s="43"/>
      <c r="AM832" s="43"/>
      <c r="AN832" s="42"/>
      <c r="AO832" s="42"/>
      <c r="AP832" s="42"/>
      <c r="AQ832" s="43"/>
      <c r="AR832" s="42"/>
      <c r="AS832" s="42"/>
    </row>
    <row r="833" spans="1:45" ht="15" customHeight="1">
      <c r="A833" s="21" t="s">
        <v>260</v>
      </c>
      <c r="B833" s="21" t="s">
        <v>46</v>
      </c>
      <c r="C833" s="21" t="s">
        <v>188</v>
      </c>
      <c r="D833" s="21" t="s">
        <v>48</v>
      </c>
      <c r="E833" s="80" t="s">
        <v>919</v>
      </c>
      <c r="F833" s="21" t="s">
        <v>920</v>
      </c>
      <c r="G833" s="101" t="s">
        <v>77</v>
      </c>
      <c r="H833" s="25" t="s">
        <v>1081</v>
      </c>
      <c r="I833" s="102" t="s">
        <v>366</v>
      </c>
      <c r="J833" s="65" t="s">
        <v>1082</v>
      </c>
      <c r="K833" s="104"/>
      <c r="L833" s="48" t="s">
        <v>923</v>
      </c>
      <c r="M833" s="27"/>
      <c r="N833" s="105"/>
      <c r="O833" s="106">
        <v>300</v>
      </c>
      <c r="P833" s="106">
        <v>100</v>
      </c>
      <c r="Q833" s="51">
        <f t="shared" si="22"/>
        <v>30000</v>
      </c>
      <c r="R833" s="31">
        <v>202310</v>
      </c>
      <c r="S833" s="107" t="s">
        <v>1086</v>
      </c>
      <c r="T833" s="33" t="s">
        <v>1087</v>
      </c>
      <c r="U833" s="32"/>
      <c r="V833" s="67"/>
      <c r="W833" s="67"/>
      <c r="X833" s="67"/>
      <c r="Y833" s="36">
        <v>44593</v>
      </c>
      <c r="Z833" s="36">
        <v>46783</v>
      </c>
      <c r="AA833" s="36"/>
      <c r="AB833" s="36"/>
      <c r="AC833" s="36"/>
      <c r="AD833" s="36"/>
      <c r="AE833" s="36"/>
      <c r="AF833" s="53" t="s">
        <v>68</v>
      </c>
      <c r="AG833" s="42"/>
      <c r="AH833" s="42"/>
      <c r="AI833" s="43"/>
      <c r="AJ833" s="43"/>
      <c r="AK833" s="43"/>
      <c r="AL833" s="43"/>
      <c r="AM833" s="43"/>
      <c r="AN833" s="42"/>
      <c r="AO833" s="42"/>
      <c r="AP833" s="42"/>
      <c r="AQ833" s="43"/>
      <c r="AR833" s="42"/>
      <c r="AS833" s="42"/>
    </row>
    <row r="834" spans="1:45" ht="15" customHeight="1">
      <c r="A834" s="21" t="s">
        <v>260</v>
      </c>
      <c r="B834" s="21" t="s">
        <v>46</v>
      </c>
      <c r="C834" s="21" t="s">
        <v>188</v>
      </c>
      <c r="D834" s="21" t="s">
        <v>48</v>
      </c>
      <c r="E834" s="80" t="s">
        <v>919</v>
      </c>
      <c r="F834" s="21" t="s">
        <v>920</v>
      </c>
      <c r="G834" s="101" t="s">
        <v>77</v>
      </c>
      <c r="H834" s="25" t="s">
        <v>1088</v>
      </c>
      <c r="I834" s="102" t="s">
        <v>78</v>
      </c>
      <c r="J834" s="65" t="s">
        <v>1089</v>
      </c>
      <c r="K834" s="104"/>
      <c r="L834" s="48" t="s">
        <v>923</v>
      </c>
      <c r="M834" s="27">
        <v>44713</v>
      </c>
      <c r="N834" s="105" t="s">
        <v>177</v>
      </c>
      <c r="O834" s="106">
        <v>5900</v>
      </c>
      <c r="P834" s="106">
        <v>1</v>
      </c>
      <c r="Q834" s="51">
        <f t="shared" si="22"/>
        <v>5900</v>
      </c>
      <c r="R834" s="31">
        <v>202310</v>
      </c>
      <c r="S834" s="107" t="s">
        <v>1090</v>
      </c>
      <c r="T834" s="33"/>
      <c r="U834" s="32"/>
      <c r="V834" s="67"/>
      <c r="W834" s="67"/>
      <c r="X834" s="67"/>
      <c r="Y834" s="36">
        <v>44679</v>
      </c>
      <c r="Z834" s="36">
        <v>46873</v>
      </c>
      <c r="AA834" s="36"/>
      <c r="AB834" s="36"/>
      <c r="AC834" s="36"/>
      <c r="AD834" s="36"/>
      <c r="AE834" s="36"/>
      <c r="AF834" s="53" t="s">
        <v>68</v>
      </c>
      <c r="AG834" s="42"/>
      <c r="AH834" s="42"/>
      <c r="AI834" s="43"/>
      <c r="AJ834" s="43"/>
      <c r="AK834" s="43"/>
      <c r="AL834" s="43"/>
      <c r="AM834" s="43"/>
      <c r="AN834" s="42"/>
      <c r="AO834" s="42"/>
      <c r="AP834" s="42"/>
      <c r="AQ834" s="43"/>
      <c r="AR834" s="42"/>
      <c r="AS834" s="42"/>
    </row>
    <row r="835" spans="1:45" ht="15" customHeight="1">
      <c r="A835" s="21" t="s">
        <v>260</v>
      </c>
      <c r="B835" s="21" t="s">
        <v>46</v>
      </c>
      <c r="C835" s="21" t="s">
        <v>188</v>
      </c>
      <c r="D835" s="21" t="s">
        <v>48</v>
      </c>
      <c r="E835" s="80" t="s">
        <v>919</v>
      </c>
      <c r="F835" s="21" t="s">
        <v>920</v>
      </c>
      <c r="G835" s="101" t="s">
        <v>77</v>
      </c>
      <c r="H835" s="25" t="s">
        <v>1088</v>
      </c>
      <c r="I835" s="102" t="s">
        <v>78</v>
      </c>
      <c r="J835" s="65" t="s">
        <v>1089</v>
      </c>
      <c r="K835" s="104"/>
      <c r="L835" s="48" t="s">
        <v>923</v>
      </c>
      <c r="M835" s="27">
        <v>44713</v>
      </c>
      <c r="N835" s="105" t="s">
        <v>182</v>
      </c>
      <c r="O835" s="106">
        <v>8595</v>
      </c>
      <c r="P835" s="106">
        <v>123</v>
      </c>
      <c r="Q835" s="51">
        <f t="shared" si="22"/>
        <v>1057185</v>
      </c>
      <c r="R835" s="31">
        <v>202310</v>
      </c>
      <c r="S835" s="107" t="s">
        <v>1091</v>
      </c>
      <c r="T835" s="33"/>
      <c r="U835" s="32"/>
      <c r="V835" s="67"/>
      <c r="W835" s="67"/>
      <c r="X835" s="67"/>
      <c r="Y835" s="36">
        <v>44679</v>
      </c>
      <c r="Z835" s="36">
        <v>46873</v>
      </c>
      <c r="AA835" s="36"/>
      <c r="AB835" s="36"/>
      <c r="AC835" s="36"/>
      <c r="AD835" s="36"/>
      <c r="AE835" s="36"/>
      <c r="AF835" s="53" t="s">
        <v>68</v>
      </c>
      <c r="AG835" s="42"/>
      <c r="AH835" s="42"/>
      <c r="AI835" s="43"/>
      <c r="AJ835" s="43"/>
      <c r="AK835" s="43"/>
      <c r="AL835" s="43"/>
      <c r="AM835" s="43"/>
      <c r="AN835" s="42"/>
      <c r="AO835" s="42"/>
      <c r="AP835" s="42"/>
      <c r="AQ835" s="43"/>
      <c r="AR835" s="42"/>
      <c r="AS835" s="42"/>
    </row>
    <row r="836" spans="1:45" ht="15" customHeight="1">
      <c r="A836" s="21" t="s">
        <v>260</v>
      </c>
      <c r="B836" s="21" t="s">
        <v>46</v>
      </c>
      <c r="C836" s="21" t="s">
        <v>188</v>
      </c>
      <c r="D836" s="21" t="s">
        <v>48</v>
      </c>
      <c r="E836" s="80" t="s">
        <v>919</v>
      </c>
      <c r="F836" s="21" t="s">
        <v>920</v>
      </c>
      <c r="G836" s="101" t="s">
        <v>77</v>
      </c>
      <c r="H836" s="25" t="s">
        <v>1088</v>
      </c>
      <c r="I836" s="102" t="s">
        <v>78</v>
      </c>
      <c r="J836" s="65" t="s">
        <v>1089</v>
      </c>
      <c r="K836" s="104"/>
      <c r="L836" s="48" t="s">
        <v>923</v>
      </c>
      <c r="M836" s="27">
        <v>44866</v>
      </c>
      <c r="N836" s="105" t="s">
        <v>382</v>
      </c>
      <c r="O836" s="106">
        <v>0</v>
      </c>
      <c r="P836" s="106">
        <v>2</v>
      </c>
      <c r="Q836" s="51">
        <f t="shared" si="22"/>
        <v>0</v>
      </c>
      <c r="R836" s="31">
        <v>202310</v>
      </c>
      <c r="S836" s="107" t="s">
        <v>1092</v>
      </c>
      <c r="T836" s="33"/>
      <c r="U836" s="32"/>
      <c r="V836" s="67"/>
      <c r="W836" s="67"/>
      <c r="X836" s="67"/>
      <c r="Y836" s="36">
        <v>44679</v>
      </c>
      <c r="Z836" s="36">
        <v>46873</v>
      </c>
      <c r="AA836" s="36"/>
      <c r="AB836" s="36"/>
      <c r="AC836" s="36"/>
      <c r="AD836" s="36"/>
      <c r="AE836" s="36"/>
      <c r="AF836" s="53" t="s">
        <v>68</v>
      </c>
      <c r="AG836" s="42"/>
      <c r="AH836" s="42"/>
      <c r="AI836" s="43"/>
      <c r="AJ836" s="43"/>
      <c r="AK836" s="43"/>
      <c r="AL836" s="43"/>
      <c r="AM836" s="43"/>
      <c r="AN836" s="42"/>
      <c r="AO836" s="42"/>
      <c r="AP836" s="42"/>
      <c r="AQ836" s="43"/>
      <c r="AR836" s="42"/>
      <c r="AS836" s="42"/>
    </row>
    <row r="837" spans="1:45" ht="15" customHeight="1">
      <c r="A837" s="21" t="s">
        <v>260</v>
      </c>
      <c r="B837" s="21" t="s">
        <v>46</v>
      </c>
      <c r="C837" s="21" t="s">
        <v>188</v>
      </c>
      <c r="D837" s="21" t="s">
        <v>48</v>
      </c>
      <c r="E837" s="80" t="s">
        <v>919</v>
      </c>
      <c r="F837" s="21" t="s">
        <v>920</v>
      </c>
      <c r="G837" s="101" t="s">
        <v>77</v>
      </c>
      <c r="H837" s="25" t="s">
        <v>1088</v>
      </c>
      <c r="I837" s="102" t="s">
        <v>366</v>
      </c>
      <c r="J837" s="65" t="s">
        <v>1089</v>
      </c>
      <c r="K837" s="104"/>
      <c r="L837" s="48" t="s">
        <v>923</v>
      </c>
      <c r="M837" s="27"/>
      <c r="N837" s="105"/>
      <c r="O837" s="106">
        <v>300</v>
      </c>
      <c r="P837" s="106">
        <v>50</v>
      </c>
      <c r="Q837" s="51">
        <f t="shared" si="22"/>
        <v>15000</v>
      </c>
      <c r="R837" s="31">
        <v>202310</v>
      </c>
      <c r="S837" s="107" t="s">
        <v>1093</v>
      </c>
      <c r="T837" s="33" t="s">
        <v>1094</v>
      </c>
      <c r="U837" s="32"/>
      <c r="V837" s="67"/>
      <c r="W837" s="67"/>
      <c r="X837" s="67"/>
      <c r="Y837" s="36">
        <v>44679</v>
      </c>
      <c r="Z837" s="36">
        <v>46873</v>
      </c>
      <c r="AA837" s="36"/>
      <c r="AB837" s="36"/>
      <c r="AC837" s="36"/>
      <c r="AD837" s="36"/>
      <c r="AE837" s="36"/>
      <c r="AF837" s="53" t="s">
        <v>68</v>
      </c>
      <c r="AG837" s="42"/>
      <c r="AH837" s="42"/>
      <c r="AI837" s="43"/>
      <c r="AJ837" s="43"/>
      <c r="AK837" s="43"/>
      <c r="AL837" s="43"/>
      <c r="AM837" s="43"/>
      <c r="AN837" s="42"/>
      <c r="AO837" s="42"/>
      <c r="AP837" s="42"/>
      <c r="AQ837" s="43"/>
      <c r="AR837" s="42"/>
      <c r="AS837" s="42"/>
    </row>
    <row r="838" spans="1:45" ht="15" customHeight="1">
      <c r="A838" s="21" t="s">
        <v>260</v>
      </c>
      <c r="B838" s="21" t="s">
        <v>46</v>
      </c>
      <c r="C838" s="21" t="s">
        <v>188</v>
      </c>
      <c r="D838" s="21" t="s">
        <v>48</v>
      </c>
      <c r="E838" s="80" t="s">
        <v>919</v>
      </c>
      <c r="F838" s="21" t="s">
        <v>920</v>
      </c>
      <c r="G838" s="101" t="s">
        <v>77</v>
      </c>
      <c r="H838" s="25" t="s">
        <v>1095</v>
      </c>
      <c r="I838" s="102" t="s">
        <v>78</v>
      </c>
      <c r="J838" s="65" t="s">
        <v>1096</v>
      </c>
      <c r="K838" s="104"/>
      <c r="L838" s="48" t="s">
        <v>923</v>
      </c>
      <c r="M838" s="27">
        <v>44713</v>
      </c>
      <c r="N838" s="105" t="s">
        <v>177</v>
      </c>
      <c r="O838" s="106">
        <v>5900</v>
      </c>
      <c r="P838" s="106">
        <v>6</v>
      </c>
      <c r="Q838" s="51">
        <f t="shared" si="22"/>
        <v>35400</v>
      </c>
      <c r="R838" s="31">
        <v>202310</v>
      </c>
      <c r="S838" s="107" t="s">
        <v>1097</v>
      </c>
      <c r="T838" s="33"/>
      <c r="U838" s="32"/>
      <c r="V838" s="67"/>
      <c r="W838" s="67"/>
      <c r="X838" s="67"/>
      <c r="Y838" s="36">
        <v>44681</v>
      </c>
      <c r="Z838" s="36">
        <v>46873</v>
      </c>
      <c r="AA838" s="36"/>
      <c r="AB838" s="36"/>
      <c r="AC838" s="36"/>
      <c r="AD838" s="36"/>
      <c r="AE838" s="36"/>
      <c r="AF838" s="53" t="s">
        <v>68</v>
      </c>
      <c r="AG838" s="42"/>
      <c r="AH838" s="42"/>
      <c r="AI838" s="43"/>
      <c r="AJ838" s="43"/>
      <c r="AK838" s="43"/>
      <c r="AL838" s="43"/>
      <c r="AM838" s="43"/>
      <c r="AN838" s="42"/>
      <c r="AO838" s="42"/>
      <c r="AP838" s="42"/>
      <c r="AQ838" s="43"/>
      <c r="AR838" s="42"/>
      <c r="AS838" s="42"/>
    </row>
    <row r="839" spans="1:45" ht="15" customHeight="1">
      <c r="A839" s="21" t="s">
        <v>260</v>
      </c>
      <c r="B839" s="21" t="s">
        <v>46</v>
      </c>
      <c r="C839" s="21" t="s">
        <v>188</v>
      </c>
      <c r="D839" s="21" t="s">
        <v>48</v>
      </c>
      <c r="E839" s="80" t="s">
        <v>919</v>
      </c>
      <c r="F839" s="21" t="s">
        <v>920</v>
      </c>
      <c r="G839" s="101" t="s">
        <v>77</v>
      </c>
      <c r="H839" s="25" t="s">
        <v>1095</v>
      </c>
      <c r="I839" s="102" t="s">
        <v>78</v>
      </c>
      <c r="J839" s="65" t="s">
        <v>1096</v>
      </c>
      <c r="K839" s="104"/>
      <c r="L839" s="48" t="s">
        <v>923</v>
      </c>
      <c r="M839" s="27">
        <v>44713</v>
      </c>
      <c r="N839" s="105" t="s">
        <v>182</v>
      </c>
      <c r="O839" s="106">
        <v>8595</v>
      </c>
      <c r="P839" s="106">
        <v>301</v>
      </c>
      <c r="Q839" s="51">
        <f t="shared" si="22"/>
        <v>2587095</v>
      </c>
      <c r="R839" s="31">
        <v>202310</v>
      </c>
      <c r="S839" s="107" t="s">
        <v>1098</v>
      </c>
      <c r="T839" s="33"/>
      <c r="U839" s="32"/>
      <c r="V839" s="67"/>
      <c r="W839" s="67"/>
      <c r="X839" s="67"/>
      <c r="Y839" s="36">
        <v>44681</v>
      </c>
      <c r="Z839" s="36">
        <v>46873</v>
      </c>
      <c r="AA839" s="36"/>
      <c r="AB839" s="36"/>
      <c r="AC839" s="36"/>
      <c r="AD839" s="36"/>
      <c r="AE839" s="36"/>
      <c r="AF839" s="53" t="s">
        <v>68</v>
      </c>
      <c r="AG839" s="42"/>
      <c r="AH839" s="42"/>
      <c r="AI839" s="43"/>
      <c r="AJ839" s="43"/>
      <c r="AK839" s="43"/>
      <c r="AL839" s="43"/>
      <c r="AM839" s="43"/>
      <c r="AN839" s="42"/>
      <c r="AO839" s="42"/>
      <c r="AP839" s="42"/>
      <c r="AQ839" s="43"/>
      <c r="AR839" s="42"/>
      <c r="AS839" s="42"/>
    </row>
    <row r="840" spans="1:45" ht="15" customHeight="1">
      <c r="A840" s="21" t="s">
        <v>260</v>
      </c>
      <c r="B840" s="21" t="s">
        <v>46</v>
      </c>
      <c r="C840" s="21" t="s">
        <v>188</v>
      </c>
      <c r="D840" s="21" t="s">
        <v>48</v>
      </c>
      <c r="E840" s="80" t="s">
        <v>919</v>
      </c>
      <c r="F840" s="21" t="s">
        <v>920</v>
      </c>
      <c r="G840" s="101" t="s">
        <v>77</v>
      </c>
      <c r="H840" s="25" t="s">
        <v>1095</v>
      </c>
      <c r="I840" s="102" t="s">
        <v>78</v>
      </c>
      <c r="J840" s="65" t="s">
        <v>1096</v>
      </c>
      <c r="K840" s="104"/>
      <c r="L840" s="48" t="s">
        <v>923</v>
      </c>
      <c r="M840" s="27">
        <v>44726</v>
      </c>
      <c r="N840" s="105" t="s">
        <v>182</v>
      </c>
      <c r="O840" s="106">
        <v>8595</v>
      </c>
      <c r="P840" s="106">
        <v>17</v>
      </c>
      <c r="Q840" s="51">
        <f t="shared" si="22"/>
        <v>146115</v>
      </c>
      <c r="R840" s="31">
        <v>202310</v>
      </c>
      <c r="S840" s="107" t="s">
        <v>1099</v>
      </c>
      <c r="T840" s="33"/>
      <c r="U840" s="32"/>
      <c r="V840" s="67"/>
      <c r="W840" s="67"/>
      <c r="X840" s="67"/>
      <c r="Y840" s="36">
        <v>44681</v>
      </c>
      <c r="Z840" s="36">
        <v>46873</v>
      </c>
      <c r="AA840" s="36"/>
      <c r="AB840" s="36"/>
      <c r="AC840" s="36"/>
      <c r="AD840" s="36"/>
      <c r="AE840" s="36"/>
      <c r="AF840" s="53" t="s">
        <v>68</v>
      </c>
      <c r="AG840" s="42"/>
      <c r="AH840" s="42"/>
      <c r="AI840" s="43"/>
      <c r="AJ840" s="43"/>
      <c r="AK840" s="43"/>
      <c r="AL840" s="43"/>
      <c r="AM840" s="43"/>
      <c r="AN840" s="42"/>
      <c r="AO840" s="42"/>
      <c r="AP840" s="42"/>
      <c r="AQ840" s="43"/>
      <c r="AR840" s="42"/>
      <c r="AS840" s="42"/>
    </row>
    <row r="841" spans="1:45" ht="15" customHeight="1">
      <c r="A841" s="21" t="s">
        <v>260</v>
      </c>
      <c r="B841" s="21" t="s">
        <v>46</v>
      </c>
      <c r="C841" s="21" t="s">
        <v>188</v>
      </c>
      <c r="D841" s="21" t="s">
        <v>48</v>
      </c>
      <c r="E841" s="80" t="s">
        <v>919</v>
      </c>
      <c r="F841" s="21" t="s">
        <v>920</v>
      </c>
      <c r="G841" s="101" t="s">
        <v>77</v>
      </c>
      <c r="H841" s="25" t="s">
        <v>1095</v>
      </c>
      <c r="I841" s="102" t="s">
        <v>78</v>
      </c>
      <c r="J841" s="65" t="s">
        <v>1096</v>
      </c>
      <c r="K841" s="104"/>
      <c r="L841" s="48" t="s">
        <v>923</v>
      </c>
      <c r="M841" s="27">
        <v>44733</v>
      </c>
      <c r="N841" s="105" t="s">
        <v>182</v>
      </c>
      <c r="O841" s="106">
        <v>8595</v>
      </c>
      <c r="P841" s="106">
        <v>95</v>
      </c>
      <c r="Q841" s="51">
        <f t="shared" si="22"/>
        <v>816525</v>
      </c>
      <c r="R841" s="31">
        <v>202310</v>
      </c>
      <c r="S841" s="107" t="s">
        <v>1100</v>
      </c>
      <c r="T841" s="33"/>
      <c r="U841" s="32"/>
      <c r="V841" s="67"/>
      <c r="W841" s="67"/>
      <c r="X841" s="67"/>
      <c r="Y841" s="36">
        <v>44681</v>
      </c>
      <c r="Z841" s="36">
        <v>46873</v>
      </c>
      <c r="AA841" s="36"/>
      <c r="AB841" s="36"/>
      <c r="AC841" s="36"/>
      <c r="AD841" s="36"/>
      <c r="AE841" s="36"/>
      <c r="AF841" s="53" t="s">
        <v>68</v>
      </c>
      <c r="AG841" s="42"/>
      <c r="AH841" s="42"/>
      <c r="AI841" s="43"/>
      <c r="AJ841" s="43"/>
      <c r="AK841" s="43"/>
      <c r="AL841" s="43"/>
      <c r="AM841" s="43"/>
      <c r="AN841" s="42"/>
      <c r="AO841" s="42"/>
      <c r="AP841" s="42"/>
      <c r="AQ841" s="43"/>
      <c r="AR841" s="42"/>
      <c r="AS841" s="42"/>
    </row>
    <row r="842" spans="1:45" ht="15" customHeight="1">
      <c r="A842" s="21" t="s">
        <v>260</v>
      </c>
      <c r="B842" s="21" t="s">
        <v>46</v>
      </c>
      <c r="C842" s="21" t="s">
        <v>188</v>
      </c>
      <c r="D842" s="21" t="s">
        <v>48</v>
      </c>
      <c r="E842" s="80" t="s">
        <v>919</v>
      </c>
      <c r="F842" s="21" t="s">
        <v>920</v>
      </c>
      <c r="G842" s="101" t="s">
        <v>77</v>
      </c>
      <c r="H842" s="25" t="s">
        <v>1095</v>
      </c>
      <c r="I842" s="102" t="s">
        <v>78</v>
      </c>
      <c r="J842" s="65" t="s">
        <v>1096</v>
      </c>
      <c r="K842" s="104"/>
      <c r="L842" s="48" t="s">
        <v>923</v>
      </c>
      <c r="M842" s="27">
        <v>44749</v>
      </c>
      <c r="N842" s="105" t="s">
        <v>182</v>
      </c>
      <c r="O842" s="106">
        <v>8595</v>
      </c>
      <c r="P842" s="106">
        <v>26</v>
      </c>
      <c r="Q842" s="51">
        <f t="shared" si="22"/>
        <v>223470</v>
      </c>
      <c r="R842" s="31">
        <v>202310</v>
      </c>
      <c r="S842" s="107" t="s">
        <v>1101</v>
      </c>
      <c r="T842" s="33"/>
      <c r="U842" s="32"/>
      <c r="V842" s="67"/>
      <c r="W842" s="67"/>
      <c r="X842" s="67"/>
      <c r="Y842" s="36">
        <v>44681</v>
      </c>
      <c r="Z842" s="36">
        <v>46873</v>
      </c>
      <c r="AA842" s="36"/>
      <c r="AB842" s="36"/>
      <c r="AC842" s="36"/>
      <c r="AD842" s="36"/>
      <c r="AE842" s="36"/>
      <c r="AF842" s="53" t="s">
        <v>68</v>
      </c>
      <c r="AG842" s="42"/>
      <c r="AH842" s="42"/>
      <c r="AI842" s="43"/>
      <c r="AJ842" s="43"/>
      <c r="AK842" s="43"/>
      <c r="AL842" s="43"/>
      <c r="AM842" s="43"/>
      <c r="AN842" s="42"/>
      <c r="AO842" s="42"/>
      <c r="AP842" s="42"/>
      <c r="AQ842" s="43"/>
      <c r="AR842" s="42"/>
      <c r="AS842" s="42"/>
    </row>
    <row r="843" spans="1:45" ht="15" customHeight="1">
      <c r="A843" s="21" t="s">
        <v>260</v>
      </c>
      <c r="B843" s="21" t="s">
        <v>46</v>
      </c>
      <c r="C843" s="21" t="s">
        <v>188</v>
      </c>
      <c r="D843" s="21" t="s">
        <v>48</v>
      </c>
      <c r="E843" s="80" t="s">
        <v>919</v>
      </c>
      <c r="F843" s="21" t="s">
        <v>920</v>
      </c>
      <c r="G843" s="101" t="s">
        <v>77</v>
      </c>
      <c r="H843" s="25" t="s">
        <v>1095</v>
      </c>
      <c r="I843" s="102" t="s">
        <v>78</v>
      </c>
      <c r="J843" s="65" t="s">
        <v>1096</v>
      </c>
      <c r="K843" s="104"/>
      <c r="L843" s="48" t="s">
        <v>923</v>
      </c>
      <c r="M843" s="27">
        <v>44750</v>
      </c>
      <c r="N843" s="105" t="s">
        <v>182</v>
      </c>
      <c r="O843" s="106">
        <v>8595</v>
      </c>
      <c r="P843" s="106">
        <v>10</v>
      </c>
      <c r="Q843" s="51">
        <f t="shared" si="22"/>
        <v>85950</v>
      </c>
      <c r="R843" s="31">
        <v>202310</v>
      </c>
      <c r="S843" s="107" t="s">
        <v>1102</v>
      </c>
      <c r="T843" s="33"/>
      <c r="U843" s="32"/>
      <c r="V843" s="67"/>
      <c r="W843" s="67"/>
      <c r="X843" s="67"/>
      <c r="Y843" s="36">
        <v>44681</v>
      </c>
      <c r="Z843" s="36">
        <v>46873</v>
      </c>
      <c r="AA843" s="36"/>
      <c r="AB843" s="36"/>
      <c r="AC843" s="36"/>
      <c r="AD843" s="36"/>
      <c r="AE843" s="36"/>
      <c r="AF843" s="53" t="s">
        <v>68</v>
      </c>
      <c r="AG843" s="42"/>
      <c r="AH843" s="42"/>
      <c r="AI843" s="43"/>
      <c r="AJ843" s="43"/>
      <c r="AK843" s="43"/>
      <c r="AL843" s="43"/>
      <c r="AM843" s="43"/>
      <c r="AN843" s="42"/>
      <c r="AO843" s="42"/>
      <c r="AP843" s="42"/>
      <c r="AQ843" s="43"/>
      <c r="AR843" s="42"/>
      <c r="AS843" s="42"/>
    </row>
    <row r="844" spans="1:45" ht="15" customHeight="1">
      <c r="A844" s="21" t="s">
        <v>260</v>
      </c>
      <c r="B844" s="21" t="s">
        <v>46</v>
      </c>
      <c r="C844" s="21" t="s">
        <v>188</v>
      </c>
      <c r="D844" s="21" t="s">
        <v>48</v>
      </c>
      <c r="E844" s="80" t="s">
        <v>919</v>
      </c>
      <c r="F844" s="21" t="s">
        <v>920</v>
      </c>
      <c r="G844" s="101" t="s">
        <v>77</v>
      </c>
      <c r="H844" s="25" t="s">
        <v>1095</v>
      </c>
      <c r="I844" s="102" t="s">
        <v>78</v>
      </c>
      <c r="J844" s="65" t="s">
        <v>1096</v>
      </c>
      <c r="K844" s="104"/>
      <c r="L844" s="48" t="s">
        <v>923</v>
      </c>
      <c r="M844" s="27">
        <v>44755</v>
      </c>
      <c r="N844" s="105" t="s">
        <v>182</v>
      </c>
      <c r="O844" s="106">
        <v>8595</v>
      </c>
      <c r="P844" s="106">
        <v>1</v>
      </c>
      <c r="Q844" s="51">
        <f t="shared" si="22"/>
        <v>8595</v>
      </c>
      <c r="R844" s="31">
        <v>202310</v>
      </c>
      <c r="S844" s="107" t="s">
        <v>1103</v>
      </c>
      <c r="T844" s="33"/>
      <c r="U844" s="32"/>
      <c r="V844" s="67"/>
      <c r="W844" s="67"/>
      <c r="X844" s="67"/>
      <c r="Y844" s="36">
        <v>44681</v>
      </c>
      <c r="Z844" s="36">
        <v>46873</v>
      </c>
      <c r="AA844" s="36"/>
      <c r="AB844" s="36"/>
      <c r="AC844" s="36"/>
      <c r="AD844" s="36"/>
      <c r="AE844" s="36"/>
      <c r="AF844" s="53" t="s">
        <v>68</v>
      </c>
      <c r="AG844" s="42"/>
      <c r="AH844" s="42"/>
      <c r="AI844" s="43"/>
      <c r="AJ844" s="43"/>
      <c r="AK844" s="43"/>
      <c r="AL844" s="43"/>
      <c r="AM844" s="43"/>
      <c r="AN844" s="42"/>
      <c r="AO844" s="42"/>
      <c r="AP844" s="42"/>
      <c r="AQ844" s="43"/>
      <c r="AR844" s="42"/>
      <c r="AS844" s="42"/>
    </row>
    <row r="845" spans="1:45" ht="15" customHeight="1">
      <c r="A845" s="21" t="s">
        <v>260</v>
      </c>
      <c r="B845" s="21" t="s">
        <v>46</v>
      </c>
      <c r="C845" s="21" t="s">
        <v>188</v>
      </c>
      <c r="D845" s="21" t="s">
        <v>48</v>
      </c>
      <c r="E845" s="80" t="s">
        <v>919</v>
      </c>
      <c r="F845" s="21" t="s">
        <v>920</v>
      </c>
      <c r="G845" s="101" t="s">
        <v>77</v>
      </c>
      <c r="H845" s="25" t="s">
        <v>1095</v>
      </c>
      <c r="I845" s="102" t="s">
        <v>78</v>
      </c>
      <c r="J845" s="65" t="s">
        <v>1096</v>
      </c>
      <c r="K845" s="104"/>
      <c r="L845" s="48" t="s">
        <v>923</v>
      </c>
      <c r="M845" s="27">
        <v>44757</v>
      </c>
      <c r="N845" s="105" t="s">
        <v>182</v>
      </c>
      <c r="O845" s="106">
        <v>8595</v>
      </c>
      <c r="P845" s="106">
        <v>8</v>
      </c>
      <c r="Q845" s="51">
        <f t="shared" si="22"/>
        <v>68760</v>
      </c>
      <c r="R845" s="31">
        <v>202310</v>
      </c>
      <c r="S845" s="107" t="s">
        <v>1104</v>
      </c>
      <c r="T845" s="33"/>
      <c r="U845" s="32"/>
      <c r="V845" s="67"/>
      <c r="W845" s="67"/>
      <c r="X845" s="67"/>
      <c r="Y845" s="36">
        <v>44681</v>
      </c>
      <c r="Z845" s="36">
        <v>46873</v>
      </c>
      <c r="AA845" s="36"/>
      <c r="AB845" s="36"/>
      <c r="AC845" s="36"/>
      <c r="AD845" s="36"/>
      <c r="AE845" s="36"/>
      <c r="AF845" s="53" t="s">
        <v>68</v>
      </c>
      <c r="AG845" s="42"/>
      <c r="AH845" s="42"/>
      <c r="AI845" s="43"/>
      <c r="AJ845" s="43"/>
      <c r="AK845" s="43"/>
      <c r="AL845" s="43"/>
      <c r="AM845" s="43"/>
      <c r="AN845" s="42"/>
      <c r="AO845" s="42"/>
      <c r="AP845" s="42"/>
      <c r="AQ845" s="43"/>
      <c r="AR845" s="42"/>
      <c r="AS845" s="42"/>
    </row>
    <row r="846" spans="1:45" ht="15" customHeight="1">
      <c r="A846" s="21" t="s">
        <v>260</v>
      </c>
      <c r="B846" s="21" t="s">
        <v>46</v>
      </c>
      <c r="C846" s="21" t="s">
        <v>188</v>
      </c>
      <c r="D846" s="21" t="s">
        <v>48</v>
      </c>
      <c r="E846" s="80" t="s">
        <v>919</v>
      </c>
      <c r="F846" s="21" t="s">
        <v>920</v>
      </c>
      <c r="G846" s="101" t="s">
        <v>77</v>
      </c>
      <c r="H846" s="25" t="s">
        <v>1095</v>
      </c>
      <c r="I846" s="102" t="s">
        <v>78</v>
      </c>
      <c r="J846" s="65" t="s">
        <v>1096</v>
      </c>
      <c r="K846" s="104"/>
      <c r="L846" s="48" t="s">
        <v>923</v>
      </c>
      <c r="M846" s="27">
        <v>44768</v>
      </c>
      <c r="N846" s="105" t="s">
        <v>182</v>
      </c>
      <c r="O846" s="106">
        <v>8595</v>
      </c>
      <c r="P846" s="106">
        <v>1</v>
      </c>
      <c r="Q846" s="51">
        <f t="shared" si="22"/>
        <v>8595</v>
      </c>
      <c r="R846" s="31">
        <v>202310</v>
      </c>
      <c r="S846" s="107" t="s">
        <v>1105</v>
      </c>
      <c r="T846" s="33"/>
      <c r="U846" s="32"/>
      <c r="V846" s="67"/>
      <c r="W846" s="67"/>
      <c r="X846" s="67"/>
      <c r="Y846" s="36">
        <v>44681</v>
      </c>
      <c r="Z846" s="36">
        <v>46873</v>
      </c>
      <c r="AA846" s="36"/>
      <c r="AB846" s="36"/>
      <c r="AC846" s="36"/>
      <c r="AD846" s="36"/>
      <c r="AE846" s="36"/>
      <c r="AF846" s="53" t="s">
        <v>68</v>
      </c>
      <c r="AG846" s="42"/>
      <c r="AH846" s="42"/>
      <c r="AI846" s="43"/>
      <c r="AJ846" s="43"/>
      <c r="AK846" s="43"/>
      <c r="AL846" s="43"/>
      <c r="AM846" s="43"/>
      <c r="AN846" s="42"/>
      <c r="AO846" s="42"/>
      <c r="AP846" s="42"/>
      <c r="AQ846" s="43"/>
      <c r="AR846" s="42"/>
      <c r="AS846" s="42"/>
    </row>
    <row r="847" spans="1:45" ht="15" customHeight="1">
      <c r="A847" s="21" t="s">
        <v>260</v>
      </c>
      <c r="B847" s="21" t="s">
        <v>46</v>
      </c>
      <c r="C847" s="21" t="s">
        <v>188</v>
      </c>
      <c r="D847" s="21" t="s">
        <v>48</v>
      </c>
      <c r="E847" s="80" t="s">
        <v>919</v>
      </c>
      <c r="F847" s="21" t="s">
        <v>920</v>
      </c>
      <c r="G847" s="101" t="s">
        <v>77</v>
      </c>
      <c r="H847" s="25" t="s">
        <v>1095</v>
      </c>
      <c r="I847" s="102" t="s">
        <v>78</v>
      </c>
      <c r="J847" s="65" t="s">
        <v>1096</v>
      </c>
      <c r="K847" s="104"/>
      <c r="L847" s="48" t="s">
        <v>923</v>
      </c>
      <c r="M847" s="27">
        <v>44777</v>
      </c>
      <c r="N847" s="105" t="s">
        <v>182</v>
      </c>
      <c r="O847" s="106">
        <v>8595</v>
      </c>
      <c r="P847" s="106">
        <v>14</v>
      </c>
      <c r="Q847" s="51">
        <f t="shared" si="22"/>
        <v>120330</v>
      </c>
      <c r="R847" s="31">
        <v>202310</v>
      </c>
      <c r="S847" s="107" t="s">
        <v>1106</v>
      </c>
      <c r="T847" s="33"/>
      <c r="U847" s="32"/>
      <c r="V847" s="67"/>
      <c r="W847" s="67"/>
      <c r="X847" s="67"/>
      <c r="Y847" s="36">
        <v>44681</v>
      </c>
      <c r="Z847" s="36">
        <v>46873</v>
      </c>
      <c r="AA847" s="36"/>
      <c r="AB847" s="36"/>
      <c r="AC847" s="36"/>
      <c r="AD847" s="36"/>
      <c r="AE847" s="36"/>
      <c r="AF847" s="53" t="s">
        <v>68</v>
      </c>
      <c r="AG847" s="42"/>
      <c r="AH847" s="42"/>
      <c r="AI847" s="43"/>
      <c r="AJ847" s="43"/>
      <c r="AK847" s="43"/>
      <c r="AL847" s="43"/>
      <c r="AM847" s="43"/>
      <c r="AN847" s="42"/>
      <c r="AO847" s="42"/>
      <c r="AP847" s="42"/>
      <c r="AQ847" s="43"/>
      <c r="AR847" s="42"/>
      <c r="AS847" s="42"/>
    </row>
    <row r="848" spans="1:45" ht="15" customHeight="1">
      <c r="A848" s="21" t="s">
        <v>260</v>
      </c>
      <c r="B848" s="21" t="s">
        <v>46</v>
      </c>
      <c r="C848" s="21" t="s">
        <v>188</v>
      </c>
      <c r="D848" s="21" t="s">
        <v>48</v>
      </c>
      <c r="E848" s="80" t="s">
        <v>919</v>
      </c>
      <c r="F848" s="21" t="s">
        <v>920</v>
      </c>
      <c r="G848" s="101" t="s">
        <v>77</v>
      </c>
      <c r="H848" s="25" t="s">
        <v>1095</v>
      </c>
      <c r="I848" s="102" t="s">
        <v>78</v>
      </c>
      <c r="J848" s="65" t="s">
        <v>1096</v>
      </c>
      <c r="K848" s="104"/>
      <c r="L848" s="48" t="s">
        <v>923</v>
      </c>
      <c r="M848" s="27">
        <v>44782</v>
      </c>
      <c r="N848" s="105" t="s">
        <v>182</v>
      </c>
      <c r="O848" s="106">
        <v>8595</v>
      </c>
      <c r="P848" s="106">
        <v>78</v>
      </c>
      <c r="Q848" s="51">
        <f t="shared" si="22"/>
        <v>670410</v>
      </c>
      <c r="R848" s="31">
        <v>202310</v>
      </c>
      <c r="S848" s="107" t="s">
        <v>1107</v>
      </c>
      <c r="T848" s="33"/>
      <c r="U848" s="32"/>
      <c r="V848" s="67"/>
      <c r="W848" s="67"/>
      <c r="X848" s="67"/>
      <c r="Y848" s="36">
        <v>44681</v>
      </c>
      <c r="Z848" s="36">
        <v>46873</v>
      </c>
      <c r="AA848" s="36"/>
      <c r="AB848" s="36"/>
      <c r="AC848" s="36"/>
      <c r="AD848" s="36"/>
      <c r="AE848" s="36"/>
      <c r="AF848" s="53" t="s">
        <v>68</v>
      </c>
      <c r="AG848" s="42"/>
      <c r="AH848" s="42"/>
      <c r="AI848" s="43"/>
      <c r="AJ848" s="43"/>
      <c r="AK848" s="43"/>
      <c r="AL848" s="43"/>
      <c r="AM848" s="43"/>
      <c r="AN848" s="42"/>
      <c r="AO848" s="42"/>
      <c r="AP848" s="42"/>
      <c r="AQ848" s="43"/>
      <c r="AR848" s="42"/>
      <c r="AS848" s="42"/>
    </row>
    <row r="849" spans="1:45" ht="15" customHeight="1">
      <c r="A849" s="21" t="s">
        <v>260</v>
      </c>
      <c r="B849" s="21" t="s">
        <v>46</v>
      </c>
      <c r="C849" s="21" t="s">
        <v>188</v>
      </c>
      <c r="D849" s="21" t="s">
        <v>48</v>
      </c>
      <c r="E849" s="80" t="s">
        <v>919</v>
      </c>
      <c r="F849" s="21" t="s">
        <v>920</v>
      </c>
      <c r="G849" s="101" t="s">
        <v>77</v>
      </c>
      <c r="H849" s="25" t="s">
        <v>1095</v>
      </c>
      <c r="I849" s="102" t="s">
        <v>78</v>
      </c>
      <c r="J849" s="65" t="s">
        <v>1096</v>
      </c>
      <c r="K849" s="104"/>
      <c r="L849" s="48" t="s">
        <v>923</v>
      </c>
      <c r="M849" s="27">
        <v>44813</v>
      </c>
      <c r="N849" s="105" t="s">
        <v>182</v>
      </c>
      <c r="O849" s="106">
        <v>8595</v>
      </c>
      <c r="P849" s="106">
        <v>5</v>
      </c>
      <c r="Q849" s="51">
        <f t="shared" si="22"/>
        <v>42975</v>
      </c>
      <c r="R849" s="31">
        <v>202310</v>
      </c>
      <c r="S849" s="107" t="s">
        <v>1108</v>
      </c>
      <c r="T849" s="33"/>
      <c r="U849" s="32"/>
      <c r="V849" s="67"/>
      <c r="W849" s="67"/>
      <c r="X849" s="67"/>
      <c r="Y849" s="36">
        <v>44681</v>
      </c>
      <c r="Z849" s="36">
        <v>46873</v>
      </c>
      <c r="AA849" s="36"/>
      <c r="AB849" s="36"/>
      <c r="AC849" s="36"/>
      <c r="AD849" s="36"/>
      <c r="AE849" s="36"/>
      <c r="AF849" s="53" t="s">
        <v>68</v>
      </c>
      <c r="AG849" s="42"/>
      <c r="AH849" s="42"/>
      <c r="AI849" s="43"/>
      <c r="AJ849" s="43"/>
      <c r="AK849" s="43"/>
      <c r="AL849" s="43"/>
      <c r="AM849" s="43"/>
      <c r="AN849" s="42"/>
      <c r="AO849" s="42"/>
      <c r="AP849" s="42"/>
      <c r="AQ849" s="43"/>
      <c r="AR849" s="42"/>
      <c r="AS849" s="42"/>
    </row>
    <row r="850" spans="1:45" ht="15" customHeight="1">
      <c r="A850" s="21" t="s">
        <v>260</v>
      </c>
      <c r="B850" s="21" t="s">
        <v>46</v>
      </c>
      <c r="C850" s="21" t="s">
        <v>188</v>
      </c>
      <c r="D850" s="21" t="s">
        <v>48</v>
      </c>
      <c r="E850" s="80" t="s">
        <v>919</v>
      </c>
      <c r="F850" s="21" t="s">
        <v>920</v>
      </c>
      <c r="G850" s="101" t="s">
        <v>77</v>
      </c>
      <c r="H850" s="25" t="s">
        <v>1095</v>
      </c>
      <c r="I850" s="102" t="s">
        <v>78</v>
      </c>
      <c r="J850" s="65" t="s">
        <v>1096</v>
      </c>
      <c r="K850" s="104"/>
      <c r="L850" s="48" t="s">
        <v>923</v>
      </c>
      <c r="M850" s="27">
        <v>44817</v>
      </c>
      <c r="N850" s="105" t="s">
        <v>182</v>
      </c>
      <c r="O850" s="106">
        <v>8595</v>
      </c>
      <c r="P850" s="106">
        <v>1</v>
      </c>
      <c r="Q850" s="51">
        <f t="shared" si="22"/>
        <v>8595</v>
      </c>
      <c r="R850" s="31">
        <v>202310</v>
      </c>
      <c r="S850" s="107" t="s">
        <v>1109</v>
      </c>
      <c r="T850" s="33"/>
      <c r="U850" s="32"/>
      <c r="V850" s="67"/>
      <c r="W850" s="67"/>
      <c r="X850" s="67"/>
      <c r="Y850" s="36">
        <v>44681</v>
      </c>
      <c r="Z850" s="36">
        <v>46873</v>
      </c>
      <c r="AA850" s="36"/>
      <c r="AB850" s="36"/>
      <c r="AC850" s="36"/>
      <c r="AD850" s="36"/>
      <c r="AE850" s="36"/>
      <c r="AF850" s="53" t="s">
        <v>68</v>
      </c>
      <c r="AG850" s="42"/>
      <c r="AH850" s="42"/>
      <c r="AI850" s="43"/>
      <c r="AJ850" s="43"/>
      <c r="AK850" s="43"/>
      <c r="AL850" s="43"/>
      <c r="AM850" s="43"/>
      <c r="AN850" s="42"/>
      <c r="AO850" s="42"/>
      <c r="AP850" s="42"/>
      <c r="AQ850" s="43"/>
      <c r="AR850" s="42"/>
      <c r="AS850" s="42"/>
    </row>
    <row r="851" spans="1:45" ht="15" customHeight="1">
      <c r="A851" s="21" t="s">
        <v>260</v>
      </c>
      <c r="B851" s="21" t="s">
        <v>46</v>
      </c>
      <c r="C851" s="21" t="s">
        <v>188</v>
      </c>
      <c r="D851" s="21" t="s">
        <v>48</v>
      </c>
      <c r="E851" s="80" t="s">
        <v>919</v>
      </c>
      <c r="F851" s="21" t="s">
        <v>920</v>
      </c>
      <c r="G851" s="101" t="s">
        <v>77</v>
      </c>
      <c r="H851" s="25" t="s">
        <v>1095</v>
      </c>
      <c r="I851" s="102" t="s">
        <v>78</v>
      </c>
      <c r="J851" s="65" t="s">
        <v>1096</v>
      </c>
      <c r="K851" s="104"/>
      <c r="L851" s="48" t="s">
        <v>923</v>
      </c>
      <c r="M851" s="27">
        <v>44866</v>
      </c>
      <c r="N851" s="105" t="s">
        <v>382</v>
      </c>
      <c r="O851" s="106">
        <v>0</v>
      </c>
      <c r="P851" s="106">
        <v>14</v>
      </c>
      <c r="Q851" s="51">
        <f t="shared" si="22"/>
        <v>0</v>
      </c>
      <c r="R851" s="31">
        <v>202310</v>
      </c>
      <c r="S851" s="107" t="s">
        <v>1110</v>
      </c>
      <c r="T851" s="33"/>
      <c r="U851" s="32"/>
      <c r="V851" s="67"/>
      <c r="W851" s="67"/>
      <c r="X851" s="67"/>
      <c r="Y851" s="36">
        <v>44681</v>
      </c>
      <c r="Z851" s="36">
        <v>46873</v>
      </c>
      <c r="AA851" s="36"/>
      <c r="AB851" s="36"/>
      <c r="AC851" s="36"/>
      <c r="AD851" s="36"/>
      <c r="AE851" s="36"/>
      <c r="AF851" s="53" t="s">
        <v>68</v>
      </c>
      <c r="AG851" s="42"/>
      <c r="AH851" s="42"/>
      <c r="AI851" s="43"/>
      <c r="AJ851" s="43"/>
      <c r="AK851" s="43"/>
      <c r="AL851" s="43"/>
      <c r="AM851" s="43"/>
      <c r="AN851" s="42"/>
      <c r="AO851" s="42"/>
      <c r="AP851" s="42"/>
      <c r="AQ851" s="43"/>
      <c r="AR851" s="42"/>
      <c r="AS851" s="42"/>
    </row>
    <row r="852" spans="1:45" ht="15" customHeight="1">
      <c r="A852" s="21" t="s">
        <v>260</v>
      </c>
      <c r="B852" s="21" t="s">
        <v>46</v>
      </c>
      <c r="C852" s="21" t="s">
        <v>188</v>
      </c>
      <c r="D852" s="21" t="s">
        <v>48</v>
      </c>
      <c r="E852" s="80" t="s">
        <v>919</v>
      </c>
      <c r="F852" s="21" t="s">
        <v>920</v>
      </c>
      <c r="G852" s="101" t="s">
        <v>77</v>
      </c>
      <c r="H852" s="25" t="s">
        <v>1095</v>
      </c>
      <c r="I852" s="102" t="s">
        <v>78</v>
      </c>
      <c r="J852" s="65" t="s">
        <v>1096</v>
      </c>
      <c r="K852" s="104"/>
      <c r="L852" s="48" t="s">
        <v>923</v>
      </c>
      <c r="M852" s="27">
        <v>44896</v>
      </c>
      <c r="N852" s="105" t="s">
        <v>182</v>
      </c>
      <c r="O852" s="106">
        <v>8595</v>
      </c>
      <c r="P852" s="106">
        <v>13</v>
      </c>
      <c r="Q852" s="51">
        <f t="shared" si="22"/>
        <v>111735</v>
      </c>
      <c r="R852" s="31">
        <v>202310</v>
      </c>
      <c r="S852" s="107" t="s">
        <v>1111</v>
      </c>
      <c r="T852" s="33"/>
      <c r="U852" s="32"/>
      <c r="V852" s="67"/>
      <c r="W852" s="67"/>
      <c r="X852" s="67"/>
      <c r="Y852" s="36">
        <v>44681</v>
      </c>
      <c r="Z852" s="36">
        <v>46873</v>
      </c>
      <c r="AA852" s="36"/>
      <c r="AB852" s="36"/>
      <c r="AC852" s="36"/>
      <c r="AD852" s="36"/>
      <c r="AE852" s="36"/>
      <c r="AF852" s="53" t="s">
        <v>68</v>
      </c>
      <c r="AG852" s="42"/>
      <c r="AH852" s="42"/>
      <c r="AI852" s="43"/>
      <c r="AJ852" s="43"/>
      <c r="AK852" s="43"/>
      <c r="AL852" s="43"/>
      <c r="AM852" s="43"/>
      <c r="AN852" s="42"/>
      <c r="AO852" s="42"/>
      <c r="AP852" s="42"/>
      <c r="AQ852" s="43"/>
      <c r="AR852" s="42"/>
      <c r="AS852" s="42"/>
    </row>
    <row r="853" spans="1:45" ht="15" customHeight="1">
      <c r="A853" s="21" t="s">
        <v>260</v>
      </c>
      <c r="B853" s="21" t="s">
        <v>46</v>
      </c>
      <c r="C853" s="21" t="s">
        <v>188</v>
      </c>
      <c r="D853" s="21" t="s">
        <v>48</v>
      </c>
      <c r="E853" s="80" t="s">
        <v>919</v>
      </c>
      <c r="F853" s="21" t="s">
        <v>920</v>
      </c>
      <c r="G853" s="101" t="s">
        <v>77</v>
      </c>
      <c r="H853" s="25" t="s">
        <v>1095</v>
      </c>
      <c r="I853" s="102" t="s">
        <v>366</v>
      </c>
      <c r="J853" s="65" t="s">
        <v>1096</v>
      </c>
      <c r="K853" s="104"/>
      <c r="L853" s="48" t="s">
        <v>923</v>
      </c>
      <c r="M853" s="27"/>
      <c r="N853" s="105"/>
      <c r="O853" s="106">
        <v>300</v>
      </c>
      <c r="P853" s="106">
        <v>400</v>
      </c>
      <c r="Q853" s="51">
        <f t="shared" si="22"/>
        <v>120000</v>
      </c>
      <c r="R853" s="31">
        <v>202310</v>
      </c>
      <c r="S853" s="107" t="s">
        <v>1112</v>
      </c>
      <c r="T853" s="33" t="s">
        <v>1113</v>
      </c>
      <c r="U853" s="32"/>
      <c r="V853" s="67"/>
      <c r="W853" s="67"/>
      <c r="X853" s="67"/>
      <c r="Y853" s="36">
        <v>44681</v>
      </c>
      <c r="Z853" s="36">
        <v>46873</v>
      </c>
      <c r="AA853" s="42"/>
      <c r="AB853" s="43"/>
      <c r="AC853" s="43"/>
      <c r="AD853" s="43"/>
      <c r="AE853" s="43"/>
      <c r="AF853" s="53" t="s">
        <v>68</v>
      </c>
      <c r="AG853" s="42"/>
      <c r="AH853" s="42"/>
      <c r="AI853" s="42"/>
      <c r="AJ853" s="43"/>
      <c r="AK853" s="43"/>
      <c r="AL853" s="43"/>
      <c r="AM853" s="42"/>
      <c r="AN853" s="42"/>
      <c r="AO853" s="42"/>
      <c r="AP853" s="42"/>
      <c r="AQ853" s="43"/>
      <c r="AR853" s="42"/>
      <c r="AS853" s="42"/>
    </row>
    <row r="854" spans="1:45" ht="15" customHeight="1">
      <c r="A854" s="21" t="s">
        <v>260</v>
      </c>
      <c r="B854" s="21" t="s">
        <v>46</v>
      </c>
      <c r="C854" s="21" t="s">
        <v>188</v>
      </c>
      <c r="D854" s="21" t="s">
        <v>48</v>
      </c>
      <c r="E854" s="80" t="s">
        <v>919</v>
      </c>
      <c r="F854" s="21" t="s">
        <v>920</v>
      </c>
      <c r="G854" s="101" t="s">
        <v>77</v>
      </c>
      <c r="H854" s="25" t="s">
        <v>1114</v>
      </c>
      <c r="I854" s="102" t="s">
        <v>78</v>
      </c>
      <c r="J854" s="103" t="s">
        <v>1115</v>
      </c>
      <c r="K854" s="104"/>
      <c r="L854" s="48" t="s">
        <v>923</v>
      </c>
      <c r="M854" s="27">
        <v>44848</v>
      </c>
      <c r="N854" s="105" t="s">
        <v>177</v>
      </c>
      <c r="O854" s="106">
        <v>5900</v>
      </c>
      <c r="P854" s="106">
        <v>2</v>
      </c>
      <c r="Q854" s="51">
        <f t="shared" si="22"/>
        <v>11800</v>
      </c>
      <c r="R854" s="31">
        <v>202310</v>
      </c>
      <c r="S854" s="107" t="s">
        <v>1116</v>
      </c>
      <c r="T854" s="33"/>
      <c r="U854" s="32"/>
      <c r="V854" s="67"/>
      <c r="W854" s="67"/>
      <c r="X854" s="67"/>
      <c r="Y854" s="36">
        <v>44844</v>
      </c>
      <c r="Z854" s="36">
        <v>47036</v>
      </c>
      <c r="AA854" s="36"/>
      <c r="AB854" s="36"/>
      <c r="AC854" s="36"/>
      <c r="AD854" s="36"/>
      <c r="AE854" s="36"/>
      <c r="AF854" s="53" t="s">
        <v>68</v>
      </c>
      <c r="AG854" s="42"/>
      <c r="AH854" s="42"/>
      <c r="AI854" s="43"/>
      <c r="AJ854" s="43"/>
      <c r="AK854" s="43"/>
      <c r="AL854" s="43"/>
      <c r="AM854" s="43"/>
      <c r="AN854" s="42"/>
      <c r="AO854" s="42"/>
      <c r="AP854" s="42"/>
      <c r="AQ854" s="43"/>
      <c r="AR854" s="42"/>
      <c r="AS854" s="42"/>
    </row>
    <row r="855" spans="1:45" ht="15" customHeight="1">
      <c r="A855" s="21" t="s">
        <v>260</v>
      </c>
      <c r="B855" s="21" t="s">
        <v>46</v>
      </c>
      <c r="C855" s="21" t="s">
        <v>188</v>
      </c>
      <c r="D855" s="21" t="s">
        <v>48</v>
      </c>
      <c r="E855" s="80" t="s">
        <v>919</v>
      </c>
      <c r="F855" s="21" t="s">
        <v>920</v>
      </c>
      <c r="G855" s="101" t="s">
        <v>77</v>
      </c>
      <c r="H855" s="25" t="s">
        <v>1114</v>
      </c>
      <c r="I855" s="102" t="s">
        <v>78</v>
      </c>
      <c r="J855" s="103" t="s">
        <v>1115</v>
      </c>
      <c r="K855" s="104"/>
      <c r="L855" s="48" t="s">
        <v>923</v>
      </c>
      <c r="M855" s="27">
        <v>44848</v>
      </c>
      <c r="N855" s="105" t="s">
        <v>182</v>
      </c>
      <c r="O855" s="106">
        <v>8595</v>
      </c>
      <c r="P855" s="106">
        <v>299</v>
      </c>
      <c r="Q855" s="51">
        <f t="shared" si="22"/>
        <v>2569905</v>
      </c>
      <c r="R855" s="31">
        <v>202310</v>
      </c>
      <c r="S855" s="107" t="s">
        <v>1117</v>
      </c>
      <c r="T855" s="33"/>
      <c r="U855" s="32"/>
      <c r="V855" s="67"/>
      <c r="W855" s="67"/>
      <c r="X855" s="67"/>
      <c r="Y855" s="36">
        <v>44844</v>
      </c>
      <c r="Z855" s="36">
        <v>47036</v>
      </c>
      <c r="AA855" s="36"/>
      <c r="AB855" s="36"/>
      <c r="AC855" s="36"/>
      <c r="AD855" s="36"/>
      <c r="AE855" s="36"/>
      <c r="AF855" s="53" t="s">
        <v>68</v>
      </c>
      <c r="AG855" s="42"/>
      <c r="AH855" s="42"/>
      <c r="AI855" s="43"/>
      <c r="AJ855" s="43"/>
      <c r="AK855" s="43"/>
      <c r="AL855" s="43"/>
      <c r="AM855" s="43"/>
      <c r="AN855" s="42"/>
      <c r="AO855" s="42"/>
      <c r="AP855" s="42"/>
      <c r="AQ855" s="43"/>
      <c r="AR855" s="42"/>
      <c r="AS855" s="42"/>
    </row>
    <row r="856" spans="1:45" ht="15" customHeight="1">
      <c r="A856" s="21" t="s">
        <v>260</v>
      </c>
      <c r="B856" s="21" t="s">
        <v>46</v>
      </c>
      <c r="C856" s="21" t="s">
        <v>188</v>
      </c>
      <c r="D856" s="21" t="s">
        <v>48</v>
      </c>
      <c r="E856" s="80" t="s">
        <v>919</v>
      </c>
      <c r="F856" s="21" t="s">
        <v>920</v>
      </c>
      <c r="G856" s="101" t="s">
        <v>77</v>
      </c>
      <c r="H856" s="25" t="s">
        <v>1114</v>
      </c>
      <c r="I856" s="102" t="s">
        <v>78</v>
      </c>
      <c r="J856" s="103" t="s">
        <v>1115</v>
      </c>
      <c r="K856" s="104"/>
      <c r="L856" s="48" t="s">
        <v>923</v>
      </c>
      <c r="M856" s="27">
        <v>45016</v>
      </c>
      <c r="N856" s="105" t="s">
        <v>182</v>
      </c>
      <c r="O856" s="106">
        <v>8595</v>
      </c>
      <c r="P856" s="106">
        <v>3</v>
      </c>
      <c r="Q856" s="51">
        <f t="shared" si="22"/>
        <v>25785</v>
      </c>
      <c r="R856" s="31">
        <v>202310</v>
      </c>
      <c r="S856" s="107" t="s">
        <v>1118</v>
      </c>
      <c r="T856" s="33"/>
      <c r="U856" s="32"/>
      <c r="V856" s="67"/>
      <c r="W856" s="67"/>
      <c r="X856" s="67"/>
      <c r="Y856" s="36">
        <v>44844</v>
      </c>
      <c r="Z856" s="36">
        <v>47036</v>
      </c>
      <c r="AA856" s="36"/>
      <c r="AB856" s="36"/>
      <c r="AC856" s="36"/>
      <c r="AD856" s="36"/>
      <c r="AE856" s="36"/>
      <c r="AF856" s="53" t="s">
        <v>68</v>
      </c>
      <c r="AG856" s="42"/>
      <c r="AH856" s="42"/>
      <c r="AI856" s="43"/>
      <c r="AJ856" s="43"/>
      <c r="AK856" s="43"/>
      <c r="AL856" s="43"/>
      <c r="AM856" s="43"/>
      <c r="AN856" s="42"/>
      <c r="AO856" s="42"/>
      <c r="AP856" s="42"/>
      <c r="AQ856" s="43"/>
      <c r="AR856" s="42"/>
      <c r="AS856" s="42"/>
    </row>
    <row r="857" spans="1:45" ht="15" customHeight="1">
      <c r="A857" s="21" t="s">
        <v>260</v>
      </c>
      <c r="B857" s="21" t="s">
        <v>46</v>
      </c>
      <c r="C857" s="21" t="s">
        <v>188</v>
      </c>
      <c r="D857" s="21" t="s">
        <v>48</v>
      </c>
      <c r="E857" s="80" t="s">
        <v>919</v>
      </c>
      <c r="F857" s="21" t="s">
        <v>920</v>
      </c>
      <c r="G857" s="101" t="s">
        <v>77</v>
      </c>
      <c r="H857" s="25" t="s">
        <v>1114</v>
      </c>
      <c r="I857" s="102" t="s">
        <v>78</v>
      </c>
      <c r="J857" s="103" t="s">
        <v>1115</v>
      </c>
      <c r="K857" s="104"/>
      <c r="L857" s="48" t="s">
        <v>923</v>
      </c>
      <c r="M857" s="27">
        <v>45184</v>
      </c>
      <c r="N857" s="105" t="s">
        <v>182</v>
      </c>
      <c r="O857" s="106">
        <v>8595</v>
      </c>
      <c r="P857" s="106">
        <v>-1</v>
      </c>
      <c r="Q857" s="51">
        <f>ROUND(O857*P857,2)</f>
        <v>-8595</v>
      </c>
      <c r="R857" s="31">
        <v>202310</v>
      </c>
      <c r="S857" s="107" t="s">
        <v>1119</v>
      </c>
      <c r="T857" s="33"/>
      <c r="U857" s="32"/>
      <c r="V857" s="67"/>
      <c r="W857" s="67"/>
      <c r="X857" s="67"/>
      <c r="Y857" s="36">
        <v>44844</v>
      </c>
      <c r="Z857" s="36">
        <v>47036</v>
      </c>
      <c r="AA857" s="36"/>
      <c r="AB857" s="36"/>
      <c r="AC857" s="36"/>
      <c r="AD857" s="36"/>
      <c r="AE857" s="36"/>
      <c r="AF857" s="53" t="s">
        <v>68</v>
      </c>
      <c r="AG857" s="42"/>
      <c r="AH857" s="42"/>
      <c r="AI857" s="43"/>
      <c r="AJ857" s="43"/>
      <c r="AK857" s="43"/>
      <c r="AL857" s="43"/>
      <c r="AM857" s="43"/>
      <c r="AN857" s="42"/>
      <c r="AO857" s="42"/>
      <c r="AP857" s="42"/>
      <c r="AQ857" s="43"/>
      <c r="AR857" s="42"/>
      <c r="AS857" s="42"/>
    </row>
    <row r="858" spans="1:45" ht="15" customHeight="1">
      <c r="A858" s="21" t="s">
        <v>260</v>
      </c>
      <c r="B858" s="21" t="s">
        <v>46</v>
      </c>
      <c r="C858" s="21" t="s">
        <v>188</v>
      </c>
      <c r="D858" s="21" t="s">
        <v>48</v>
      </c>
      <c r="E858" s="80" t="s">
        <v>919</v>
      </c>
      <c r="F858" s="21" t="s">
        <v>920</v>
      </c>
      <c r="G858" s="101" t="s">
        <v>77</v>
      </c>
      <c r="H858" s="25" t="s">
        <v>1114</v>
      </c>
      <c r="I858" s="102" t="s">
        <v>78</v>
      </c>
      <c r="J858" s="103" t="s">
        <v>1120</v>
      </c>
      <c r="K858" s="104"/>
      <c r="L858" s="48" t="s">
        <v>923</v>
      </c>
      <c r="M858" s="27">
        <v>44875</v>
      </c>
      <c r="N858" s="105" t="s">
        <v>177</v>
      </c>
      <c r="O858" s="106">
        <v>5900</v>
      </c>
      <c r="P858" s="106">
        <v>1</v>
      </c>
      <c r="Q858" s="51">
        <f t="shared" si="22"/>
        <v>5900</v>
      </c>
      <c r="R858" s="31">
        <v>202310</v>
      </c>
      <c r="S858" s="107" t="s">
        <v>1121</v>
      </c>
      <c r="T858" s="33"/>
      <c r="U858" s="32"/>
      <c r="V858" s="67"/>
      <c r="W858" s="67"/>
      <c r="X858" s="67"/>
      <c r="Y858" s="36">
        <v>44844</v>
      </c>
      <c r="Z858" s="36">
        <v>47036</v>
      </c>
      <c r="AA858" s="36"/>
      <c r="AB858" s="36"/>
      <c r="AC858" s="36"/>
      <c r="AD858" s="36"/>
      <c r="AE858" s="36"/>
      <c r="AF858" s="53" t="s">
        <v>68</v>
      </c>
      <c r="AG858" s="42"/>
      <c r="AH858" s="42"/>
      <c r="AI858" s="43"/>
      <c r="AJ858" s="43"/>
      <c r="AK858" s="43"/>
      <c r="AL858" s="43"/>
      <c r="AM858" s="43"/>
      <c r="AN858" s="42"/>
      <c r="AO858" s="42"/>
      <c r="AP858" s="42"/>
      <c r="AQ858" s="43"/>
      <c r="AR858" s="42"/>
      <c r="AS858" s="42"/>
    </row>
    <row r="859" spans="1:45" ht="15" customHeight="1">
      <c r="A859" s="21" t="s">
        <v>260</v>
      </c>
      <c r="B859" s="21" t="s">
        <v>46</v>
      </c>
      <c r="C859" s="21" t="s">
        <v>188</v>
      </c>
      <c r="D859" s="21" t="s">
        <v>48</v>
      </c>
      <c r="E859" s="80" t="s">
        <v>919</v>
      </c>
      <c r="F859" s="21" t="s">
        <v>920</v>
      </c>
      <c r="G859" s="101" t="s">
        <v>77</v>
      </c>
      <c r="H859" s="25" t="s">
        <v>1114</v>
      </c>
      <c r="I859" s="102" t="s">
        <v>78</v>
      </c>
      <c r="J859" s="103" t="s">
        <v>1120</v>
      </c>
      <c r="K859" s="104"/>
      <c r="L859" s="48" t="s">
        <v>923</v>
      </c>
      <c r="M859" s="27">
        <v>44875</v>
      </c>
      <c r="N859" s="105" t="s">
        <v>182</v>
      </c>
      <c r="O859" s="106">
        <v>8595</v>
      </c>
      <c r="P859" s="106">
        <v>87</v>
      </c>
      <c r="Q859" s="51">
        <f t="shared" si="22"/>
        <v>747765</v>
      </c>
      <c r="R859" s="31">
        <v>202310</v>
      </c>
      <c r="S859" s="107" t="s">
        <v>1122</v>
      </c>
      <c r="T859" s="33"/>
      <c r="U859" s="32"/>
      <c r="V859" s="67"/>
      <c r="W859" s="67"/>
      <c r="X859" s="67"/>
      <c r="Y859" s="36">
        <v>44844</v>
      </c>
      <c r="Z859" s="36">
        <v>47036</v>
      </c>
      <c r="AA859" s="36"/>
      <c r="AB859" s="36"/>
      <c r="AC859" s="36"/>
      <c r="AD859" s="36"/>
      <c r="AE859" s="36"/>
      <c r="AF859" s="53" t="s">
        <v>68</v>
      </c>
      <c r="AG859" s="42"/>
      <c r="AH859" s="42"/>
      <c r="AI859" s="43"/>
      <c r="AJ859" s="43"/>
      <c r="AK859" s="43"/>
      <c r="AL859" s="43"/>
      <c r="AM859" s="43"/>
      <c r="AN859" s="42"/>
      <c r="AO859" s="42"/>
      <c r="AP859" s="42"/>
      <c r="AQ859" s="43"/>
      <c r="AR859" s="42"/>
      <c r="AS859" s="42"/>
    </row>
    <row r="860" spans="1:45" ht="15" customHeight="1">
      <c r="A860" s="21" t="s">
        <v>260</v>
      </c>
      <c r="B860" s="21" t="s">
        <v>46</v>
      </c>
      <c r="C860" s="21" t="s">
        <v>188</v>
      </c>
      <c r="D860" s="21" t="s">
        <v>48</v>
      </c>
      <c r="E860" s="80" t="s">
        <v>919</v>
      </c>
      <c r="F860" s="21" t="s">
        <v>920</v>
      </c>
      <c r="G860" s="101" t="s">
        <v>77</v>
      </c>
      <c r="H860" s="25" t="s">
        <v>1114</v>
      </c>
      <c r="I860" s="102" t="s">
        <v>78</v>
      </c>
      <c r="J860" s="103" t="s">
        <v>1120</v>
      </c>
      <c r="K860" s="104"/>
      <c r="L860" s="48" t="s">
        <v>923</v>
      </c>
      <c r="M860" s="27">
        <v>44875</v>
      </c>
      <c r="N860" s="105" t="s">
        <v>177</v>
      </c>
      <c r="O860" s="106">
        <v>5900</v>
      </c>
      <c r="P860" s="106">
        <v>1</v>
      </c>
      <c r="Q860" s="51">
        <f t="shared" si="22"/>
        <v>5900</v>
      </c>
      <c r="R860" s="31">
        <v>202310</v>
      </c>
      <c r="S860" s="107" t="s">
        <v>1123</v>
      </c>
      <c r="T860" s="33"/>
      <c r="U860" s="32"/>
      <c r="V860" s="67"/>
      <c r="W860" s="67"/>
      <c r="X860" s="67"/>
      <c r="Y860" s="36">
        <v>44844</v>
      </c>
      <c r="Z860" s="36">
        <v>47036</v>
      </c>
      <c r="AA860" s="36"/>
      <c r="AB860" s="36"/>
      <c r="AC860" s="36"/>
      <c r="AD860" s="36"/>
      <c r="AE860" s="36"/>
      <c r="AF860" s="53" t="s">
        <v>68</v>
      </c>
      <c r="AG860" s="42"/>
      <c r="AH860" s="42"/>
      <c r="AI860" s="43"/>
      <c r="AJ860" s="43"/>
      <c r="AK860" s="43"/>
      <c r="AL860" s="43"/>
      <c r="AM860" s="43"/>
      <c r="AN860" s="42"/>
      <c r="AO860" s="42"/>
      <c r="AP860" s="42"/>
      <c r="AQ860" s="43"/>
      <c r="AR860" s="42"/>
      <c r="AS860" s="42"/>
    </row>
    <row r="861" spans="1:45" ht="15" customHeight="1">
      <c r="A861" s="21" t="s">
        <v>260</v>
      </c>
      <c r="B861" s="21" t="s">
        <v>46</v>
      </c>
      <c r="C861" s="21" t="s">
        <v>188</v>
      </c>
      <c r="D861" s="21" t="s">
        <v>48</v>
      </c>
      <c r="E861" s="80" t="s">
        <v>919</v>
      </c>
      <c r="F861" s="21" t="s">
        <v>920</v>
      </c>
      <c r="G861" s="101" t="s">
        <v>77</v>
      </c>
      <c r="H861" s="25" t="s">
        <v>1114</v>
      </c>
      <c r="I861" s="102" t="s">
        <v>78</v>
      </c>
      <c r="J861" s="103" t="s">
        <v>1120</v>
      </c>
      <c r="K861" s="104"/>
      <c r="L861" s="48" t="s">
        <v>923</v>
      </c>
      <c r="M861" s="27">
        <v>44935</v>
      </c>
      <c r="N861" s="105" t="s">
        <v>182</v>
      </c>
      <c r="O861" s="106">
        <v>8595</v>
      </c>
      <c r="P861" s="106">
        <v>14</v>
      </c>
      <c r="Q861" s="51">
        <f t="shared" si="22"/>
        <v>120330</v>
      </c>
      <c r="R861" s="31">
        <v>202310</v>
      </c>
      <c r="S861" s="107" t="s">
        <v>1124</v>
      </c>
      <c r="T861" s="33"/>
      <c r="U861" s="32"/>
      <c r="V861" s="67"/>
      <c r="W861" s="67"/>
      <c r="X861" s="67"/>
      <c r="Y861" s="36">
        <v>44844</v>
      </c>
      <c r="Z861" s="36">
        <v>47036</v>
      </c>
      <c r="AA861" s="36"/>
      <c r="AB861" s="36"/>
      <c r="AC861" s="36"/>
      <c r="AD861" s="36"/>
      <c r="AE861" s="36"/>
      <c r="AF861" s="53" t="s">
        <v>68</v>
      </c>
      <c r="AG861" s="42"/>
      <c r="AH861" s="42"/>
      <c r="AI861" s="43"/>
      <c r="AJ861" s="43"/>
      <c r="AK861" s="43"/>
      <c r="AL861" s="43"/>
      <c r="AM861" s="43"/>
      <c r="AN861" s="42"/>
      <c r="AO861" s="42"/>
      <c r="AP861" s="42"/>
      <c r="AQ861" s="43"/>
      <c r="AR861" s="42"/>
      <c r="AS861" s="42"/>
    </row>
    <row r="862" spans="1:45" ht="15" customHeight="1">
      <c r="A862" s="21" t="s">
        <v>260</v>
      </c>
      <c r="B862" s="21" t="s">
        <v>46</v>
      </c>
      <c r="C862" s="21" t="s">
        <v>188</v>
      </c>
      <c r="D862" s="21" t="s">
        <v>48</v>
      </c>
      <c r="E862" s="80" t="s">
        <v>919</v>
      </c>
      <c r="F862" s="21" t="s">
        <v>920</v>
      </c>
      <c r="G862" s="101" t="s">
        <v>77</v>
      </c>
      <c r="H862" s="25" t="s">
        <v>1114</v>
      </c>
      <c r="I862" s="102" t="s">
        <v>78</v>
      </c>
      <c r="J862" s="103" t="s">
        <v>1120</v>
      </c>
      <c r="K862" s="104"/>
      <c r="L862" s="48" t="s">
        <v>923</v>
      </c>
      <c r="M862" s="27">
        <v>44965</v>
      </c>
      <c r="N862" s="105" t="s">
        <v>182</v>
      </c>
      <c r="O862" s="106">
        <v>8595</v>
      </c>
      <c r="P862" s="106">
        <v>6</v>
      </c>
      <c r="Q862" s="51">
        <f t="shared" ref="Q862:Q875" si="23">ROUND(O862*P862,2)</f>
        <v>51570</v>
      </c>
      <c r="R862" s="31">
        <v>202310</v>
      </c>
      <c r="S862" s="107" t="s">
        <v>1125</v>
      </c>
      <c r="T862" s="33"/>
      <c r="U862" s="32"/>
      <c r="V862" s="67"/>
      <c r="W862" s="67"/>
      <c r="X862" s="67"/>
      <c r="Y862" s="36">
        <v>44844</v>
      </c>
      <c r="Z862" s="36">
        <v>47036</v>
      </c>
      <c r="AA862" s="36"/>
      <c r="AB862" s="36"/>
      <c r="AC862" s="36"/>
      <c r="AD862" s="36"/>
      <c r="AE862" s="36"/>
      <c r="AF862" s="53" t="s">
        <v>68</v>
      </c>
      <c r="AG862" s="42"/>
      <c r="AH862" s="42"/>
      <c r="AI862" s="43"/>
      <c r="AJ862" s="43"/>
      <c r="AK862" s="43"/>
      <c r="AL862" s="43"/>
      <c r="AM862" s="43"/>
      <c r="AN862" s="42"/>
      <c r="AO862" s="42"/>
      <c r="AP862" s="42"/>
      <c r="AQ862" s="43"/>
      <c r="AR862" s="42"/>
      <c r="AS862" s="42"/>
    </row>
    <row r="863" spans="1:45" ht="15" customHeight="1">
      <c r="A863" s="21" t="s">
        <v>260</v>
      </c>
      <c r="B863" s="21" t="s">
        <v>46</v>
      </c>
      <c r="C863" s="21" t="s">
        <v>188</v>
      </c>
      <c r="D863" s="21" t="s">
        <v>48</v>
      </c>
      <c r="E863" s="80" t="s">
        <v>919</v>
      </c>
      <c r="F863" s="21" t="s">
        <v>920</v>
      </c>
      <c r="G863" s="101" t="s">
        <v>77</v>
      </c>
      <c r="H863" s="25" t="s">
        <v>1114</v>
      </c>
      <c r="I863" s="102" t="s">
        <v>78</v>
      </c>
      <c r="J863" s="103" t="s">
        <v>1120</v>
      </c>
      <c r="K863" s="104"/>
      <c r="L863" s="48" t="s">
        <v>923</v>
      </c>
      <c r="M863" s="27">
        <v>44967</v>
      </c>
      <c r="N863" s="105" t="s">
        <v>182</v>
      </c>
      <c r="O863" s="106">
        <v>8595</v>
      </c>
      <c r="P863" s="106">
        <v>12</v>
      </c>
      <c r="Q863" s="51">
        <f t="shared" si="23"/>
        <v>103140</v>
      </c>
      <c r="R863" s="31">
        <v>202310</v>
      </c>
      <c r="S863" s="107" t="s">
        <v>1126</v>
      </c>
      <c r="T863" s="33"/>
      <c r="U863" s="32"/>
      <c r="V863" s="67"/>
      <c r="W863" s="67"/>
      <c r="X863" s="67"/>
      <c r="Y863" s="36">
        <v>44844</v>
      </c>
      <c r="Z863" s="36">
        <v>47036</v>
      </c>
      <c r="AA863" s="36"/>
      <c r="AB863" s="36"/>
      <c r="AC863" s="36"/>
      <c r="AD863" s="36"/>
      <c r="AE863" s="36"/>
      <c r="AF863" s="53" t="s">
        <v>68</v>
      </c>
      <c r="AG863" s="42"/>
      <c r="AH863" s="42"/>
      <c r="AI863" s="43"/>
      <c r="AJ863" s="43"/>
      <c r="AK863" s="43"/>
      <c r="AL863" s="43"/>
      <c r="AM863" s="43"/>
      <c r="AN863" s="42"/>
      <c r="AO863" s="42"/>
      <c r="AP863" s="42"/>
      <c r="AQ863" s="43"/>
      <c r="AR863" s="42"/>
      <c r="AS863" s="42"/>
    </row>
    <row r="864" spans="1:45" ht="15" customHeight="1">
      <c r="A864" s="21" t="s">
        <v>260</v>
      </c>
      <c r="B864" s="21" t="s">
        <v>46</v>
      </c>
      <c r="C864" s="21" t="s">
        <v>188</v>
      </c>
      <c r="D864" s="21" t="s">
        <v>48</v>
      </c>
      <c r="E864" s="80" t="s">
        <v>919</v>
      </c>
      <c r="F864" s="21" t="s">
        <v>920</v>
      </c>
      <c r="G864" s="101" t="s">
        <v>77</v>
      </c>
      <c r="H864" s="25" t="s">
        <v>1114</v>
      </c>
      <c r="I864" s="102" t="s">
        <v>78</v>
      </c>
      <c r="J864" s="103" t="s">
        <v>1120</v>
      </c>
      <c r="K864" s="104"/>
      <c r="L864" s="48" t="s">
        <v>923</v>
      </c>
      <c r="M864" s="27">
        <v>44971</v>
      </c>
      <c r="N864" s="105" t="s">
        <v>182</v>
      </c>
      <c r="O864" s="106">
        <v>8595</v>
      </c>
      <c r="P864" s="106">
        <v>9</v>
      </c>
      <c r="Q864" s="51">
        <f t="shared" si="23"/>
        <v>77355</v>
      </c>
      <c r="R864" s="31">
        <v>202310</v>
      </c>
      <c r="S864" s="107" t="s">
        <v>1127</v>
      </c>
      <c r="T864" s="33"/>
      <c r="U864" s="32"/>
      <c r="V864" s="67"/>
      <c r="W864" s="67"/>
      <c r="X864" s="67"/>
      <c r="Y864" s="36">
        <v>44844</v>
      </c>
      <c r="Z864" s="36">
        <v>47036</v>
      </c>
      <c r="AA864" s="36"/>
      <c r="AB864" s="36"/>
      <c r="AC864" s="36"/>
      <c r="AD864" s="36"/>
      <c r="AE864" s="36"/>
      <c r="AF864" s="53" t="s">
        <v>68</v>
      </c>
      <c r="AG864" s="42"/>
      <c r="AH864" s="42"/>
      <c r="AI864" s="43"/>
      <c r="AJ864" s="43"/>
      <c r="AK864" s="43"/>
      <c r="AL864" s="43"/>
      <c r="AM864" s="43"/>
      <c r="AN864" s="42"/>
      <c r="AO864" s="42"/>
      <c r="AP864" s="42"/>
      <c r="AQ864" s="43"/>
      <c r="AR864" s="42"/>
      <c r="AS864" s="42"/>
    </row>
    <row r="865" spans="1:45" ht="15" customHeight="1">
      <c r="A865" s="21" t="s">
        <v>260</v>
      </c>
      <c r="B865" s="21" t="s">
        <v>46</v>
      </c>
      <c r="C865" s="21" t="s">
        <v>188</v>
      </c>
      <c r="D865" s="21" t="s">
        <v>48</v>
      </c>
      <c r="E865" s="80" t="s">
        <v>919</v>
      </c>
      <c r="F865" s="21" t="s">
        <v>920</v>
      </c>
      <c r="G865" s="101" t="s">
        <v>77</v>
      </c>
      <c r="H865" s="25" t="s">
        <v>1114</v>
      </c>
      <c r="I865" s="102" t="s">
        <v>78</v>
      </c>
      <c r="J865" s="103" t="s">
        <v>1120</v>
      </c>
      <c r="K865" s="104"/>
      <c r="L865" s="48" t="s">
        <v>923</v>
      </c>
      <c r="M865" s="27">
        <v>44973</v>
      </c>
      <c r="N865" s="105" t="s">
        <v>182</v>
      </c>
      <c r="O865" s="106">
        <v>8595</v>
      </c>
      <c r="P865" s="106">
        <v>18</v>
      </c>
      <c r="Q865" s="51">
        <f t="shared" si="23"/>
        <v>154710</v>
      </c>
      <c r="R865" s="31">
        <v>202310</v>
      </c>
      <c r="S865" s="107" t="s">
        <v>1128</v>
      </c>
      <c r="T865" s="33"/>
      <c r="U865" s="32"/>
      <c r="V865" s="67"/>
      <c r="W865" s="67"/>
      <c r="X865" s="67"/>
      <c r="Y865" s="36">
        <v>44844</v>
      </c>
      <c r="Z865" s="36">
        <v>47036</v>
      </c>
      <c r="AA865" s="36"/>
      <c r="AB865" s="36"/>
      <c r="AC865" s="36"/>
      <c r="AD865" s="36"/>
      <c r="AE865" s="36"/>
      <c r="AF865" s="53" t="s">
        <v>68</v>
      </c>
      <c r="AG865" s="42"/>
      <c r="AH865" s="42"/>
      <c r="AI865" s="43"/>
      <c r="AJ865" s="43"/>
      <c r="AK865" s="43"/>
      <c r="AL865" s="43"/>
      <c r="AM865" s="43"/>
      <c r="AN865" s="42"/>
      <c r="AO865" s="42"/>
      <c r="AP865" s="42"/>
      <c r="AQ865" s="43"/>
      <c r="AR865" s="42"/>
      <c r="AS865" s="42"/>
    </row>
    <row r="866" spans="1:45" ht="15" customHeight="1">
      <c r="A866" s="21" t="s">
        <v>260</v>
      </c>
      <c r="B866" s="21" t="s">
        <v>46</v>
      </c>
      <c r="C866" s="21" t="s">
        <v>188</v>
      </c>
      <c r="D866" s="21" t="s">
        <v>48</v>
      </c>
      <c r="E866" s="80" t="s">
        <v>919</v>
      </c>
      <c r="F866" s="21" t="s">
        <v>920</v>
      </c>
      <c r="G866" s="101" t="s">
        <v>77</v>
      </c>
      <c r="H866" s="25" t="s">
        <v>1114</v>
      </c>
      <c r="I866" s="102" t="s">
        <v>78</v>
      </c>
      <c r="J866" s="103" t="s">
        <v>1120</v>
      </c>
      <c r="K866" s="104"/>
      <c r="L866" s="48" t="s">
        <v>923</v>
      </c>
      <c r="M866" s="27">
        <v>44986</v>
      </c>
      <c r="N866" s="105" t="s">
        <v>182</v>
      </c>
      <c r="O866" s="106">
        <v>8595</v>
      </c>
      <c r="P866" s="106">
        <v>11</v>
      </c>
      <c r="Q866" s="51">
        <f t="shared" si="23"/>
        <v>94545</v>
      </c>
      <c r="R866" s="31">
        <v>202310</v>
      </c>
      <c r="S866" s="107" t="s">
        <v>1129</v>
      </c>
      <c r="T866" s="33"/>
      <c r="U866" s="32"/>
      <c r="V866" s="67"/>
      <c r="W866" s="67"/>
      <c r="X866" s="67"/>
      <c r="Y866" s="36">
        <v>44844</v>
      </c>
      <c r="Z866" s="36">
        <v>47036</v>
      </c>
      <c r="AA866" s="36"/>
      <c r="AB866" s="36"/>
      <c r="AC866" s="36"/>
      <c r="AD866" s="36"/>
      <c r="AE866" s="36"/>
      <c r="AF866" s="53" t="s">
        <v>68</v>
      </c>
      <c r="AG866" s="42"/>
      <c r="AH866" s="42"/>
      <c r="AI866" s="43"/>
      <c r="AJ866" s="43"/>
      <c r="AK866" s="43"/>
      <c r="AL866" s="43"/>
      <c r="AM866" s="43"/>
      <c r="AN866" s="42"/>
      <c r="AO866" s="42"/>
      <c r="AP866" s="42"/>
      <c r="AQ866" s="43"/>
      <c r="AR866" s="42"/>
      <c r="AS866" s="42"/>
    </row>
    <row r="867" spans="1:45" ht="15" customHeight="1">
      <c r="A867" s="21" t="s">
        <v>260</v>
      </c>
      <c r="B867" s="21" t="s">
        <v>46</v>
      </c>
      <c r="C867" s="21" t="s">
        <v>188</v>
      </c>
      <c r="D867" s="21" t="s">
        <v>48</v>
      </c>
      <c r="E867" s="80" t="s">
        <v>919</v>
      </c>
      <c r="F867" s="21" t="s">
        <v>920</v>
      </c>
      <c r="G867" s="101" t="s">
        <v>77</v>
      </c>
      <c r="H867" s="25" t="s">
        <v>1114</v>
      </c>
      <c r="I867" s="102" t="s">
        <v>78</v>
      </c>
      <c r="J867" s="103" t="s">
        <v>1120</v>
      </c>
      <c r="K867" s="104"/>
      <c r="L867" s="48" t="s">
        <v>923</v>
      </c>
      <c r="M867" s="27">
        <v>44994</v>
      </c>
      <c r="N867" s="105" t="s">
        <v>182</v>
      </c>
      <c r="O867" s="106">
        <v>8595</v>
      </c>
      <c r="P867" s="106">
        <v>4</v>
      </c>
      <c r="Q867" s="51">
        <f t="shared" si="23"/>
        <v>34380</v>
      </c>
      <c r="R867" s="31">
        <v>202310</v>
      </c>
      <c r="S867" s="107" t="s">
        <v>1130</v>
      </c>
      <c r="T867" s="33"/>
      <c r="U867" s="32"/>
      <c r="V867" s="67"/>
      <c r="W867" s="67"/>
      <c r="X867" s="67"/>
      <c r="Y867" s="36">
        <v>44844</v>
      </c>
      <c r="Z867" s="36">
        <v>47036</v>
      </c>
      <c r="AA867" s="36"/>
      <c r="AB867" s="36"/>
      <c r="AC867" s="36"/>
      <c r="AD867" s="36"/>
      <c r="AE867" s="36"/>
      <c r="AF867" s="53" t="s">
        <v>68</v>
      </c>
      <c r="AG867" s="42"/>
      <c r="AH867" s="42"/>
      <c r="AI867" s="43"/>
      <c r="AJ867" s="43"/>
      <c r="AK867" s="43"/>
      <c r="AL867" s="43"/>
      <c r="AM867" s="43"/>
      <c r="AN867" s="42"/>
      <c r="AO867" s="42"/>
      <c r="AP867" s="42"/>
      <c r="AQ867" s="43"/>
      <c r="AR867" s="42"/>
      <c r="AS867" s="42"/>
    </row>
    <row r="868" spans="1:45" ht="15" customHeight="1">
      <c r="A868" s="21" t="s">
        <v>260</v>
      </c>
      <c r="B868" s="21" t="s">
        <v>46</v>
      </c>
      <c r="C868" s="21" t="s">
        <v>188</v>
      </c>
      <c r="D868" s="21" t="s">
        <v>48</v>
      </c>
      <c r="E868" s="80" t="s">
        <v>919</v>
      </c>
      <c r="F868" s="21" t="s">
        <v>920</v>
      </c>
      <c r="G868" s="101" t="s">
        <v>77</v>
      </c>
      <c r="H868" s="25" t="s">
        <v>1114</v>
      </c>
      <c r="I868" s="102" t="s">
        <v>78</v>
      </c>
      <c r="J868" s="103" t="s">
        <v>1120</v>
      </c>
      <c r="K868" s="104"/>
      <c r="L868" s="48" t="s">
        <v>923</v>
      </c>
      <c r="M868" s="27">
        <v>44998</v>
      </c>
      <c r="N868" s="105" t="s">
        <v>182</v>
      </c>
      <c r="O868" s="106">
        <v>8595</v>
      </c>
      <c r="P868" s="106">
        <v>30</v>
      </c>
      <c r="Q868" s="51">
        <f t="shared" si="23"/>
        <v>257850</v>
      </c>
      <c r="R868" s="31">
        <v>202310</v>
      </c>
      <c r="S868" s="107" t="s">
        <v>1131</v>
      </c>
      <c r="T868" s="33"/>
      <c r="U868" s="32"/>
      <c r="V868" s="67"/>
      <c r="W868" s="67"/>
      <c r="X868" s="67"/>
      <c r="Y868" s="36">
        <v>44844</v>
      </c>
      <c r="Z868" s="36">
        <v>47036</v>
      </c>
      <c r="AA868" s="36"/>
      <c r="AB868" s="36"/>
      <c r="AC868" s="36"/>
      <c r="AD868" s="36"/>
      <c r="AE868" s="36"/>
      <c r="AF868" s="53" t="s">
        <v>68</v>
      </c>
      <c r="AG868" s="42"/>
      <c r="AH868" s="42"/>
      <c r="AI868" s="43"/>
      <c r="AJ868" s="43"/>
      <c r="AK868" s="43"/>
      <c r="AL868" s="43"/>
      <c r="AM868" s="43"/>
      <c r="AN868" s="42"/>
      <c r="AO868" s="42"/>
      <c r="AP868" s="42"/>
      <c r="AQ868" s="43"/>
      <c r="AR868" s="42"/>
      <c r="AS868" s="42"/>
    </row>
    <row r="869" spans="1:45" ht="15" customHeight="1">
      <c r="A869" s="21" t="s">
        <v>260</v>
      </c>
      <c r="B869" s="21" t="s">
        <v>46</v>
      </c>
      <c r="C869" s="21" t="s">
        <v>188</v>
      </c>
      <c r="D869" s="21" t="s">
        <v>48</v>
      </c>
      <c r="E869" s="80" t="s">
        <v>919</v>
      </c>
      <c r="F869" s="21" t="s">
        <v>920</v>
      </c>
      <c r="G869" s="101" t="s">
        <v>77</v>
      </c>
      <c r="H869" s="25" t="s">
        <v>1114</v>
      </c>
      <c r="I869" s="102" t="s">
        <v>78</v>
      </c>
      <c r="J869" s="103" t="s">
        <v>1120</v>
      </c>
      <c r="K869" s="104"/>
      <c r="L869" s="48" t="s">
        <v>923</v>
      </c>
      <c r="M869" s="27">
        <v>45000</v>
      </c>
      <c r="N869" s="105" t="s">
        <v>182</v>
      </c>
      <c r="O869" s="106">
        <v>8595</v>
      </c>
      <c r="P869" s="106">
        <v>3</v>
      </c>
      <c r="Q869" s="51">
        <f t="shared" si="23"/>
        <v>25785</v>
      </c>
      <c r="R869" s="31">
        <v>202310</v>
      </c>
      <c r="S869" s="107" t="s">
        <v>1132</v>
      </c>
      <c r="T869" s="33"/>
      <c r="U869" s="32"/>
      <c r="V869" s="67"/>
      <c r="W869" s="67"/>
      <c r="X869" s="67"/>
      <c r="Y869" s="36">
        <v>44844</v>
      </c>
      <c r="Z869" s="36">
        <v>47036</v>
      </c>
      <c r="AA869" s="36"/>
      <c r="AB869" s="36"/>
      <c r="AC869" s="36"/>
      <c r="AD869" s="36"/>
      <c r="AE869" s="36"/>
      <c r="AF869" s="53" t="s">
        <v>68</v>
      </c>
      <c r="AG869" s="42"/>
      <c r="AH869" s="42"/>
      <c r="AI869" s="43"/>
      <c r="AJ869" s="43"/>
      <c r="AK869" s="43"/>
      <c r="AL869" s="43"/>
      <c r="AM869" s="43"/>
      <c r="AN869" s="42"/>
      <c r="AO869" s="42"/>
      <c r="AP869" s="42"/>
      <c r="AQ869" s="43"/>
      <c r="AR869" s="42"/>
      <c r="AS869" s="42"/>
    </row>
    <row r="870" spans="1:45" ht="15" customHeight="1">
      <c r="A870" s="21" t="s">
        <v>260</v>
      </c>
      <c r="B870" s="21" t="s">
        <v>46</v>
      </c>
      <c r="C870" s="21" t="s">
        <v>188</v>
      </c>
      <c r="D870" s="21" t="s">
        <v>48</v>
      </c>
      <c r="E870" s="80" t="s">
        <v>919</v>
      </c>
      <c r="F870" s="21" t="s">
        <v>920</v>
      </c>
      <c r="G870" s="101" t="s">
        <v>77</v>
      </c>
      <c r="H870" s="25" t="s">
        <v>1114</v>
      </c>
      <c r="I870" s="102" t="s">
        <v>78</v>
      </c>
      <c r="J870" s="103" t="s">
        <v>1120</v>
      </c>
      <c r="K870" s="104"/>
      <c r="L870" s="48" t="s">
        <v>923</v>
      </c>
      <c r="M870" s="27">
        <v>45027</v>
      </c>
      <c r="N870" s="105" t="s">
        <v>182</v>
      </c>
      <c r="O870" s="106">
        <v>8595</v>
      </c>
      <c r="P870" s="106">
        <v>5</v>
      </c>
      <c r="Q870" s="51">
        <f t="shared" si="23"/>
        <v>42975</v>
      </c>
      <c r="R870" s="31">
        <v>202310</v>
      </c>
      <c r="S870" s="107" t="s">
        <v>1133</v>
      </c>
      <c r="T870" s="33"/>
      <c r="U870" s="32"/>
      <c r="V870" s="67"/>
      <c r="W870" s="67"/>
      <c r="X870" s="67"/>
      <c r="Y870" s="36">
        <v>44844</v>
      </c>
      <c r="Z870" s="36">
        <v>47036</v>
      </c>
      <c r="AA870" s="36"/>
      <c r="AB870" s="36"/>
      <c r="AC870" s="36"/>
      <c r="AD870" s="36"/>
      <c r="AE870" s="36"/>
      <c r="AF870" s="53" t="s">
        <v>68</v>
      </c>
      <c r="AG870" s="42"/>
      <c r="AH870" s="42"/>
      <c r="AI870" s="43"/>
      <c r="AJ870" s="43"/>
      <c r="AK870" s="43"/>
      <c r="AL870" s="43"/>
      <c r="AM870" s="43"/>
      <c r="AN870" s="42"/>
      <c r="AO870" s="42"/>
      <c r="AP870" s="42"/>
      <c r="AQ870" s="43"/>
      <c r="AR870" s="42"/>
      <c r="AS870" s="42"/>
    </row>
    <row r="871" spans="1:45" ht="15" customHeight="1">
      <c r="A871" s="21" t="s">
        <v>260</v>
      </c>
      <c r="B871" s="21" t="s">
        <v>46</v>
      </c>
      <c r="C871" s="21" t="s">
        <v>188</v>
      </c>
      <c r="D871" s="21" t="s">
        <v>48</v>
      </c>
      <c r="E871" s="80" t="s">
        <v>919</v>
      </c>
      <c r="F871" s="21" t="s">
        <v>920</v>
      </c>
      <c r="G871" s="101" t="s">
        <v>77</v>
      </c>
      <c r="H871" s="25" t="s">
        <v>1114</v>
      </c>
      <c r="I871" s="102" t="s">
        <v>78</v>
      </c>
      <c r="J871" s="103" t="s">
        <v>1120</v>
      </c>
      <c r="K871" s="104"/>
      <c r="L871" s="48" t="s">
        <v>923</v>
      </c>
      <c r="M871" s="27">
        <v>45040</v>
      </c>
      <c r="N871" s="105" t="s">
        <v>182</v>
      </c>
      <c r="O871" s="106">
        <v>8595</v>
      </c>
      <c r="P871" s="106">
        <v>4</v>
      </c>
      <c r="Q871" s="51">
        <f t="shared" si="23"/>
        <v>34380</v>
      </c>
      <c r="R871" s="31">
        <v>202310</v>
      </c>
      <c r="S871" s="107" t="s">
        <v>1134</v>
      </c>
      <c r="T871" s="33"/>
      <c r="U871" s="32"/>
      <c r="V871" s="67"/>
      <c r="W871" s="67"/>
      <c r="X871" s="67"/>
      <c r="Y871" s="36">
        <v>44844</v>
      </c>
      <c r="Z871" s="36">
        <v>47036</v>
      </c>
      <c r="AA871" s="36"/>
      <c r="AB871" s="36"/>
      <c r="AC871" s="36"/>
      <c r="AD871" s="36"/>
      <c r="AE871" s="36"/>
      <c r="AF871" s="53" t="s">
        <v>68</v>
      </c>
      <c r="AG871" s="42"/>
      <c r="AH871" s="42"/>
      <c r="AI871" s="43"/>
      <c r="AJ871" s="43"/>
      <c r="AK871" s="43"/>
      <c r="AL871" s="43"/>
      <c r="AM871" s="43"/>
      <c r="AN871" s="42"/>
      <c r="AO871" s="42"/>
      <c r="AP871" s="42"/>
      <c r="AQ871" s="43"/>
      <c r="AR871" s="42"/>
      <c r="AS871" s="42"/>
    </row>
    <row r="872" spans="1:45" ht="15" customHeight="1">
      <c r="A872" s="21" t="s">
        <v>260</v>
      </c>
      <c r="B872" s="21" t="s">
        <v>46</v>
      </c>
      <c r="C872" s="21" t="s">
        <v>188</v>
      </c>
      <c r="D872" s="21" t="s">
        <v>48</v>
      </c>
      <c r="E872" s="80" t="s">
        <v>919</v>
      </c>
      <c r="F872" s="21" t="s">
        <v>920</v>
      </c>
      <c r="G872" s="101" t="s">
        <v>77</v>
      </c>
      <c r="H872" s="25" t="s">
        <v>1114</v>
      </c>
      <c r="I872" s="102" t="s">
        <v>78</v>
      </c>
      <c r="J872" s="103" t="s">
        <v>1120</v>
      </c>
      <c r="K872" s="104"/>
      <c r="L872" s="48" t="s">
        <v>923</v>
      </c>
      <c r="M872" s="27">
        <v>45056</v>
      </c>
      <c r="N872" s="105" t="s">
        <v>182</v>
      </c>
      <c r="O872" s="106">
        <v>8595</v>
      </c>
      <c r="P872" s="106">
        <v>13</v>
      </c>
      <c r="Q872" s="51">
        <f t="shared" si="23"/>
        <v>111735</v>
      </c>
      <c r="R872" s="31">
        <v>202310</v>
      </c>
      <c r="S872" s="107" t="s">
        <v>1135</v>
      </c>
      <c r="T872" s="33"/>
      <c r="U872" s="32"/>
      <c r="V872" s="67"/>
      <c r="W872" s="67"/>
      <c r="X872" s="67"/>
      <c r="Y872" s="36">
        <v>44844</v>
      </c>
      <c r="Z872" s="36">
        <v>47036</v>
      </c>
      <c r="AA872" s="36"/>
      <c r="AB872" s="36"/>
      <c r="AC872" s="36"/>
      <c r="AD872" s="36"/>
      <c r="AE872" s="36"/>
      <c r="AF872" s="53" t="s">
        <v>68</v>
      </c>
      <c r="AG872" s="42"/>
      <c r="AH872" s="42"/>
      <c r="AI872" s="43"/>
      <c r="AJ872" s="43"/>
      <c r="AK872" s="43"/>
      <c r="AL872" s="43"/>
      <c r="AM872" s="43"/>
      <c r="AN872" s="42"/>
      <c r="AO872" s="42"/>
      <c r="AP872" s="42"/>
      <c r="AQ872" s="43"/>
      <c r="AR872" s="42"/>
      <c r="AS872" s="42"/>
    </row>
    <row r="873" spans="1:45" ht="15" customHeight="1">
      <c r="A873" s="21" t="s">
        <v>260</v>
      </c>
      <c r="B873" s="21" t="s">
        <v>46</v>
      </c>
      <c r="C873" s="21" t="s">
        <v>188</v>
      </c>
      <c r="D873" s="21" t="s">
        <v>48</v>
      </c>
      <c r="E873" s="80" t="s">
        <v>919</v>
      </c>
      <c r="F873" s="21" t="s">
        <v>920</v>
      </c>
      <c r="G873" s="101" t="s">
        <v>77</v>
      </c>
      <c r="H873" s="25" t="s">
        <v>1114</v>
      </c>
      <c r="I873" s="102" t="s">
        <v>78</v>
      </c>
      <c r="J873" s="103" t="s">
        <v>1120</v>
      </c>
      <c r="K873" s="104"/>
      <c r="L873" s="48" t="s">
        <v>923</v>
      </c>
      <c r="M873" s="27">
        <v>45057</v>
      </c>
      <c r="N873" s="105" t="s">
        <v>182</v>
      </c>
      <c r="O873" s="106">
        <v>8595</v>
      </c>
      <c r="P873" s="106">
        <v>13</v>
      </c>
      <c r="Q873" s="51">
        <f t="shared" si="23"/>
        <v>111735</v>
      </c>
      <c r="R873" s="31">
        <v>202310</v>
      </c>
      <c r="S873" s="107" t="s">
        <v>1136</v>
      </c>
      <c r="T873" s="33"/>
      <c r="U873" s="32"/>
      <c r="V873" s="67"/>
      <c r="W873" s="67"/>
      <c r="X873" s="67"/>
      <c r="Y873" s="36">
        <v>44844</v>
      </c>
      <c r="Z873" s="36">
        <v>47036</v>
      </c>
      <c r="AA873" s="36"/>
      <c r="AB873" s="36"/>
      <c r="AC873" s="36"/>
      <c r="AD873" s="36"/>
      <c r="AE873" s="36"/>
      <c r="AF873" s="53" t="s">
        <v>68</v>
      </c>
      <c r="AG873" s="42"/>
      <c r="AH873" s="42"/>
      <c r="AI873" s="43"/>
      <c r="AJ873" s="43"/>
      <c r="AK873" s="43"/>
      <c r="AL873" s="43"/>
      <c r="AM873" s="43"/>
      <c r="AN873" s="42"/>
      <c r="AO873" s="42"/>
      <c r="AP873" s="42"/>
      <c r="AQ873" s="43"/>
      <c r="AR873" s="42"/>
      <c r="AS873" s="42"/>
    </row>
    <row r="874" spans="1:45" ht="15" customHeight="1">
      <c r="A874" s="21" t="s">
        <v>260</v>
      </c>
      <c r="B874" s="21" t="s">
        <v>46</v>
      </c>
      <c r="C874" s="21" t="s">
        <v>188</v>
      </c>
      <c r="D874" s="21" t="s">
        <v>48</v>
      </c>
      <c r="E874" s="80" t="s">
        <v>919</v>
      </c>
      <c r="F874" s="21" t="s">
        <v>920</v>
      </c>
      <c r="G874" s="101" t="s">
        <v>77</v>
      </c>
      <c r="H874" s="25" t="s">
        <v>1114</v>
      </c>
      <c r="I874" s="102" t="s">
        <v>78</v>
      </c>
      <c r="J874" s="103" t="s">
        <v>1120</v>
      </c>
      <c r="K874" s="104"/>
      <c r="L874" s="48" t="s">
        <v>923</v>
      </c>
      <c r="M874" s="27">
        <v>45065</v>
      </c>
      <c r="N874" s="105" t="s">
        <v>182</v>
      </c>
      <c r="O874" s="106">
        <v>8595</v>
      </c>
      <c r="P874" s="106">
        <v>17</v>
      </c>
      <c r="Q874" s="51">
        <f t="shared" si="23"/>
        <v>146115</v>
      </c>
      <c r="R874" s="31">
        <v>202310</v>
      </c>
      <c r="S874" s="107" t="s">
        <v>1137</v>
      </c>
      <c r="T874" s="33"/>
      <c r="U874" s="32"/>
      <c r="V874" s="67"/>
      <c r="W874" s="67"/>
      <c r="X874" s="67"/>
      <c r="Y874" s="36">
        <v>44844</v>
      </c>
      <c r="Z874" s="36">
        <v>47036</v>
      </c>
      <c r="AA874" s="36"/>
      <c r="AB874" s="36"/>
      <c r="AC874" s="36"/>
      <c r="AD874" s="36"/>
      <c r="AE874" s="36"/>
      <c r="AF874" s="53" t="s">
        <v>68</v>
      </c>
      <c r="AG874" s="42"/>
      <c r="AH874" s="42"/>
      <c r="AI874" s="43"/>
      <c r="AJ874" s="43"/>
      <c r="AK874" s="43"/>
      <c r="AL874" s="43"/>
      <c r="AM874" s="43"/>
      <c r="AN874" s="42"/>
      <c r="AO874" s="42"/>
      <c r="AP874" s="42"/>
      <c r="AQ874" s="43"/>
      <c r="AR874" s="42"/>
      <c r="AS874" s="42"/>
    </row>
    <row r="875" spans="1:45" ht="15" customHeight="1">
      <c r="A875" s="21" t="s">
        <v>260</v>
      </c>
      <c r="B875" s="21" t="s">
        <v>46</v>
      </c>
      <c r="C875" s="21" t="s">
        <v>188</v>
      </c>
      <c r="D875" s="21" t="s">
        <v>48</v>
      </c>
      <c r="E875" s="80" t="s">
        <v>919</v>
      </c>
      <c r="F875" s="21" t="s">
        <v>920</v>
      </c>
      <c r="G875" s="101" t="s">
        <v>77</v>
      </c>
      <c r="H875" s="25" t="s">
        <v>1114</v>
      </c>
      <c r="I875" s="102" t="s">
        <v>78</v>
      </c>
      <c r="J875" s="103" t="s">
        <v>1120</v>
      </c>
      <c r="K875" s="104"/>
      <c r="L875" s="48" t="s">
        <v>923</v>
      </c>
      <c r="M875" s="27">
        <v>45070</v>
      </c>
      <c r="N875" s="105" t="s">
        <v>182</v>
      </c>
      <c r="O875" s="106">
        <v>8595</v>
      </c>
      <c r="P875" s="106">
        <v>5</v>
      </c>
      <c r="Q875" s="51">
        <f t="shared" si="23"/>
        <v>42975</v>
      </c>
      <c r="R875" s="31">
        <v>202310</v>
      </c>
      <c r="S875" s="107" t="s">
        <v>1138</v>
      </c>
      <c r="T875" s="33"/>
      <c r="U875" s="32"/>
      <c r="V875" s="67"/>
      <c r="W875" s="67"/>
      <c r="X875" s="67"/>
      <c r="Y875" s="36">
        <v>44844</v>
      </c>
      <c r="Z875" s="36">
        <v>47036</v>
      </c>
      <c r="AA875" s="36"/>
      <c r="AB875" s="36"/>
      <c r="AC875" s="36"/>
      <c r="AD875" s="36"/>
      <c r="AE875" s="36"/>
      <c r="AF875" s="53" t="s">
        <v>68</v>
      </c>
      <c r="AG875" s="42"/>
      <c r="AH875" s="42"/>
      <c r="AI875" s="43"/>
      <c r="AJ875" s="43"/>
      <c r="AK875" s="43"/>
      <c r="AL875" s="43"/>
      <c r="AM875" s="43"/>
      <c r="AN875" s="42"/>
      <c r="AO875" s="42"/>
      <c r="AP875" s="42"/>
      <c r="AQ875" s="43"/>
      <c r="AR875" s="42"/>
      <c r="AS875" s="42"/>
    </row>
    <row r="876" spans="1:45" ht="15" customHeight="1">
      <c r="A876" s="21" t="s">
        <v>260</v>
      </c>
      <c r="B876" s="21" t="s">
        <v>46</v>
      </c>
      <c r="C876" s="21" t="s">
        <v>188</v>
      </c>
      <c r="D876" s="21" t="s">
        <v>48</v>
      </c>
      <c r="E876" s="80" t="s">
        <v>919</v>
      </c>
      <c r="F876" s="21" t="s">
        <v>920</v>
      </c>
      <c r="G876" s="101" t="s">
        <v>77</v>
      </c>
      <c r="H876" s="25" t="s">
        <v>1114</v>
      </c>
      <c r="I876" s="102" t="s">
        <v>78</v>
      </c>
      <c r="J876" s="103" t="s">
        <v>1120</v>
      </c>
      <c r="K876" s="104"/>
      <c r="L876" s="48" t="s">
        <v>923</v>
      </c>
      <c r="M876" s="27">
        <v>45194</v>
      </c>
      <c r="N876" s="105" t="s">
        <v>182</v>
      </c>
      <c r="O876" s="106">
        <v>8595</v>
      </c>
      <c r="P876" s="106">
        <v>-1</v>
      </c>
      <c r="Q876" s="51">
        <f>ROUND(O876*P876,2)</f>
        <v>-8595</v>
      </c>
      <c r="R876" s="31">
        <v>202310</v>
      </c>
      <c r="S876" s="107" t="s">
        <v>1139</v>
      </c>
      <c r="T876" s="33"/>
      <c r="U876" s="32"/>
      <c r="V876" s="67"/>
      <c r="W876" s="67"/>
      <c r="X876" s="67"/>
      <c r="Y876" s="36">
        <v>44844</v>
      </c>
      <c r="Z876" s="36">
        <v>47036</v>
      </c>
      <c r="AA876" s="36"/>
      <c r="AB876" s="36"/>
      <c r="AC876" s="36"/>
      <c r="AD876" s="36"/>
      <c r="AE876" s="36"/>
      <c r="AF876" s="53" t="s">
        <v>68</v>
      </c>
      <c r="AG876" s="42"/>
      <c r="AH876" s="42"/>
      <c r="AI876" s="43"/>
      <c r="AJ876" s="43"/>
      <c r="AK876" s="43"/>
      <c r="AL876" s="43"/>
      <c r="AM876" s="43"/>
      <c r="AN876" s="42"/>
      <c r="AO876" s="42"/>
      <c r="AP876" s="42"/>
      <c r="AQ876" s="43"/>
      <c r="AR876" s="42"/>
      <c r="AS876" s="42"/>
    </row>
    <row r="877" spans="1:45" ht="15" customHeight="1">
      <c r="A877" s="21" t="s">
        <v>260</v>
      </c>
      <c r="B877" s="21" t="s">
        <v>46</v>
      </c>
      <c r="C877" s="21" t="s">
        <v>188</v>
      </c>
      <c r="D877" s="21" t="s">
        <v>48</v>
      </c>
      <c r="E877" s="80" t="s">
        <v>919</v>
      </c>
      <c r="F877" s="21" t="s">
        <v>920</v>
      </c>
      <c r="G877" s="101" t="s">
        <v>77</v>
      </c>
      <c r="H877" s="25" t="s">
        <v>1114</v>
      </c>
      <c r="I877" s="102" t="s">
        <v>78</v>
      </c>
      <c r="J877" s="103" t="s">
        <v>1140</v>
      </c>
      <c r="K877" s="104"/>
      <c r="L877" s="48" t="s">
        <v>923</v>
      </c>
      <c r="M877" s="27">
        <v>45210</v>
      </c>
      <c r="N877" s="105" t="s">
        <v>182</v>
      </c>
      <c r="O877" s="106">
        <v>8595</v>
      </c>
      <c r="P877" s="106">
        <v>-1</v>
      </c>
      <c r="Q877" s="51">
        <f>ROUND(O877*P877*20/31,2)</f>
        <v>-5545.16</v>
      </c>
      <c r="R877" s="31">
        <v>202310</v>
      </c>
      <c r="S877" s="107" t="s">
        <v>1141</v>
      </c>
      <c r="T877" s="33"/>
      <c r="U877" s="32"/>
      <c r="V877" s="67"/>
      <c r="W877" s="67"/>
      <c r="X877" s="67"/>
      <c r="Y877" s="36">
        <v>44844</v>
      </c>
      <c r="Z877" s="36">
        <v>47036</v>
      </c>
      <c r="AA877" s="36"/>
      <c r="AB877" s="36"/>
      <c r="AC877" s="36"/>
      <c r="AD877" s="36"/>
      <c r="AE877" s="36"/>
      <c r="AF877" s="53" t="s">
        <v>68</v>
      </c>
      <c r="AG877" s="42"/>
      <c r="AH877" s="42"/>
      <c r="AI877" s="43"/>
      <c r="AJ877" s="43"/>
      <c r="AK877" s="43"/>
      <c r="AL877" s="43"/>
      <c r="AM877" s="43"/>
      <c r="AN877" s="42"/>
      <c r="AO877" s="42"/>
      <c r="AP877" s="42"/>
      <c r="AQ877" s="43"/>
      <c r="AR877" s="42"/>
      <c r="AS877" s="42"/>
    </row>
    <row r="878" spans="1:45" ht="15" customHeight="1">
      <c r="A878" s="21" t="s">
        <v>260</v>
      </c>
      <c r="B878" s="21" t="s">
        <v>46</v>
      </c>
      <c r="C878" s="21" t="s">
        <v>188</v>
      </c>
      <c r="D878" s="21" t="s">
        <v>48</v>
      </c>
      <c r="E878" s="80" t="s">
        <v>919</v>
      </c>
      <c r="F878" s="21" t="s">
        <v>920</v>
      </c>
      <c r="G878" s="101" t="s">
        <v>77</v>
      </c>
      <c r="H878" s="25" t="s">
        <v>1114</v>
      </c>
      <c r="I878" s="102" t="s">
        <v>78</v>
      </c>
      <c r="J878" s="103" t="s">
        <v>1140</v>
      </c>
      <c r="K878" s="104"/>
      <c r="L878" s="48" t="s">
        <v>923</v>
      </c>
      <c r="M878" s="27">
        <v>44875</v>
      </c>
      <c r="N878" s="105" t="s">
        <v>182</v>
      </c>
      <c r="O878" s="106">
        <v>-8595</v>
      </c>
      <c r="P878" s="106"/>
      <c r="Q878" s="51">
        <f>ROUND(O878*27,2)</f>
        <v>-232065</v>
      </c>
      <c r="R878" s="31">
        <v>202310</v>
      </c>
      <c r="S878" s="107" t="s">
        <v>1142</v>
      </c>
      <c r="T878" s="33" t="s">
        <v>1143</v>
      </c>
      <c r="U878" s="32"/>
      <c r="V878" s="67"/>
      <c r="W878" s="67"/>
      <c r="X878" s="67"/>
      <c r="Y878" s="36">
        <v>44844</v>
      </c>
      <c r="Z878" s="36">
        <v>47036</v>
      </c>
      <c r="AA878" s="36"/>
      <c r="AB878" s="36"/>
      <c r="AC878" s="36"/>
      <c r="AD878" s="36"/>
      <c r="AE878" s="36"/>
      <c r="AF878" s="53" t="s">
        <v>68</v>
      </c>
      <c r="AG878" s="42"/>
      <c r="AH878" s="42"/>
      <c r="AI878" s="43"/>
      <c r="AJ878" s="43"/>
      <c r="AK878" s="43"/>
      <c r="AL878" s="43"/>
      <c r="AM878" s="43"/>
      <c r="AN878" s="42"/>
      <c r="AO878" s="42"/>
      <c r="AP878" s="42"/>
      <c r="AQ878" s="43"/>
      <c r="AR878" s="42"/>
      <c r="AS878" s="42"/>
    </row>
    <row r="879" spans="1:45" ht="15" customHeight="1">
      <c r="A879" s="21" t="s">
        <v>260</v>
      </c>
      <c r="B879" s="21" t="s">
        <v>46</v>
      </c>
      <c r="C879" s="21" t="s">
        <v>188</v>
      </c>
      <c r="D879" s="21" t="s">
        <v>48</v>
      </c>
      <c r="E879" s="80" t="s">
        <v>919</v>
      </c>
      <c r="F879" s="21" t="s">
        <v>920</v>
      </c>
      <c r="G879" s="101" t="s">
        <v>77</v>
      </c>
      <c r="H879" s="25" t="s">
        <v>1114</v>
      </c>
      <c r="I879" s="102" t="s">
        <v>366</v>
      </c>
      <c r="J879" s="65" t="s">
        <v>1144</v>
      </c>
      <c r="K879" s="104"/>
      <c r="L879" s="48" t="s">
        <v>923</v>
      </c>
      <c r="M879" s="27"/>
      <c r="N879" s="105"/>
      <c r="O879" s="106">
        <v>300</v>
      </c>
      <c r="P879" s="106">
        <v>650</v>
      </c>
      <c r="Q879" s="51">
        <f t="shared" ref="Q879:Q970" si="24">ROUND(O879*P879,2)</f>
        <v>195000</v>
      </c>
      <c r="R879" s="31">
        <v>202310</v>
      </c>
      <c r="S879" s="107" t="s">
        <v>1145</v>
      </c>
      <c r="T879" s="33" t="s">
        <v>1146</v>
      </c>
      <c r="U879" s="32"/>
      <c r="V879" s="67"/>
      <c r="W879" s="67"/>
      <c r="X879" s="67"/>
      <c r="Y879" s="36">
        <v>44844</v>
      </c>
      <c r="Z879" s="36">
        <v>47036</v>
      </c>
      <c r="AA879" s="42"/>
      <c r="AB879" s="42"/>
      <c r="AC879" s="43"/>
      <c r="AD879" s="43"/>
      <c r="AE879" s="43"/>
      <c r="AF879" s="53" t="s">
        <v>68</v>
      </c>
      <c r="AG879" s="42"/>
      <c r="AH879" s="42"/>
      <c r="AI879" s="42"/>
      <c r="AJ879" s="43"/>
      <c r="AK879" s="42"/>
      <c r="AL879" s="42"/>
      <c r="AM879" s="42"/>
      <c r="AN879" s="42"/>
      <c r="AO879" s="42"/>
      <c r="AP879" s="42"/>
      <c r="AQ879" s="42"/>
      <c r="AR879" s="42"/>
      <c r="AS879" s="42"/>
    </row>
    <row r="880" spans="1:45" ht="15" customHeight="1">
      <c r="A880" s="21" t="s">
        <v>260</v>
      </c>
      <c r="B880" s="21" t="s">
        <v>46</v>
      </c>
      <c r="C880" s="21" t="s">
        <v>188</v>
      </c>
      <c r="D880" s="21" t="s">
        <v>48</v>
      </c>
      <c r="E880" s="80" t="s">
        <v>919</v>
      </c>
      <c r="F880" s="21" t="s">
        <v>953</v>
      </c>
      <c r="G880" s="101" t="s">
        <v>77</v>
      </c>
      <c r="H880" s="25" t="s">
        <v>1147</v>
      </c>
      <c r="I880" s="102" t="s">
        <v>78</v>
      </c>
      <c r="J880" s="65" t="s">
        <v>1148</v>
      </c>
      <c r="K880" s="104"/>
      <c r="L880" s="48" t="s">
        <v>956</v>
      </c>
      <c r="M880" s="27">
        <v>44652</v>
      </c>
      <c r="N880" s="105" t="s">
        <v>177</v>
      </c>
      <c r="O880" s="106">
        <v>5900</v>
      </c>
      <c r="P880" s="106">
        <v>18</v>
      </c>
      <c r="Q880" s="51">
        <f t="shared" si="24"/>
        <v>106200</v>
      </c>
      <c r="R880" s="31">
        <v>202310</v>
      </c>
      <c r="S880" s="117" t="s">
        <v>1149</v>
      </c>
      <c r="T880" s="33"/>
      <c r="U880" s="117"/>
      <c r="V880" s="118"/>
      <c r="W880" s="67"/>
      <c r="X880" s="67"/>
      <c r="Y880" s="36">
        <v>44637</v>
      </c>
      <c r="Z880" s="36">
        <v>46828</v>
      </c>
      <c r="AA880" s="36"/>
      <c r="AB880" s="36"/>
      <c r="AC880" s="36"/>
      <c r="AD880" s="36"/>
      <c r="AE880" s="36"/>
      <c r="AF880" s="53" t="s">
        <v>68</v>
      </c>
      <c r="AG880" s="42"/>
      <c r="AH880" s="42"/>
      <c r="AI880" s="43"/>
      <c r="AJ880" s="43"/>
      <c r="AK880" s="43"/>
      <c r="AL880" s="43"/>
      <c r="AM880" s="43"/>
      <c r="AN880" s="42"/>
      <c r="AO880" s="42"/>
      <c r="AP880" s="42"/>
      <c r="AQ880" s="43"/>
      <c r="AR880" s="42"/>
      <c r="AS880" s="42"/>
    </row>
    <row r="881" spans="1:45" ht="15" customHeight="1">
      <c r="A881" s="21" t="s">
        <v>260</v>
      </c>
      <c r="B881" s="21" t="s">
        <v>46</v>
      </c>
      <c r="C881" s="21" t="s">
        <v>188</v>
      </c>
      <c r="D881" s="21" t="s">
        <v>48</v>
      </c>
      <c r="E881" s="80" t="s">
        <v>919</v>
      </c>
      <c r="F881" s="21" t="s">
        <v>953</v>
      </c>
      <c r="G881" s="101" t="s">
        <v>77</v>
      </c>
      <c r="H881" s="25" t="s">
        <v>1147</v>
      </c>
      <c r="I881" s="102" t="s">
        <v>78</v>
      </c>
      <c r="J881" s="65" t="s">
        <v>1148</v>
      </c>
      <c r="K881" s="104"/>
      <c r="L881" s="48" t="s">
        <v>956</v>
      </c>
      <c r="M881" s="27">
        <v>44652</v>
      </c>
      <c r="N881" s="105" t="s">
        <v>182</v>
      </c>
      <c r="O881" s="106">
        <v>8595</v>
      </c>
      <c r="P881" s="106">
        <v>42</v>
      </c>
      <c r="Q881" s="51">
        <f t="shared" si="24"/>
        <v>360990</v>
      </c>
      <c r="R881" s="31">
        <v>202310</v>
      </c>
      <c r="S881" s="117" t="s">
        <v>1150</v>
      </c>
      <c r="T881" s="33"/>
      <c r="U881" s="117"/>
      <c r="V881" s="118"/>
      <c r="W881" s="67"/>
      <c r="X881" s="67"/>
      <c r="Y881" s="36">
        <v>44637</v>
      </c>
      <c r="Z881" s="36">
        <v>46828</v>
      </c>
      <c r="AA881" s="36"/>
      <c r="AB881" s="36"/>
      <c r="AC881" s="36"/>
      <c r="AD881" s="36"/>
      <c r="AE881" s="36"/>
      <c r="AF881" s="53" t="s">
        <v>68</v>
      </c>
      <c r="AG881" s="42"/>
      <c r="AH881" s="42"/>
      <c r="AI881" s="43"/>
      <c r="AJ881" s="43"/>
      <c r="AK881" s="43"/>
      <c r="AL881" s="43"/>
      <c r="AM881" s="43"/>
      <c r="AN881" s="42"/>
      <c r="AO881" s="42"/>
      <c r="AP881" s="42"/>
      <c r="AQ881" s="43"/>
      <c r="AR881" s="42"/>
      <c r="AS881" s="42"/>
    </row>
    <row r="882" spans="1:45" ht="15" customHeight="1">
      <c r="A882" s="21" t="s">
        <v>260</v>
      </c>
      <c r="B882" s="21" t="s">
        <v>46</v>
      </c>
      <c r="C882" s="21" t="s">
        <v>188</v>
      </c>
      <c r="D882" s="21" t="s">
        <v>48</v>
      </c>
      <c r="E882" s="80" t="s">
        <v>919</v>
      </c>
      <c r="F882" s="21" t="s">
        <v>953</v>
      </c>
      <c r="G882" s="101" t="s">
        <v>77</v>
      </c>
      <c r="H882" s="25" t="s">
        <v>1147</v>
      </c>
      <c r="I882" s="102" t="s">
        <v>78</v>
      </c>
      <c r="J882" s="65" t="s">
        <v>1148</v>
      </c>
      <c r="K882" s="104"/>
      <c r="L882" s="48" t="s">
        <v>956</v>
      </c>
      <c r="M882" s="27">
        <v>44652</v>
      </c>
      <c r="N882" s="105" t="s">
        <v>1151</v>
      </c>
      <c r="O882" s="106">
        <v>11200</v>
      </c>
      <c r="P882" s="106">
        <v>12</v>
      </c>
      <c r="Q882" s="51">
        <f t="shared" si="24"/>
        <v>134400</v>
      </c>
      <c r="R882" s="31">
        <v>202310</v>
      </c>
      <c r="S882" s="117" t="s">
        <v>1152</v>
      </c>
      <c r="T882" s="33"/>
      <c r="U882" s="117"/>
      <c r="V882" s="118"/>
      <c r="W882" s="67"/>
      <c r="X882" s="67"/>
      <c r="Y882" s="36">
        <v>44637</v>
      </c>
      <c r="Z882" s="36">
        <v>46828</v>
      </c>
      <c r="AA882" s="36"/>
      <c r="AB882" s="36"/>
      <c r="AC882" s="36"/>
      <c r="AD882" s="36"/>
      <c r="AE882" s="36"/>
      <c r="AF882" s="53" t="s">
        <v>68</v>
      </c>
      <c r="AG882" s="42"/>
      <c r="AH882" s="42"/>
      <c r="AI882" s="43"/>
      <c r="AJ882" s="43"/>
      <c r="AK882" s="43"/>
      <c r="AL882" s="43"/>
      <c r="AM882" s="43"/>
      <c r="AN882" s="42"/>
      <c r="AO882" s="42"/>
      <c r="AP882" s="42"/>
      <c r="AQ882" s="43"/>
      <c r="AR882" s="42"/>
      <c r="AS882" s="42"/>
    </row>
    <row r="883" spans="1:45" ht="15" customHeight="1">
      <c r="A883" s="21" t="s">
        <v>260</v>
      </c>
      <c r="B883" s="21" t="s">
        <v>46</v>
      </c>
      <c r="C883" s="21" t="s">
        <v>188</v>
      </c>
      <c r="D883" s="21" t="s">
        <v>48</v>
      </c>
      <c r="E883" s="80" t="s">
        <v>919</v>
      </c>
      <c r="F883" s="21" t="s">
        <v>953</v>
      </c>
      <c r="G883" s="101" t="s">
        <v>77</v>
      </c>
      <c r="H883" s="25" t="s">
        <v>1147</v>
      </c>
      <c r="I883" s="102" t="s">
        <v>78</v>
      </c>
      <c r="J883" s="65" t="s">
        <v>1148</v>
      </c>
      <c r="K883" s="104"/>
      <c r="L883" s="48" t="s">
        <v>956</v>
      </c>
      <c r="M883" s="27">
        <v>44652</v>
      </c>
      <c r="N883" s="105" t="s">
        <v>388</v>
      </c>
      <c r="O883" s="106">
        <v>11200</v>
      </c>
      <c r="P883" s="106">
        <v>6</v>
      </c>
      <c r="Q883" s="51">
        <f t="shared" si="24"/>
        <v>67200</v>
      </c>
      <c r="R883" s="31">
        <v>202310</v>
      </c>
      <c r="S883" s="117" t="s">
        <v>1153</v>
      </c>
      <c r="T883" s="33"/>
      <c r="U883" s="117"/>
      <c r="V883" s="118"/>
      <c r="W883" s="67"/>
      <c r="X883" s="67"/>
      <c r="Y883" s="36">
        <v>44637</v>
      </c>
      <c r="Z883" s="36">
        <v>46828</v>
      </c>
      <c r="AA883" s="36"/>
      <c r="AB883" s="36"/>
      <c r="AC883" s="36"/>
      <c r="AD883" s="36"/>
      <c r="AE883" s="36"/>
      <c r="AF883" s="53" t="s">
        <v>68</v>
      </c>
      <c r="AG883" s="42"/>
      <c r="AH883" s="42"/>
      <c r="AI883" s="43"/>
      <c r="AJ883" s="43"/>
      <c r="AK883" s="43"/>
      <c r="AL883" s="43"/>
      <c r="AM883" s="43"/>
      <c r="AN883" s="42"/>
      <c r="AO883" s="42"/>
      <c r="AP883" s="42"/>
      <c r="AQ883" s="43"/>
      <c r="AR883" s="42"/>
      <c r="AS883" s="42"/>
    </row>
    <row r="884" spans="1:45" ht="15" customHeight="1">
      <c r="A884" s="21" t="s">
        <v>260</v>
      </c>
      <c r="B884" s="21" t="s">
        <v>46</v>
      </c>
      <c r="C884" s="21" t="s">
        <v>188</v>
      </c>
      <c r="D884" s="21" t="s">
        <v>48</v>
      </c>
      <c r="E884" s="80" t="s">
        <v>919</v>
      </c>
      <c r="F884" s="21" t="s">
        <v>953</v>
      </c>
      <c r="G884" s="101" t="s">
        <v>77</v>
      </c>
      <c r="H884" s="25" t="s">
        <v>1147</v>
      </c>
      <c r="I884" s="102" t="s">
        <v>78</v>
      </c>
      <c r="J884" s="65" t="s">
        <v>1148</v>
      </c>
      <c r="K884" s="104"/>
      <c r="L884" s="48" t="s">
        <v>956</v>
      </c>
      <c r="M884" s="27">
        <v>44671</v>
      </c>
      <c r="N884" s="105" t="s">
        <v>177</v>
      </c>
      <c r="O884" s="106">
        <v>5900</v>
      </c>
      <c r="P884" s="106">
        <v>6</v>
      </c>
      <c r="Q884" s="51">
        <f t="shared" si="24"/>
        <v>35400</v>
      </c>
      <c r="R884" s="31">
        <v>202310</v>
      </c>
      <c r="S884" s="117" t="s">
        <v>1154</v>
      </c>
      <c r="T884" s="33"/>
      <c r="U884" s="117"/>
      <c r="V884" s="118"/>
      <c r="W884" s="67"/>
      <c r="X884" s="67"/>
      <c r="Y884" s="36">
        <v>44637</v>
      </c>
      <c r="Z884" s="36">
        <v>46828</v>
      </c>
      <c r="AA884" s="36"/>
      <c r="AB884" s="36"/>
      <c r="AC884" s="36"/>
      <c r="AD884" s="36"/>
      <c r="AE884" s="36"/>
      <c r="AF884" s="53" t="s">
        <v>68</v>
      </c>
      <c r="AG884" s="42"/>
      <c r="AH884" s="42"/>
      <c r="AI884" s="43"/>
      <c r="AJ884" s="43"/>
      <c r="AK884" s="43"/>
      <c r="AL884" s="43"/>
      <c r="AM884" s="43"/>
      <c r="AN884" s="42"/>
      <c r="AO884" s="42"/>
      <c r="AP884" s="42"/>
      <c r="AQ884" s="43"/>
      <c r="AR884" s="42"/>
      <c r="AS884" s="42"/>
    </row>
    <row r="885" spans="1:45" ht="15" customHeight="1">
      <c r="A885" s="21" t="s">
        <v>260</v>
      </c>
      <c r="B885" s="21" t="s">
        <v>46</v>
      </c>
      <c r="C885" s="21" t="s">
        <v>188</v>
      </c>
      <c r="D885" s="21" t="s">
        <v>48</v>
      </c>
      <c r="E885" s="80" t="s">
        <v>919</v>
      </c>
      <c r="F885" s="21" t="s">
        <v>953</v>
      </c>
      <c r="G885" s="101" t="s">
        <v>77</v>
      </c>
      <c r="H885" s="25" t="s">
        <v>1147</v>
      </c>
      <c r="I885" s="102" t="s">
        <v>78</v>
      </c>
      <c r="J885" s="65" t="s">
        <v>1148</v>
      </c>
      <c r="K885" s="104"/>
      <c r="L885" s="48" t="s">
        <v>956</v>
      </c>
      <c r="M885" s="27">
        <v>44671</v>
      </c>
      <c r="N885" s="105" t="s">
        <v>182</v>
      </c>
      <c r="O885" s="106">
        <v>8595</v>
      </c>
      <c r="P885" s="106">
        <v>2</v>
      </c>
      <c r="Q885" s="51">
        <f t="shared" si="24"/>
        <v>17190</v>
      </c>
      <c r="R885" s="31">
        <v>202310</v>
      </c>
      <c r="S885" s="117" t="s">
        <v>1155</v>
      </c>
      <c r="T885" s="33"/>
      <c r="U885" s="117"/>
      <c r="V885" s="118"/>
      <c r="W885" s="67"/>
      <c r="X885" s="67"/>
      <c r="Y885" s="36">
        <v>44637</v>
      </c>
      <c r="Z885" s="36">
        <v>46828</v>
      </c>
      <c r="AA885" s="36"/>
      <c r="AB885" s="36"/>
      <c r="AC885" s="36"/>
      <c r="AD885" s="36"/>
      <c r="AE885" s="36"/>
      <c r="AF885" s="53" t="s">
        <v>68</v>
      </c>
      <c r="AG885" s="42"/>
      <c r="AH885" s="42"/>
      <c r="AI885" s="43"/>
      <c r="AJ885" s="43"/>
      <c r="AK885" s="43"/>
      <c r="AL885" s="43"/>
      <c r="AM885" s="43"/>
      <c r="AN885" s="42"/>
      <c r="AO885" s="42"/>
      <c r="AP885" s="42"/>
      <c r="AQ885" s="43"/>
      <c r="AR885" s="42"/>
      <c r="AS885" s="42"/>
    </row>
    <row r="886" spans="1:45" ht="15" customHeight="1">
      <c r="A886" s="21" t="s">
        <v>260</v>
      </c>
      <c r="B886" s="21" t="s">
        <v>46</v>
      </c>
      <c r="C886" s="21" t="s">
        <v>188</v>
      </c>
      <c r="D886" s="21" t="s">
        <v>48</v>
      </c>
      <c r="E886" s="80" t="s">
        <v>919</v>
      </c>
      <c r="F886" s="21" t="s">
        <v>953</v>
      </c>
      <c r="G886" s="101" t="s">
        <v>77</v>
      </c>
      <c r="H886" s="25" t="s">
        <v>1147</v>
      </c>
      <c r="I886" s="102" t="s">
        <v>78</v>
      </c>
      <c r="J886" s="65" t="s">
        <v>1148</v>
      </c>
      <c r="K886" s="104"/>
      <c r="L886" s="48" t="s">
        <v>956</v>
      </c>
      <c r="M886" s="27">
        <v>44677</v>
      </c>
      <c r="N886" s="105" t="s">
        <v>182</v>
      </c>
      <c r="O886" s="106">
        <v>8595</v>
      </c>
      <c r="P886" s="106">
        <v>6</v>
      </c>
      <c r="Q886" s="51">
        <f t="shared" si="24"/>
        <v>51570</v>
      </c>
      <c r="R886" s="31">
        <v>202310</v>
      </c>
      <c r="S886" s="117" t="s">
        <v>1156</v>
      </c>
      <c r="T886" s="33"/>
      <c r="U886" s="117"/>
      <c r="V886" s="118"/>
      <c r="W886" s="67"/>
      <c r="X886" s="67"/>
      <c r="Y886" s="36">
        <v>44637</v>
      </c>
      <c r="Z886" s="36">
        <v>46828</v>
      </c>
      <c r="AA886" s="36"/>
      <c r="AB886" s="36"/>
      <c r="AC886" s="36"/>
      <c r="AD886" s="36"/>
      <c r="AE886" s="36"/>
      <c r="AF886" s="53" t="s">
        <v>68</v>
      </c>
      <c r="AG886" s="42"/>
      <c r="AH886" s="42"/>
      <c r="AI886" s="43"/>
      <c r="AJ886" s="43"/>
      <c r="AK886" s="43"/>
      <c r="AL886" s="43"/>
      <c r="AM886" s="43"/>
      <c r="AN886" s="42"/>
      <c r="AO886" s="42"/>
      <c r="AP886" s="42"/>
      <c r="AQ886" s="43"/>
      <c r="AR886" s="42"/>
      <c r="AS886" s="42"/>
    </row>
    <row r="887" spans="1:45" ht="15" customHeight="1">
      <c r="A887" s="21" t="s">
        <v>260</v>
      </c>
      <c r="B887" s="21" t="s">
        <v>46</v>
      </c>
      <c r="C887" s="21" t="s">
        <v>188</v>
      </c>
      <c r="D887" s="21" t="s">
        <v>48</v>
      </c>
      <c r="E887" s="80" t="s">
        <v>919</v>
      </c>
      <c r="F887" s="21" t="s">
        <v>953</v>
      </c>
      <c r="G887" s="101" t="s">
        <v>77</v>
      </c>
      <c r="H887" s="25" t="s">
        <v>1147</v>
      </c>
      <c r="I887" s="102" t="s">
        <v>78</v>
      </c>
      <c r="J887" s="65" t="s">
        <v>1148</v>
      </c>
      <c r="K887" s="104"/>
      <c r="L887" s="48" t="s">
        <v>956</v>
      </c>
      <c r="M887" s="27">
        <v>44697</v>
      </c>
      <c r="N887" s="105" t="s">
        <v>182</v>
      </c>
      <c r="O887" s="106">
        <v>8595</v>
      </c>
      <c r="P887" s="106">
        <v>4</v>
      </c>
      <c r="Q887" s="51">
        <f t="shared" si="24"/>
        <v>34380</v>
      </c>
      <c r="R887" s="31">
        <v>202310</v>
      </c>
      <c r="S887" s="117" t="s">
        <v>1157</v>
      </c>
      <c r="T887" s="33"/>
      <c r="U887" s="117"/>
      <c r="V887" s="118"/>
      <c r="W887" s="67"/>
      <c r="X887" s="67"/>
      <c r="Y887" s="36">
        <v>44637</v>
      </c>
      <c r="Z887" s="36">
        <v>46828</v>
      </c>
      <c r="AA887" s="36"/>
      <c r="AB887" s="36"/>
      <c r="AC887" s="36"/>
      <c r="AD887" s="36"/>
      <c r="AE887" s="36"/>
      <c r="AF887" s="53" t="s">
        <v>68</v>
      </c>
      <c r="AG887" s="42"/>
      <c r="AH887" s="42"/>
      <c r="AI887" s="43"/>
      <c r="AJ887" s="43"/>
      <c r="AK887" s="43"/>
      <c r="AL887" s="43"/>
      <c r="AM887" s="43"/>
      <c r="AN887" s="42"/>
      <c r="AO887" s="42"/>
      <c r="AP887" s="42"/>
      <c r="AQ887" s="43"/>
      <c r="AR887" s="42"/>
      <c r="AS887" s="42"/>
    </row>
    <row r="888" spans="1:45" ht="15" customHeight="1">
      <c r="A888" s="21" t="s">
        <v>260</v>
      </c>
      <c r="B888" s="21" t="s">
        <v>46</v>
      </c>
      <c r="C888" s="21" t="s">
        <v>188</v>
      </c>
      <c r="D888" s="21" t="s">
        <v>48</v>
      </c>
      <c r="E888" s="80" t="s">
        <v>919</v>
      </c>
      <c r="F888" s="21" t="s">
        <v>953</v>
      </c>
      <c r="G888" s="101" t="s">
        <v>77</v>
      </c>
      <c r="H888" s="25" t="s">
        <v>1147</v>
      </c>
      <c r="I888" s="102" t="s">
        <v>78</v>
      </c>
      <c r="J888" s="65" t="s">
        <v>1148</v>
      </c>
      <c r="K888" s="104"/>
      <c r="L888" s="48" t="s">
        <v>956</v>
      </c>
      <c r="M888" s="27">
        <v>44713</v>
      </c>
      <c r="N888" s="105" t="s">
        <v>182</v>
      </c>
      <c r="O888" s="106">
        <v>8595</v>
      </c>
      <c r="P888" s="106">
        <v>3</v>
      </c>
      <c r="Q888" s="51">
        <f t="shared" si="24"/>
        <v>25785</v>
      </c>
      <c r="R888" s="31">
        <v>202310</v>
      </c>
      <c r="S888" s="117" t="s">
        <v>1158</v>
      </c>
      <c r="T888" s="33"/>
      <c r="U888" s="117"/>
      <c r="V888" s="118"/>
      <c r="W888" s="67"/>
      <c r="X888" s="67"/>
      <c r="Y888" s="36">
        <v>44637</v>
      </c>
      <c r="Z888" s="36">
        <v>46828</v>
      </c>
      <c r="AA888" s="36"/>
      <c r="AB888" s="36"/>
      <c r="AC888" s="36"/>
      <c r="AD888" s="36"/>
      <c r="AE888" s="36"/>
      <c r="AF888" s="53" t="s">
        <v>68</v>
      </c>
      <c r="AG888" s="42"/>
      <c r="AH888" s="42"/>
      <c r="AI888" s="43"/>
      <c r="AJ888" s="43"/>
      <c r="AK888" s="43"/>
      <c r="AL888" s="43"/>
      <c r="AM888" s="43"/>
      <c r="AN888" s="42"/>
      <c r="AO888" s="42"/>
      <c r="AP888" s="42"/>
      <c r="AQ888" s="43"/>
      <c r="AR888" s="42"/>
      <c r="AS888" s="42"/>
    </row>
    <row r="889" spans="1:45" ht="15" customHeight="1">
      <c r="A889" s="21" t="s">
        <v>260</v>
      </c>
      <c r="B889" s="21" t="s">
        <v>46</v>
      </c>
      <c r="C889" s="21" t="s">
        <v>188</v>
      </c>
      <c r="D889" s="21" t="s">
        <v>48</v>
      </c>
      <c r="E889" s="80" t="s">
        <v>919</v>
      </c>
      <c r="F889" s="21" t="s">
        <v>953</v>
      </c>
      <c r="G889" s="101" t="s">
        <v>77</v>
      </c>
      <c r="H889" s="25" t="s">
        <v>1147</v>
      </c>
      <c r="I889" s="102" t="s">
        <v>78</v>
      </c>
      <c r="J889" s="65" t="s">
        <v>1148</v>
      </c>
      <c r="K889" s="104"/>
      <c r="L889" s="48" t="s">
        <v>956</v>
      </c>
      <c r="M889" s="27">
        <v>44741</v>
      </c>
      <c r="N889" s="105" t="s">
        <v>182</v>
      </c>
      <c r="O889" s="106">
        <v>8595</v>
      </c>
      <c r="P889" s="106">
        <v>8</v>
      </c>
      <c r="Q889" s="51">
        <f t="shared" si="24"/>
        <v>68760</v>
      </c>
      <c r="R889" s="31">
        <v>202310</v>
      </c>
      <c r="S889" s="117" t="s">
        <v>1159</v>
      </c>
      <c r="T889" s="33"/>
      <c r="U889" s="117"/>
      <c r="V889" s="118"/>
      <c r="W889" s="67"/>
      <c r="X889" s="67"/>
      <c r="Y889" s="36">
        <v>44637</v>
      </c>
      <c r="Z889" s="36">
        <v>46828</v>
      </c>
      <c r="AA889" s="36"/>
      <c r="AB889" s="36"/>
      <c r="AC889" s="36"/>
      <c r="AD889" s="36"/>
      <c r="AE889" s="36"/>
      <c r="AF889" s="53" t="s">
        <v>68</v>
      </c>
      <c r="AG889" s="42"/>
      <c r="AH889" s="42"/>
      <c r="AI889" s="43"/>
      <c r="AJ889" s="43"/>
      <c r="AK889" s="43"/>
      <c r="AL889" s="43"/>
      <c r="AM889" s="43"/>
      <c r="AN889" s="42"/>
      <c r="AO889" s="42"/>
      <c r="AP889" s="42"/>
      <c r="AQ889" s="43"/>
      <c r="AR889" s="42"/>
      <c r="AS889" s="42"/>
    </row>
    <row r="890" spans="1:45" ht="15" customHeight="1">
      <c r="A890" s="21" t="s">
        <v>260</v>
      </c>
      <c r="B890" s="21" t="s">
        <v>46</v>
      </c>
      <c r="C890" s="21" t="s">
        <v>188</v>
      </c>
      <c r="D890" s="21" t="s">
        <v>48</v>
      </c>
      <c r="E890" s="80" t="s">
        <v>919</v>
      </c>
      <c r="F890" s="21" t="s">
        <v>953</v>
      </c>
      <c r="G890" s="101" t="s">
        <v>77</v>
      </c>
      <c r="H890" s="25" t="s">
        <v>1147</v>
      </c>
      <c r="I890" s="102" t="s">
        <v>78</v>
      </c>
      <c r="J890" s="65" t="s">
        <v>1148</v>
      </c>
      <c r="K890" s="104"/>
      <c r="L890" s="48" t="s">
        <v>956</v>
      </c>
      <c r="M890" s="27">
        <v>44742</v>
      </c>
      <c r="N890" s="105" t="s">
        <v>182</v>
      </c>
      <c r="O890" s="106">
        <v>8595</v>
      </c>
      <c r="P890" s="106">
        <v>9</v>
      </c>
      <c r="Q890" s="51">
        <f t="shared" si="24"/>
        <v>77355</v>
      </c>
      <c r="R890" s="31">
        <v>202310</v>
      </c>
      <c r="S890" s="117" t="s">
        <v>1160</v>
      </c>
      <c r="T890" s="33"/>
      <c r="U890" s="117"/>
      <c r="V890" s="118"/>
      <c r="W890" s="67"/>
      <c r="X890" s="67"/>
      <c r="Y890" s="36">
        <v>44637</v>
      </c>
      <c r="Z890" s="36">
        <v>46828</v>
      </c>
      <c r="AA890" s="36"/>
      <c r="AB890" s="36"/>
      <c r="AC890" s="36"/>
      <c r="AD890" s="36"/>
      <c r="AE890" s="36"/>
      <c r="AF890" s="53" t="s">
        <v>68</v>
      </c>
      <c r="AG890" s="42"/>
      <c r="AH890" s="42"/>
      <c r="AI890" s="43"/>
      <c r="AJ890" s="43"/>
      <c r="AK890" s="43"/>
      <c r="AL890" s="43"/>
      <c r="AM890" s="43"/>
      <c r="AN890" s="42"/>
      <c r="AO890" s="42"/>
      <c r="AP890" s="42"/>
      <c r="AQ890" s="43"/>
      <c r="AR890" s="42"/>
      <c r="AS890" s="42"/>
    </row>
    <row r="891" spans="1:45" ht="15" customHeight="1">
      <c r="A891" s="21" t="s">
        <v>260</v>
      </c>
      <c r="B891" s="21" t="s">
        <v>46</v>
      </c>
      <c r="C891" s="21" t="s">
        <v>188</v>
      </c>
      <c r="D891" s="21" t="s">
        <v>48</v>
      </c>
      <c r="E891" s="80" t="s">
        <v>919</v>
      </c>
      <c r="F891" s="21" t="s">
        <v>953</v>
      </c>
      <c r="G891" s="101" t="s">
        <v>77</v>
      </c>
      <c r="H891" s="25" t="s">
        <v>1147</v>
      </c>
      <c r="I891" s="102" t="s">
        <v>78</v>
      </c>
      <c r="J891" s="65" t="s">
        <v>1148</v>
      </c>
      <c r="K891" s="104"/>
      <c r="L891" s="48" t="s">
        <v>956</v>
      </c>
      <c r="M891" s="27">
        <v>44761</v>
      </c>
      <c r="N891" s="105" t="s">
        <v>182</v>
      </c>
      <c r="O891" s="106">
        <v>8595</v>
      </c>
      <c r="P891" s="106">
        <v>4</v>
      </c>
      <c r="Q891" s="51">
        <f t="shared" si="24"/>
        <v>34380</v>
      </c>
      <c r="R891" s="31">
        <v>202310</v>
      </c>
      <c r="S891" s="117" t="s">
        <v>1161</v>
      </c>
      <c r="T891" s="33"/>
      <c r="U891" s="117"/>
      <c r="V891" s="118"/>
      <c r="W891" s="67"/>
      <c r="X891" s="67"/>
      <c r="Y891" s="36">
        <v>44637</v>
      </c>
      <c r="Z891" s="36">
        <v>46828</v>
      </c>
      <c r="AA891" s="36"/>
      <c r="AB891" s="36"/>
      <c r="AC891" s="36"/>
      <c r="AD891" s="36"/>
      <c r="AE891" s="36"/>
      <c r="AF891" s="53" t="s">
        <v>68</v>
      </c>
      <c r="AG891" s="42"/>
      <c r="AH891" s="42"/>
      <c r="AI891" s="43"/>
      <c r="AJ891" s="43"/>
      <c r="AK891" s="43"/>
      <c r="AL891" s="43"/>
      <c r="AM891" s="43"/>
      <c r="AN891" s="42"/>
      <c r="AO891" s="42"/>
      <c r="AP891" s="42"/>
      <c r="AQ891" s="43"/>
      <c r="AR891" s="42"/>
      <c r="AS891" s="42"/>
    </row>
    <row r="892" spans="1:45" ht="15" customHeight="1">
      <c r="A892" s="21" t="s">
        <v>260</v>
      </c>
      <c r="B892" s="21" t="s">
        <v>46</v>
      </c>
      <c r="C892" s="21" t="s">
        <v>188</v>
      </c>
      <c r="D892" s="21" t="s">
        <v>48</v>
      </c>
      <c r="E892" s="80" t="s">
        <v>919</v>
      </c>
      <c r="F892" s="21" t="s">
        <v>953</v>
      </c>
      <c r="G892" s="101" t="s">
        <v>77</v>
      </c>
      <c r="H892" s="25" t="s">
        <v>1147</v>
      </c>
      <c r="I892" s="102" t="s">
        <v>78</v>
      </c>
      <c r="J892" s="65" t="s">
        <v>1148</v>
      </c>
      <c r="K892" s="104"/>
      <c r="L892" s="48" t="s">
        <v>956</v>
      </c>
      <c r="M892" s="27">
        <v>44770</v>
      </c>
      <c r="N892" s="105" t="s">
        <v>182</v>
      </c>
      <c r="O892" s="106">
        <v>8595</v>
      </c>
      <c r="P892" s="106">
        <v>15</v>
      </c>
      <c r="Q892" s="51">
        <f t="shared" si="24"/>
        <v>128925</v>
      </c>
      <c r="R892" s="31">
        <v>202310</v>
      </c>
      <c r="S892" s="117" t="s">
        <v>1162</v>
      </c>
      <c r="T892" s="33"/>
      <c r="U892" s="117"/>
      <c r="V892" s="118"/>
      <c r="W892" s="67"/>
      <c r="X892" s="67"/>
      <c r="Y892" s="36">
        <v>44637</v>
      </c>
      <c r="Z892" s="36">
        <v>46828</v>
      </c>
      <c r="AA892" s="36"/>
      <c r="AB892" s="36"/>
      <c r="AC892" s="36"/>
      <c r="AD892" s="36"/>
      <c r="AE892" s="36"/>
      <c r="AF892" s="53" t="s">
        <v>68</v>
      </c>
      <c r="AG892" s="42"/>
      <c r="AH892" s="42"/>
      <c r="AI892" s="43"/>
      <c r="AJ892" s="43"/>
      <c r="AK892" s="43"/>
      <c r="AL892" s="43"/>
      <c r="AM892" s="43"/>
      <c r="AN892" s="42"/>
      <c r="AO892" s="42"/>
      <c r="AP892" s="42"/>
      <c r="AQ892" s="43"/>
      <c r="AR892" s="42"/>
      <c r="AS892" s="42"/>
    </row>
    <row r="893" spans="1:45" ht="15" customHeight="1">
      <c r="A893" s="21" t="s">
        <v>260</v>
      </c>
      <c r="B893" s="21" t="s">
        <v>46</v>
      </c>
      <c r="C893" s="21" t="s">
        <v>188</v>
      </c>
      <c r="D893" s="21" t="s">
        <v>48</v>
      </c>
      <c r="E893" s="80" t="s">
        <v>919</v>
      </c>
      <c r="F893" s="21" t="s">
        <v>953</v>
      </c>
      <c r="G893" s="101" t="s">
        <v>77</v>
      </c>
      <c r="H893" s="25" t="s">
        <v>1147</v>
      </c>
      <c r="I893" s="102" t="s">
        <v>78</v>
      </c>
      <c r="J893" s="65" t="s">
        <v>1148</v>
      </c>
      <c r="K893" s="104"/>
      <c r="L893" s="48" t="s">
        <v>956</v>
      </c>
      <c r="M893" s="27">
        <v>44792</v>
      </c>
      <c r="N893" s="105" t="s">
        <v>182</v>
      </c>
      <c r="O893" s="106">
        <v>8595</v>
      </c>
      <c r="P893" s="106">
        <v>18</v>
      </c>
      <c r="Q893" s="51">
        <f t="shared" si="24"/>
        <v>154710</v>
      </c>
      <c r="R893" s="31">
        <v>202310</v>
      </c>
      <c r="S893" s="117" t="s">
        <v>1163</v>
      </c>
      <c r="T893" s="33"/>
      <c r="U893" s="117"/>
      <c r="V893" s="118"/>
      <c r="W893" s="67"/>
      <c r="X893" s="67"/>
      <c r="Y893" s="36">
        <v>44637</v>
      </c>
      <c r="Z893" s="36">
        <v>46828</v>
      </c>
      <c r="AA893" s="36"/>
      <c r="AB893" s="36"/>
      <c r="AC893" s="36"/>
      <c r="AD893" s="36"/>
      <c r="AE893" s="36"/>
      <c r="AF893" s="53" t="s">
        <v>68</v>
      </c>
      <c r="AG893" s="42"/>
      <c r="AH893" s="42"/>
      <c r="AI893" s="43"/>
      <c r="AJ893" s="43"/>
      <c r="AK893" s="43"/>
      <c r="AL893" s="43"/>
      <c r="AM893" s="43"/>
      <c r="AN893" s="42"/>
      <c r="AO893" s="42"/>
      <c r="AP893" s="42"/>
      <c r="AQ893" s="43"/>
      <c r="AR893" s="42"/>
      <c r="AS893" s="42"/>
    </row>
    <row r="894" spans="1:45" ht="15" customHeight="1">
      <c r="A894" s="21" t="s">
        <v>260</v>
      </c>
      <c r="B894" s="21" t="s">
        <v>46</v>
      </c>
      <c r="C894" s="21" t="s">
        <v>188</v>
      </c>
      <c r="D894" s="21" t="s">
        <v>48</v>
      </c>
      <c r="E894" s="80" t="s">
        <v>919</v>
      </c>
      <c r="F894" s="21" t="s">
        <v>953</v>
      </c>
      <c r="G894" s="101" t="s">
        <v>77</v>
      </c>
      <c r="H894" s="25" t="s">
        <v>1147</v>
      </c>
      <c r="I894" s="102" t="s">
        <v>78</v>
      </c>
      <c r="J894" s="65" t="s">
        <v>1148</v>
      </c>
      <c r="K894" s="104"/>
      <c r="L894" s="48" t="s">
        <v>956</v>
      </c>
      <c r="M894" s="27">
        <v>44806</v>
      </c>
      <c r="N894" s="105" t="s">
        <v>182</v>
      </c>
      <c r="O894" s="106">
        <v>8595</v>
      </c>
      <c r="P894" s="106">
        <v>11</v>
      </c>
      <c r="Q894" s="51">
        <f t="shared" si="24"/>
        <v>94545</v>
      </c>
      <c r="R894" s="31">
        <v>202310</v>
      </c>
      <c r="S894" s="117" t="s">
        <v>1164</v>
      </c>
      <c r="T894" s="33"/>
      <c r="U894" s="117"/>
      <c r="V894" s="118"/>
      <c r="W894" s="67"/>
      <c r="X894" s="67"/>
      <c r="Y894" s="36">
        <v>44637</v>
      </c>
      <c r="Z894" s="36">
        <v>46828</v>
      </c>
      <c r="AA894" s="36"/>
      <c r="AB894" s="36"/>
      <c r="AC894" s="36"/>
      <c r="AD894" s="36"/>
      <c r="AE894" s="36"/>
      <c r="AF894" s="53" t="s">
        <v>68</v>
      </c>
      <c r="AG894" s="42"/>
      <c r="AH894" s="42"/>
      <c r="AI894" s="43"/>
      <c r="AJ894" s="43"/>
      <c r="AK894" s="43"/>
      <c r="AL894" s="43"/>
      <c r="AM894" s="43"/>
      <c r="AN894" s="42"/>
      <c r="AO894" s="42"/>
      <c r="AP894" s="42"/>
      <c r="AQ894" s="43"/>
      <c r="AR894" s="42"/>
      <c r="AS894" s="42"/>
    </row>
    <row r="895" spans="1:45" ht="15" customHeight="1">
      <c r="A895" s="21" t="s">
        <v>260</v>
      </c>
      <c r="B895" s="21" t="s">
        <v>46</v>
      </c>
      <c r="C895" s="21" t="s">
        <v>188</v>
      </c>
      <c r="D895" s="21" t="s">
        <v>48</v>
      </c>
      <c r="E895" s="80" t="s">
        <v>919</v>
      </c>
      <c r="F895" s="21" t="s">
        <v>953</v>
      </c>
      <c r="G895" s="101" t="s">
        <v>77</v>
      </c>
      <c r="H895" s="25" t="s">
        <v>1147</v>
      </c>
      <c r="I895" s="102" t="s">
        <v>78</v>
      </c>
      <c r="J895" s="65" t="s">
        <v>1148</v>
      </c>
      <c r="K895" s="104"/>
      <c r="L895" s="48" t="s">
        <v>956</v>
      </c>
      <c r="M895" s="27">
        <v>44869</v>
      </c>
      <c r="N895" s="105" t="s">
        <v>177</v>
      </c>
      <c r="O895" s="106">
        <v>5900</v>
      </c>
      <c r="P895" s="106">
        <v>-9</v>
      </c>
      <c r="Q895" s="51">
        <f t="shared" si="24"/>
        <v>-53100</v>
      </c>
      <c r="R895" s="31">
        <v>202310</v>
      </c>
      <c r="S895" s="117" t="s">
        <v>1165</v>
      </c>
      <c r="T895" s="33"/>
      <c r="U895" s="117"/>
      <c r="V895" s="118"/>
      <c r="W895" s="67"/>
      <c r="X895" s="67"/>
      <c r="Y895" s="36">
        <v>44637</v>
      </c>
      <c r="Z895" s="36">
        <v>46828</v>
      </c>
      <c r="AA895" s="36"/>
      <c r="AB895" s="36"/>
      <c r="AC895" s="36"/>
      <c r="AD895" s="36"/>
      <c r="AE895" s="36"/>
      <c r="AF895" s="53" t="s">
        <v>68</v>
      </c>
      <c r="AG895" s="42"/>
      <c r="AH895" s="42"/>
      <c r="AI895" s="43"/>
      <c r="AJ895" s="43"/>
      <c r="AK895" s="43"/>
      <c r="AL895" s="43"/>
      <c r="AM895" s="43"/>
      <c r="AN895" s="42"/>
      <c r="AO895" s="42"/>
      <c r="AP895" s="42"/>
      <c r="AQ895" s="43"/>
      <c r="AR895" s="42"/>
      <c r="AS895" s="42"/>
    </row>
    <row r="896" spans="1:45" ht="15" customHeight="1">
      <c r="A896" s="21" t="s">
        <v>260</v>
      </c>
      <c r="B896" s="21" t="s">
        <v>46</v>
      </c>
      <c r="C896" s="21" t="s">
        <v>188</v>
      </c>
      <c r="D896" s="21" t="s">
        <v>48</v>
      </c>
      <c r="E896" s="80" t="s">
        <v>919</v>
      </c>
      <c r="F896" s="21" t="s">
        <v>953</v>
      </c>
      <c r="G896" s="101" t="s">
        <v>77</v>
      </c>
      <c r="H896" s="25" t="s">
        <v>1147</v>
      </c>
      <c r="I896" s="102" t="s">
        <v>78</v>
      </c>
      <c r="J896" s="65" t="s">
        <v>1148</v>
      </c>
      <c r="K896" s="104"/>
      <c r="L896" s="48" t="s">
        <v>956</v>
      </c>
      <c r="M896" s="27">
        <v>44869</v>
      </c>
      <c r="N896" s="105" t="s">
        <v>1151</v>
      </c>
      <c r="O896" s="106">
        <v>11200</v>
      </c>
      <c r="P896" s="106">
        <v>-3</v>
      </c>
      <c r="Q896" s="51">
        <f t="shared" si="24"/>
        <v>-33600</v>
      </c>
      <c r="R896" s="31">
        <v>202310</v>
      </c>
      <c r="S896" s="117" t="s">
        <v>1166</v>
      </c>
      <c r="T896" s="33"/>
      <c r="U896" s="117"/>
      <c r="V896" s="118"/>
      <c r="W896" s="67"/>
      <c r="X896" s="67"/>
      <c r="Y896" s="36">
        <v>44637</v>
      </c>
      <c r="Z896" s="36">
        <v>46828</v>
      </c>
      <c r="AA896" s="36"/>
      <c r="AB896" s="36"/>
      <c r="AC896" s="36"/>
      <c r="AD896" s="36"/>
      <c r="AE896" s="36"/>
      <c r="AF896" s="53" t="s">
        <v>68</v>
      </c>
      <c r="AG896" s="42"/>
      <c r="AH896" s="42"/>
      <c r="AI896" s="43"/>
      <c r="AJ896" s="43"/>
      <c r="AK896" s="43"/>
      <c r="AL896" s="43"/>
      <c r="AM896" s="43"/>
      <c r="AN896" s="42"/>
      <c r="AO896" s="42"/>
      <c r="AP896" s="42"/>
      <c r="AQ896" s="43"/>
      <c r="AR896" s="42"/>
      <c r="AS896" s="42"/>
    </row>
    <row r="897" spans="1:45" ht="15" customHeight="1">
      <c r="A897" s="21" t="s">
        <v>260</v>
      </c>
      <c r="B897" s="21" t="s">
        <v>46</v>
      </c>
      <c r="C897" s="21" t="s">
        <v>188</v>
      </c>
      <c r="D897" s="21" t="s">
        <v>48</v>
      </c>
      <c r="E897" s="80" t="s">
        <v>919</v>
      </c>
      <c r="F897" s="21" t="s">
        <v>953</v>
      </c>
      <c r="G897" s="101" t="s">
        <v>77</v>
      </c>
      <c r="H897" s="25" t="s">
        <v>1147</v>
      </c>
      <c r="I897" s="102" t="s">
        <v>78</v>
      </c>
      <c r="J897" s="65" t="s">
        <v>1148</v>
      </c>
      <c r="K897" s="104"/>
      <c r="L897" s="48" t="s">
        <v>956</v>
      </c>
      <c r="M897" s="27">
        <v>44904</v>
      </c>
      <c r="N897" s="105" t="s">
        <v>177</v>
      </c>
      <c r="O897" s="106">
        <v>5900</v>
      </c>
      <c r="P897" s="106">
        <v>2</v>
      </c>
      <c r="Q897" s="51">
        <f t="shared" si="24"/>
        <v>11800</v>
      </c>
      <c r="R897" s="31">
        <v>202310</v>
      </c>
      <c r="S897" s="117" t="s">
        <v>1167</v>
      </c>
      <c r="T897" s="33"/>
      <c r="U897" s="117"/>
      <c r="V897" s="118"/>
      <c r="W897" s="67"/>
      <c r="X897" s="67"/>
      <c r="Y897" s="36">
        <v>44637</v>
      </c>
      <c r="Z897" s="36">
        <v>46828</v>
      </c>
      <c r="AA897" s="36"/>
      <c r="AB897" s="36"/>
      <c r="AC897" s="36"/>
      <c r="AD897" s="36"/>
      <c r="AE897" s="36"/>
      <c r="AF897" s="53" t="s">
        <v>68</v>
      </c>
      <c r="AG897" s="42"/>
      <c r="AH897" s="42"/>
      <c r="AI897" s="43"/>
      <c r="AJ897" s="43"/>
      <c r="AK897" s="43"/>
      <c r="AL897" s="43"/>
      <c r="AM897" s="43"/>
      <c r="AN897" s="42"/>
      <c r="AO897" s="42"/>
      <c r="AP897" s="42"/>
      <c r="AQ897" s="43"/>
      <c r="AR897" s="42"/>
      <c r="AS897" s="42"/>
    </row>
    <row r="898" spans="1:45" ht="15" customHeight="1">
      <c r="A898" s="21" t="s">
        <v>260</v>
      </c>
      <c r="B898" s="21" t="s">
        <v>46</v>
      </c>
      <c r="C898" s="21" t="s">
        <v>188</v>
      </c>
      <c r="D898" s="21" t="s">
        <v>48</v>
      </c>
      <c r="E898" s="80" t="s">
        <v>919</v>
      </c>
      <c r="F898" s="21" t="s">
        <v>953</v>
      </c>
      <c r="G898" s="101" t="s">
        <v>77</v>
      </c>
      <c r="H898" s="25" t="s">
        <v>1147</v>
      </c>
      <c r="I898" s="102" t="s">
        <v>78</v>
      </c>
      <c r="J898" s="65" t="s">
        <v>1148</v>
      </c>
      <c r="K898" s="104"/>
      <c r="L898" s="48" t="s">
        <v>956</v>
      </c>
      <c r="M898" s="27">
        <v>44974</v>
      </c>
      <c r="N898" s="105" t="s">
        <v>177</v>
      </c>
      <c r="O898" s="106">
        <v>5900</v>
      </c>
      <c r="P898" s="106">
        <v>1</v>
      </c>
      <c r="Q898" s="51">
        <f t="shared" si="24"/>
        <v>5900</v>
      </c>
      <c r="R898" s="31">
        <v>202310</v>
      </c>
      <c r="S898" s="117" t="s">
        <v>1168</v>
      </c>
      <c r="T898" s="33"/>
      <c r="U898" s="117"/>
      <c r="V898" s="118"/>
      <c r="W898" s="67"/>
      <c r="X898" s="67"/>
      <c r="Y898" s="36">
        <v>44637</v>
      </c>
      <c r="Z898" s="36">
        <v>46828</v>
      </c>
      <c r="AA898" s="36"/>
      <c r="AB898" s="36"/>
      <c r="AC898" s="36"/>
      <c r="AD898" s="36"/>
      <c r="AE898" s="36"/>
      <c r="AF898" s="53" t="s">
        <v>68</v>
      </c>
      <c r="AG898" s="42"/>
      <c r="AH898" s="42"/>
      <c r="AI898" s="43"/>
      <c r="AJ898" s="43"/>
      <c r="AK898" s="43"/>
      <c r="AL898" s="43"/>
      <c r="AM898" s="43"/>
      <c r="AN898" s="42"/>
      <c r="AO898" s="42"/>
      <c r="AP898" s="42"/>
      <c r="AQ898" s="43"/>
      <c r="AR898" s="42"/>
      <c r="AS898" s="42"/>
    </row>
    <row r="899" spans="1:45" ht="15" customHeight="1">
      <c r="A899" s="21" t="s">
        <v>260</v>
      </c>
      <c r="B899" s="21" t="s">
        <v>46</v>
      </c>
      <c r="C899" s="21" t="s">
        <v>188</v>
      </c>
      <c r="D899" s="21" t="s">
        <v>48</v>
      </c>
      <c r="E899" s="80" t="s">
        <v>919</v>
      </c>
      <c r="F899" s="21" t="s">
        <v>953</v>
      </c>
      <c r="G899" s="101" t="s">
        <v>77</v>
      </c>
      <c r="H899" s="25" t="s">
        <v>1147</v>
      </c>
      <c r="I899" s="102" t="s">
        <v>78</v>
      </c>
      <c r="J899" s="65" t="s">
        <v>1148</v>
      </c>
      <c r="K899" s="104"/>
      <c r="L899" s="48" t="s">
        <v>956</v>
      </c>
      <c r="M899" s="27">
        <v>44974</v>
      </c>
      <c r="N899" s="105" t="s">
        <v>182</v>
      </c>
      <c r="O899" s="106">
        <v>8595</v>
      </c>
      <c r="P899" s="106">
        <v>4</v>
      </c>
      <c r="Q899" s="51">
        <f t="shared" si="24"/>
        <v>34380</v>
      </c>
      <c r="R899" s="31">
        <v>202310</v>
      </c>
      <c r="S899" s="117" t="s">
        <v>1169</v>
      </c>
      <c r="T899" s="33"/>
      <c r="U899" s="117"/>
      <c r="V899" s="118"/>
      <c r="W899" s="67"/>
      <c r="X899" s="67"/>
      <c r="Y899" s="36">
        <v>44637</v>
      </c>
      <c r="Z899" s="36">
        <v>46828</v>
      </c>
      <c r="AA899" s="36"/>
      <c r="AB899" s="36"/>
      <c r="AC899" s="36"/>
      <c r="AD899" s="36"/>
      <c r="AE899" s="36"/>
      <c r="AF899" s="53" t="s">
        <v>68</v>
      </c>
      <c r="AG899" s="42"/>
      <c r="AH899" s="42"/>
      <c r="AI899" s="43"/>
      <c r="AJ899" s="43"/>
      <c r="AK899" s="43"/>
      <c r="AL899" s="43"/>
      <c r="AM899" s="43"/>
      <c r="AN899" s="42"/>
      <c r="AO899" s="42"/>
      <c r="AP899" s="42"/>
      <c r="AQ899" s="43"/>
      <c r="AR899" s="42"/>
      <c r="AS899" s="42"/>
    </row>
    <row r="900" spans="1:45" ht="15" customHeight="1">
      <c r="A900" s="21" t="s">
        <v>260</v>
      </c>
      <c r="B900" s="21" t="s">
        <v>46</v>
      </c>
      <c r="C900" s="21" t="s">
        <v>188</v>
      </c>
      <c r="D900" s="21" t="s">
        <v>48</v>
      </c>
      <c r="E900" s="80" t="s">
        <v>919</v>
      </c>
      <c r="F900" s="21" t="s">
        <v>953</v>
      </c>
      <c r="G900" s="101" t="s">
        <v>77</v>
      </c>
      <c r="H900" s="25" t="s">
        <v>1147</v>
      </c>
      <c r="I900" s="102" t="s">
        <v>78</v>
      </c>
      <c r="J900" s="65" t="s">
        <v>1148</v>
      </c>
      <c r="K900" s="104"/>
      <c r="L900" s="48" t="s">
        <v>956</v>
      </c>
      <c r="M900" s="27">
        <v>45001</v>
      </c>
      <c r="N900" s="105" t="s">
        <v>182</v>
      </c>
      <c r="O900" s="106">
        <v>8595</v>
      </c>
      <c r="P900" s="106">
        <v>17</v>
      </c>
      <c r="Q900" s="51">
        <f t="shared" si="24"/>
        <v>146115</v>
      </c>
      <c r="R900" s="31">
        <v>202310</v>
      </c>
      <c r="S900" s="117" t="s">
        <v>1170</v>
      </c>
      <c r="T900" s="33"/>
      <c r="U900" s="117"/>
      <c r="V900" s="118"/>
      <c r="W900" s="67"/>
      <c r="X900" s="67"/>
      <c r="Y900" s="36">
        <v>44637</v>
      </c>
      <c r="Z900" s="36">
        <v>46828</v>
      </c>
      <c r="AA900" s="36"/>
      <c r="AB900" s="36"/>
      <c r="AC900" s="36"/>
      <c r="AD900" s="36"/>
      <c r="AE900" s="36"/>
      <c r="AF900" s="53" t="s">
        <v>68</v>
      </c>
      <c r="AG900" s="42"/>
      <c r="AH900" s="42"/>
      <c r="AI900" s="43"/>
      <c r="AJ900" s="43"/>
      <c r="AK900" s="43"/>
      <c r="AL900" s="43"/>
      <c r="AM900" s="43"/>
      <c r="AN900" s="42"/>
      <c r="AO900" s="42"/>
      <c r="AP900" s="42"/>
      <c r="AQ900" s="43"/>
      <c r="AR900" s="42"/>
      <c r="AS900" s="42"/>
    </row>
    <row r="901" spans="1:45" ht="15" customHeight="1">
      <c r="A901" s="21" t="s">
        <v>260</v>
      </c>
      <c r="B901" s="21" t="s">
        <v>46</v>
      </c>
      <c r="C901" s="21" t="s">
        <v>188</v>
      </c>
      <c r="D901" s="21" t="s">
        <v>48</v>
      </c>
      <c r="E901" s="80" t="s">
        <v>919</v>
      </c>
      <c r="F901" s="21" t="s">
        <v>953</v>
      </c>
      <c r="G901" s="101" t="s">
        <v>77</v>
      </c>
      <c r="H901" s="25" t="s">
        <v>1147</v>
      </c>
      <c r="I901" s="102" t="s">
        <v>78</v>
      </c>
      <c r="J901" s="65" t="s">
        <v>1148</v>
      </c>
      <c r="K901" s="104"/>
      <c r="L901" s="48" t="s">
        <v>956</v>
      </c>
      <c r="M901" s="27">
        <v>45033</v>
      </c>
      <c r="N901" s="105" t="s">
        <v>182</v>
      </c>
      <c r="O901" s="106">
        <v>8595</v>
      </c>
      <c r="P901" s="106">
        <v>6</v>
      </c>
      <c r="Q901" s="51">
        <f t="shared" si="24"/>
        <v>51570</v>
      </c>
      <c r="R901" s="31">
        <v>202310</v>
      </c>
      <c r="S901" s="117" t="s">
        <v>1171</v>
      </c>
      <c r="T901" s="33"/>
      <c r="U901" s="117"/>
      <c r="V901" s="118"/>
      <c r="W901" s="67"/>
      <c r="X901" s="67"/>
      <c r="Y901" s="36">
        <v>44637</v>
      </c>
      <c r="Z901" s="36">
        <v>46828</v>
      </c>
      <c r="AA901" s="36"/>
      <c r="AB901" s="36"/>
      <c r="AC901" s="36"/>
      <c r="AD901" s="36"/>
      <c r="AE901" s="36"/>
      <c r="AF901" s="53" t="s">
        <v>68</v>
      </c>
      <c r="AG901" s="42"/>
      <c r="AH901" s="42"/>
      <c r="AI901" s="43"/>
      <c r="AJ901" s="43"/>
      <c r="AK901" s="43"/>
      <c r="AL901" s="43"/>
      <c r="AM901" s="43"/>
      <c r="AN901" s="42"/>
      <c r="AO901" s="42"/>
      <c r="AP901" s="42"/>
      <c r="AQ901" s="43"/>
      <c r="AR901" s="42"/>
      <c r="AS901" s="42"/>
    </row>
    <row r="902" spans="1:45" ht="15" customHeight="1">
      <c r="A902" s="21" t="s">
        <v>260</v>
      </c>
      <c r="B902" s="21" t="s">
        <v>46</v>
      </c>
      <c r="C902" s="21" t="s">
        <v>188</v>
      </c>
      <c r="D902" s="21" t="s">
        <v>48</v>
      </c>
      <c r="E902" s="80" t="s">
        <v>919</v>
      </c>
      <c r="F902" s="21" t="s">
        <v>953</v>
      </c>
      <c r="G902" s="101" t="s">
        <v>77</v>
      </c>
      <c r="H902" s="25" t="s">
        <v>1147</v>
      </c>
      <c r="I902" s="102" t="s">
        <v>78</v>
      </c>
      <c r="J902" s="65" t="s">
        <v>1148</v>
      </c>
      <c r="K902" s="104"/>
      <c r="L902" s="48" t="s">
        <v>956</v>
      </c>
      <c r="M902" s="27">
        <v>45035</v>
      </c>
      <c r="N902" s="105" t="s">
        <v>182</v>
      </c>
      <c r="O902" s="106">
        <v>8595</v>
      </c>
      <c r="P902" s="106">
        <v>2</v>
      </c>
      <c r="Q902" s="51">
        <f t="shared" si="24"/>
        <v>17190</v>
      </c>
      <c r="R902" s="31">
        <v>202310</v>
      </c>
      <c r="S902" s="117" t="s">
        <v>1172</v>
      </c>
      <c r="T902" s="33"/>
      <c r="U902" s="117"/>
      <c r="V902" s="118"/>
      <c r="W902" s="67"/>
      <c r="X902" s="67"/>
      <c r="Y902" s="36">
        <v>44637</v>
      </c>
      <c r="Z902" s="36">
        <v>46828</v>
      </c>
      <c r="AA902" s="36"/>
      <c r="AB902" s="36"/>
      <c r="AC902" s="36"/>
      <c r="AD902" s="36"/>
      <c r="AE902" s="36"/>
      <c r="AF902" s="53" t="s">
        <v>68</v>
      </c>
      <c r="AG902" s="42"/>
      <c r="AH902" s="42"/>
      <c r="AI902" s="43"/>
      <c r="AJ902" s="43"/>
      <c r="AK902" s="43"/>
      <c r="AL902" s="43"/>
      <c r="AM902" s="43"/>
      <c r="AN902" s="42"/>
      <c r="AO902" s="42"/>
      <c r="AP902" s="42"/>
      <c r="AQ902" s="43"/>
      <c r="AR902" s="42"/>
      <c r="AS902" s="42"/>
    </row>
    <row r="903" spans="1:45" ht="15" customHeight="1">
      <c r="A903" s="21" t="s">
        <v>260</v>
      </c>
      <c r="B903" s="21" t="s">
        <v>46</v>
      </c>
      <c r="C903" s="21" t="s">
        <v>188</v>
      </c>
      <c r="D903" s="21" t="s">
        <v>48</v>
      </c>
      <c r="E903" s="80" t="s">
        <v>919</v>
      </c>
      <c r="F903" s="21" t="s">
        <v>953</v>
      </c>
      <c r="G903" s="101" t="s">
        <v>77</v>
      </c>
      <c r="H903" s="25" t="s">
        <v>1147</v>
      </c>
      <c r="I903" s="102" t="s">
        <v>78</v>
      </c>
      <c r="J903" s="65" t="s">
        <v>1148</v>
      </c>
      <c r="K903" s="104"/>
      <c r="L903" s="48" t="s">
        <v>956</v>
      </c>
      <c r="M903" s="27">
        <v>45051</v>
      </c>
      <c r="N903" s="105" t="s">
        <v>182</v>
      </c>
      <c r="O903" s="106">
        <v>8595</v>
      </c>
      <c r="P903" s="106">
        <v>3</v>
      </c>
      <c r="Q903" s="51">
        <f t="shared" si="24"/>
        <v>25785</v>
      </c>
      <c r="R903" s="31">
        <v>202310</v>
      </c>
      <c r="S903" s="117" t="s">
        <v>1173</v>
      </c>
      <c r="T903" s="33"/>
      <c r="U903" s="117"/>
      <c r="V903" s="118"/>
      <c r="W903" s="67"/>
      <c r="X903" s="67"/>
      <c r="Y903" s="36">
        <v>44637</v>
      </c>
      <c r="Z903" s="36">
        <v>46828</v>
      </c>
      <c r="AA903" s="36"/>
      <c r="AB903" s="36"/>
      <c r="AC903" s="36"/>
      <c r="AD903" s="36"/>
      <c r="AE903" s="36"/>
      <c r="AF903" s="53" t="s">
        <v>68</v>
      </c>
      <c r="AG903" s="42"/>
      <c r="AH903" s="42"/>
      <c r="AI903" s="43"/>
      <c r="AJ903" s="43"/>
      <c r="AK903" s="43"/>
      <c r="AL903" s="43"/>
      <c r="AM903" s="43"/>
      <c r="AN903" s="42"/>
      <c r="AO903" s="42"/>
      <c r="AP903" s="42"/>
      <c r="AQ903" s="43"/>
      <c r="AR903" s="42"/>
      <c r="AS903" s="42"/>
    </row>
    <row r="904" spans="1:45" ht="15" customHeight="1">
      <c r="A904" s="21" t="s">
        <v>260</v>
      </c>
      <c r="B904" s="21" t="s">
        <v>46</v>
      </c>
      <c r="C904" s="21" t="s">
        <v>188</v>
      </c>
      <c r="D904" s="21" t="s">
        <v>48</v>
      </c>
      <c r="E904" s="80" t="s">
        <v>919</v>
      </c>
      <c r="F904" s="21" t="s">
        <v>953</v>
      </c>
      <c r="G904" s="101" t="s">
        <v>77</v>
      </c>
      <c r="H904" s="25" t="s">
        <v>1147</v>
      </c>
      <c r="I904" s="102" t="s">
        <v>78</v>
      </c>
      <c r="J904" s="65" t="s">
        <v>1148</v>
      </c>
      <c r="K904" s="104"/>
      <c r="L904" s="48" t="s">
        <v>956</v>
      </c>
      <c r="M904" s="27">
        <v>45052</v>
      </c>
      <c r="N904" s="105" t="s">
        <v>182</v>
      </c>
      <c r="O904" s="106">
        <v>8595</v>
      </c>
      <c r="P904" s="106">
        <v>8</v>
      </c>
      <c r="Q904" s="51">
        <f t="shared" si="24"/>
        <v>68760</v>
      </c>
      <c r="R904" s="31">
        <v>202310</v>
      </c>
      <c r="S904" s="117" t="s">
        <v>1174</v>
      </c>
      <c r="T904" s="33"/>
      <c r="U904" s="117"/>
      <c r="V904" s="118"/>
      <c r="W904" s="67"/>
      <c r="X904" s="67"/>
      <c r="Y904" s="36">
        <v>44637</v>
      </c>
      <c r="Z904" s="36">
        <v>46828</v>
      </c>
      <c r="AA904" s="36"/>
      <c r="AB904" s="36"/>
      <c r="AC904" s="36"/>
      <c r="AD904" s="36"/>
      <c r="AE904" s="36"/>
      <c r="AF904" s="53" t="s">
        <v>68</v>
      </c>
      <c r="AG904" s="42"/>
      <c r="AH904" s="42"/>
      <c r="AI904" s="43"/>
      <c r="AJ904" s="43"/>
      <c r="AK904" s="43"/>
      <c r="AL904" s="43"/>
      <c r="AM904" s="43"/>
      <c r="AN904" s="42"/>
      <c r="AO904" s="42"/>
      <c r="AP904" s="42"/>
      <c r="AQ904" s="43"/>
      <c r="AR904" s="42"/>
      <c r="AS904" s="42"/>
    </row>
    <row r="905" spans="1:45" ht="15" customHeight="1">
      <c r="A905" s="21" t="s">
        <v>260</v>
      </c>
      <c r="B905" s="21" t="s">
        <v>46</v>
      </c>
      <c r="C905" s="21" t="s">
        <v>188</v>
      </c>
      <c r="D905" s="21" t="s">
        <v>48</v>
      </c>
      <c r="E905" s="80" t="s">
        <v>919</v>
      </c>
      <c r="F905" s="21" t="s">
        <v>953</v>
      </c>
      <c r="G905" s="101" t="s">
        <v>77</v>
      </c>
      <c r="H905" s="25" t="s">
        <v>1147</v>
      </c>
      <c r="I905" s="102" t="s">
        <v>78</v>
      </c>
      <c r="J905" s="65" t="s">
        <v>1148</v>
      </c>
      <c r="K905" s="104"/>
      <c r="L905" s="48" t="s">
        <v>956</v>
      </c>
      <c r="M905" s="27">
        <v>45057</v>
      </c>
      <c r="N905" s="105" t="s">
        <v>182</v>
      </c>
      <c r="O905" s="106">
        <v>8595</v>
      </c>
      <c r="P905" s="106">
        <v>2</v>
      </c>
      <c r="Q905" s="51">
        <f t="shared" si="24"/>
        <v>17190</v>
      </c>
      <c r="R905" s="31">
        <v>202310</v>
      </c>
      <c r="S905" s="117" t="s">
        <v>1175</v>
      </c>
      <c r="T905" s="33"/>
      <c r="U905" s="117"/>
      <c r="V905" s="118"/>
      <c r="W905" s="67"/>
      <c r="X905" s="67"/>
      <c r="Y905" s="36">
        <v>44637</v>
      </c>
      <c r="Z905" s="36">
        <v>46828</v>
      </c>
      <c r="AA905" s="36"/>
      <c r="AB905" s="36"/>
      <c r="AC905" s="36"/>
      <c r="AD905" s="36"/>
      <c r="AE905" s="36"/>
      <c r="AF905" s="53" t="s">
        <v>68</v>
      </c>
      <c r="AG905" s="42"/>
      <c r="AH905" s="42"/>
      <c r="AI905" s="43"/>
      <c r="AJ905" s="43"/>
      <c r="AK905" s="43"/>
      <c r="AL905" s="43"/>
      <c r="AM905" s="43"/>
      <c r="AN905" s="42"/>
      <c r="AO905" s="42"/>
      <c r="AP905" s="42"/>
      <c r="AQ905" s="43"/>
      <c r="AR905" s="42"/>
      <c r="AS905" s="42"/>
    </row>
    <row r="906" spans="1:45" ht="15" customHeight="1">
      <c r="A906" s="21" t="s">
        <v>260</v>
      </c>
      <c r="B906" s="21" t="s">
        <v>46</v>
      </c>
      <c r="C906" s="21" t="s">
        <v>188</v>
      </c>
      <c r="D906" s="21" t="s">
        <v>48</v>
      </c>
      <c r="E906" s="80" t="s">
        <v>919</v>
      </c>
      <c r="F906" s="21" t="s">
        <v>953</v>
      </c>
      <c r="G906" s="101" t="s">
        <v>77</v>
      </c>
      <c r="H906" s="25" t="s">
        <v>1147</v>
      </c>
      <c r="I906" s="102" t="s">
        <v>78</v>
      </c>
      <c r="J906" s="65" t="s">
        <v>1148</v>
      </c>
      <c r="K906" s="104"/>
      <c r="L906" s="48" t="s">
        <v>956</v>
      </c>
      <c r="M906" s="27">
        <v>45064</v>
      </c>
      <c r="N906" s="105" t="s">
        <v>182</v>
      </c>
      <c r="O906" s="106">
        <v>8595</v>
      </c>
      <c r="P906" s="106">
        <v>4</v>
      </c>
      <c r="Q906" s="51">
        <f t="shared" si="24"/>
        <v>34380</v>
      </c>
      <c r="R906" s="31">
        <v>202310</v>
      </c>
      <c r="S906" s="117" t="s">
        <v>1176</v>
      </c>
      <c r="T906" s="33"/>
      <c r="U906" s="117"/>
      <c r="V906" s="118"/>
      <c r="W906" s="67"/>
      <c r="X906" s="67"/>
      <c r="Y906" s="36">
        <v>44637</v>
      </c>
      <c r="Z906" s="36">
        <v>46828</v>
      </c>
      <c r="AA906" s="36"/>
      <c r="AB906" s="36"/>
      <c r="AC906" s="36"/>
      <c r="AD906" s="36"/>
      <c r="AE906" s="36"/>
      <c r="AF906" s="53" t="s">
        <v>68</v>
      </c>
      <c r="AG906" s="42"/>
      <c r="AH906" s="42"/>
      <c r="AI906" s="43"/>
      <c r="AJ906" s="43"/>
      <c r="AK906" s="43"/>
      <c r="AL906" s="43"/>
      <c r="AM906" s="43"/>
      <c r="AN906" s="42"/>
      <c r="AO906" s="42"/>
      <c r="AP906" s="42"/>
      <c r="AQ906" s="43"/>
      <c r="AR906" s="42"/>
      <c r="AS906" s="42"/>
    </row>
    <row r="907" spans="1:45" ht="15" customHeight="1">
      <c r="A907" s="21" t="s">
        <v>260</v>
      </c>
      <c r="B907" s="21" t="s">
        <v>46</v>
      </c>
      <c r="C907" s="21" t="s">
        <v>188</v>
      </c>
      <c r="D907" s="21" t="s">
        <v>48</v>
      </c>
      <c r="E907" s="80" t="s">
        <v>919</v>
      </c>
      <c r="F907" s="21" t="s">
        <v>953</v>
      </c>
      <c r="G907" s="101" t="s">
        <v>77</v>
      </c>
      <c r="H907" s="102" t="s">
        <v>1147</v>
      </c>
      <c r="I907" s="102" t="s">
        <v>78</v>
      </c>
      <c r="J907" s="65" t="s">
        <v>1148</v>
      </c>
      <c r="K907" s="104"/>
      <c r="L907" s="48" t="s">
        <v>956</v>
      </c>
      <c r="M907" s="27">
        <v>45075</v>
      </c>
      <c r="N907" s="105" t="s">
        <v>182</v>
      </c>
      <c r="O907" s="106">
        <v>8595</v>
      </c>
      <c r="P907" s="106">
        <v>13</v>
      </c>
      <c r="Q907" s="51">
        <f>ROUND(O907*P907,2)</f>
        <v>111735</v>
      </c>
      <c r="R907" s="31">
        <v>202310</v>
      </c>
      <c r="S907" s="117" t="s">
        <v>1177</v>
      </c>
      <c r="T907" s="117"/>
      <c r="U907" s="117"/>
      <c r="V907" s="42"/>
      <c r="W907" s="42"/>
      <c r="X907" s="42"/>
      <c r="Y907" s="36">
        <v>44637</v>
      </c>
      <c r="Z907" s="36">
        <v>46828</v>
      </c>
      <c r="AA907" s="72"/>
      <c r="AB907" s="72"/>
      <c r="AC907" s="72"/>
      <c r="AD907" s="72"/>
      <c r="AE907" s="72"/>
      <c r="AF907" s="53" t="s">
        <v>68</v>
      </c>
      <c r="AG907" s="40"/>
      <c r="AH907" s="42"/>
      <c r="AI907" s="42"/>
      <c r="AJ907" s="43"/>
      <c r="AK907" s="43"/>
      <c r="AL907" s="43"/>
      <c r="AM907" s="43"/>
      <c r="AN907" s="42"/>
      <c r="AO907" s="42"/>
      <c r="AP907" s="42"/>
      <c r="AQ907" s="42"/>
      <c r="AR907" s="42"/>
      <c r="AS907" s="42"/>
    </row>
    <row r="908" spans="1:45" ht="15" customHeight="1">
      <c r="A908" s="21" t="s">
        <v>260</v>
      </c>
      <c r="B908" s="21" t="s">
        <v>46</v>
      </c>
      <c r="C908" s="21" t="s">
        <v>188</v>
      </c>
      <c r="D908" s="21" t="s">
        <v>48</v>
      </c>
      <c r="E908" s="80" t="s">
        <v>919</v>
      </c>
      <c r="F908" s="21" t="s">
        <v>953</v>
      </c>
      <c r="G908" s="101" t="s">
        <v>77</v>
      </c>
      <c r="H908" s="102" t="s">
        <v>1147</v>
      </c>
      <c r="I908" s="102" t="s">
        <v>78</v>
      </c>
      <c r="J908" s="65" t="s">
        <v>1148</v>
      </c>
      <c r="K908" s="104"/>
      <c r="L908" s="48" t="s">
        <v>956</v>
      </c>
      <c r="M908" s="27">
        <v>45078</v>
      </c>
      <c r="N908" s="105" t="s">
        <v>182</v>
      </c>
      <c r="O908" s="106">
        <v>8595</v>
      </c>
      <c r="P908" s="106">
        <v>5</v>
      </c>
      <c r="Q908" s="51">
        <f>ROUND(O908*P908,2)</f>
        <v>42975</v>
      </c>
      <c r="R908" s="31">
        <v>202310</v>
      </c>
      <c r="S908" s="117" t="s">
        <v>1178</v>
      </c>
      <c r="T908" s="117"/>
      <c r="U908" s="117"/>
      <c r="V908" s="42"/>
      <c r="W908" s="42"/>
      <c r="X908" s="42"/>
      <c r="Y908" s="36">
        <v>44637</v>
      </c>
      <c r="Z908" s="36">
        <v>46828</v>
      </c>
      <c r="AA908" s="72"/>
      <c r="AB908" s="72"/>
      <c r="AC908" s="72"/>
      <c r="AD908" s="72"/>
      <c r="AE908" s="72"/>
      <c r="AF908" s="53" t="s">
        <v>68</v>
      </c>
      <c r="AG908" s="40"/>
      <c r="AH908" s="42"/>
      <c r="AI908" s="42"/>
      <c r="AJ908" s="43"/>
      <c r="AK908" s="43"/>
      <c r="AL908" s="43"/>
      <c r="AM908" s="43"/>
      <c r="AN908" s="42"/>
      <c r="AO908" s="42"/>
      <c r="AP908" s="42"/>
      <c r="AQ908" s="42"/>
      <c r="AR908" s="42"/>
      <c r="AS908" s="42"/>
    </row>
    <row r="909" spans="1:45" ht="15" customHeight="1">
      <c r="A909" s="21" t="s">
        <v>260</v>
      </c>
      <c r="B909" s="21" t="s">
        <v>46</v>
      </c>
      <c r="C909" s="21" t="s">
        <v>188</v>
      </c>
      <c r="D909" s="21" t="s">
        <v>48</v>
      </c>
      <c r="E909" s="80" t="s">
        <v>919</v>
      </c>
      <c r="F909" s="21" t="s">
        <v>953</v>
      </c>
      <c r="G909" s="101" t="s">
        <v>77</v>
      </c>
      <c r="H909" s="102" t="s">
        <v>1147</v>
      </c>
      <c r="I909" s="102" t="s">
        <v>78</v>
      </c>
      <c r="J909" s="65" t="s">
        <v>1148</v>
      </c>
      <c r="K909" s="104"/>
      <c r="L909" s="48" t="s">
        <v>956</v>
      </c>
      <c r="M909" s="27">
        <v>45079</v>
      </c>
      <c r="N909" s="105" t="s">
        <v>182</v>
      </c>
      <c r="O909" s="106">
        <v>8595</v>
      </c>
      <c r="P909" s="106">
        <v>4</v>
      </c>
      <c r="Q909" s="51">
        <f t="shared" ref="Q909:Q927" si="25">ROUND(O909*P909,2)</f>
        <v>34380</v>
      </c>
      <c r="R909" s="31">
        <v>202310</v>
      </c>
      <c r="S909" s="117" t="s">
        <v>1179</v>
      </c>
      <c r="T909" s="117"/>
      <c r="U909" s="117"/>
      <c r="V909" s="42"/>
      <c r="W909" s="42"/>
      <c r="X909" s="42"/>
      <c r="Y909" s="36">
        <v>44637</v>
      </c>
      <c r="Z909" s="36">
        <v>46828</v>
      </c>
      <c r="AA909" s="72"/>
      <c r="AB909" s="72"/>
      <c r="AC909" s="72"/>
      <c r="AD909" s="72"/>
      <c r="AE909" s="72"/>
      <c r="AF909" s="53" t="s">
        <v>68</v>
      </c>
      <c r="AG909" s="40"/>
      <c r="AH909" s="42"/>
      <c r="AI909" s="42"/>
      <c r="AJ909" s="43"/>
      <c r="AK909" s="43"/>
      <c r="AL909" s="43"/>
      <c r="AM909" s="43"/>
      <c r="AN909" s="42"/>
      <c r="AO909" s="42"/>
      <c r="AP909" s="42"/>
      <c r="AQ909" s="42"/>
      <c r="AR909" s="42"/>
      <c r="AS909" s="42"/>
    </row>
    <row r="910" spans="1:45" ht="15" customHeight="1">
      <c r="A910" s="21" t="s">
        <v>260</v>
      </c>
      <c r="B910" s="21" t="s">
        <v>46</v>
      </c>
      <c r="C910" s="21" t="s">
        <v>188</v>
      </c>
      <c r="D910" s="21" t="s">
        <v>48</v>
      </c>
      <c r="E910" s="80" t="s">
        <v>919</v>
      </c>
      <c r="F910" s="21" t="s">
        <v>953</v>
      </c>
      <c r="G910" s="101" t="s">
        <v>77</v>
      </c>
      <c r="H910" s="102" t="s">
        <v>1147</v>
      </c>
      <c r="I910" s="102" t="s">
        <v>78</v>
      </c>
      <c r="J910" s="65" t="s">
        <v>1148</v>
      </c>
      <c r="K910" s="104"/>
      <c r="L910" s="48" t="s">
        <v>956</v>
      </c>
      <c r="M910" s="27">
        <v>45079</v>
      </c>
      <c r="N910" s="105" t="s">
        <v>182</v>
      </c>
      <c r="O910" s="106">
        <v>8595</v>
      </c>
      <c r="P910" s="106">
        <v>31</v>
      </c>
      <c r="Q910" s="51">
        <f t="shared" si="25"/>
        <v>266445</v>
      </c>
      <c r="R910" s="31">
        <v>202310</v>
      </c>
      <c r="S910" s="117" t="s">
        <v>1180</v>
      </c>
      <c r="T910" s="117"/>
      <c r="U910" s="117"/>
      <c r="V910" s="42"/>
      <c r="W910" s="42"/>
      <c r="X910" s="42"/>
      <c r="Y910" s="36">
        <v>44637</v>
      </c>
      <c r="Z910" s="36">
        <v>46828</v>
      </c>
      <c r="AA910" s="72"/>
      <c r="AB910" s="72"/>
      <c r="AC910" s="72"/>
      <c r="AD910" s="72"/>
      <c r="AE910" s="72"/>
      <c r="AF910" s="53" t="s">
        <v>68</v>
      </c>
      <c r="AG910" s="40"/>
      <c r="AH910" s="42"/>
      <c r="AI910" s="42"/>
      <c r="AJ910" s="43"/>
      <c r="AK910" s="43"/>
      <c r="AL910" s="43"/>
      <c r="AM910" s="43"/>
      <c r="AN910" s="42"/>
      <c r="AO910" s="42"/>
      <c r="AP910" s="42"/>
      <c r="AQ910" s="42"/>
      <c r="AR910" s="42"/>
      <c r="AS910" s="42"/>
    </row>
    <row r="911" spans="1:45" ht="15" customHeight="1">
      <c r="A911" s="21" t="s">
        <v>260</v>
      </c>
      <c r="B911" s="21" t="s">
        <v>46</v>
      </c>
      <c r="C911" s="21" t="s">
        <v>188</v>
      </c>
      <c r="D911" s="21" t="s">
        <v>48</v>
      </c>
      <c r="E911" s="80" t="s">
        <v>919</v>
      </c>
      <c r="F911" s="21" t="s">
        <v>953</v>
      </c>
      <c r="G911" s="101" t="s">
        <v>77</v>
      </c>
      <c r="H911" s="102" t="s">
        <v>1147</v>
      </c>
      <c r="I911" s="102" t="s">
        <v>78</v>
      </c>
      <c r="J911" s="65" t="s">
        <v>1148</v>
      </c>
      <c r="K911" s="104"/>
      <c r="L911" s="48" t="s">
        <v>956</v>
      </c>
      <c r="M911" s="27">
        <v>45078</v>
      </c>
      <c r="N911" s="105" t="s">
        <v>182</v>
      </c>
      <c r="O911" s="106">
        <v>8595</v>
      </c>
      <c r="P911" s="106">
        <v>8</v>
      </c>
      <c r="Q911" s="51">
        <f t="shared" si="25"/>
        <v>68760</v>
      </c>
      <c r="R911" s="31">
        <v>202310</v>
      </c>
      <c r="S911" s="117" t="s">
        <v>1181</v>
      </c>
      <c r="T911" s="117"/>
      <c r="U911" s="117"/>
      <c r="V911" s="42"/>
      <c r="W911" s="42"/>
      <c r="X911" s="42"/>
      <c r="Y911" s="36">
        <v>44637</v>
      </c>
      <c r="Z911" s="36">
        <v>46828</v>
      </c>
      <c r="AA911" s="72"/>
      <c r="AB911" s="72"/>
      <c r="AC911" s="72"/>
      <c r="AD911" s="72"/>
      <c r="AE911" s="72"/>
      <c r="AF911" s="53" t="s">
        <v>68</v>
      </c>
      <c r="AG911" s="40"/>
      <c r="AH911" s="42"/>
      <c r="AI911" s="42"/>
      <c r="AJ911" s="43"/>
      <c r="AK911" s="43"/>
      <c r="AL911" s="43"/>
      <c r="AM911" s="43"/>
      <c r="AN911" s="42"/>
      <c r="AO911" s="42"/>
      <c r="AP911" s="42"/>
      <c r="AQ911" s="42"/>
      <c r="AR911" s="42"/>
      <c r="AS911" s="42"/>
    </row>
    <row r="912" spans="1:45" ht="15" customHeight="1">
      <c r="A912" s="21" t="s">
        <v>260</v>
      </c>
      <c r="B912" s="21" t="s">
        <v>46</v>
      </c>
      <c r="C912" s="21" t="s">
        <v>188</v>
      </c>
      <c r="D912" s="21" t="s">
        <v>48</v>
      </c>
      <c r="E912" s="80" t="s">
        <v>919</v>
      </c>
      <c r="F912" s="21" t="s">
        <v>953</v>
      </c>
      <c r="G912" s="101" t="s">
        <v>77</v>
      </c>
      <c r="H912" s="102" t="s">
        <v>1147</v>
      </c>
      <c r="I912" s="102" t="s">
        <v>78</v>
      </c>
      <c r="J912" s="65" t="s">
        <v>1148</v>
      </c>
      <c r="K912" s="104"/>
      <c r="L912" s="48" t="s">
        <v>956</v>
      </c>
      <c r="M912" s="27">
        <v>45083</v>
      </c>
      <c r="N912" s="105" t="s">
        <v>182</v>
      </c>
      <c r="O912" s="106">
        <v>8595</v>
      </c>
      <c r="P912" s="106">
        <v>40</v>
      </c>
      <c r="Q912" s="51">
        <f t="shared" si="25"/>
        <v>343800</v>
      </c>
      <c r="R912" s="31">
        <v>202310</v>
      </c>
      <c r="S912" s="117" t="s">
        <v>1182</v>
      </c>
      <c r="T912" s="117"/>
      <c r="U912" s="117"/>
      <c r="V912" s="42"/>
      <c r="W912" s="42"/>
      <c r="X912" s="42"/>
      <c r="Y912" s="36">
        <v>44637</v>
      </c>
      <c r="Z912" s="36">
        <v>46828</v>
      </c>
      <c r="AA912" s="72"/>
      <c r="AB912" s="72"/>
      <c r="AC912" s="72"/>
      <c r="AD912" s="72"/>
      <c r="AE912" s="72"/>
      <c r="AF912" s="53" t="s">
        <v>68</v>
      </c>
      <c r="AG912" s="40"/>
      <c r="AH912" s="42"/>
      <c r="AI912" s="42"/>
      <c r="AJ912" s="43"/>
      <c r="AK912" s="43"/>
      <c r="AL912" s="43"/>
      <c r="AM912" s="43"/>
      <c r="AN912" s="42"/>
      <c r="AO912" s="42"/>
      <c r="AP912" s="42"/>
      <c r="AQ912" s="42"/>
      <c r="AR912" s="42"/>
      <c r="AS912" s="42"/>
    </row>
    <row r="913" spans="1:45" ht="15" customHeight="1">
      <c r="A913" s="21" t="s">
        <v>260</v>
      </c>
      <c r="B913" s="21" t="s">
        <v>46</v>
      </c>
      <c r="C913" s="21" t="s">
        <v>188</v>
      </c>
      <c r="D913" s="21" t="s">
        <v>48</v>
      </c>
      <c r="E913" s="80" t="s">
        <v>919</v>
      </c>
      <c r="F913" s="21" t="s">
        <v>953</v>
      </c>
      <c r="G913" s="101" t="s">
        <v>77</v>
      </c>
      <c r="H913" s="102" t="s">
        <v>1147</v>
      </c>
      <c r="I913" s="102" t="s">
        <v>78</v>
      </c>
      <c r="J913" s="65" t="s">
        <v>1148</v>
      </c>
      <c r="K913" s="104"/>
      <c r="L913" s="48" t="s">
        <v>956</v>
      </c>
      <c r="M913" s="27">
        <v>45086</v>
      </c>
      <c r="N913" s="105" t="s">
        <v>182</v>
      </c>
      <c r="O913" s="106">
        <v>8595</v>
      </c>
      <c r="P913" s="106">
        <v>1</v>
      </c>
      <c r="Q913" s="51">
        <f t="shared" si="25"/>
        <v>8595</v>
      </c>
      <c r="R913" s="31">
        <v>202310</v>
      </c>
      <c r="S913" s="117" t="s">
        <v>1183</v>
      </c>
      <c r="T913" s="117"/>
      <c r="U913" s="117"/>
      <c r="V913" s="42"/>
      <c r="W913" s="42"/>
      <c r="X913" s="42"/>
      <c r="Y913" s="36">
        <v>44637</v>
      </c>
      <c r="Z913" s="36">
        <v>46828</v>
      </c>
      <c r="AA913" s="72"/>
      <c r="AB913" s="72"/>
      <c r="AC913" s="72"/>
      <c r="AD913" s="72"/>
      <c r="AE913" s="72"/>
      <c r="AF913" s="53" t="s">
        <v>68</v>
      </c>
      <c r="AG913" s="40"/>
      <c r="AH913" s="42"/>
      <c r="AI913" s="42"/>
      <c r="AJ913" s="43"/>
      <c r="AK913" s="43"/>
      <c r="AL913" s="43"/>
      <c r="AM913" s="43"/>
      <c r="AN913" s="42"/>
      <c r="AO913" s="42"/>
      <c r="AP913" s="42"/>
      <c r="AQ913" s="42"/>
      <c r="AR913" s="42"/>
      <c r="AS913" s="42"/>
    </row>
    <row r="914" spans="1:45" ht="15" customHeight="1">
      <c r="A914" s="21" t="s">
        <v>260</v>
      </c>
      <c r="B914" s="21" t="s">
        <v>46</v>
      </c>
      <c r="C914" s="21" t="s">
        <v>188</v>
      </c>
      <c r="D914" s="21" t="s">
        <v>48</v>
      </c>
      <c r="E914" s="80" t="s">
        <v>919</v>
      </c>
      <c r="F914" s="21" t="s">
        <v>953</v>
      </c>
      <c r="G914" s="101" t="s">
        <v>77</v>
      </c>
      <c r="H914" s="102" t="s">
        <v>1147</v>
      </c>
      <c r="I914" s="102" t="s">
        <v>78</v>
      </c>
      <c r="J914" s="65" t="s">
        <v>1148</v>
      </c>
      <c r="K914" s="104"/>
      <c r="L914" s="48" t="s">
        <v>956</v>
      </c>
      <c r="M914" s="27">
        <v>45091</v>
      </c>
      <c r="N914" s="105" t="s">
        <v>182</v>
      </c>
      <c r="O914" s="106">
        <v>8595</v>
      </c>
      <c r="P914" s="106">
        <v>1</v>
      </c>
      <c r="Q914" s="51">
        <f t="shared" si="25"/>
        <v>8595</v>
      </c>
      <c r="R914" s="31">
        <v>202310</v>
      </c>
      <c r="S914" s="117" t="s">
        <v>1184</v>
      </c>
      <c r="T914" s="117"/>
      <c r="U914" s="117"/>
      <c r="V914" s="42"/>
      <c r="W914" s="42"/>
      <c r="X914" s="42"/>
      <c r="Y914" s="36">
        <v>44637</v>
      </c>
      <c r="Z914" s="36">
        <v>46828</v>
      </c>
      <c r="AA914" s="72"/>
      <c r="AB914" s="72"/>
      <c r="AC914" s="72"/>
      <c r="AD914" s="72"/>
      <c r="AE914" s="72"/>
      <c r="AF914" s="53" t="s">
        <v>68</v>
      </c>
      <c r="AG914" s="40"/>
      <c r="AH914" s="42"/>
      <c r="AI914" s="42"/>
      <c r="AJ914" s="43"/>
      <c r="AK914" s="43"/>
      <c r="AL914" s="43"/>
      <c r="AM914" s="43"/>
      <c r="AN914" s="42"/>
      <c r="AO914" s="42"/>
      <c r="AP914" s="42"/>
      <c r="AQ914" s="42"/>
      <c r="AR914" s="42"/>
      <c r="AS914" s="42"/>
    </row>
    <row r="915" spans="1:45" ht="15" customHeight="1">
      <c r="A915" s="21" t="s">
        <v>260</v>
      </c>
      <c r="B915" s="21" t="s">
        <v>46</v>
      </c>
      <c r="C915" s="21" t="s">
        <v>188</v>
      </c>
      <c r="D915" s="21" t="s">
        <v>48</v>
      </c>
      <c r="E915" s="80" t="s">
        <v>919</v>
      </c>
      <c r="F915" s="21" t="s">
        <v>953</v>
      </c>
      <c r="G915" s="101" t="s">
        <v>77</v>
      </c>
      <c r="H915" s="26" t="s">
        <v>1147</v>
      </c>
      <c r="I915" s="102" t="s">
        <v>78</v>
      </c>
      <c r="J915" s="65" t="s">
        <v>1148</v>
      </c>
      <c r="K915" s="151"/>
      <c r="L915" s="48" t="s">
        <v>956</v>
      </c>
      <c r="M915" s="27">
        <v>45070</v>
      </c>
      <c r="N915" s="105" t="s">
        <v>177</v>
      </c>
      <c r="O915" s="106">
        <v>5900</v>
      </c>
      <c r="P915" s="106">
        <v>1</v>
      </c>
      <c r="Q915" s="51">
        <f t="shared" si="25"/>
        <v>5900</v>
      </c>
      <c r="R915" s="31">
        <v>202310</v>
      </c>
      <c r="S915" s="54" t="s">
        <v>1185</v>
      </c>
      <c r="T915" s="117"/>
      <c r="U915" s="117"/>
      <c r="V915" s="42"/>
      <c r="W915" s="42"/>
      <c r="X915" s="42"/>
      <c r="Y915" s="36">
        <v>44637</v>
      </c>
      <c r="Z915" s="36">
        <v>46828</v>
      </c>
      <c r="AA915" s="72"/>
      <c r="AB915" s="72"/>
      <c r="AC915" s="72"/>
      <c r="AD915" s="72"/>
      <c r="AE915" s="72"/>
      <c r="AF915" s="53" t="s">
        <v>68</v>
      </c>
      <c r="AG915" s="40"/>
      <c r="AH915" s="42"/>
      <c r="AI915" s="42"/>
      <c r="AJ915" s="43"/>
      <c r="AK915" s="43"/>
      <c r="AL915" s="43"/>
      <c r="AM915" s="43"/>
      <c r="AN915" s="42"/>
      <c r="AO915" s="42"/>
      <c r="AP915" s="42"/>
      <c r="AQ915" s="42"/>
      <c r="AR915" s="42"/>
      <c r="AS915" s="42"/>
    </row>
    <row r="916" spans="1:45" ht="15" customHeight="1">
      <c r="A916" s="21" t="s">
        <v>260</v>
      </c>
      <c r="B916" s="21" t="s">
        <v>46</v>
      </c>
      <c r="C916" s="21" t="s">
        <v>188</v>
      </c>
      <c r="D916" s="21" t="s">
        <v>48</v>
      </c>
      <c r="E916" s="80" t="s">
        <v>919</v>
      </c>
      <c r="F916" s="21" t="s">
        <v>953</v>
      </c>
      <c r="G916" s="101" t="s">
        <v>77</v>
      </c>
      <c r="H916" s="102" t="s">
        <v>1147</v>
      </c>
      <c r="I916" s="102" t="s">
        <v>78</v>
      </c>
      <c r="J916" s="65" t="s">
        <v>1148</v>
      </c>
      <c r="K916" s="151"/>
      <c r="L916" s="48" t="s">
        <v>956</v>
      </c>
      <c r="M916" s="27">
        <v>45070</v>
      </c>
      <c r="N916" s="105" t="s">
        <v>182</v>
      </c>
      <c r="O916" s="106">
        <v>8595</v>
      </c>
      <c r="P916" s="106">
        <v>2</v>
      </c>
      <c r="Q916" s="51">
        <f t="shared" si="25"/>
        <v>17190</v>
      </c>
      <c r="R916" s="31">
        <v>202310</v>
      </c>
      <c r="S916" s="54" t="s">
        <v>1186</v>
      </c>
      <c r="T916" s="117"/>
      <c r="U916" s="117"/>
      <c r="V916" s="42"/>
      <c r="W916" s="42"/>
      <c r="X916" s="42"/>
      <c r="Y916" s="36">
        <v>44637</v>
      </c>
      <c r="Z916" s="36">
        <v>46828</v>
      </c>
      <c r="AA916" s="72"/>
      <c r="AB916" s="72"/>
      <c r="AC916" s="72"/>
      <c r="AD916" s="72"/>
      <c r="AE916" s="72"/>
      <c r="AF916" s="53" t="s">
        <v>68</v>
      </c>
      <c r="AG916" s="40"/>
      <c r="AH916" s="42"/>
      <c r="AI916" s="42"/>
      <c r="AJ916" s="43"/>
      <c r="AK916" s="43"/>
      <c r="AL916" s="43"/>
      <c r="AM916" s="43"/>
      <c r="AN916" s="42"/>
      <c r="AO916" s="42"/>
      <c r="AP916" s="42"/>
      <c r="AQ916" s="42"/>
      <c r="AR916" s="42"/>
      <c r="AS916" s="42"/>
    </row>
    <row r="917" spans="1:45" ht="15" customHeight="1">
      <c r="A917" s="21" t="s">
        <v>260</v>
      </c>
      <c r="B917" s="21" t="s">
        <v>46</v>
      </c>
      <c r="C917" s="21" t="s">
        <v>188</v>
      </c>
      <c r="D917" s="21" t="s">
        <v>48</v>
      </c>
      <c r="E917" s="80" t="s">
        <v>919</v>
      </c>
      <c r="F917" s="21" t="s">
        <v>953</v>
      </c>
      <c r="G917" s="101" t="s">
        <v>77</v>
      </c>
      <c r="H917" s="102" t="s">
        <v>1147</v>
      </c>
      <c r="I917" s="102" t="s">
        <v>78</v>
      </c>
      <c r="J917" s="65" t="s">
        <v>1148</v>
      </c>
      <c r="K917" s="151"/>
      <c r="L917" s="48" t="s">
        <v>956</v>
      </c>
      <c r="M917" s="27">
        <v>45097</v>
      </c>
      <c r="N917" s="105" t="s">
        <v>182</v>
      </c>
      <c r="O917" s="106">
        <v>8595</v>
      </c>
      <c r="P917" s="106">
        <v>30</v>
      </c>
      <c r="Q917" s="51">
        <f t="shared" si="25"/>
        <v>257850</v>
      </c>
      <c r="R917" s="31">
        <v>202310</v>
      </c>
      <c r="S917" s="54" t="s">
        <v>1187</v>
      </c>
      <c r="T917" s="117"/>
      <c r="U917" s="117"/>
      <c r="V917" s="42"/>
      <c r="W917" s="42"/>
      <c r="X917" s="42"/>
      <c r="Y917" s="36">
        <v>44637</v>
      </c>
      <c r="Z917" s="36">
        <v>46828</v>
      </c>
      <c r="AA917" s="72"/>
      <c r="AB917" s="72"/>
      <c r="AC917" s="72"/>
      <c r="AD917" s="72"/>
      <c r="AE917" s="72"/>
      <c r="AF917" s="53" t="s">
        <v>68</v>
      </c>
      <c r="AG917" s="40"/>
      <c r="AH917" s="42"/>
      <c r="AI917" s="42"/>
      <c r="AJ917" s="43"/>
      <c r="AK917" s="43"/>
      <c r="AL917" s="43"/>
      <c r="AM917" s="43"/>
      <c r="AN917" s="42"/>
      <c r="AO917" s="42"/>
      <c r="AP917" s="42"/>
      <c r="AQ917" s="42"/>
      <c r="AR917" s="42"/>
      <c r="AS917" s="42"/>
    </row>
    <row r="918" spans="1:45" ht="15" customHeight="1">
      <c r="A918" s="21" t="s">
        <v>260</v>
      </c>
      <c r="B918" s="21" t="s">
        <v>46</v>
      </c>
      <c r="C918" s="21" t="s">
        <v>188</v>
      </c>
      <c r="D918" s="21" t="s">
        <v>48</v>
      </c>
      <c r="E918" s="80" t="s">
        <v>919</v>
      </c>
      <c r="F918" s="21" t="s">
        <v>953</v>
      </c>
      <c r="G918" s="101" t="s">
        <v>77</v>
      </c>
      <c r="H918" s="102" t="s">
        <v>1147</v>
      </c>
      <c r="I918" s="102" t="s">
        <v>78</v>
      </c>
      <c r="J918" s="65" t="s">
        <v>1148</v>
      </c>
      <c r="K918" s="151"/>
      <c r="L918" s="48" t="s">
        <v>956</v>
      </c>
      <c r="M918" s="27">
        <v>45107</v>
      </c>
      <c r="N918" s="105" t="s">
        <v>182</v>
      </c>
      <c r="O918" s="106">
        <v>8595</v>
      </c>
      <c r="P918" s="106">
        <v>56</v>
      </c>
      <c r="Q918" s="51">
        <f t="shared" si="25"/>
        <v>481320</v>
      </c>
      <c r="R918" s="31">
        <v>202310</v>
      </c>
      <c r="S918" s="54" t="s">
        <v>1188</v>
      </c>
      <c r="T918" s="117"/>
      <c r="U918" s="117"/>
      <c r="V918" s="42"/>
      <c r="W918" s="42"/>
      <c r="X918" s="42"/>
      <c r="Y918" s="36">
        <v>44637</v>
      </c>
      <c r="Z918" s="36">
        <v>46828</v>
      </c>
      <c r="AA918" s="72"/>
      <c r="AB918" s="72"/>
      <c r="AC918" s="72"/>
      <c r="AD918" s="72"/>
      <c r="AE918" s="72"/>
      <c r="AF918" s="53" t="s">
        <v>68</v>
      </c>
      <c r="AG918" s="40"/>
      <c r="AH918" s="42"/>
      <c r="AI918" s="42"/>
      <c r="AJ918" s="43"/>
      <c r="AK918" s="43"/>
      <c r="AL918" s="43"/>
      <c r="AM918" s="43"/>
      <c r="AN918" s="42"/>
      <c r="AO918" s="42"/>
      <c r="AP918" s="42"/>
      <c r="AQ918" s="42"/>
      <c r="AR918" s="42"/>
      <c r="AS918" s="42"/>
    </row>
    <row r="919" spans="1:45" ht="15" customHeight="1">
      <c r="A919" s="21" t="s">
        <v>260</v>
      </c>
      <c r="B919" s="21" t="s">
        <v>46</v>
      </c>
      <c r="C919" s="21" t="s">
        <v>188</v>
      </c>
      <c r="D919" s="21" t="s">
        <v>48</v>
      </c>
      <c r="E919" s="80" t="s">
        <v>919</v>
      </c>
      <c r="F919" s="21" t="s">
        <v>953</v>
      </c>
      <c r="G919" s="101" t="s">
        <v>77</v>
      </c>
      <c r="H919" s="102" t="s">
        <v>1147</v>
      </c>
      <c r="I919" s="102" t="s">
        <v>78</v>
      </c>
      <c r="J919" s="65" t="s">
        <v>1148</v>
      </c>
      <c r="K919" s="151"/>
      <c r="L919" s="48" t="s">
        <v>956</v>
      </c>
      <c r="M919" s="27">
        <v>45110</v>
      </c>
      <c r="N919" s="105" t="s">
        <v>182</v>
      </c>
      <c r="O919" s="106">
        <v>8595</v>
      </c>
      <c r="P919" s="106">
        <v>19</v>
      </c>
      <c r="Q919" s="30">
        <f t="shared" si="25"/>
        <v>163305</v>
      </c>
      <c r="R919" s="31">
        <v>202310</v>
      </c>
      <c r="S919" s="54" t="s">
        <v>1189</v>
      </c>
      <c r="T919" s="117"/>
      <c r="U919" s="117"/>
      <c r="V919" s="42"/>
      <c r="W919" s="42"/>
      <c r="X919" s="42"/>
      <c r="Y919" s="36">
        <v>44637</v>
      </c>
      <c r="Z919" s="36">
        <v>46828</v>
      </c>
      <c r="AA919" s="72"/>
      <c r="AB919" s="72"/>
      <c r="AC919" s="72"/>
      <c r="AD919" s="72"/>
      <c r="AE919" s="72"/>
      <c r="AF919" s="53" t="s">
        <v>68</v>
      </c>
      <c r="AG919" s="40"/>
      <c r="AH919" s="42"/>
      <c r="AI919" s="42"/>
      <c r="AJ919" s="43"/>
      <c r="AK919" s="43"/>
      <c r="AL919" s="43"/>
      <c r="AM919" s="43"/>
      <c r="AN919" s="42"/>
      <c r="AO919" s="42"/>
      <c r="AP919" s="42"/>
      <c r="AQ919" s="42"/>
      <c r="AR919" s="42"/>
      <c r="AS919" s="42"/>
    </row>
    <row r="920" spans="1:45" ht="15" customHeight="1">
      <c r="A920" s="21" t="s">
        <v>260</v>
      </c>
      <c r="B920" s="21" t="s">
        <v>46</v>
      </c>
      <c r="C920" s="21" t="s">
        <v>188</v>
      </c>
      <c r="D920" s="21" t="s">
        <v>48</v>
      </c>
      <c r="E920" s="80" t="s">
        <v>919</v>
      </c>
      <c r="F920" s="21" t="s">
        <v>953</v>
      </c>
      <c r="G920" s="101" t="s">
        <v>77</v>
      </c>
      <c r="H920" s="102" t="s">
        <v>1147</v>
      </c>
      <c r="I920" s="102" t="s">
        <v>78</v>
      </c>
      <c r="J920" s="65" t="s">
        <v>1148</v>
      </c>
      <c r="K920" s="151"/>
      <c r="L920" s="48" t="s">
        <v>956</v>
      </c>
      <c r="M920" s="27">
        <v>45126</v>
      </c>
      <c r="N920" s="105" t="s">
        <v>182</v>
      </c>
      <c r="O920" s="106">
        <v>8595</v>
      </c>
      <c r="P920" s="106">
        <v>4</v>
      </c>
      <c r="Q920" s="30">
        <f t="shared" si="25"/>
        <v>34380</v>
      </c>
      <c r="R920" s="31">
        <v>202310</v>
      </c>
      <c r="S920" s="54" t="s">
        <v>1190</v>
      </c>
      <c r="T920" s="117"/>
      <c r="U920" s="117"/>
      <c r="V920" s="42"/>
      <c r="W920" s="42"/>
      <c r="X920" s="42"/>
      <c r="Y920" s="36">
        <v>44637</v>
      </c>
      <c r="Z920" s="36">
        <v>46828</v>
      </c>
      <c r="AA920" s="72"/>
      <c r="AB920" s="72"/>
      <c r="AC920" s="72"/>
      <c r="AD920" s="72"/>
      <c r="AE920" s="72"/>
      <c r="AF920" s="53" t="s">
        <v>68</v>
      </c>
      <c r="AG920" s="40"/>
      <c r="AH920" s="42"/>
      <c r="AI920" s="42"/>
      <c r="AJ920" s="43"/>
      <c r="AK920" s="43"/>
      <c r="AL920" s="43"/>
      <c r="AM920" s="43"/>
      <c r="AN920" s="42"/>
      <c r="AO920" s="42"/>
      <c r="AP920" s="42"/>
      <c r="AQ920" s="42"/>
      <c r="AR920" s="42"/>
      <c r="AS920" s="42"/>
    </row>
    <row r="921" spans="1:45" ht="15" customHeight="1">
      <c r="A921" s="21" t="s">
        <v>260</v>
      </c>
      <c r="B921" s="21" t="s">
        <v>46</v>
      </c>
      <c r="C921" s="21" t="s">
        <v>188</v>
      </c>
      <c r="D921" s="21" t="s">
        <v>48</v>
      </c>
      <c r="E921" s="80" t="s">
        <v>919</v>
      </c>
      <c r="F921" s="21" t="s">
        <v>953</v>
      </c>
      <c r="G921" s="101" t="s">
        <v>77</v>
      </c>
      <c r="H921" s="102" t="s">
        <v>1147</v>
      </c>
      <c r="I921" s="102" t="s">
        <v>78</v>
      </c>
      <c r="J921" s="65" t="s">
        <v>1148</v>
      </c>
      <c r="K921" s="151"/>
      <c r="L921" s="48" t="s">
        <v>956</v>
      </c>
      <c r="M921" s="27">
        <v>45131</v>
      </c>
      <c r="N921" s="105" t="s">
        <v>182</v>
      </c>
      <c r="O921" s="106">
        <v>8595</v>
      </c>
      <c r="P921" s="106">
        <v>4</v>
      </c>
      <c r="Q921" s="30">
        <f t="shared" si="25"/>
        <v>34380</v>
      </c>
      <c r="R921" s="31">
        <v>202310</v>
      </c>
      <c r="S921" s="54" t="s">
        <v>1191</v>
      </c>
      <c r="T921" s="117"/>
      <c r="U921" s="117"/>
      <c r="V921" s="42"/>
      <c r="W921" s="42"/>
      <c r="X921" s="42"/>
      <c r="Y921" s="36">
        <v>44637</v>
      </c>
      <c r="Z921" s="36">
        <v>46828</v>
      </c>
      <c r="AA921" s="72"/>
      <c r="AB921" s="72"/>
      <c r="AC921" s="72"/>
      <c r="AD921" s="72"/>
      <c r="AE921" s="72"/>
      <c r="AF921" s="53" t="s">
        <v>68</v>
      </c>
      <c r="AG921" s="40"/>
      <c r="AH921" s="42"/>
      <c r="AI921" s="42"/>
      <c r="AJ921" s="43"/>
      <c r="AK921" s="43"/>
      <c r="AL921" s="43"/>
      <c r="AM921" s="43"/>
      <c r="AN921" s="42"/>
      <c r="AO921" s="42"/>
      <c r="AP921" s="42"/>
      <c r="AQ921" s="42"/>
      <c r="AR921" s="42"/>
      <c r="AS921" s="42"/>
    </row>
    <row r="922" spans="1:45" ht="15" customHeight="1">
      <c r="A922" s="21" t="s">
        <v>260</v>
      </c>
      <c r="B922" s="21" t="s">
        <v>46</v>
      </c>
      <c r="C922" s="21" t="s">
        <v>188</v>
      </c>
      <c r="D922" s="21" t="s">
        <v>48</v>
      </c>
      <c r="E922" s="80" t="s">
        <v>919</v>
      </c>
      <c r="F922" s="21" t="s">
        <v>953</v>
      </c>
      <c r="G922" s="101" t="s">
        <v>77</v>
      </c>
      <c r="H922" s="102" t="s">
        <v>1147</v>
      </c>
      <c r="I922" s="102" t="s">
        <v>78</v>
      </c>
      <c r="J922" s="65" t="s">
        <v>1148</v>
      </c>
      <c r="K922" s="151"/>
      <c r="L922" s="48" t="s">
        <v>956</v>
      </c>
      <c r="M922" s="27">
        <v>45147</v>
      </c>
      <c r="N922" s="105" t="s">
        <v>182</v>
      </c>
      <c r="O922" s="106">
        <v>8595</v>
      </c>
      <c r="P922" s="106">
        <v>2</v>
      </c>
      <c r="Q922" s="51">
        <f t="shared" si="25"/>
        <v>17190</v>
      </c>
      <c r="R922" s="31">
        <v>202310</v>
      </c>
      <c r="S922" s="54" t="s">
        <v>1192</v>
      </c>
      <c r="T922" s="117"/>
      <c r="U922" s="117"/>
      <c r="V922" s="42"/>
      <c r="W922" s="42"/>
      <c r="X922" s="42"/>
      <c r="Y922" s="36">
        <v>44637</v>
      </c>
      <c r="Z922" s="36">
        <v>46828</v>
      </c>
      <c r="AA922" s="72"/>
      <c r="AB922" s="72"/>
      <c r="AC922" s="72"/>
      <c r="AD922" s="72"/>
      <c r="AE922" s="72"/>
      <c r="AF922" s="53" t="s">
        <v>68</v>
      </c>
      <c r="AG922" s="40"/>
      <c r="AH922" s="42"/>
      <c r="AI922" s="42"/>
      <c r="AJ922" s="43"/>
      <c r="AK922" s="43"/>
      <c r="AL922" s="43"/>
      <c r="AM922" s="43"/>
      <c r="AN922" s="42"/>
      <c r="AO922" s="42"/>
      <c r="AP922" s="42"/>
      <c r="AQ922" s="42"/>
      <c r="AR922" s="42"/>
      <c r="AS922" s="42"/>
    </row>
    <row r="923" spans="1:45" ht="15" customHeight="1">
      <c r="A923" s="21" t="s">
        <v>260</v>
      </c>
      <c r="B923" s="21" t="s">
        <v>46</v>
      </c>
      <c r="C923" s="21" t="s">
        <v>188</v>
      </c>
      <c r="D923" s="21" t="s">
        <v>48</v>
      </c>
      <c r="E923" s="80" t="s">
        <v>919</v>
      </c>
      <c r="F923" s="21" t="s">
        <v>953</v>
      </c>
      <c r="G923" s="101" t="s">
        <v>77</v>
      </c>
      <c r="H923" s="102" t="s">
        <v>1147</v>
      </c>
      <c r="I923" s="102" t="s">
        <v>78</v>
      </c>
      <c r="J923" s="65" t="s">
        <v>1148</v>
      </c>
      <c r="K923" s="151"/>
      <c r="L923" s="48" t="s">
        <v>956</v>
      </c>
      <c r="M923" s="27">
        <v>45161</v>
      </c>
      <c r="N923" s="105" t="s">
        <v>182</v>
      </c>
      <c r="O923" s="106">
        <v>8595</v>
      </c>
      <c r="P923" s="106">
        <v>14</v>
      </c>
      <c r="Q923" s="51">
        <f t="shared" si="25"/>
        <v>120330</v>
      </c>
      <c r="R923" s="31">
        <v>202310</v>
      </c>
      <c r="S923" s="54" t="s">
        <v>1193</v>
      </c>
      <c r="T923" s="117"/>
      <c r="U923" s="117"/>
      <c r="V923" s="42"/>
      <c r="W923" s="42"/>
      <c r="X923" s="42"/>
      <c r="Y923" s="36">
        <v>44637</v>
      </c>
      <c r="Z923" s="36">
        <v>46828</v>
      </c>
      <c r="AA923" s="72"/>
      <c r="AB923" s="72"/>
      <c r="AC923" s="72"/>
      <c r="AD923" s="72"/>
      <c r="AE923" s="72"/>
      <c r="AF923" s="53" t="s">
        <v>68</v>
      </c>
      <c r="AG923" s="40"/>
      <c r="AH923" s="42"/>
      <c r="AI923" s="42"/>
      <c r="AJ923" s="43"/>
      <c r="AK923" s="43"/>
      <c r="AL923" s="43"/>
      <c r="AM923" s="43"/>
      <c r="AN923" s="42"/>
      <c r="AO923" s="42"/>
      <c r="AP923" s="42"/>
      <c r="AQ923" s="42"/>
      <c r="AR923" s="42"/>
      <c r="AS923" s="42"/>
    </row>
    <row r="924" spans="1:45" ht="15" customHeight="1">
      <c r="A924" s="21" t="s">
        <v>260</v>
      </c>
      <c r="B924" s="21" t="s">
        <v>46</v>
      </c>
      <c r="C924" s="21" t="s">
        <v>188</v>
      </c>
      <c r="D924" s="21" t="s">
        <v>48</v>
      </c>
      <c r="E924" s="80" t="s">
        <v>919</v>
      </c>
      <c r="F924" s="21" t="s">
        <v>953</v>
      </c>
      <c r="G924" s="101" t="s">
        <v>77</v>
      </c>
      <c r="H924" s="102" t="s">
        <v>1147</v>
      </c>
      <c r="I924" s="102" t="s">
        <v>78</v>
      </c>
      <c r="J924" s="65" t="s">
        <v>1148</v>
      </c>
      <c r="K924" s="151"/>
      <c r="L924" s="48" t="s">
        <v>956</v>
      </c>
      <c r="M924" s="27">
        <v>45161</v>
      </c>
      <c r="N924" s="105" t="s">
        <v>182</v>
      </c>
      <c r="O924" s="106">
        <v>8595</v>
      </c>
      <c r="P924" s="106">
        <v>-1</v>
      </c>
      <c r="Q924" s="51">
        <f t="shared" si="25"/>
        <v>-8595</v>
      </c>
      <c r="R924" s="31">
        <v>202310</v>
      </c>
      <c r="S924" s="54" t="s">
        <v>1194</v>
      </c>
      <c r="T924" s="117"/>
      <c r="U924" s="117"/>
      <c r="V924" s="42"/>
      <c r="W924" s="42"/>
      <c r="X924" s="42"/>
      <c r="Y924" s="36">
        <v>44637</v>
      </c>
      <c r="Z924" s="36">
        <v>46828</v>
      </c>
      <c r="AA924" s="72"/>
      <c r="AB924" s="72"/>
      <c r="AC924" s="72"/>
      <c r="AD924" s="72"/>
      <c r="AE924" s="72"/>
      <c r="AF924" s="53" t="s">
        <v>68</v>
      </c>
      <c r="AG924" s="40"/>
      <c r="AH924" s="42"/>
      <c r="AI924" s="42"/>
      <c r="AJ924" s="43"/>
      <c r="AK924" s="43"/>
      <c r="AL924" s="43"/>
      <c r="AM924" s="43"/>
      <c r="AN924" s="42"/>
      <c r="AO924" s="42"/>
      <c r="AP924" s="42"/>
      <c r="AQ924" s="42"/>
      <c r="AR924" s="42"/>
      <c r="AS924" s="42"/>
    </row>
    <row r="925" spans="1:45" ht="15" customHeight="1">
      <c r="A925" s="21" t="s">
        <v>260</v>
      </c>
      <c r="B925" s="21" t="s">
        <v>46</v>
      </c>
      <c r="C925" s="21" t="s">
        <v>188</v>
      </c>
      <c r="D925" s="21" t="s">
        <v>48</v>
      </c>
      <c r="E925" s="80" t="s">
        <v>919</v>
      </c>
      <c r="F925" s="21" t="s">
        <v>953</v>
      </c>
      <c r="G925" s="101" t="s">
        <v>77</v>
      </c>
      <c r="H925" s="102" t="s">
        <v>1147</v>
      </c>
      <c r="I925" s="102" t="s">
        <v>78</v>
      </c>
      <c r="J925" s="65" t="s">
        <v>1148</v>
      </c>
      <c r="K925" s="151"/>
      <c r="L925" s="48" t="s">
        <v>956</v>
      </c>
      <c r="M925" s="27">
        <v>45163</v>
      </c>
      <c r="N925" s="105" t="s">
        <v>182</v>
      </c>
      <c r="O925" s="106">
        <v>8595</v>
      </c>
      <c r="P925" s="106">
        <v>13</v>
      </c>
      <c r="Q925" s="51">
        <f t="shared" si="25"/>
        <v>111735</v>
      </c>
      <c r="R925" s="31">
        <v>202310</v>
      </c>
      <c r="S925" s="54" t="s">
        <v>1195</v>
      </c>
      <c r="T925" s="117"/>
      <c r="U925" s="117"/>
      <c r="V925" s="42"/>
      <c r="W925" s="42"/>
      <c r="X925" s="42"/>
      <c r="Y925" s="36">
        <v>44637</v>
      </c>
      <c r="Z925" s="36">
        <v>46828</v>
      </c>
      <c r="AA925" s="72"/>
      <c r="AB925" s="72"/>
      <c r="AC925" s="72"/>
      <c r="AD925" s="72"/>
      <c r="AE925" s="72"/>
      <c r="AF925" s="53" t="s">
        <v>68</v>
      </c>
      <c r="AG925" s="40"/>
      <c r="AH925" s="42"/>
      <c r="AI925" s="42"/>
      <c r="AJ925" s="43"/>
      <c r="AK925" s="43"/>
      <c r="AL925" s="43"/>
      <c r="AM925" s="43"/>
      <c r="AN925" s="42"/>
      <c r="AO925" s="42"/>
      <c r="AP925" s="42"/>
      <c r="AQ925" s="42"/>
      <c r="AR925" s="42"/>
      <c r="AS925" s="42"/>
    </row>
    <row r="926" spans="1:45" ht="15" customHeight="1">
      <c r="A926" s="21" t="s">
        <v>260</v>
      </c>
      <c r="B926" s="21" t="s">
        <v>46</v>
      </c>
      <c r="C926" s="21" t="s">
        <v>188</v>
      </c>
      <c r="D926" s="21" t="s">
        <v>48</v>
      </c>
      <c r="E926" s="80" t="s">
        <v>919</v>
      </c>
      <c r="F926" s="21" t="s">
        <v>953</v>
      </c>
      <c r="G926" s="101" t="s">
        <v>77</v>
      </c>
      <c r="H926" s="102" t="s">
        <v>1147</v>
      </c>
      <c r="I926" s="102" t="s">
        <v>78</v>
      </c>
      <c r="J926" s="65" t="s">
        <v>1148</v>
      </c>
      <c r="K926" s="151"/>
      <c r="L926" s="48" t="s">
        <v>956</v>
      </c>
      <c r="M926" s="27">
        <v>45187</v>
      </c>
      <c r="N926" s="105" t="s">
        <v>182</v>
      </c>
      <c r="O926" s="106">
        <v>8595</v>
      </c>
      <c r="P926" s="106">
        <v>3</v>
      </c>
      <c r="Q926" s="51">
        <f t="shared" si="25"/>
        <v>25785</v>
      </c>
      <c r="R926" s="31">
        <v>202310</v>
      </c>
      <c r="S926" s="54" t="s">
        <v>1196</v>
      </c>
      <c r="T926" s="117"/>
      <c r="U926" s="117"/>
      <c r="V926" s="42"/>
      <c r="W926" s="42"/>
      <c r="X926" s="42"/>
      <c r="Y926" s="36">
        <v>44637</v>
      </c>
      <c r="Z926" s="36">
        <v>46828</v>
      </c>
      <c r="AA926" s="72"/>
      <c r="AB926" s="72"/>
      <c r="AC926" s="72"/>
      <c r="AD926" s="72"/>
      <c r="AE926" s="72"/>
      <c r="AF926" s="53" t="s">
        <v>68</v>
      </c>
      <c r="AG926" s="40"/>
      <c r="AH926" s="42"/>
      <c r="AI926" s="42"/>
      <c r="AJ926" s="43"/>
      <c r="AK926" s="43"/>
      <c r="AL926" s="43"/>
      <c r="AM926" s="43"/>
      <c r="AN926" s="42"/>
      <c r="AO926" s="42"/>
      <c r="AP926" s="42"/>
      <c r="AQ926" s="42"/>
      <c r="AR926" s="42"/>
      <c r="AS926" s="42"/>
    </row>
    <row r="927" spans="1:45" ht="15" customHeight="1">
      <c r="A927" s="21" t="s">
        <v>260</v>
      </c>
      <c r="B927" s="21" t="s">
        <v>46</v>
      </c>
      <c r="C927" s="21" t="s">
        <v>188</v>
      </c>
      <c r="D927" s="21" t="s">
        <v>48</v>
      </c>
      <c r="E927" s="80" t="s">
        <v>919</v>
      </c>
      <c r="F927" s="21" t="s">
        <v>953</v>
      </c>
      <c r="G927" s="101" t="s">
        <v>77</v>
      </c>
      <c r="H927" s="102" t="s">
        <v>1147</v>
      </c>
      <c r="I927" s="102" t="s">
        <v>78</v>
      </c>
      <c r="J927" s="65" t="s">
        <v>1148</v>
      </c>
      <c r="K927" s="151"/>
      <c r="L927" s="48" t="s">
        <v>956</v>
      </c>
      <c r="M927" s="27">
        <v>45188</v>
      </c>
      <c r="N927" s="105" t="s">
        <v>182</v>
      </c>
      <c r="O927" s="106">
        <v>8595</v>
      </c>
      <c r="P927" s="106">
        <v>3</v>
      </c>
      <c r="Q927" s="51">
        <f t="shared" si="25"/>
        <v>25785</v>
      </c>
      <c r="R927" s="31">
        <v>202310</v>
      </c>
      <c r="S927" s="54" t="s">
        <v>1197</v>
      </c>
      <c r="T927" s="117"/>
      <c r="U927" s="117"/>
      <c r="V927" s="42"/>
      <c r="W927" s="42"/>
      <c r="X927" s="42"/>
      <c r="Y927" s="36">
        <v>44637</v>
      </c>
      <c r="Z927" s="36">
        <v>46828</v>
      </c>
      <c r="AA927" s="72"/>
      <c r="AB927" s="72"/>
      <c r="AC927" s="72"/>
      <c r="AD927" s="72"/>
      <c r="AE927" s="72"/>
      <c r="AF927" s="53" t="s">
        <v>68</v>
      </c>
      <c r="AG927" s="40"/>
      <c r="AH927" s="42"/>
      <c r="AI927" s="42"/>
      <c r="AJ927" s="43"/>
      <c r="AK927" s="43"/>
      <c r="AL927" s="43"/>
      <c r="AM927" s="43"/>
      <c r="AN927" s="42"/>
      <c r="AO927" s="42"/>
      <c r="AP927" s="42"/>
      <c r="AQ927" s="42"/>
      <c r="AR927" s="42"/>
      <c r="AS927" s="42"/>
    </row>
    <row r="928" spans="1:45" ht="15" customHeight="1">
      <c r="A928" s="21" t="s">
        <v>260</v>
      </c>
      <c r="B928" s="21" t="s">
        <v>46</v>
      </c>
      <c r="C928" s="21" t="s">
        <v>188</v>
      </c>
      <c r="D928" s="21" t="s">
        <v>48</v>
      </c>
      <c r="E928" s="80" t="s">
        <v>919</v>
      </c>
      <c r="F928" s="21" t="s">
        <v>953</v>
      </c>
      <c r="G928" s="101" t="s">
        <v>77</v>
      </c>
      <c r="H928" s="102" t="s">
        <v>1147</v>
      </c>
      <c r="I928" s="102" t="s">
        <v>78</v>
      </c>
      <c r="J928" s="65" t="s">
        <v>1148</v>
      </c>
      <c r="K928" s="151"/>
      <c r="L928" s="48" t="s">
        <v>956</v>
      </c>
      <c r="M928" s="27">
        <v>45212</v>
      </c>
      <c r="N928" s="105" t="s">
        <v>182</v>
      </c>
      <c r="O928" s="106">
        <v>8595</v>
      </c>
      <c r="P928" s="106">
        <v>10</v>
      </c>
      <c r="Q928" s="51">
        <f>ROUND(O928*P928*19/31,2)</f>
        <v>52679.03</v>
      </c>
      <c r="R928" s="31">
        <v>202310</v>
      </c>
      <c r="S928" s="54" t="s">
        <v>1198</v>
      </c>
      <c r="T928" s="117"/>
      <c r="U928" s="117"/>
      <c r="V928" s="42"/>
      <c r="W928" s="42"/>
      <c r="X928" s="42"/>
      <c r="Y928" s="36">
        <v>44637</v>
      </c>
      <c r="Z928" s="36">
        <v>46828</v>
      </c>
      <c r="AA928" s="72"/>
      <c r="AB928" s="72"/>
      <c r="AC928" s="72"/>
      <c r="AD928" s="72"/>
      <c r="AE928" s="72"/>
      <c r="AF928" s="53" t="s">
        <v>68</v>
      </c>
      <c r="AG928" s="40"/>
      <c r="AH928" s="42"/>
      <c r="AI928" s="42"/>
      <c r="AJ928" s="43"/>
      <c r="AK928" s="43"/>
      <c r="AL928" s="43"/>
      <c r="AM928" s="43"/>
      <c r="AN928" s="42"/>
      <c r="AO928" s="42"/>
      <c r="AP928" s="42"/>
      <c r="AQ928" s="42"/>
      <c r="AR928" s="42"/>
      <c r="AS928" s="42"/>
    </row>
    <row r="929" spans="1:45" ht="15" customHeight="1">
      <c r="A929" s="21" t="s">
        <v>260</v>
      </c>
      <c r="B929" s="21" t="s">
        <v>46</v>
      </c>
      <c r="C929" s="21" t="s">
        <v>188</v>
      </c>
      <c r="D929" s="21" t="s">
        <v>48</v>
      </c>
      <c r="E929" s="80" t="s">
        <v>919</v>
      </c>
      <c r="F929" s="21" t="s">
        <v>953</v>
      </c>
      <c r="G929" s="101" t="s">
        <v>77</v>
      </c>
      <c r="H929" s="102" t="s">
        <v>1147</v>
      </c>
      <c r="I929" s="102" t="s">
        <v>78</v>
      </c>
      <c r="J929" s="65" t="s">
        <v>1148</v>
      </c>
      <c r="K929" s="151"/>
      <c r="L929" s="48" t="s">
        <v>956</v>
      </c>
      <c r="M929" s="27">
        <v>45215</v>
      </c>
      <c r="N929" s="105" t="s">
        <v>182</v>
      </c>
      <c r="O929" s="106">
        <v>8595</v>
      </c>
      <c r="P929" s="106">
        <v>2</v>
      </c>
      <c r="Q929" s="51">
        <f>ROUND(O929*P929*16/31,2)</f>
        <v>8872.26</v>
      </c>
      <c r="R929" s="31">
        <v>202310</v>
      </c>
      <c r="S929" s="54" t="s">
        <v>1199</v>
      </c>
      <c r="T929" s="117"/>
      <c r="U929" s="117"/>
      <c r="V929" s="42"/>
      <c r="W929" s="42"/>
      <c r="X929" s="42"/>
      <c r="Y929" s="36">
        <v>44637</v>
      </c>
      <c r="Z929" s="36">
        <v>46828</v>
      </c>
      <c r="AA929" s="72"/>
      <c r="AB929" s="72"/>
      <c r="AC929" s="72"/>
      <c r="AD929" s="72"/>
      <c r="AE929" s="72"/>
      <c r="AF929" s="53" t="s">
        <v>68</v>
      </c>
      <c r="AG929" s="40"/>
      <c r="AH929" s="42"/>
      <c r="AI929" s="42"/>
      <c r="AJ929" s="43"/>
      <c r="AK929" s="43"/>
      <c r="AL929" s="43"/>
      <c r="AM929" s="43"/>
      <c r="AN929" s="42"/>
      <c r="AO929" s="42"/>
      <c r="AP929" s="42"/>
      <c r="AQ929" s="42"/>
      <c r="AR929" s="42"/>
      <c r="AS929" s="42"/>
    </row>
    <row r="930" spans="1:45" ht="15" customHeight="1">
      <c r="A930" s="21" t="s">
        <v>260</v>
      </c>
      <c r="B930" s="21" t="s">
        <v>46</v>
      </c>
      <c r="C930" s="21" t="s">
        <v>188</v>
      </c>
      <c r="D930" s="21" t="s">
        <v>48</v>
      </c>
      <c r="E930" s="80" t="s">
        <v>919</v>
      </c>
      <c r="F930" s="21" t="s">
        <v>953</v>
      </c>
      <c r="G930" s="101" t="s">
        <v>77</v>
      </c>
      <c r="H930" s="25" t="s">
        <v>1147</v>
      </c>
      <c r="I930" s="102" t="s">
        <v>366</v>
      </c>
      <c r="J930" s="65" t="s">
        <v>1148</v>
      </c>
      <c r="K930" s="104"/>
      <c r="L930" s="48" t="s">
        <v>956</v>
      </c>
      <c r="M930" s="27"/>
      <c r="N930" s="105"/>
      <c r="O930" s="106">
        <v>300</v>
      </c>
      <c r="P930" s="106">
        <v>250</v>
      </c>
      <c r="Q930" s="51">
        <f t="shared" si="24"/>
        <v>75000</v>
      </c>
      <c r="R930" s="31">
        <v>202310</v>
      </c>
      <c r="S930" s="107" t="s">
        <v>1200</v>
      </c>
      <c r="T930" s="33" t="s">
        <v>1201</v>
      </c>
      <c r="U930" s="32"/>
      <c r="V930" s="67"/>
      <c r="W930" s="67"/>
      <c r="X930" s="67"/>
      <c r="Y930" s="36">
        <v>44637</v>
      </c>
      <c r="Z930" s="36">
        <v>46828</v>
      </c>
      <c r="AA930" s="36"/>
      <c r="AB930" s="36"/>
      <c r="AC930" s="36"/>
      <c r="AD930" s="36"/>
      <c r="AE930" s="36"/>
      <c r="AF930" s="53" t="s">
        <v>68</v>
      </c>
      <c r="AG930" s="42"/>
      <c r="AH930" s="42"/>
      <c r="AI930" s="43"/>
      <c r="AJ930" s="43"/>
      <c r="AK930" s="43"/>
      <c r="AL930" s="43"/>
      <c r="AM930" s="43"/>
      <c r="AN930" s="42"/>
      <c r="AO930" s="42"/>
      <c r="AP930" s="42"/>
      <c r="AQ930" s="43"/>
      <c r="AR930" s="42"/>
      <c r="AS930" s="42"/>
    </row>
    <row r="931" spans="1:45" ht="15" customHeight="1">
      <c r="A931" s="21" t="s">
        <v>260</v>
      </c>
      <c r="B931" s="21" t="s">
        <v>46</v>
      </c>
      <c r="C931" s="21" t="s">
        <v>188</v>
      </c>
      <c r="D931" s="21" t="s">
        <v>48</v>
      </c>
      <c r="E931" s="80" t="s">
        <v>919</v>
      </c>
      <c r="F931" s="21" t="s">
        <v>1202</v>
      </c>
      <c r="G931" s="101" t="s">
        <v>165</v>
      </c>
      <c r="H931" s="25" t="s">
        <v>1203</v>
      </c>
      <c r="I931" s="24" t="s">
        <v>491</v>
      </c>
      <c r="J931" s="65" t="s">
        <v>1204</v>
      </c>
      <c r="K931" s="26" t="s">
        <v>1205</v>
      </c>
      <c r="L931" s="48"/>
      <c r="M931" s="27">
        <v>44470</v>
      </c>
      <c r="N931" s="65" t="s">
        <v>168</v>
      </c>
      <c r="O931" s="106">
        <v>0</v>
      </c>
      <c r="P931" s="106">
        <v>768</v>
      </c>
      <c r="Q931" s="51">
        <f t="shared" si="24"/>
        <v>0</v>
      </c>
      <c r="R931" s="31">
        <v>202310</v>
      </c>
      <c r="S931" s="54" t="s">
        <v>1206</v>
      </c>
      <c r="T931" s="33"/>
      <c r="U931" s="54"/>
      <c r="V931" s="54"/>
      <c r="W931" s="67"/>
      <c r="X931" s="67"/>
      <c r="Y931" s="36"/>
      <c r="Z931" s="36"/>
      <c r="AA931" s="36"/>
      <c r="AB931" s="36"/>
      <c r="AC931" s="36"/>
      <c r="AD931" s="36"/>
      <c r="AE931" s="36"/>
      <c r="AF931" s="40" t="s">
        <v>503</v>
      </c>
      <c r="AG931" s="42"/>
      <c r="AH931" s="42"/>
      <c r="AI931" s="43"/>
      <c r="AJ931" s="43"/>
      <c r="AK931" s="43"/>
      <c r="AL931" s="43"/>
      <c r="AM931" s="43"/>
      <c r="AN931" s="42"/>
      <c r="AO931" s="42"/>
      <c r="AP931" s="42"/>
      <c r="AQ931" s="43"/>
      <c r="AR931" s="42"/>
      <c r="AS931" s="25" t="s">
        <v>1207</v>
      </c>
    </row>
    <row r="932" spans="1:45" ht="15" customHeight="1">
      <c r="A932" s="21" t="s">
        <v>260</v>
      </c>
      <c r="B932" s="21" t="s">
        <v>46</v>
      </c>
      <c r="C932" s="21" t="s">
        <v>188</v>
      </c>
      <c r="D932" s="21" t="s">
        <v>48</v>
      </c>
      <c r="E932" s="80" t="s">
        <v>919</v>
      </c>
      <c r="F932" s="21" t="s">
        <v>1202</v>
      </c>
      <c r="G932" s="101" t="s">
        <v>165</v>
      </c>
      <c r="H932" s="25" t="s">
        <v>1203</v>
      </c>
      <c r="I932" s="24" t="s">
        <v>491</v>
      </c>
      <c r="J932" s="65" t="s">
        <v>1204</v>
      </c>
      <c r="K932" s="26" t="s">
        <v>1205</v>
      </c>
      <c r="L932" s="48"/>
      <c r="M932" s="27">
        <v>44912</v>
      </c>
      <c r="N932" s="65" t="s">
        <v>168</v>
      </c>
      <c r="O932" s="106">
        <v>30</v>
      </c>
      <c r="P932" s="106">
        <v>-256</v>
      </c>
      <c r="Q932" s="51">
        <f t="shared" si="24"/>
        <v>-7680</v>
      </c>
      <c r="R932" s="31">
        <v>202310</v>
      </c>
      <c r="S932" s="54" t="s">
        <v>1208</v>
      </c>
      <c r="T932" s="33"/>
      <c r="U932" s="54"/>
      <c r="V932" s="54"/>
      <c r="W932" s="67"/>
      <c r="X932" s="67"/>
      <c r="Y932" s="36"/>
      <c r="Z932" s="36"/>
      <c r="AA932" s="36"/>
      <c r="AB932" s="36"/>
      <c r="AC932" s="36"/>
      <c r="AD932" s="36"/>
      <c r="AE932" s="36"/>
      <c r="AF932" s="40" t="s">
        <v>503</v>
      </c>
      <c r="AG932" s="42"/>
      <c r="AH932" s="42"/>
      <c r="AI932" s="43"/>
      <c r="AJ932" s="43"/>
      <c r="AK932" s="43"/>
      <c r="AL932" s="43"/>
      <c r="AM932" s="43"/>
      <c r="AN932" s="42"/>
      <c r="AO932" s="42"/>
      <c r="AP932" s="42"/>
      <c r="AQ932" s="43"/>
      <c r="AR932" s="42"/>
      <c r="AS932" s="25" t="s">
        <v>1207</v>
      </c>
    </row>
    <row r="933" spans="1:45" ht="15" customHeight="1">
      <c r="A933" s="21" t="s">
        <v>260</v>
      </c>
      <c r="B933" s="21" t="s">
        <v>46</v>
      </c>
      <c r="C933" s="21" t="s">
        <v>188</v>
      </c>
      <c r="D933" s="21" t="s">
        <v>48</v>
      </c>
      <c r="E933" s="80" t="s">
        <v>919</v>
      </c>
      <c r="F933" s="21" t="s">
        <v>1202</v>
      </c>
      <c r="G933" s="101" t="s">
        <v>165</v>
      </c>
      <c r="H933" s="25" t="s">
        <v>1203</v>
      </c>
      <c r="I933" s="65" t="s">
        <v>167</v>
      </c>
      <c r="J933" s="65" t="s">
        <v>1204</v>
      </c>
      <c r="K933" s="104" t="s">
        <v>1209</v>
      </c>
      <c r="L933" s="48"/>
      <c r="M933" s="27">
        <v>44470</v>
      </c>
      <c r="N933" s="65" t="s">
        <v>168</v>
      </c>
      <c r="O933" s="106">
        <v>0</v>
      </c>
      <c r="P933" s="106">
        <f>1536-256*2</f>
        <v>1024</v>
      </c>
      <c r="Q933" s="51">
        <f t="shared" si="24"/>
        <v>0</v>
      </c>
      <c r="R933" s="31">
        <v>202310</v>
      </c>
      <c r="S933" s="54" t="s">
        <v>1210</v>
      </c>
      <c r="T933" s="33"/>
      <c r="U933" s="54"/>
      <c r="V933" s="54"/>
      <c r="W933" s="67"/>
      <c r="X933" s="67"/>
      <c r="Y933" s="36"/>
      <c r="Z933" s="36"/>
      <c r="AA933" s="36"/>
      <c r="AB933" s="36"/>
      <c r="AC933" s="36"/>
      <c r="AD933" s="36"/>
      <c r="AE933" s="36"/>
      <c r="AF933" s="40" t="s">
        <v>56</v>
      </c>
      <c r="AG933" s="42"/>
      <c r="AH933" s="42"/>
      <c r="AI933" s="43"/>
      <c r="AJ933" s="43"/>
      <c r="AK933" s="43"/>
      <c r="AL933" s="43"/>
      <c r="AM933" s="43"/>
      <c r="AN933" s="42"/>
      <c r="AO933" s="42"/>
      <c r="AP933" s="42"/>
      <c r="AQ933" s="43"/>
      <c r="AR933" s="42"/>
      <c r="AS933" s="25" t="s">
        <v>1207</v>
      </c>
    </row>
    <row r="934" spans="1:45" ht="15" customHeight="1">
      <c r="A934" s="21" t="s">
        <v>260</v>
      </c>
      <c r="B934" s="21" t="s">
        <v>46</v>
      </c>
      <c r="C934" s="21" t="s">
        <v>188</v>
      </c>
      <c r="D934" s="21" t="s">
        <v>48</v>
      </c>
      <c r="E934" s="80" t="s">
        <v>919</v>
      </c>
      <c r="F934" s="21" t="s">
        <v>1202</v>
      </c>
      <c r="G934" s="101" t="s">
        <v>165</v>
      </c>
      <c r="H934" s="25" t="s">
        <v>1203</v>
      </c>
      <c r="I934" s="65" t="s">
        <v>491</v>
      </c>
      <c r="J934" s="65" t="s">
        <v>1211</v>
      </c>
      <c r="K934" s="104" t="s">
        <v>1212</v>
      </c>
      <c r="L934" s="48"/>
      <c r="M934" s="27">
        <v>44470</v>
      </c>
      <c r="N934" s="65" t="s">
        <v>168</v>
      </c>
      <c r="O934" s="106">
        <v>0</v>
      </c>
      <c r="P934" s="106">
        <f>256*2</f>
        <v>512</v>
      </c>
      <c r="Q934" s="51">
        <f t="shared" si="24"/>
        <v>0</v>
      </c>
      <c r="R934" s="31">
        <v>202310</v>
      </c>
      <c r="S934" s="54" t="s">
        <v>1213</v>
      </c>
      <c r="T934" s="33"/>
      <c r="U934" s="54"/>
      <c r="V934" s="54"/>
      <c r="W934" s="67"/>
      <c r="X934" s="67"/>
      <c r="Y934" s="36"/>
      <c r="Z934" s="36"/>
      <c r="AA934" s="36"/>
      <c r="AB934" s="36"/>
      <c r="AC934" s="36"/>
      <c r="AD934" s="36"/>
      <c r="AE934" s="36"/>
      <c r="AF934" s="40" t="s">
        <v>503</v>
      </c>
      <c r="AG934" s="42"/>
      <c r="AH934" s="42"/>
      <c r="AI934" s="43"/>
      <c r="AJ934" s="43"/>
      <c r="AK934" s="43"/>
      <c r="AL934" s="43"/>
      <c r="AM934" s="43"/>
      <c r="AN934" s="42"/>
      <c r="AO934" s="42"/>
      <c r="AP934" s="42"/>
      <c r="AQ934" s="43"/>
      <c r="AR934" s="42"/>
      <c r="AS934" s="25" t="s">
        <v>1207</v>
      </c>
    </row>
    <row r="935" spans="1:45" ht="15" customHeight="1">
      <c r="A935" s="21" t="s">
        <v>260</v>
      </c>
      <c r="B935" s="21" t="s">
        <v>46</v>
      </c>
      <c r="C935" s="21" t="s">
        <v>188</v>
      </c>
      <c r="D935" s="21" t="s">
        <v>48</v>
      </c>
      <c r="E935" s="80" t="s">
        <v>919</v>
      </c>
      <c r="F935" s="21" t="s">
        <v>1202</v>
      </c>
      <c r="G935" s="101" t="s">
        <v>165</v>
      </c>
      <c r="H935" s="25" t="s">
        <v>1203</v>
      </c>
      <c r="I935" s="65" t="s">
        <v>167</v>
      </c>
      <c r="J935" s="65" t="s">
        <v>1204</v>
      </c>
      <c r="K935" s="104" t="s">
        <v>1209</v>
      </c>
      <c r="L935" s="48"/>
      <c r="M935" s="27">
        <v>44470</v>
      </c>
      <c r="N935" s="65" t="s">
        <v>168</v>
      </c>
      <c r="O935" s="106">
        <v>30</v>
      </c>
      <c r="P935" s="106">
        <v>768</v>
      </c>
      <c r="Q935" s="51">
        <f t="shared" si="24"/>
        <v>23040</v>
      </c>
      <c r="R935" s="31">
        <v>202310</v>
      </c>
      <c r="S935" s="54" t="s">
        <v>1214</v>
      </c>
      <c r="T935" s="33"/>
      <c r="U935" s="54"/>
      <c r="V935" s="54"/>
      <c r="W935" s="67"/>
      <c r="X935" s="67"/>
      <c r="Y935" s="36"/>
      <c r="Z935" s="36"/>
      <c r="AA935" s="36"/>
      <c r="AB935" s="36"/>
      <c r="AC935" s="36"/>
      <c r="AD935" s="36"/>
      <c r="AE935" s="36"/>
      <c r="AF935" s="40" t="s">
        <v>56</v>
      </c>
      <c r="AG935" s="42"/>
      <c r="AH935" s="42"/>
      <c r="AI935" s="43"/>
      <c r="AJ935" s="43"/>
      <c r="AK935" s="43"/>
      <c r="AL935" s="43"/>
      <c r="AM935" s="43"/>
      <c r="AN935" s="42"/>
      <c r="AO935" s="42"/>
      <c r="AP935" s="42"/>
      <c r="AQ935" s="43"/>
      <c r="AR935" s="42"/>
      <c r="AS935" s="25" t="s">
        <v>1207</v>
      </c>
    </row>
    <row r="936" spans="1:45" ht="15" customHeight="1">
      <c r="A936" s="21" t="s">
        <v>260</v>
      </c>
      <c r="B936" s="21" t="s">
        <v>46</v>
      </c>
      <c r="C936" s="21" t="s">
        <v>188</v>
      </c>
      <c r="D936" s="21" t="s">
        <v>48</v>
      </c>
      <c r="E936" s="80" t="s">
        <v>919</v>
      </c>
      <c r="F936" s="21" t="s">
        <v>1202</v>
      </c>
      <c r="G936" s="101" t="s">
        <v>165</v>
      </c>
      <c r="H936" s="25" t="s">
        <v>1203</v>
      </c>
      <c r="I936" s="65" t="s">
        <v>167</v>
      </c>
      <c r="J936" s="65" t="s">
        <v>1204</v>
      </c>
      <c r="K936" s="104" t="s">
        <v>1209</v>
      </c>
      <c r="L936" s="48"/>
      <c r="M936" s="49">
        <v>44748</v>
      </c>
      <c r="N936" s="65" t="s">
        <v>168</v>
      </c>
      <c r="O936" s="106">
        <v>30</v>
      </c>
      <c r="P936" s="61">
        <v>512</v>
      </c>
      <c r="Q936" s="51">
        <f t="shared" si="24"/>
        <v>15360</v>
      </c>
      <c r="R936" s="31">
        <v>202310</v>
      </c>
      <c r="S936" s="108" t="s">
        <v>1215</v>
      </c>
      <c r="T936" s="33"/>
      <c r="U936" s="54"/>
      <c r="V936" s="54"/>
      <c r="W936" s="67"/>
      <c r="X936" s="67"/>
      <c r="Y936" s="36"/>
      <c r="Z936" s="36"/>
      <c r="AA936" s="36"/>
      <c r="AB936" s="36"/>
      <c r="AC936" s="36"/>
      <c r="AD936" s="36"/>
      <c r="AE936" s="36"/>
      <c r="AF936" s="40" t="s">
        <v>56</v>
      </c>
      <c r="AG936" s="42"/>
      <c r="AH936" s="42"/>
      <c r="AI936" s="43"/>
      <c r="AJ936" s="43"/>
      <c r="AK936" s="43"/>
      <c r="AL936" s="43"/>
      <c r="AM936" s="43"/>
      <c r="AN936" s="42"/>
      <c r="AO936" s="42"/>
      <c r="AP936" s="42"/>
      <c r="AQ936" s="43"/>
      <c r="AR936" s="42"/>
      <c r="AS936" s="25" t="s">
        <v>1207</v>
      </c>
    </row>
    <row r="937" spans="1:45" ht="15" customHeight="1">
      <c r="A937" s="21" t="s">
        <v>260</v>
      </c>
      <c r="B937" s="21" t="s">
        <v>46</v>
      </c>
      <c r="C937" s="21" t="s">
        <v>188</v>
      </c>
      <c r="D937" s="21" t="s">
        <v>48</v>
      </c>
      <c r="E937" s="80" t="s">
        <v>919</v>
      </c>
      <c r="F937" s="21" t="s">
        <v>1202</v>
      </c>
      <c r="G937" s="101" t="s">
        <v>165</v>
      </c>
      <c r="H937" s="25" t="s">
        <v>1203</v>
      </c>
      <c r="I937" s="24" t="s">
        <v>491</v>
      </c>
      <c r="J937" s="65" t="s">
        <v>1204</v>
      </c>
      <c r="K937" s="26" t="s">
        <v>1205</v>
      </c>
      <c r="L937" s="48"/>
      <c r="M937" s="27">
        <v>44555</v>
      </c>
      <c r="N937" s="65" t="s">
        <v>168</v>
      </c>
      <c r="O937" s="106">
        <v>30</v>
      </c>
      <c r="P937" s="106">
        <v>256</v>
      </c>
      <c r="Q937" s="51">
        <f t="shared" si="24"/>
        <v>7680</v>
      </c>
      <c r="R937" s="31">
        <v>202310</v>
      </c>
      <c r="S937" s="54" t="s">
        <v>1216</v>
      </c>
      <c r="T937" s="33"/>
      <c r="U937" s="54"/>
      <c r="V937" s="54"/>
      <c r="W937" s="67"/>
      <c r="X937" s="67"/>
      <c r="Y937" s="36"/>
      <c r="Z937" s="36"/>
      <c r="AA937" s="36"/>
      <c r="AB937" s="36"/>
      <c r="AC937" s="36"/>
      <c r="AD937" s="36"/>
      <c r="AE937" s="36"/>
      <c r="AF937" s="40" t="s">
        <v>484</v>
      </c>
      <c r="AG937" s="42"/>
      <c r="AH937" s="42"/>
      <c r="AI937" s="43"/>
      <c r="AJ937" s="43"/>
      <c r="AK937" s="43"/>
      <c r="AL937" s="43"/>
      <c r="AM937" s="43"/>
      <c r="AN937" s="42"/>
      <c r="AO937" s="42"/>
      <c r="AP937" s="42"/>
      <c r="AQ937" s="43"/>
      <c r="AR937" s="42"/>
      <c r="AS937" s="25" t="s">
        <v>1207</v>
      </c>
    </row>
    <row r="938" spans="1:45" ht="15" customHeight="1">
      <c r="A938" s="21" t="s">
        <v>260</v>
      </c>
      <c r="B938" s="21" t="s">
        <v>46</v>
      </c>
      <c r="C938" s="21" t="s">
        <v>188</v>
      </c>
      <c r="D938" s="21" t="s">
        <v>48</v>
      </c>
      <c r="E938" s="80" t="s">
        <v>919</v>
      </c>
      <c r="F938" s="21" t="s">
        <v>1202</v>
      </c>
      <c r="G938" s="101" t="s">
        <v>165</v>
      </c>
      <c r="H938" s="25" t="s">
        <v>1203</v>
      </c>
      <c r="I938" s="24" t="s">
        <v>491</v>
      </c>
      <c r="J938" s="65" t="s">
        <v>1204</v>
      </c>
      <c r="K938" s="26" t="s">
        <v>1205</v>
      </c>
      <c r="L938" s="48"/>
      <c r="M938" s="27">
        <v>44925</v>
      </c>
      <c r="N938" s="65" t="s">
        <v>168</v>
      </c>
      <c r="O938" s="106">
        <v>30</v>
      </c>
      <c r="P938" s="106">
        <v>-256</v>
      </c>
      <c r="Q938" s="51">
        <f t="shared" si="24"/>
        <v>-7680</v>
      </c>
      <c r="R938" s="31">
        <v>202310</v>
      </c>
      <c r="S938" s="54" t="s">
        <v>1217</v>
      </c>
      <c r="T938" s="33"/>
      <c r="U938" s="54"/>
      <c r="V938" s="54"/>
      <c r="W938" s="67"/>
      <c r="X938" s="67"/>
      <c r="Y938" s="36"/>
      <c r="Z938" s="36"/>
      <c r="AA938" s="36"/>
      <c r="AB938" s="36"/>
      <c r="AC938" s="36"/>
      <c r="AD938" s="36"/>
      <c r="AE938" s="36"/>
      <c r="AF938" s="40" t="s">
        <v>484</v>
      </c>
      <c r="AG938" s="42"/>
      <c r="AH938" s="42"/>
      <c r="AI938" s="43"/>
      <c r="AJ938" s="43"/>
      <c r="AK938" s="43"/>
      <c r="AL938" s="43"/>
      <c r="AM938" s="43"/>
      <c r="AN938" s="42"/>
      <c r="AO938" s="42"/>
      <c r="AP938" s="42"/>
      <c r="AQ938" s="43"/>
      <c r="AR938" s="42"/>
      <c r="AS938" s="25" t="s">
        <v>1207</v>
      </c>
    </row>
    <row r="939" spans="1:45" ht="15" customHeight="1">
      <c r="A939" s="21" t="s">
        <v>260</v>
      </c>
      <c r="B939" s="21" t="s">
        <v>46</v>
      </c>
      <c r="C939" s="21" t="s">
        <v>188</v>
      </c>
      <c r="D939" s="21" t="s">
        <v>48</v>
      </c>
      <c r="E939" s="80" t="s">
        <v>919</v>
      </c>
      <c r="F939" s="21" t="s">
        <v>1202</v>
      </c>
      <c r="G939" s="101" t="s">
        <v>77</v>
      </c>
      <c r="H939" s="25" t="s">
        <v>1203</v>
      </c>
      <c r="I939" s="65" t="s">
        <v>479</v>
      </c>
      <c r="J939" s="65" t="s">
        <v>1204</v>
      </c>
      <c r="K939" s="26" t="s">
        <v>1205</v>
      </c>
      <c r="L939" s="48" t="s">
        <v>1218</v>
      </c>
      <c r="M939" s="27">
        <v>44470</v>
      </c>
      <c r="N939" s="105" t="s">
        <v>291</v>
      </c>
      <c r="O939" s="106">
        <v>5900</v>
      </c>
      <c r="P939" s="106">
        <v>19</v>
      </c>
      <c r="Q939" s="51">
        <f t="shared" si="24"/>
        <v>112100</v>
      </c>
      <c r="R939" s="31">
        <v>202310</v>
      </c>
      <c r="S939" s="54" t="s">
        <v>1219</v>
      </c>
      <c r="T939" s="33"/>
      <c r="U939" s="54"/>
      <c r="V939" s="54"/>
      <c r="W939" s="67"/>
      <c r="X939" s="67"/>
      <c r="Y939" s="36"/>
      <c r="Z939" s="36"/>
      <c r="AA939" s="36"/>
      <c r="AB939" s="36"/>
      <c r="AC939" s="36"/>
      <c r="AD939" s="36"/>
      <c r="AE939" s="36"/>
      <c r="AF939" s="40" t="s">
        <v>503</v>
      </c>
      <c r="AG939" s="42"/>
      <c r="AH939" s="42"/>
      <c r="AI939" s="43"/>
      <c r="AJ939" s="43"/>
      <c r="AK939" s="43"/>
      <c r="AL939" s="43"/>
      <c r="AM939" s="43"/>
      <c r="AN939" s="42"/>
      <c r="AO939" s="42"/>
      <c r="AP939" s="42"/>
      <c r="AQ939" s="43"/>
      <c r="AR939" s="42"/>
      <c r="AS939" s="25" t="s">
        <v>1207</v>
      </c>
    </row>
    <row r="940" spans="1:45" ht="15" customHeight="1">
      <c r="A940" s="21" t="s">
        <v>260</v>
      </c>
      <c r="B940" s="21" t="s">
        <v>46</v>
      </c>
      <c r="C940" s="21" t="s">
        <v>188</v>
      </c>
      <c r="D940" s="21" t="s">
        <v>48</v>
      </c>
      <c r="E940" s="80" t="s">
        <v>919</v>
      </c>
      <c r="F940" s="21" t="s">
        <v>1202</v>
      </c>
      <c r="G940" s="101" t="s">
        <v>77</v>
      </c>
      <c r="H940" s="25" t="s">
        <v>1203</v>
      </c>
      <c r="I940" s="65" t="s">
        <v>479</v>
      </c>
      <c r="J940" s="65" t="s">
        <v>1211</v>
      </c>
      <c r="K940" s="26" t="s">
        <v>1220</v>
      </c>
      <c r="L940" s="48" t="s">
        <v>1218</v>
      </c>
      <c r="M940" s="27">
        <v>44523</v>
      </c>
      <c r="N940" s="105" t="s">
        <v>291</v>
      </c>
      <c r="O940" s="106">
        <v>5900</v>
      </c>
      <c r="P940" s="106">
        <v>8</v>
      </c>
      <c r="Q940" s="51">
        <f t="shared" si="24"/>
        <v>47200</v>
      </c>
      <c r="R940" s="31">
        <v>202310</v>
      </c>
      <c r="S940" s="54" t="s">
        <v>1221</v>
      </c>
      <c r="T940" s="33"/>
      <c r="U940" s="54"/>
      <c r="V940" s="54"/>
      <c r="W940" s="67"/>
      <c r="X940" s="67"/>
      <c r="Y940" s="36"/>
      <c r="Z940" s="36"/>
      <c r="AA940" s="36"/>
      <c r="AB940" s="36"/>
      <c r="AC940" s="36"/>
      <c r="AD940" s="36"/>
      <c r="AE940" s="36"/>
      <c r="AF940" s="40" t="s">
        <v>503</v>
      </c>
      <c r="AG940" s="42"/>
      <c r="AH940" s="42"/>
      <c r="AI940" s="43"/>
      <c r="AJ940" s="43"/>
      <c r="AK940" s="43"/>
      <c r="AL940" s="43"/>
      <c r="AM940" s="43"/>
      <c r="AN940" s="42"/>
      <c r="AO940" s="42"/>
      <c r="AP940" s="42"/>
      <c r="AQ940" s="43"/>
      <c r="AR940" s="42"/>
      <c r="AS940" s="25" t="s">
        <v>1207</v>
      </c>
    </row>
    <row r="941" spans="1:45" ht="15" customHeight="1">
      <c r="A941" s="21" t="s">
        <v>260</v>
      </c>
      <c r="B941" s="21" t="s">
        <v>46</v>
      </c>
      <c r="C941" s="21" t="s">
        <v>188</v>
      </c>
      <c r="D941" s="21" t="s">
        <v>48</v>
      </c>
      <c r="E941" s="80" t="s">
        <v>919</v>
      </c>
      <c r="F941" s="21" t="s">
        <v>920</v>
      </c>
      <c r="G941" s="101" t="s">
        <v>77</v>
      </c>
      <c r="H941" s="25" t="s">
        <v>1222</v>
      </c>
      <c r="I941" s="102" t="s">
        <v>78</v>
      </c>
      <c r="J941" s="65" t="s">
        <v>922</v>
      </c>
      <c r="K941" s="104"/>
      <c r="L941" s="48" t="s">
        <v>923</v>
      </c>
      <c r="M941" s="27">
        <v>44392</v>
      </c>
      <c r="N941" s="47" t="s">
        <v>1223</v>
      </c>
      <c r="O941" s="61">
        <v>11200</v>
      </c>
      <c r="P941" s="61">
        <v>2</v>
      </c>
      <c r="Q941" s="51">
        <f t="shared" si="24"/>
        <v>22400</v>
      </c>
      <c r="R941" s="31">
        <v>202310</v>
      </c>
      <c r="S941" s="54" t="s">
        <v>1224</v>
      </c>
      <c r="T941" s="33"/>
      <c r="U941" s="54"/>
      <c r="V941" s="54"/>
      <c r="W941" s="67"/>
      <c r="X941" s="67"/>
      <c r="Y941" s="36"/>
      <c r="Z941" s="36"/>
      <c r="AA941" s="36"/>
      <c r="AB941" s="36"/>
      <c r="AC941" s="36"/>
      <c r="AD941" s="36"/>
      <c r="AE941" s="36"/>
      <c r="AF941" s="53" t="s">
        <v>68</v>
      </c>
      <c r="AG941" s="42"/>
      <c r="AH941" s="42"/>
      <c r="AI941" s="43"/>
      <c r="AJ941" s="43"/>
      <c r="AK941" s="43"/>
      <c r="AL941" s="43"/>
      <c r="AM941" s="43"/>
      <c r="AN941" s="42"/>
      <c r="AO941" s="42"/>
      <c r="AP941" s="42"/>
      <c r="AQ941" s="43"/>
      <c r="AR941" s="42"/>
      <c r="AS941" s="42"/>
    </row>
    <row r="942" spans="1:45" ht="15" customHeight="1">
      <c r="A942" s="21" t="s">
        <v>260</v>
      </c>
      <c r="B942" s="21" t="s">
        <v>46</v>
      </c>
      <c r="C942" s="21" t="s">
        <v>188</v>
      </c>
      <c r="D942" s="21" t="s">
        <v>48</v>
      </c>
      <c r="E942" s="80" t="s">
        <v>919</v>
      </c>
      <c r="F942" s="21" t="s">
        <v>953</v>
      </c>
      <c r="G942" s="101" t="s">
        <v>165</v>
      </c>
      <c r="H942" s="25" t="s">
        <v>1225</v>
      </c>
      <c r="I942" s="65" t="s">
        <v>167</v>
      </c>
      <c r="J942" s="65" t="s">
        <v>1226</v>
      </c>
      <c r="K942" s="104" t="s">
        <v>1227</v>
      </c>
      <c r="L942" s="48"/>
      <c r="M942" s="27">
        <v>44099</v>
      </c>
      <c r="N942" s="105" t="s">
        <v>168</v>
      </c>
      <c r="O942" s="106">
        <v>0</v>
      </c>
      <c r="P942" s="106">
        <v>4640</v>
      </c>
      <c r="Q942" s="51">
        <f t="shared" si="24"/>
        <v>0</v>
      </c>
      <c r="R942" s="31">
        <v>202310</v>
      </c>
      <c r="S942" s="54" t="s">
        <v>1228</v>
      </c>
      <c r="T942" s="33"/>
      <c r="U942" s="54"/>
      <c r="V942" s="54"/>
      <c r="W942" s="67"/>
      <c r="X942" s="67"/>
      <c r="Y942" s="36">
        <v>44829</v>
      </c>
      <c r="Z942" s="36">
        <v>45559</v>
      </c>
      <c r="AA942" s="36"/>
      <c r="AB942" s="36"/>
      <c r="AC942" s="36"/>
      <c r="AD942" s="36"/>
      <c r="AE942" s="36"/>
      <c r="AF942" s="53" t="s">
        <v>68</v>
      </c>
      <c r="AG942" s="42"/>
      <c r="AH942" s="42"/>
      <c r="AI942" s="43"/>
      <c r="AJ942" s="43"/>
      <c r="AK942" s="43"/>
      <c r="AL942" s="43"/>
      <c r="AM942" s="43"/>
      <c r="AN942" s="42"/>
      <c r="AO942" s="42"/>
      <c r="AP942" s="42"/>
      <c r="AQ942" s="43"/>
      <c r="AR942" s="42"/>
      <c r="AS942" s="42"/>
    </row>
    <row r="943" spans="1:45" ht="15" customHeight="1">
      <c r="A943" s="21" t="s">
        <v>260</v>
      </c>
      <c r="B943" s="21" t="s">
        <v>46</v>
      </c>
      <c r="C943" s="21" t="s">
        <v>188</v>
      </c>
      <c r="D943" s="21" t="s">
        <v>48</v>
      </c>
      <c r="E943" s="80" t="s">
        <v>919</v>
      </c>
      <c r="F943" s="21" t="s">
        <v>953</v>
      </c>
      <c r="G943" s="101" t="s">
        <v>165</v>
      </c>
      <c r="H943" s="25" t="s">
        <v>1225</v>
      </c>
      <c r="I943" s="65" t="s">
        <v>167</v>
      </c>
      <c r="J943" s="65" t="s">
        <v>1226</v>
      </c>
      <c r="K943" s="104" t="s">
        <v>1227</v>
      </c>
      <c r="L943" s="48"/>
      <c r="M943" s="27">
        <v>44099</v>
      </c>
      <c r="N943" s="105" t="s">
        <v>168</v>
      </c>
      <c r="O943" s="106">
        <v>10</v>
      </c>
      <c r="P943" s="106">
        <v>3552</v>
      </c>
      <c r="Q943" s="51">
        <f t="shared" si="24"/>
        <v>35520</v>
      </c>
      <c r="R943" s="31">
        <v>202310</v>
      </c>
      <c r="S943" s="54" t="s">
        <v>1228</v>
      </c>
      <c r="T943" s="33"/>
      <c r="U943" s="54"/>
      <c r="V943" s="54"/>
      <c r="W943" s="67"/>
      <c r="X943" s="67"/>
      <c r="Y943" s="36">
        <v>44829</v>
      </c>
      <c r="Z943" s="36">
        <v>45559</v>
      </c>
      <c r="AA943" s="36"/>
      <c r="AB943" s="36"/>
      <c r="AC943" s="36"/>
      <c r="AD943" s="36"/>
      <c r="AE943" s="36"/>
      <c r="AF943" s="53" t="s">
        <v>68</v>
      </c>
      <c r="AG943" s="42"/>
      <c r="AH943" s="42"/>
      <c r="AI943" s="43"/>
      <c r="AJ943" s="43"/>
      <c r="AK943" s="43"/>
      <c r="AL943" s="43"/>
      <c r="AM943" s="43"/>
      <c r="AN943" s="42"/>
      <c r="AO943" s="42"/>
      <c r="AP943" s="42"/>
      <c r="AQ943" s="43"/>
      <c r="AR943" s="42"/>
      <c r="AS943" s="42"/>
    </row>
    <row r="944" spans="1:45" ht="15" customHeight="1">
      <c r="A944" s="21" t="s">
        <v>260</v>
      </c>
      <c r="B944" s="21" t="s">
        <v>46</v>
      </c>
      <c r="C944" s="21" t="s">
        <v>188</v>
      </c>
      <c r="D944" s="21" t="s">
        <v>48</v>
      </c>
      <c r="E944" s="80" t="s">
        <v>919</v>
      </c>
      <c r="F944" s="21" t="s">
        <v>953</v>
      </c>
      <c r="G944" s="101" t="s">
        <v>165</v>
      </c>
      <c r="H944" s="25" t="s">
        <v>1225</v>
      </c>
      <c r="I944" s="65" t="s">
        <v>167</v>
      </c>
      <c r="J944" s="103" t="s">
        <v>1229</v>
      </c>
      <c r="K944" s="104" t="s">
        <v>1230</v>
      </c>
      <c r="L944" s="48"/>
      <c r="M944" s="27" t="s">
        <v>1231</v>
      </c>
      <c r="N944" s="105" t="s">
        <v>168</v>
      </c>
      <c r="O944" s="106">
        <v>0</v>
      </c>
      <c r="P944" s="106">
        <v>1280</v>
      </c>
      <c r="Q944" s="51">
        <f t="shared" si="24"/>
        <v>0</v>
      </c>
      <c r="R944" s="31">
        <v>202310</v>
      </c>
      <c r="S944" s="54" t="s">
        <v>1232</v>
      </c>
      <c r="T944" s="33"/>
      <c r="U944" s="54"/>
      <c r="V944" s="54"/>
      <c r="W944" s="67"/>
      <c r="X944" s="67"/>
      <c r="Y944" s="36">
        <v>44829</v>
      </c>
      <c r="Z944" s="36">
        <v>45559</v>
      </c>
      <c r="AA944" s="36"/>
      <c r="AB944" s="36"/>
      <c r="AC944" s="36"/>
      <c r="AD944" s="36"/>
      <c r="AE944" s="36"/>
      <c r="AF944" s="53" t="s">
        <v>68</v>
      </c>
      <c r="AG944" s="42"/>
      <c r="AH944" s="42"/>
      <c r="AI944" s="43"/>
      <c r="AJ944" s="43"/>
      <c r="AK944" s="43"/>
      <c r="AL944" s="43"/>
      <c r="AM944" s="43"/>
      <c r="AN944" s="42"/>
      <c r="AO944" s="42"/>
      <c r="AP944" s="42"/>
      <c r="AQ944" s="43"/>
      <c r="AR944" s="42"/>
      <c r="AS944" s="42"/>
    </row>
    <row r="945" spans="1:45" ht="15" customHeight="1">
      <c r="A945" s="21" t="s">
        <v>260</v>
      </c>
      <c r="B945" s="21" t="s">
        <v>46</v>
      </c>
      <c r="C945" s="21" t="s">
        <v>188</v>
      </c>
      <c r="D945" s="21" t="s">
        <v>48</v>
      </c>
      <c r="E945" s="80" t="s">
        <v>919</v>
      </c>
      <c r="F945" s="21" t="s">
        <v>953</v>
      </c>
      <c r="G945" s="101" t="s">
        <v>165</v>
      </c>
      <c r="H945" s="25" t="s">
        <v>1225</v>
      </c>
      <c r="I945" s="65" t="s">
        <v>167</v>
      </c>
      <c r="J945" s="103" t="s">
        <v>1229</v>
      </c>
      <c r="K945" s="104" t="s">
        <v>1230</v>
      </c>
      <c r="L945" s="48"/>
      <c r="M945" s="27">
        <v>45199</v>
      </c>
      <c r="N945" s="105" t="s">
        <v>168</v>
      </c>
      <c r="O945" s="106">
        <v>0</v>
      </c>
      <c r="P945" s="106">
        <v>-1280</v>
      </c>
      <c r="Q945" s="51">
        <f t="shared" si="24"/>
        <v>0</v>
      </c>
      <c r="R945" s="31">
        <v>202310</v>
      </c>
      <c r="S945" s="54" t="s">
        <v>1233</v>
      </c>
      <c r="T945" s="33"/>
      <c r="U945" s="54"/>
      <c r="V945" s="54"/>
      <c r="W945" s="67"/>
      <c r="X945" s="67"/>
      <c r="Y945" s="36">
        <v>44829</v>
      </c>
      <c r="Z945" s="36">
        <v>45559</v>
      </c>
      <c r="AA945" s="36"/>
      <c r="AB945" s="36"/>
      <c r="AC945" s="36"/>
      <c r="AD945" s="36"/>
      <c r="AE945" s="36"/>
      <c r="AF945" s="53" t="s">
        <v>68</v>
      </c>
      <c r="AG945" s="42"/>
      <c r="AH945" s="42"/>
      <c r="AI945" s="43"/>
      <c r="AJ945" s="43"/>
      <c r="AK945" s="43"/>
      <c r="AL945" s="43"/>
      <c r="AM945" s="43"/>
      <c r="AN945" s="42"/>
      <c r="AO945" s="42"/>
      <c r="AP945" s="42"/>
      <c r="AQ945" s="43"/>
      <c r="AR945" s="42"/>
      <c r="AS945" s="42"/>
    </row>
    <row r="946" spans="1:45" ht="15" customHeight="1">
      <c r="A946" s="21" t="s">
        <v>260</v>
      </c>
      <c r="B946" s="21" t="s">
        <v>46</v>
      </c>
      <c r="C946" s="21" t="s">
        <v>188</v>
      </c>
      <c r="D946" s="21" t="s">
        <v>48</v>
      </c>
      <c r="E946" s="80" t="s">
        <v>919</v>
      </c>
      <c r="F946" s="21" t="s">
        <v>953</v>
      </c>
      <c r="G946" s="101" t="s">
        <v>165</v>
      </c>
      <c r="H946" s="25" t="s">
        <v>1225</v>
      </c>
      <c r="I946" s="65" t="s">
        <v>167</v>
      </c>
      <c r="J946" s="103" t="s">
        <v>1234</v>
      </c>
      <c r="K946" s="104" t="s">
        <v>1235</v>
      </c>
      <c r="L946" s="48"/>
      <c r="M946" s="27">
        <v>45199</v>
      </c>
      <c r="N946" s="105" t="s">
        <v>168</v>
      </c>
      <c r="O946" s="106">
        <v>0</v>
      </c>
      <c r="P946" s="106">
        <v>768</v>
      </c>
      <c r="Q946" s="51">
        <f t="shared" si="24"/>
        <v>0</v>
      </c>
      <c r="R946" s="31">
        <v>202310</v>
      </c>
      <c r="S946" s="54" t="s">
        <v>1236</v>
      </c>
      <c r="T946" s="33"/>
      <c r="U946" s="54"/>
      <c r="V946" s="54"/>
      <c r="W946" s="67"/>
      <c r="X946" s="67"/>
      <c r="Y946" s="36">
        <v>44829</v>
      </c>
      <c r="Z946" s="36">
        <v>45559</v>
      </c>
      <c r="AA946" s="36"/>
      <c r="AB946" s="36"/>
      <c r="AC946" s="36"/>
      <c r="AD946" s="36"/>
      <c r="AE946" s="36"/>
      <c r="AF946" s="53" t="s">
        <v>68</v>
      </c>
      <c r="AG946" s="42"/>
      <c r="AH946" s="42"/>
      <c r="AI946" s="43"/>
      <c r="AJ946" s="43"/>
      <c r="AK946" s="43"/>
      <c r="AL946" s="43"/>
      <c r="AM946" s="43"/>
      <c r="AN946" s="42"/>
      <c r="AO946" s="42"/>
      <c r="AP946" s="42"/>
      <c r="AQ946" s="43"/>
      <c r="AR946" s="42"/>
      <c r="AS946" s="42"/>
    </row>
    <row r="947" spans="1:45" ht="15" customHeight="1">
      <c r="A947" s="21" t="s">
        <v>260</v>
      </c>
      <c r="B947" s="21" t="s">
        <v>46</v>
      </c>
      <c r="C947" s="21" t="s">
        <v>188</v>
      </c>
      <c r="D947" s="21" t="s">
        <v>48</v>
      </c>
      <c r="E947" s="80" t="s">
        <v>919</v>
      </c>
      <c r="F947" s="21" t="s">
        <v>953</v>
      </c>
      <c r="G947" s="101" t="s">
        <v>165</v>
      </c>
      <c r="H947" s="25" t="s">
        <v>1225</v>
      </c>
      <c r="I947" s="101" t="s">
        <v>616</v>
      </c>
      <c r="J947" s="101" t="s">
        <v>338</v>
      </c>
      <c r="K947" s="115"/>
      <c r="L947" s="48" t="s">
        <v>364</v>
      </c>
      <c r="M947" s="155">
        <v>43874</v>
      </c>
      <c r="N947" s="155" t="s">
        <v>1237</v>
      </c>
      <c r="O947" s="61">
        <v>12.5</v>
      </c>
      <c r="P947" s="61">
        <v>512</v>
      </c>
      <c r="Q947" s="51">
        <f t="shared" si="24"/>
        <v>6400</v>
      </c>
      <c r="R947" s="31">
        <v>202310</v>
      </c>
      <c r="S947" s="117" t="s">
        <v>1238</v>
      </c>
      <c r="T947" s="33"/>
      <c r="U947" s="117"/>
      <c r="V947" s="118"/>
      <c r="W947" s="67"/>
      <c r="X947" s="67"/>
      <c r="Y947" s="36">
        <v>44829</v>
      </c>
      <c r="Z947" s="36">
        <v>45559</v>
      </c>
      <c r="AA947" s="36"/>
      <c r="AB947" s="36"/>
      <c r="AC947" s="36"/>
      <c r="AD947" s="36"/>
      <c r="AE947" s="36"/>
      <c r="AF947" s="53" t="s">
        <v>68</v>
      </c>
      <c r="AG947" s="42"/>
      <c r="AH947" s="42"/>
      <c r="AI947" s="43"/>
      <c r="AJ947" s="43"/>
      <c r="AK947" s="43"/>
      <c r="AL947" s="43"/>
      <c r="AM947" s="43"/>
      <c r="AN947" s="42"/>
      <c r="AO947" s="42"/>
      <c r="AP947" s="42"/>
      <c r="AQ947" s="43"/>
      <c r="AR947" s="42"/>
      <c r="AS947" s="42"/>
    </row>
    <row r="948" spans="1:45" ht="15" customHeight="1">
      <c r="A948" s="21" t="s">
        <v>260</v>
      </c>
      <c r="B948" s="21" t="s">
        <v>46</v>
      </c>
      <c r="C948" s="21" t="s">
        <v>188</v>
      </c>
      <c r="D948" s="21" t="s">
        <v>48</v>
      </c>
      <c r="E948" s="80" t="s">
        <v>919</v>
      </c>
      <c r="F948" s="21" t="s">
        <v>953</v>
      </c>
      <c r="G948" s="101" t="s">
        <v>165</v>
      </c>
      <c r="H948" s="25" t="s">
        <v>1225</v>
      </c>
      <c r="I948" s="101" t="s">
        <v>616</v>
      </c>
      <c r="J948" s="101" t="s">
        <v>338</v>
      </c>
      <c r="K948" s="115"/>
      <c r="L948" s="48" t="s">
        <v>364</v>
      </c>
      <c r="M948" s="155">
        <v>44140</v>
      </c>
      <c r="N948" s="155" t="s">
        <v>1237</v>
      </c>
      <c r="O948" s="61">
        <v>12.5</v>
      </c>
      <c r="P948" s="61">
        <v>512</v>
      </c>
      <c r="Q948" s="51">
        <f t="shared" si="24"/>
        <v>6400</v>
      </c>
      <c r="R948" s="31">
        <v>202310</v>
      </c>
      <c r="S948" s="117" t="s">
        <v>1239</v>
      </c>
      <c r="T948" s="33"/>
      <c r="U948" s="117"/>
      <c r="V948" s="118"/>
      <c r="W948" s="67"/>
      <c r="X948" s="67"/>
      <c r="Y948" s="36">
        <v>44829</v>
      </c>
      <c r="Z948" s="36">
        <v>45559</v>
      </c>
      <c r="AA948" s="36"/>
      <c r="AB948" s="36"/>
      <c r="AC948" s="36"/>
      <c r="AD948" s="36"/>
      <c r="AE948" s="36"/>
      <c r="AF948" s="53" t="s">
        <v>68</v>
      </c>
      <c r="AG948" s="42"/>
      <c r="AH948" s="42"/>
      <c r="AI948" s="43"/>
      <c r="AJ948" s="43"/>
      <c r="AK948" s="43"/>
      <c r="AL948" s="43"/>
      <c r="AM948" s="43"/>
      <c r="AN948" s="42"/>
      <c r="AO948" s="42"/>
      <c r="AP948" s="42"/>
      <c r="AQ948" s="43"/>
      <c r="AR948" s="42"/>
      <c r="AS948" s="42"/>
    </row>
    <row r="949" spans="1:45" ht="15" customHeight="1">
      <c r="A949" s="21" t="s">
        <v>260</v>
      </c>
      <c r="B949" s="21" t="s">
        <v>46</v>
      </c>
      <c r="C949" s="21" t="s">
        <v>188</v>
      </c>
      <c r="D949" s="21" t="s">
        <v>48</v>
      </c>
      <c r="E949" s="80" t="s">
        <v>919</v>
      </c>
      <c r="F949" s="21" t="s">
        <v>953</v>
      </c>
      <c r="G949" s="101" t="s">
        <v>165</v>
      </c>
      <c r="H949" s="25" t="s">
        <v>1225</v>
      </c>
      <c r="I949" s="101" t="s">
        <v>616</v>
      </c>
      <c r="J949" s="101" t="s">
        <v>338</v>
      </c>
      <c r="K949" s="115"/>
      <c r="L949" s="48" t="s">
        <v>364</v>
      </c>
      <c r="M949" s="155">
        <v>44183</v>
      </c>
      <c r="N949" s="155" t="s">
        <v>1240</v>
      </c>
      <c r="O949" s="61">
        <v>12.5</v>
      </c>
      <c r="P949" s="61">
        <f>256*4</f>
        <v>1024</v>
      </c>
      <c r="Q949" s="51">
        <f t="shared" si="24"/>
        <v>12800</v>
      </c>
      <c r="R949" s="31">
        <v>202310</v>
      </c>
      <c r="S949" s="117" t="s">
        <v>1241</v>
      </c>
      <c r="T949" s="33"/>
      <c r="U949" s="117"/>
      <c r="V949" s="118"/>
      <c r="W949" s="67"/>
      <c r="X949" s="67"/>
      <c r="Y949" s="36">
        <v>44829</v>
      </c>
      <c r="Z949" s="36">
        <v>45559</v>
      </c>
      <c r="AA949" s="36"/>
      <c r="AB949" s="36"/>
      <c r="AC949" s="36"/>
      <c r="AD949" s="36"/>
      <c r="AE949" s="36"/>
      <c r="AF949" s="53" t="s">
        <v>68</v>
      </c>
      <c r="AG949" s="42"/>
      <c r="AH949" s="42"/>
      <c r="AI949" s="43"/>
      <c r="AJ949" s="43"/>
      <c r="AK949" s="43"/>
      <c r="AL949" s="43"/>
      <c r="AM949" s="43"/>
      <c r="AN949" s="42"/>
      <c r="AO949" s="42"/>
      <c r="AP949" s="42"/>
      <c r="AQ949" s="43"/>
      <c r="AR949" s="42"/>
      <c r="AS949" s="42"/>
    </row>
    <row r="950" spans="1:45" ht="15" customHeight="1">
      <c r="A950" s="21" t="s">
        <v>260</v>
      </c>
      <c r="B950" s="21" t="s">
        <v>46</v>
      </c>
      <c r="C950" s="21" t="s">
        <v>188</v>
      </c>
      <c r="D950" s="21" t="s">
        <v>48</v>
      </c>
      <c r="E950" s="80" t="s">
        <v>919</v>
      </c>
      <c r="F950" s="21" t="s">
        <v>953</v>
      </c>
      <c r="G950" s="26" t="s">
        <v>165</v>
      </c>
      <c r="H950" s="25" t="s">
        <v>1225</v>
      </c>
      <c r="I950" s="26" t="s">
        <v>616</v>
      </c>
      <c r="J950" s="101" t="s">
        <v>338</v>
      </c>
      <c r="K950" s="115"/>
      <c r="L950" s="48" t="s">
        <v>364</v>
      </c>
      <c r="M950" s="116">
        <v>44536</v>
      </c>
      <c r="N950" s="116" t="s">
        <v>1242</v>
      </c>
      <c r="O950" s="68">
        <v>12.5</v>
      </c>
      <c r="P950" s="68">
        <v>3072</v>
      </c>
      <c r="Q950" s="51">
        <f t="shared" si="24"/>
        <v>38400</v>
      </c>
      <c r="R950" s="31">
        <v>202310</v>
      </c>
      <c r="S950" s="117" t="s">
        <v>1243</v>
      </c>
      <c r="T950" s="33" t="s">
        <v>1244</v>
      </c>
      <c r="U950" s="33" t="s">
        <v>1245</v>
      </c>
      <c r="V950" s="118"/>
      <c r="W950" s="67"/>
      <c r="X950" s="67"/>
      <c r="Y950" s="36">
        <v>44829</v>
      </c>
      <c r="Z950" s="36">
        <v>45559</v>
      </c>
      <c r="AA950" s="36"/>
      <c r="AB950" s="36"/>
      <c r="AC950" s="36"/>
      <c r="AD950" s="36"/>
      <c r="AE950" s="36"/>
      <c r="AF950" s="53" t="s">
        <v>68</v>
      </c>
      <c r="AG950" s="42"/>
      <c r="AH950" s="42"/>
      <c r="AI950" s="43"/>
      <c r="AJ950" s="43"/>
      <c r="AK950" s="43"/>
      <c r="AL950" s="43"/>
      <c r="AM950" s="43"/>
      <c r="AN950" s="42"/>
      <c r="AO950" s="42"/>
      <c r="AP950" s="42"/>
      <c r="AQ950" s="43"/>
      <c r="AR950" s="42"/>
      <c r="AS950" s="42"/>
    </row>
    <row r="951" spans="1:45" ht="15" customHeight="1">
      <c r="A951" s="21" t="s">
        <v>260</v>
      </c>
      <c r="B951" s="21" t="s">
        <v>46</v>
      </c>
      <c r="C951" s="21" t="s">
        <v>188</v>
      </c>
      <c r="D951" s="21" t="s">
        <v>48</v>
      </c>
      <c r="E951" s="80" t="s">
        <v>919</v>
      </c>
      <c r="F951" s="21" t="s">
        <v>920</v>
      </c>
      <c r="G951" s="101" t="s">
        <v>165</v>
      </c>
      <c r="H951" s="133" t="s">
        <v>1225</v>
      </c>
      <c r="I951" s="65" t="s">
        <v>167</v>
      </c>
      <c r="J951" s="65" t="s">
        <v>1246</v>
      </c>
      <c r="K951" s="104" t="s">
        <v>1247</v>
      </c>
      <c r="L951" s="48"/>
      <c r="M951" s="156">
        <v>44099</v>
      </c>
      <c r="N951" s="47" t="s">
        <v>168</v>
      </c>
      <c r="O951" s="106">
        <v>0</v>
      </c>
      <c r="P951" s="106">
        <v>960</v>
      </c>
      <c r="Q951" s="51">
        <f t="shared" si="24"/>
        <v>0</v>
      </c>
      <c r="R951" s="31">
        <v>202310</v>
      </c>
      <c r="S951" s="54" t="s">
        <v>1248</v>
      </c>
      <c r="T951" s="33"/>
      <c r="U951" s="54"/>
      <c r="V951" s="54"/>
      <c r="W951" s="67"/>
      <c r="X951" s="67"/>
      <c r="Y951" s="36">
        <v>44829</v>
      </c>
      <c r="Z951" s="36">
        <v>45559</v>
      </c>
      <c r="AA951" s="36"/>
      <c r="AB951" s="36"/>
      <c r="AC951" s="36"/>
      <c r="AD951" s="36"/>
      <c r="AE951" s="36"/>
      <c r="AF951" s="53" t="s">
        <v>68</v>
      </c>
      <c r="AG951" s="42"/>
      <c r="AH951" s="42"/>
      <c r="AI951" s="43"/>
      <c r="AJ951" s="43"/>
      <c r="AK951" s="43"/>
      <c r="AL951" s="43"/>
      <c r="AM951" s="43"/>
      <c r="AN951" s="42"/>
      <c r="AO951" s="42"/>
      <c r="AP951" s="42"/>
      <c r="AQ951" s="43"/>
      <c r="AR951" s="42"/>
      <c r="AS951" s="42"/>
    </row>
    <row r="952" spans="1:45" ht="15" customHeight="1">
      <c r="A952" s="21" t="s">
        <v>260</v>
      </c>
      <c r="B952" s="21" t="s">
        <v>46</v>
      </c>
      <c r="C952" s="21" t="s">
        <v>188</v>
      </c>
      <c r="D952" s="21" t="s">
        <v>48</v>
      </c>
      <c r="E952" s="80" t="s">
        <v>919</v>
      </c>
      <c r="F952" s="21" t="s">
        <v>920</v>
      </c>
      <c r="G952" s="101" t="s">
        <v>165</v>
      </c>
      <c r="H952" s="133" t="s">
        <v>1225</v>
      </c>
      <c r="I952" s="65" t="s">
        <v>167</v>
      </c>
      <c r="J952" s="65" t="s">
        <v>1246</v>
      </c>
      <c r="K952" s="104" t="s">
        <v>1247</v>
      </c>
      <c r="L952" s="48"/>
      <c r="M952" s="156">
        <v>44099</v>
      </c>
      <c r="N952" s="47" t="s">
        <v>168</v>
      </c>
      <c r="O952" s="106">
        <v>10</v>
      </c>
      <c r="P952" s="106">
        <v>5184</v>
      </c>
      <c r="Q952" s="51">
        <f t="shared" si="24"/>
        <v>51840</v>
      </c>
      <c r="R952" s="31">
        <v>202310</v>
      </c>
      <c r="S952" s="54" t="s">
        <v>1248</v>
      </c>
      <c r="T952" s="33"/>
      <c r="U952" s="54"/>
      <c r="V952" s="54"/>
      <c r="W952" s="67"/>
      <c r="X952" s="67"/>
      <c r="Y952" s="36">
        <v>44829</v>
      </c>
      <c r="Z952" s="36">
        <v>45559</v>
      </c>
      <c r="AA952" s="36"/>
      <c r="AB952" s="36"/>
      <c r="AC952" s="36"/>
      <c r="AD952" s="36"/>
      <c r="AE952" s="36"/>
      <c r="AF952" s="53" t="s">
        <v>68</v>
      </c>
      <c r="AG952" s="42"/>
      <c r="AH952" s="42"/>
      <c r="AI952" s="43"/>
      <c r="AJ952" s="43"/>
      <c r="AK952" s="43"/>
      <c r="AL952" s="43"/>
      <c r="AM952" s="43"/>
      <c r="AN952" s="42"/>
      <c r="AO952" s="42"/>
      <c r="AP952" s="42"/>
      <c r="AQ952" s="43"/>
      <c r="AR952" s="42"/>
      <c r="AS952" s="42"/>
    </row>
    <row r="953" spans="1:45" ht="15" customHeight="1">
      <c r="A953" s="21" t="s">
        <v>260</v>
      </c>
      <c r="B953" s="21" t="s">
        <v>46</v>
      </c>
      <c r="C953" s="21" t="s">
        <v>188</v>
      </c>
      <c r="D953" s="21" t="s">
        <v>48</v>
      </c>
      <c r="E953" s="80" t="s">
        <v>919</v>
      </c>
      <c r="F953" s="21" t="s">
        <v>1202</v>
      </c>
      <c r="G953" s="101" t="s">
        <v>165</v>
      </c>
      <c r="H953" s="25" t="s">
        <v>1203</v>
      </c>
      <c r="I953" s="65" t="s">
        <v>167</v>
      </c>
      <c r="J953" s="65" t="s">
        <v>1204</v>
      </c>
      <c r="K953" s="104" t="s">
        <v>1209</v>
      </c>
      <c r="L953" s="48"/>
      <c r="M953" s="49">
        <v>45034</v>
      </c>
      <c r="N953" s="105" t="s">
        <v>168</v>
      </c>
      <c r="O953" s="106">
        <v>30</v>
      </c>
      <c r="P953" s="61">
        <v>256</v>
      </c>
      <c r="Q953" s="51">
        <f t="shared" si="24"/>
        <v>7680</v>
      </c>
      <c r="R953" s="31">
        <v>202310</v>
      </c>
      <c r="S953" s="108" t="s">
        <v>1249</v>
      </c>
      <c r="T953" s="33"/>
      <c r="U953" s="54" t="s">
        <v>535</v>
      </c>
      <c r="V953" s="54"/>
      <c r="W953" s="67"/>
      <c r="X953" s="67"/>
      <c r="Y953" s="36"/>
      <c r="Z953" s="36"/>
      <c r="AA953" s="36"/>
      <c r="AB953" s="36"/>
      <c r="AC953" s="36"/>
      <c r="AD953" s="36"/>
      <c r="AE953" s="36"/>
      <c r="AF953" s="40" t="s">
        <v>56</v>
      </c>
      <c r="AG953" s="42"/>
      <c r="AH953" s="42"/>
      <c r="AI953" s="43"/>
      <c r="AJ953" s="43"/>
      <c r="AK953" s="43"/>
      <c r="AL953" s="43"/>
      <c r="AM953" s="43"/>
      <c r="AN953" s="42"/>
      <c r="AO953" s="42"/>
      <c r="AP953" s="42"/>
      <c r="AQ953" s="43"/>
      <c r="AR953" s="42"/>
      <c r="AS953" s="25" t="s">
        <v>1207</v>
      </c>
    </row>
    <row r="954" spans="1:45" ht="15" customHeight="1">
      <c r="A954" s="21" t="s">
        <v>260</v>
      </c>
      <c r="B954" s="21" t="s">
        <v>46</v>
      </c>
      <c r="C954" s="21" t="s">
        <v>188</v>
      </c>
      <c r="D954" s="21" t="s">
        <v>48</v>
      </c>
      <c r="E954" s="80" t="s">
        <v>919</v>
      </c>
      <c r="F954" s="21" t="s">
        <v>1202</v>
      </c>
      <c r="G954" s="101" t="s">
        <v>165</v>
      </c>
      <c r="H954" s="25" t="s">
        <v>1203</v>
      </c>
      <c r="I954" s="65" t="s">
        <v>167</v>
      </c>
      <c r="J954" s="65" t="s">
        <v>1204</v>
      </c>
      <c r="K954" s="104" t="s">
        <v>1250</v>
      </c>
      <c r="L954" s="48"/>
      <c r="M954" s="49">
        <v>45114</v>
      </c>
      <c r="N954" s="105" t="s">
        <v>168</v>
      </c>
      <c r="O954" s="106">
        <v>30</v>
      </c>
      <c r="P954" s="61">
        <v>256</v>
      </c>
      <c r="Q954" s="51">
        <f t="shared" si="24"/>
        <v>7680</v>
      </c>
      <c r="R954" s="31">
        <v>202310</v>
      </c>
      <c r="S954" s="108" t="s">
        <v>1251</v>
      </c>
      <c r="T954" s="33"/>
      <c r="U954" s="54" t="s">
        <v>535</v>
      </c>
      <c r="V954" s="54"/>
      <c r="W954" s="67"/>
      <c r="X954" s="67"/>
      <c r="Y954" s="36"/>
      <c r="Z954" s="36"/>
      <c r="AA954" s="36"/>
      <c r="AB954" s="36"/>
      <c r="AC954" s="36"/>
      <c r="AD954" s="36"/>
      <c r="AE954" s="36"/>
      <c r="AF954" s="40" t="s">
        <v>56</v>
      </c>
      <c r="AG954" s="42"/>
      <c r="AH954" s="42"/>
      <c r="AI954" s="43"/>
      <c r="AJ954" s="43"/>
      <c r="AK954" s="43"/>
      <c r="AL954" s="43"/>
      <c r="AM954" s="43"/>
      <c r="AN954" s="42"/>
      <c r="AO954" s="42"/>
      <c r="AP954" s="42"/>
      <c r="AQ954" s="43"/>
      <c r="AR954" s="42"/>
      <c r="AS954" s="25" t="s">
        <v>1207</v>
      </c>
    </row>
    <row r="955" spans="1:45" ht="15" customHeight="1">
      <c r="A955" s="20" t="s">
        <v>260</v>
      </c>
      <c r="B955" s="21" t="s">
        <v>46</v>
      </c>
      <c r="C955" s="22" t="s">
        <v>188</v>
      </c>
      <c r="D955" s="22" t="s">
        <v>48</v>
      </c>
      <c r="E955" s="23" t="s">
        <v>919</v>
      </c>
      <c r="F955" s="20" t="s">
        <v>1252</v>
      </c>
      <c r="G955" s="20" t="s">
        <v>165</v>
      </c>
      <c r="H955" s="25" t="s">
        <v>1253</v>
      </c>
      <c r="I955" s="24" t="s">
        <v>491</v>
      </c>
      <c r="J955" s="20" t="s">
        <v>1254</v>
      </c>
      <c r="K955" s="26" t="s">
        <v>1255</v>
      </c>
      <c r="L955" s="20"/>
      <c r="M955" s="156">
        <v>43364</v>
      </c>
      <c r="N955" s="20" t="s">
        <v>653</v>
      </c>
      <c r="O955" s="28">
        <v>0</v>
      </c>
      <c r="P955" s="29">
        <v>544</v>
      </c>
      <c r="Q955" s="30">
        <f t="shared" si="24"/>
        <v>0</v>
      </c>
      <c r="R955" s="31">
        <v>202310</v>
      </c>
      <c r="S955" s="32" t="s">
        <v>1256</v>
      </c>
      <c r="T955" s="33"/>
      <c r="U955" s="32"/>
      <c r="V955" s="32"/>
      <c r="W955" s="35"/>
      <c r="X955" s="35"/>
      <c r="Y955" s="36"/>
      <c r="Z955" s="36"/>
      <c r="AA955" s="36"/>
      <c r="AB955" s="36"/>
      <c r="AC955" s="36"/>
      <c r="AD955" s="36"/>
      <c r="AE955" s="36"/>
      <c r="AF955" s="40" t="s">
        <v>503</v>
      </c>
      <c r="AG955" s="42"/>
      <c r="AH955" s="42"/>
      <c r="AI955" s="43"/>
      <c r="AJ955" s="43"/>
      <c r="AK955" s="43"/>
      <c r="AL955" s="43"/>
      <c r="AM955" s="43"/>
      <c r="AN955" s="42"/>
      <c r="AO955" s="42"/>
      <c r="AP955" s="42"/>
      <c r="AQ955" s="43"/>
      <c r="AR955" s="42"/>
      <c r="AS955" s="42" t="s">
        <v>1257</v>
      </c>
    </row>
    <row r="956" spans="1:45" ht="15" customHeight="1">
      <c r="A956" s="20" t="s">
        <v>260</v>
      </c>
      <c r="B956" s="21" t="s">
        <v>46</v>
      </c>
      <c r="C956" s="22" t="s">
        <v>188</v>
      </c>
      <c r="D956" s="22" t="s">
        <v>48</v>
      </c>
      <c r="E956" s="23" t="s">
        <v>919</v>
      </c>
      <c r="F956" s="20" t="s">
        <v>1252</v>
      </c>
      <c r="G956" s="20" t="s">
        <v>165</v>
      </c>
      <c r="H956" s="25" t="s">
        <v>1253</v>
      </c>
      <c r="I956" s="24" t="s">
        <v>491</v>
      </c>
      <c r="J956" s="20" t="s">
        <v>1254</v>
      </c>
      <c r="K956" s="26" t="s">
        <v>1255</v>
      </c>
      <c r="L956" s="20"/>
      <c r="M956" s="156">
        <v>45175</v>
      </c>
      <c r="N956" s="20" t="s">
        <v>653</v>
      </c>
      <c r="O956" s="28">
        <v>0</v>
      </c>
      <c r="P956" s="29">
        <v>-256</v>
      </c>
      <c r="Q956" s="30">
        <f t="shared" si="24"/>
        <v>0</v>
      </c>
      <c r="R956" s="31">
        <v>202310</v>
      </c>
      <c r="S956" s="32" t="s">
        <v>1258</v>
      </c>
      <c r="T956" s="33"/>
      <c r="U956" s="32"/>
      <c r="V956" s="32"/>
      <c r="W956" s="35"/>
      <c r="X956" s="35"/>
      <c r="Y956" s="36"/>
      <c r="Z956" s="36"/>
      <c r="AA956" s="36"/>
      <c r="AB956" s="36"/>
      <c r="AC956" s="36"/>
      <c r="AD956" s="36"/>
      <c r="AE956" s="36"/>
      <c r="AF956" s="40" t="s">
        <v>503</v>
      </c>
      <c r="AG956" s="42"/>
      <c r="AH956" s="42"/>
      <c r="AI956" s="43"/>
      <c r="AJ956" s="43"/>
      <c r="AK956" s="43"/>
      <c r="AL956" s="43"/>
      <c r="AM956" s="43"/>
      <c r="AN956" s="42"/>
      <c r="AO956" s="42"/>
      <c r="AP956" s="42"/>
      <c r="AQ956" s="43"/>
      <c r="AR956" s="42"/>
      <c r="AS956" s="42" t="s">
        <v>1257</v>
      </c>
    </row>
    <row r="957" spans="1:45" ht="15" customHeight="1">
      <c r="A957" s="20" t="s">
        <v>260</v>
      </c>
      <c r="B957" s="21" t="s">
        <v>46</v>
      </c>
      <c r="C957" s="22" t="s">
        <v>188</v>
      </c>
      <c r="D957" s="22" t="s">
        <v>48</v>
      </c>
      <c r="E957" s="23" t="s">
        <v>919</v>
      </c>
      <c r="F957" s="20" t="s">
        <v>1252</v>
      </c>
      <c r="G957" s="20" t="s">
        <v>165</v>
      </c>
      <c r="H957" s="25" t="s">
        <v>1253</v>
      </c>
      <c r="I957" s="24" t="s">
        <v>491</v>
      </c>
      <c r="J957" s="20" t="s">
        <v>1259</v>
      </c>
      <c r="K957" s="26" t="s">
        <v>1255</v>
      </c>
      <c r="L957" s="20"/>
      <c r="M957" s="156">
        <v>44730</v>
      </c>
      <c r="N957" s="20" t="s">
        <v>653</v>
      </c>
      <c r="O957" s="28">
        <v>0</v>
      </c>
      <c r="P957" s="29">
        <v>256</v>
      </c>
      <c r="Q957" s="30">
        <f t="shared" si="24"/>
        <v>0</v>
      </c>
      <c r="R957" s="31">
        <v>202310</v>
      </c>
      <c r="S957" s="32" t="s">
        <v>1260</v>
      </c>
      <c r="T957" s="33"/>
      <c r="U957" s="32"/>
      <c r="V957" s="32"/>
      <c r="W957" s="35"/>
      <c r="X957" s="35"/>
      <c r="Y957" s="36"/>
      <c r="Z957" s="36"/>
      <c r="AA957" s="36"/>
      <c r="AB957" s="36"/>
      <c r="AC957" s="36"/>
      <c r="AD957" s="36"/>
      <c r="AE957" s="36"/>
      <c r="AF957" s="40" t="s">
        <v>484</v>
      </c>
      <c r="AG957" s="42"/>
      <c r="AH957" s="42"/>
      <c r="AI957" s="43"/>
      <c r="AJ957" s="43"/>
      <c r="AK957" s="43"/>
      <c r="AL957" s="43"/>
      <c r="AM957" s="43"/>
      <c r="AN957" s="42"/>
      <c r="AO957" s="42"/>
      <c r="AP957" s="42"/>
      <c r="AQ957" s="43"/>
      <c r="AR957" s="42"/>
      <c r="AS957" s="42" t="s">
        <v>1257</v>
      </c>
    </row>
    <row r="958" spans="1:45" ht="15" customHeight="1">
      <c r="A958" s="20" t="s">
        <v>260</v>
      </c>
      <c r="B958" s="21" t="s">
        <v>46</v>
      </c>
      <c r="C958" s="22" t="s">
        <v>188</v>
      </c>
      <c r="D958" s="22" t="s">
        <v>48</v>
      </c>
      <c r="E958" s="23" t="s">
        <v>919</v>
      </c>
      <c r="F958" s="20" t="s">
        <v>1252</v>
      </c>
      <c r="G958" s="20" t="s">
        <v>165</v>
      </c>
      <c r="H958" s="25" t="s">
        <v>1253</v>
      </c>
      <c r="I958" s="24" t="s">
        <v>491</v>
      </c>
      <c r="J958" s="20" t="s">
        <v>1261</v>
      </c>
      <c r="K958" s="26" t="s">
        <v>1255</v>
      </c>
      <c r="L958" s="20"/>
      <c r="M958" s="156">
        <v>44730</v>
      </c>
      <c r="N958" s="20" t="s">
        <v>653</v>
      </c>
      <c r="O958" s="28">
        <v>0</v>
      </c>
      <c r="P958" s="29">
        <v>256</v>
      </c>
      <c r="Q958" s="30">
        <f t="shared" si="24"/>
        <v>0</v>
      </c>
      <c r="R958" s="31">
        <v>202310</v>
      </c>
      <c r="S958" s="32" t="s">
        <v>1262</v>
      </c>
      <c r="T958" s="33"/>
      <c r="U958" s="32"/>
      <c r="V958" s="32"/>
      <c r="W958" s="35"/>
      <c r="X958" s="35"/>
      <c r="Y958" s="36"/>
      <c r="Z958" s="36"/>
      <c r="AA958" s="36"/>
      <c r="AB958" s="36"/>
      <c r="AC958" s="36"/>
      <c r="AD958" s="36"/>
      <c r="AE958" s="36"/>
      <c r="AF958" s="40" t="s">
        <v>484</v>
      </c>
      <c r="AG958" s="42"/>
      <c r="AH958" s="42"/>
      <c r="AI958" s="43"/>
      <c r="AJ958" s="43"/>
      <c r="AK958" s="43"/>
      <c r="AL958" s="43"/>
      <c r="AM958" s="43"/>
      <c r="AN958" s="42"/>
      <c r="AO958" s="42"/>
      <c r="AP958" s="42"/>
      <c r="AQ958" s="43"/>
      <c r="AR958" s="42"/>
      <c r="AS958" s="42" t="s">
        <v>1257</v>
      </c>
    </row>
    <row r="959" spans="1:45" ht="15" customHeight="1">
      <c r="A959" s="20" t="s">
        <v>260</v>
      </c>
      <c r="B959" s="21" t="s">
        <v>46</v>
      </c>
      <c r="C959" s="22" t="s">
        <v>188</v>
      </c>
      <c r="D959" s="22" t="s">
        <v>48</v>
      </c>
      <c r="E959" s="23" t="s">
        <v>919</v>
      </c>
      <c r="F959" s="20" t="s">
        <v>1252</v>
      </c>
      <c r="G959" s="20" t="s">
        <v>77</v>
      </c>
      <c r="H959" s="25" t="s">
        <v>1253</v>
      </c>
      <c r="I959" s="24" t="s">
        <v>479</v>
      </c>
      <c r="J959" s="20" t="s">
        <v>1263</v>
      </c>
      <c r="K959" s="26" t="s">
        <v>1264</v>
      </c>
      <c r="L959" s="20" t="s">
        <v>1265</v>
      </c>
      <c r="M959" s="156"/>
      <c r="N959" s="20" t="s">
        <v>90</v>
      </c>
      <c r="O959" s="28">
        <v>0</v>
      </c>
      <c r="P959" s="29">
        <v>8</v>
      </c>
      <c r="Q959" s="30">
        <f t="shared" si="24"/>
        <v>0</v>
      </c>
      <c r="R959" s="31">
        <v>202310</v>
      </c>
      <c r="S959" s="32" t="s">
        <v>1266</v>
      </c>
      <c r="T959" s="33"/>
      <c r="U959" s="32"/>
      <c r="V959" s="32"/>
      <c r="W959" s="35"/>
      <c r="X959" s="35"/>
      <c r="Y959" s="36"/>
      <c r="Z959" s="36"/>
      <c r="AA959" s="36"/>
      <c r="AB959" s="36"/>
      <c r="AC959" s="36"/>
      <c r="AD959" s="36"/>
      <c r="AE959" s="36"/>
      <c r="AF959" s="40" t="s">
        <v>503</v>
      </c>
      <c r="AG959" s="42"/>
      <c r="AH959" s="42"/>
      <c r="AI959" s="43"/>
      <c r="AJ959" s="43"/>
      <c r="AK959" s="43"/>
      <c r="AL959" s="43"/>
      <c r="AM959" s="43"/>
      <c r="AN959" s="42"/>
      <c r="AO959" s="42"/>
      <c r="AP959" s="42"/>
      <c r="AQ959" s="43"/>
      <c r="AR959" s="42"/>
      <c r="AS959" s="42" t="s">
        <v>1257</v>
      </c>
    </row>
    <row r="960" spans="1:45" ht="15" customHeight="1">
      <c r="A960" s="20" t="s">
        <v>260</v>
      </c>
      <c r="B960" s="21" t="s">
        <v>46</v>
      </c>
      <c r="C960" s="22" t="s">
        <v>188</v>
      </c>
      <c r="D960" s="22" t="s">
        <v>48</v>
      </c>
      <c r="E960" s="23" t="s">
        <v>919</v>
      </c>
      <c r="F960" s="20" t="s">
        <v>1252</v>
      </c>
      <c r="G960" s="20" t="s">
        <v>77</v>
      </c>
      <c r="H960" s="25" t="s">
        <v>1253</v>
      </c>
      <c r="I960" s="24" t="s">
        <v>479</v>
      </c>
      <c r="J960" s="20" t="s">
        <v>1263</v>
      </c>
      <c r="K960" s="26" t="s">
        <v>1264</v>
      </c>
      <c r="L960" s="20" t="s">
        <v>1265</v>
      </c>
      <c r="M960" s="156">
        <v>44391</v>
      </c>
      <c r="N960" s="20" t="s">
        <v>90</v>
      </c>
      <c r="O960" s="28">
        <v>0</v>
      </c>
      <c r="P960" s="29">
        <v>-3</v>
      </c>
      <c r="Q960" s="30">
        <f t="shared" si="24"/>
        <v>0</v>
      </c>
      <c r="R960" s="31">
        <v>202310</v>
      </c>
      <c r="S960" s="32" t="s">
        <v>1267</v>
      </c>
      <c r="T960" s="33"/>
      <c r="U960" s="32"/>
      <c r="V960" s="32"/>
      <c r="W960" s="35"/>
      <c r="X960" s="35"/>
      <c r="Y960" s="36"/>
      <c r="Z960" s="36"/>
      <c r="AA960" s="36"/>
      <c r="AB960" s="36"/>
      <c r="AC960" s="36"/>
      <c r="AD960" s="36"/>
      <c r="AE960" s="36"/>
      <c r="AF960" s="40" t="s">
        <v>503</v>
      </c>
      <c r="AG960" s="42"/>
      <c r="AH960" s="42"/>
      <c r="AI960" s="43"/>
      <c r="AJ960" s="43"/>
      <c r="AK960" s="43"/>
      <c r="AL960" s="43"/>
      <c r="AM960" s="43"/>
      <c r="AN960" s="42"/>
      <c r="AO960" s="42"/>
      <c r="AP960" s="42"/>
      <c r="AQ960" s="43"/>
      <c r="AR960" s="42"/>
      <c r="AS960" s="42" t="s">
        <v>1257</v>
      </c>
    </row>
    <row r="961" spans="1:45" ht="15" customHeight="1">
      <c r="A961" s="20" t="s">
        <v>260</v>
      </c>
      <c r="B961" s="21" t="s">
        <v>46</v>
      </c>
      <c r="C961" s="22" t="s">
        <v>188</v>
      </c>
      <c r="D961" s="22" t="s">
        <v>48</v>
      </c>
      <c r="E961" s="23" t="s">
        <v>919</v>
      </c>
      <c r="F961" s="20" t="s">
        <v>1252</v>
      </c>
      <c r="G961" s="20" t="s">
        <v>77</v>
      </c>
      <c r="H961" s="25" t="s">
        <v>1253</v>
      </c>
      <c r="I961" s="24" t="s">
        <v>479</v>
      </c>
      <c r="J961" s="20" t="s">
        <v>1263</v>
      </c>
      <c r="K961" s="26" t="s">
        <v>1264</v>
      </c>
      <c r="L961" s="20" t="s">
        <v>1265</v>
      </c>
      <c r="M961" s="156"/>
      <c r="N961" s="20" t="s">
        <v>90</v>
      </c>
      <c r="O961" s="28">
        <v>0</v>
      </c>
      <c r="P961" s="29">
        <v>1</v>
      </c>
      <c r="Q961" s="30">
        <f t="shared" si="24"/>
        <v>0</v>
      </c>
      <c r="R961" s="31">
        <v>202310</v>
      </c>
      <c r="S961" s="32" t="s">
        <v>1268</v>
      </c>
      <c r="T961" s="33"/>
      <c r="U961" s="32"/>
      <c r="V961" s="32"/>
      <c r="W961" s="35"/>
      <c r="X961" s="35"/>
      <c r="Y961" s="36"/>
      <c r="Z961" s="36"/>
      <c r="AA961" s="36"/>
      <c r="AB961" s="36"/>
      <c r="AC961" s="36"/>
      <c r="AD961" s="36"/>
      <c r="AE961" s="36"/>
      <c r="AF961" s="40" t="s">
        <v>503</v>
      </c>
      <c r="AG961" s="42"/>
      <c r="AH961" s="42"/>
      <c r="AI961" s="43"/>
      <c r="AJ961" s="43"/>
      <c r="AK961" s="43"/>
      <c r="AL961" s="43"/>
      <c r="AM961" s="43"/>
      <c r="AN961" s="42"/>
      <c r="AO961" s="42"/>
      <c r="AP961" s="42"/>
      <c r="AQ961" s="43"/>
      <c r="AR961" s="42"/>
      <c r="AS961" s="42" t="s">
        <v>1257</v>
      </c>
    </row>
    <row r="962" spans="1:45" ht="15" customHeight="1">
      <c r="A962" s="20" t="s">
        <v>260</v>
      </c>
      <c r="B962" s="21" t="s">
        <v>46</v>
      </c>
      <c r="C962" s="22" t="s">
        <v>188</v>
      </c>
      <c r="D962" s="22" t="s">
        <v>48</v>
      </c>
      <c r="E962" s="23" t="s">
        <v>919</v>
      </c>
      <c r="F962" s="20" t="s">
        <v>1252</v>
      </c>
      <c r="G962" s="20" t="s">
        <v>77</v>
      </c>
      <c r="H962" s="25" t="s">
        <v>1253</v>
      </c>
      <c r="I962" s="24" t="s">
        <v>479</v>
      </c>
      <c r="J962" s="20" t="s">
        <v>1263</v>
      </c>
      <c r="K962" s="26" t="s">
        <v>1252</v>
      </c>
      <c r="L962" s="20" t="s">
        <v>1265</v>
      </c>
      <c r="M962" s="156"/>
      <c r="N962" s="20" t="s">
        <v>90</v>
      </c>
      <c r="O962" s="28">
        <v>0</v>
      </c>
      <c r="P962" s="29">
        <v>3</v>
      </c>
      <c r="Q962" s="30">
        <f t="shared" si="24"/>
        <v>0</v>
      </c>
      <c r="R962" s="31">
        <v>202310</v>
      </c>
      <c r="S962" s="32" t="s">
        <v>1269</v>
      </c>
      <c r="T962" s="33"/>
      <c r="U962" s="32"/>
      <c r="V962" s="32"/>
      <c r="W962" s="35"/>
      <c r="X962" s="35"/>
      <c r="Y962" s="36"/>
      <c r="Z962" s="36"/>
      <c r="AA962" s="36"/>
      <c r="AB962" s="36"/>
      <c r="AC962" s="36"/>
      <c r="AD962" s="36"/>
      <c r="AE962" s="36"/>
      <c r="AF962" s="40" t="s">
        <v>503</v>
      </c>
      <c r="AG962" s="42"/>
      <c r="AH962" s="42"/>
      <c r="AI962" s="43"/>
      <c r="AJ962" s="43"/>
      <c r="AK962" s="43"/>
      <c r="AL962" s="43"/>
      <c r="AM962" s="43"/>
      <c r="AN962" s="42"/>
      <c r="AO962" s="42"/>
      <c r="AP962" s="42"/>
      <c r="AQ962" s="43"/>
      <c r="AR962" s="42"/>
      <c r="AS962" s="42" t="s">
        <v>1257</v>
      </c>
    </row>
    <row r="963" spans="1:45" ht="15" customHeight="1">
      <c r="A963" s="20" t="s">
        <v>260</v>
      </c>
      <c r="B963" s="21" t="s">
        <v>46</v>
      </c>
      <c r="C963" s="22" t="s">
        <v>188</v>
      </c>
      <c r="D963" s="22" t="s">
        <v>48</v>
      </c>
      <c r="E963" s="23" t="s">
        <v>919</v>
      </c>
      <c r="F963" s="20" t="s">
        <v>1252</v>
      </c>
      <c r="G963" s="20" t="s">
        <v>77</v>
      </c>
      <c r="H963" s="25" t="s">
        <v>1253</v>
      </c>
      <c r="I963" s="24" t="s">
        <v>479</v>
      </c>
      <c r="J963" s="20" t="s">
        <v>1263</v>
      </c>
      <c r="K963" s="26" t="s">
        <v>1252</v>
      </c>
      <c r="L963" s="20" t="s">
        <v>1265</v>
      </c>
      <c r="M963" s="156">
        <v>44389</v>
      </c>
      <c r="N963" s="20" t="s">
        <v>90</v>
      </c>
      <c r="O963" s="28">
        <v>0</v>
      </c>
      <c r="P963" s="29">
        <v>-3</v>
      </c>
      <c r="Q963" s="30">
        <f t="shared" si="24"/>
        <v>0</v>
      </c>
      <c r="R963" s="31">
        <v>202310</v>
      </c>
      <c r="S963" s="32" t="s">
        <v>1270</v>
      </c>
      <c r="T963" s="33"/>
      <c r="U963" s="32"/>
      <c r="V963" s="32"/>
      <c r="W963" s="35"/>
      <c r="X963" s="35"/>
      <c r="Y963" s="36"/>
      <c r="Z963" s="36"/>
      <c r="AA963" s="36"/>
      <c r="AB963" s="36"/>
      <c r="AC963" s="36"/>
      <c r="AD963" s="36"/>
      <c r="AE963" s="36"/>
      <c r="AF963" s="40" t="s">
        <v>503</v>
      </c>
      <c r="AG963" s="42"/>
      <c r="AH963" s="42"/>
      <c r="AI963" s="43"/>
      <c r="AJ963" s="43"/>
      <c r="AK963" s="43"/>
      <c r="AL963" s="43"/>
      <c r="AM963" s="43"/>
      <c r="AN963" s="42"/>
      <c r="AO963" s="42"/>
      <c r="AP963" s="42"/>
      <c r="AQ963" s="43"/>
      <c r="AR963" s="42"/>
      <c r="AS963" s="42" t="s">
        <v>1257</v>
      </c>
    </row>
    <row r="964" spans="1:45" ht="15" customHeight="1">
      <c r="A964" s="20" t="s">
        <v>260</v>
      </c>
      <c r="B964" s="21" t="s">
        <v>46</v>
      </c>
      <c r="C964" s="22" t="s">
        <v>188</v>
      </c>
      <c r="D964" s="22" t="s">
        <v>48</v>
      </c>
      <c r="E964" s="23" t="s">
        <v>919</v>
      </c>
      <c r="F964" s="20" t="s">
        <v>1252</v>
      </c>
      <c r="G964" s="20" t="s">
        <v>77</v>
      </c>
      <c r="H964" s="25" t="s">
        <v>1253</v>
      </c>
      <c r="I964" s="24" t="s">
        <v>479</v>
      </c>
      <c r="J964" s="20" t="s">
        <v>1263</v>
      </c>
      <c r="K964" s="26" t="s">
        <v>1264</v>
      </c>
      <c r="L964" s="20" t="s">
        <v>1265</v>
      </c>
      <c r="M964" s="156">
        <v>44729</v>
      </c>
      <c r="N964" s="20" t="s">
        <v>90</v>
      </c>
      <c r="O964" s="28">
        <v>0</v>
      </c>
      <c r="P964" s="29">
        <v>-6</v>
      </c>
      <c r="Q964" s="30">
        <f t="shared" si="24"/>
        <v>0</v>
      </c>
      <c r="R964" s="31">
        <v>202310</v>
      </c>
      <c r="S964" s="32" t="s">
        <v>1271</v>
      </c>
      <c r="T964" s="33"/>
      <c r="U964" s="32"/>
      <c r="V964" s="32"/>
      <c r="W964" s="35"/>
      <c r="X964" s="35"/>
      <c r="Y964" s="36"/>
      <c r="Z964" s="36"/>
      <c r="AA964" s="36"/>
      <c r="AB964" s="36"/>
      <c r="AC964" s="36"/>
      <c r="AD964" s="36"/>
      <c r="AE964" s="36"/>
      <c r="AF964" s="40" t="s">
        <v>503</v>
      </c>
      <c r="AG964" s="42"/>
      <c r="AH964" s="42"/>
      <c r="AI964" s="43"/>
      <c r="AJ964" s="43"/>
      <c r="AK964" s="43"/>
      <c r="AL964" s="43"/>
      <c r="AM964" s="43"/>
      <c r="AN964" s="42"/>
      <c r="AO964" s="42"/>
      <c r="AP964" s="42"/>
      <c r="AQ964" s="43"/>
      <c r="AR964" s="42"/>
      <c r="AS964" s="42" t="s">
        <v>1257</v>
      </c>
    </row>
    <row r="965" spans="1:45" ht="15" customHeight="1">
      <c r="A965" s="20" t="s">
        <v>260</v>
      </c>
      <c r="B965" s="21" t="s">
        <v>46</v>
      </c>
      <c r="C965" s="22" t="s">
        <v>188</v>
      </c>
      <c r="D965" s="22" t="s">
        <v>48</v>
      </c>
      <c r="E965" s="23" t="s">
        <v>919</v>
      </c>
      <c r="F965" s="20" t="s">
        <v>1252</v>
      </c>
      <c r="G965" s="20" t="s">
        <v>77</v>
      </c>
      <c r="H965" s="25" t="s">
        <v>1253</v>
      </c>
      <c r="I965" s="24" t="s">
        <v>479</v>
      </c>
      <c r="J965" s="20" t="s">
        <v>1263</v>
      </c>
      <c r="K965" s="26" t="s">
        <v>1255</v>
      </c>
      <c r="L965" s="20" t="s">
        <v>1265</v>
      </c>
      <c r="M965" s="156">
        <v>44730</v>
      </c>
      <c r="N965" s="20" t="s">
        <v>90</v>
      </c>
      <c r="O965" s="28">
        <v>0</v>
      </c>
      <c r="P965" s="29">
        <v>6</v>
      </c>
      <c r="Q965" s="30">
        <f t="shared" si="24"/>
        <v>0</v>
      </c>
      <c r="R965" s="31">
        <v>202310</v>
      </c>
      <c r="S965" s="32" t="s">
        <v>1271</v>
      </c>
      <c r="T965" s="33"/>
      <c r="U965" s="32"/>
      <c r="V965" s="32"/>
      <c r="W965" s="35"/>
      <c r="X965" s="35"/>
      <c r="Y965" s="36"/>
      <c r="Z965" s="36"/>
      <c r="AA965" s="36"/>
      <c r="AB965" s="36"/>
      <c r="AC965" s="36"/>
      <c r="AD965" s="36"/>
      <c r="AE965" s="36"/>
      <c r="AF965" s="40" t="s">
        <v>503</v>
      </c>
      <c r="AG965" s="42"/>
      <c r="AH965" s="42"/>
      <c r="AI965" s="43"/>
      <c r="AJ965" s="43"/>
      <c r="AK965" s="43"/>
      <c r="AL965" s="43"/>
      <c r="AM965" s="43"/>
      <c r="AN965" s="42"/>
      <c r="AO965" s="42"/>
      <c r="AP965" s="42"/>
      <c r="AQ965" s="43"/>
      <c r="AR965" s="42"/>
      <c r="AS965" s="42" t="s">
        <v>1257</v>
      </c>
    </row>
    <row r="966" spans="1:45" ht="15" customHeight="1">
      <c r="A966" s="20" t="s">
        <v>260</v>
      </c>
      <c r="B966" s="21" t="s">
        <v>46</v>
      </c>
      <c r="C966" s="22" t="s">
        <v>188</v>
      </c>
      <c r="D966" s="22" t="s">
        <v>48</v>
      </c>
      <c r="E966" s="23" t="s">
        <v>919</v>
      </c>
      <c r="F966" s="20" t="s">
        <v>1252</v>
      </c>
      <c r="G966" s="20" t="s">
        <v>77</v>
      </c>
      <c r="H966" s="25" t="s">
        <v>1253</v>
      </c>
      <c r="I966" s="24" t="s">
        <v>479</v>
      </c>
      <c r="J966" s="20" t="s">
        <v>1263</v>
      </c>
      <c r="K966" s="26" t="s">
        <v>1255</v>
      </c>
      <c r="L966" s="20" t="s">
        <v>1265</v>
      </c>
      <c r="M966" s="156">
        <v>45175</v>
      </c>
      <c r="N966" s="20" t="s">
        <v>90</v>
      </c>
      <c r="O966" s="28">
        <v>0</v>
      </c>
      <c r="P966" s="29">
        <v>-2</v>
      </c>
      <c r="Q966" s="30">
        <f t="shared" si="24"/>
        <v>0</v>
      </c>
      <c r="R966" s="31">
        <v>202310</v>
      </c>
      <c r="S966" s="32" t="s">
        <v>1272</v>
      </c>
      <c r="T966" s="33"/>
      <c r="U966" s="32"/>
      <c r="V966" s="32"/>
      <c r="W966" s="35"/>
      <c r="X966" s="35"/>
      <c r="Y966" s="36"/>
      <c r="Z966" s="36"/>
      <c r="AA966" s="36"/>
      <c r="AB966" s="36"/>
      <c r="AC966" s="36"/>
      <c r="AD966" s="36"/>
      <c r="AE966" s="36"/>
      <c r="AF966" s="40" t="s">
        <v>503</v>
      </c>
      <c r="AG966" s="42"/>
      <c r="AH966" s="42"/>
      <c r="AI966" s="43"/>
      <c r="AJ966" s="43"/>
      <c r="AK966" s="43"/>
      <c r="AL966" s="43"/>
      <c r="AM966" s="43"/>
      <c r="AN966" s="42"/>
      <c r="AO966" s="42"/>
      <c r="AP966" s="42"/>
      <c r="AQ966" s="43"/>
      <c r="AR966" s="42"/>
      <c r="AS966" s="42" t="s">
        <v>1257</v>
      </c>
    </row>
    <row r="967" spans="1:45" ht="15" customHeight="1">
      <c r="A967" s="20" t="s">
        <v>260</v>
      </c>
      <c r="B967" s="21" t="s">
        <v>46</v>
      </c>
      <c r="C967" s="22" t="s">
        <v>188</v>
      </c>
      <c r="D967" s="22" t="s">
        <v>48</v>
      </c>
      <c r="E967" s="23" t="s">
        <v>919</v>
      </c>
      <c r="F967" s="20" t="s">
        <v>1252</v>
      </c>
      <c r="G967" s="20" t="s">
        <v>77</v>
      </c>
      <c r="H967" s="25" t="s">
        <v>1253</v>
      </c>
      <c r="I967" s="24" t="s">
        <v>479</v>
      </c>
      <c r="J967" s="20" t="s">
        <v>1259</v>
      </c>
      <c r="K967" s="26" t="s">
        <v>1255</v>
      </c>
      <c r="L967" s="20" t="s">
        <v>1265</v>
      </c>
      <c r="M967" s="156">
        <v>44730</v>
      </c>
      <c r="N967" s="20" t="s">
        <v>90</v>
      </c>
      <c r="O967" s="28">
        <v>0</v>
      </c>
      <c r="P967" s="29">
        <v>23</v>
      </c>
      <c r="Q967" s="30">
        <f t="shared" si="24"/>
        <v>0</v>
      </c>
      <c r="R967" s="31">
        <v>202310</v>
      </c>
      <c r="S967" s="32" t="s">
        <v>1273</v>
      </c>
      <c r="T967" s="33"/>
      <c r="U967" s="32"/>
      <c r="V967" s="32"/>
      <c r="W967" s="35"/>
      <c r="X967" s="35"/>
      <c r="Y967" s="36"/>
      <c r="Z967" s="36"/>
      <c r="AA967" s="36"/>
      <c r="AB967" s="36"/>
      <c r="AC967" s="36"/>
      <c r="AD967" s="36"/>
      <c r="AE967" s="36"/>
      <c r="AF967" s="40" t="s">
        <v>484</v>
      </c>
      <c r="AG967" s="42"/>
      <c r="AH967" s="42"/>
      <c r="AI967" s="43"/>
      <c r="AJ967" s="43"/>
      <c r="AK967" s="43"/>
      <c r="AL967" s="43"/>
      <c r="AM967" s="43"/>
      <c r="AN967" s="42"/>
      <c r="AO967" s="42"/>
      <c r="AP967" s="42"/>
      <c r="AQ967" s="43"/>
      <c r="AR967" s="42"/>
      <c r="AS967" s="42" t="s">
        <v>1257</v>
      </c>
    </row>
    <row r="968" spans="1:45" ht="15" customHeight="1">
      <c r="A968" s="20" t="s">
        <v>260</v>
      </c>
      <c r="B968" s="21" t="s">
        <v>46</v>
      </c>
      <c r="C968" s="22" t="s">
        <v>188</v>
      </c>
      <c r="D968" s="22" t="s">
        <v>48</v>
      </c>
      <c r="E968" s="23" t="s">
        <v>919</v>
      </c>
      <c r="F968" s="20" t="s">
        <v>1252</v>
      </c>
      <c r="G968" s="20" t="s">
        <v>77</v>
      </c>
      <c r="H968" s="25" t="s">
        <v>1253</v>
      </c>
      <c r="I968" s="24" t="s">
        <v>479</v>
      </c>
      <c r="J968" s="20" t="s">
        <v>1259</v>
      </c>
      <c r="K968" s="26" t="s">
        <v>1255</v>
      </c>
      <c r="L968" s="20" t="s">
        <v>1265</v>
      </c>
      <c r="M968" s="156">
        <v>44873</v>
      </c>
      <c r="N968" s="20" t="s">
        <v>90</v>
      </c>
      <c r="O968" s="28">
        <v>0</v>
      </c>
      <c r="P968" s="29">
        <v>1</v>
      </c>
      <c r="Q968" s="30">
        <f t="shared" si="24"/>
        <v>0</v>
      </c>
      <c r="R968" s="31">
        <v>202310</v>
      </c>
      <c r="S968" s="32" t="s">
        <v>1274</v>
      </c>
      <c r="T968" s="33"/>
      <c r="U968" s="32"/>
      <c r="V968" s="32"/>
      <c r="W968" s="35"/>
      <c r="X968" s="35"/>
      <c r="Y968" s="36"/>
      <c r="Z968" s="36"/>
      <c r="AA968" s="36"/>
      <c r="AB968" s="36"/>
      <c r="AC968" s="36"/>
      <c r="AD968" s="36"/>
      <c r="AE968" s="36"/>
      <c r="AF968" s="40" t="s">
        <v>484</v>
      </c>
      <c r="AG968" s="42"/>
      <c r="AH968" s="42"/>
      <c r="AI968" s="43"/>
      <c r="AJ968" s="43"/>
      <c r="AK968" s="43"/>
      <c r="AL968" s="43"/>
      <c r="AM968" s="43"/>
      <c r="AN968" s="42"/>
      <c r="AO968" s="42"/>
      <c r="AP968" s="42"/>
      <c r="AQ968" s="43"/>
      <c r="AR968" s="42"/>
      <c r="AS968" s="42" t="s">
        <v>1257</v>
      </c>
    </row>
    <row r="969" spans="1:45" ht="15" customHeight="1">
      <c r="A969" s="22" t="s">
        <v>260</v>
      </c>
      <c r="B969" s="21" t="s">
        <v>46</v>
      </c>
      <c r="C969" s="22" t="s">
        <v>188</v>
      </c>
      <c r="D969" s="22" t="s">
        <v>48</v>
      </c>
      <c r="E969" s="23" t="s">
        <v>919</v>
      </c>
      <c r="F969" s="22" t="s">
        <v>920</v>
      </c>
      <c r="G969" s="101" t="s">
        <v>165</v>
      </c>
      <c r="H969" s="25" t="s">
        <v>1275</v>
      </c>
      <c r="I969" s="26" t="s">
        <v>859</v>
      </c>
      <c r="J969" s="20" t="s">
        <v>1276</v>
      </c>
      <c r="K969" s="104" t="s">
        <v>1277</v>
      </c>
      <c r="L969" s="48" t="s">
        <v>1278</v>
      </c>
      <c r="M969" s="156" t="s">
        <v>340</v>
      </c>
      <c r="N969" s="20"/>
      <c r="O969" s="157">
        <v>0</v>
      </c>
      <c r="P969" s="30">
        <v>768</v>
      </c>
      <c r="Q969" s="30">
        <f t="shared" si="24"/>
        <v>0</v>
      </c>
      <c r="R969" s="31">
        <v>202310</v>
      </c>
      <c r="S969" s="117" t="s">
        <v>1279</v>
      </c>
      <c r="T969" s="33"/>
      <c r="U969" s="117"/>
      <c r="V969" s="117"/>
      <c r="W969" s="52"/>
      <c r="X969" s="52"/>
      <c r="Y969" s="36"/>
      <c r="Z969" s="36"/>
      <c r="AA969" s="36"/>
      <c r="AB969" s="36"/>
      <c r="AC969" s="36"/>
      <c r="AD969" s="36"/>
      <c r="AE969" s="36"/>
      <c r="AF969" s="40" t="s">
        <v>853</v>
      </c>
      <c r="AG969" s="42"/>
      <c r="AH969" s="42"/>
      <c r="AI969" s="43"/>
      <c r="AJ969" s="43"/>
      <c r="AK969" s="43"/>
      <c r="AL969" s="43"/>
      <c r="AM969" s="43"/>
      <c r="AN969" s="42"/>
      <c r="AO969" s="42"/>
      <c r="AP969" s="42"/>
      <c r="AQ969" s="43"/>
      <c r="AR969" s="42"/>
      <c r="AS969" s="42" t="s">
        <v>1280</v>
      </c>
    </row>
    <row r="970" spans="1:45" ht="15" customHeight="1">
      <c r="A970" s="22" t="s">
        <v>260</v>
      </c>
      <c r="B970" s="21" t="s">
        <v>46</v>
      </c>
      <c r="C970" s="22" t="s">
        <v>188</v>
      </c>
      <c r="D970" s="22" t="s">
        <v>48</v>
      </c>
      <c r="E970" s="23" t="s">
        <v>919</v>
      </c>
      <c r="F970" s="22" t="s">
        <v>920</v>
      </c>
      <c r="G970" s="101" t="s">
        <v>165</v>
      </c>
      <c r="H970" s="25" t="s">
        <v>1275</v>
      </c>
      <c r="I970" s="26" t="s">
        <v>859</v>
      </c>
      <c r="J970" s="20" t="s">
        <v>1276</v>
      </c>
      <c r="K970" s="104" t="s">
        <v>1277</v>
      </c>
      <c r="L970" s="48" t="s">
        <v>1278</v>
      </c>
      <c r="M970" s="49">
        <v>44454</v>
      </c>
      <c r="N970" s="20"/>
      <c r="O970" s="157">
        <v>0</v>
      </c>
      <c r="P970" s="30">
        <v>-768</v>
      </c>
      <c r="Q970" s="30">
        <f t="shared" si="24"/>
        <v>0</v>
      </c>
      <c r="R970" s="31">
        <v>202310</v>
      </c>
      <c r="S970" s="117" t="s">
        <v>1281</v>
      </c>
      <c r="T970" s="33"/>
      <c r="U970" s="117"/>
      <c r="V970" s="117"/>
      <c r="W970" s="52"/>
      <c r="X970" s="52"/>
      <c r="Y970" s="36"/>
      <c r="Z970" s="36"/>
      <c r="AA970" s="36"/>
      <c r="AB970" s="36"/>
      <c r="AC970" s="36"/>
      <c r="AD970" s="36"/>
      <c r="AE970" s="36"/>
      <c r="AF970" s="40" t="s">
        <v>853</v>
      </c>
      <c r="AG970" s="42"/>
      <c r="AH970" s="42"/>
      <c r="AI970" s="43"/>
      <c r="AJ970" s="43"/>
      <c r="AK970" s="43"/>
      <c r="AL970" s="43"/>
      <c r="AM970" s="43"/>
      <c r="AN970" s="42"/>
      <c r="AO970" s="42"/>
      <c r="AP970" s="42"/>
      <c r="AQ970" s="43"/>
      <c r="AR970" s="42"/>
      <c r="AS970" s="42" t="s">
        <v>1280</v>
      </c>
    </row>
    <row r="971" spans="1:45" ht="15" customHeight="1">
      <c r="A971" s="22" t="s">
        <v>260</v>
      </c>
      <c r="B971" s="21" t="s">
        <v>46</v>
      </c>
      <c r="C971" s="22" t="s">
        <v>188</v>
      </c>
      <c r="D971" s="22" t="s">
        <v>48</v>
      </c>
      <c r="E971" s="23" t="s">
        <v>919</v>
      </c>
      <c r="F971" s="22" t="s">
        <v>920</v>
      </c>
      <c r="G971" s="101" t="s">
        <v>165</v>
      </c>
      <c r="H971" s="25" t="s">
        <v>1275</v>
      </c>
      <c r="I971" s="26" t="s">
        <v>859</v>
      </c>
      <c r="J971" s="20" t="s">
        <v>699</v>
      </c>
      <c r="K971" s="104" t="s">
        <v>1277</v>
      </c>
      <c r="L971" s="48" t="s">
        <v>1282</v>
      </c>
      <c r="M971" s="49">
        <v>44462</v>
      </c>
      <c r="N971" s="20"/>
      <c r="O971" s="157">
        <v>0</v>
      </c>
      <c r="P971" s="30">
        <v>768</v>
      </c>
      <c r="Q971" s="51">
        <f t="shared" ref="Q971:Q1034" si="26">ROUND(O971*P971,2)</f>
        <v>0</v>
      </c>
      <c r="R971" s="31">
        <v>202310</v>
      </c>
      <c r="S971" s="117" t="s">
        <v>1283</v>
      </c>
      <c r="T971" s="33"/>
      <c r="U971" s="117"/>
      <c r="V971" s="117"/>
      <c r="W971" s="52"/>
      <c r="X971" s="52"/>
      <c r="Y971" s="36"/>
      <c r="Z971" s="36"/>
      <c r="AA971" s="36"/>
      <c r="AB971" s="36"/>
      <c r="AC971" s="36"/>
      <c r="AD971" s="36"/>
      <c r="AE971" s="36"/>
      <c r="AF971" s="40" t="s">
        <v>853</v>
      </c>
      <c r="AG971" s="42"/>
      <c r="AH971" s="42"/>
      <c r="AI971" s="43"/>
      <c r="AJ971" s="43"/>
      <c r="AK971" s="43"/>
      <c r="AL971" s="43"/>
      <c r="AM971" s="43"/>
      <c r="AN971" s="42"/>
      <c r="AO971" s="42"/>
      <c r="AP971" s="42"/>
      <c r="AQ971" s="43"/>
      <c r="AR971" s="42"/>
      <c r="AS971" s="42" t="s">
        <v>1280</v>
      </c>
    </row>
    <row r="972" spans="1:45" ht="15" customHeight="1">
      <c r="A972" s="22" t="s">
        <v>260</v>
      </c>
      <c r="B972" s="21" t="s">
        <v>46</v>
      </c>
      <c r="C972" s="22" t="s">
        <v>188</v>
      </c>
      <c r="D972" s="22" t="s">
        <v>48</v>
      </c>
      <c r="E972" s="23" t="s">
        <v>919</v>
      </c>
      <c r="F972" s="22" t="s">
        <v>920</v>
      </c>
      <c r="G972" s="101" t="s">
        <v>165</v>
      </c>
      <c r="H972" s="25" t="s">
        <v>1275</v>
      </c>
      <c r="I972" s="26" t="s">
        <v>859</v>
      </c>
      <c r="J972" s="20" t="s">
        <v>699</v>
      </c>
      <c r="K972" s="104" t="s">
        <v>1277</v>
      </c>
      <c r="L972" s="48" t="s">
        <v>1282</v>
      </c>
      <c r="M972" s="49">
        <v>45169</v>
      </c>
      <c r="N972" s="20"/>
      <c r="O972" s="157">
        <v>0</v>
      </c>
      <c r="P972" s="30">
        <v>-768</v>
      </c>
      <c r="Q972" s="51">
        <f t="shared" si="26"/>
        <v>0</v>
      </c>
      <c r="R972" s="31">
        <v>202310</v>
      </c>
      <c r="S972" s="117" t="s">
        <v>1284</v>
      </c>
      <c r="T972" s="33"/>
      <c r="U972" s="117"/>
      <c r="V972" s="117"/>
      <c r="W972" s="52"/>
      <c r="X972" s="52"/>
      <c r="Y972" s="36"/>
      <c r="Z972" s="36"/>
      <c r="AA972" s="36"/>
      <c r="AB972" s="36"/>
      <c r="AC972" s="36"/>
      <c r="AD972" s="36"/>
      <c r="AE972" s="36"/>
      <c r="AF972" s="40" t="s">
        <v>853</v>
      </c>
      <c r="AG972" s="42"/>
      <c r="AH972" s="42"/>
      <c r="AI972" s="43"/>
      <c r="AJ972" s="43"/>
      <c r="AK972" s="43"/>
      <c r="AL972" s="43"/>
      <c r="AM972" s="43"/>
      <c r="AN972" s="42"/>
      <c r="AO972" s="42"/>
      <c r="AP972" s="42"/>
      <c r="AQ972" s="43"/>
      <c r="AR972" s="42"/>
      <c r="AS972" s="42" t="s">
        <v>1280</v>
      </c>
    </row>
    <row r="973" spans="1:45" ht="15" customHeight="1">
      <c r="A973" s="20" t="s">
        <v>260</v>
      </c>
      <c r="B973" s="21" t="s">
        <v>46</v>
      </c>
      <c r="C973" s="22" t="s">
        <v>188</v>
      </c>
      <c r="D973" s="22" t="s">
        <v>48</v>
      </c>
      <c r="E973" s="23" t="s">
        <v>919</v>
      </c>
      <c r="F973" s="20" t="s">
        <v>920</v>
      </c>
      <c r="G973" s="47" t="s">
        <v>165</v>
      </c>
      <c r="H973" s="25" t="s">
        <v>1275</v>
      </c>
      <c r="I973" s="24" t="s">
        <v>491</v>
      </c>
      <c r="J973" s="20" t="s">
        <v>1285</v>
      </c>
      <c r="K973" s="26" t="s">
        <v>920</v>
      </c>
      <c r="L973" s="48"/>
      <c r="M973" s="49"/>
      <c r="N973" s="47" t="s">
        <v>653</v>
      </c>
      <c r="O973" s="50">
        <v>0</v>
      </c>
      <c r="P973" s="158">
        <v>512</v>
      </c>
      <c r="Q973" s="51">
        <f t="shared" si="26"/>
        <v>0</v>
      </c>
      <c r="R973" s="31">
        <v>202310</v>
      </c>
      <c r="S973" s="32" t="s">
        <v>1286</v>
      </c>
      <c r="T973" s="33"/>
      <c r="U973" s="117"/>
      <c r="V973" s="32"/>
      <c r="W973" s="52"/>
      <c r="X973" s="52"/>
      <c r="Y973" s="36"/>
      <c r="Z973" s="36"/>
      <c r="AA973" s="36"/>
      <c r="AB973" s="36"/>
      <c r="AC973" s="36"/>
      <c r="AD973" s="36"/>
      <c r="AE973" s="36"/>
      <c r="AF973" s="40" t="s">
        <v>503</v>
      </c>
      <c r="AG973" s="42"/>
      <c r="AH973" s="42"/>
      <c r="AI973" s="43"/>
      <c r="AJ973" s="43"/>
      <c r="AK973" s="43"/>
      <c r="AL973" s="43"/>
      <c r="AM973" s="43"/>
      <c r="AN973" s="42"/>
      <c r="AO973" s="42"/>
      <c r="AP973" s="42"/>
      <c r="AQ973" s="43"/>
      <c r="AR973" s="42"/>
      <c r="AS973" s="42" t="s">
        <v>1280</v>
      </c>
    </row>
    <row r="974" spans="1:45" ht="15" customHeight="1">
      <c r="A974" s="20" t="s">
        <v>260</v>
      </c>
      <c r="B974" s="21" t="s">
        <v>46</v>
      </c>
      <c r="C974" s="22" t="s">
        <v>188</v>
      </c>
      <c r="D974" s="22" t="s">
        <v>48</v>
      </c>
      <c r="E974" s="23" t="s">
        <v>919</v>
      </c>
      <c r="F974" s="20" t="s">
        <v>920</v>
      </c>
      <c r="G974" s="47" t="s">
        <v>165</v>
      </c>
      <c r="H974" s="25" t="s">
        <v>1275</v>
      </c>
      <c r="I974" s="24" t="s">
        <v>491</v>
      </c>
      <c r="J974" s="20" t="s">
        <v>1285</v>
      </c>
      <c r="K974" s="26" t="s">
        <v>920</v>
      </c>
      <c r="L974" s="48"/>
      <c r="M974" s="49"/>
      <c r="N974" s="47" t="s">
        <v>653</v>
      </c>
      <c r="O974" s="50">
        <v>0</v>
      </c>
      <c r="P974" s="158">
        <v>512</v>
      </c>
      <c r="Q974" s="51">
        <f t="shared" si="26"/>
        <v>0</v>
      </c>
      <c r="R974" s="31">
        <v>202310</v>
      </c>
      <c r="S974" s="32" t="s">
        <v>1287</v>
      </c>
      <c r="T974" s="33"/>
      <c r="U974" s="117"/>
      <c r="V974" s="32"/>
      <c r="W974" s="52"/>
      <c r="X974" s="52"/>
      <c r="Y974" s="36"/>
      <c r="Z974" s="36"/>
      <c r="AA974" s="36"/>
      <c r="AB974" s="36"/>
      <c r="AC974" s="36"/>
      <c r="AD974" s="36"/>
      <c r="AE974" s="36"/>
      <c r="AF974" s="40" t="s">
        <v>484</v>
      </c>
      <c r="AG974" s="42"/>
      <c r="AH974" s="42"/>
      <c r="AI974" s="43"/>
      <c r="AJ974" s="43"/>
      <c r="AK974" s="43"/>
      <c r="AL974" s="43"/>
      <c r="AM974" s="43"/>
      <c r="AN974" s="42"/>
      <c r="AO974" s="42"/>
      <c r="AP974" s="42"/>
      <c r="AQ974" s="43"/>
      <c r="AR974" s="42"/>
      <c r="AS974" s="42" t="s">
        <v>1280</v>
      </c>
    </row>
    <row r="975" spans="1:45" ht="15" customHeight="1">
      <c r="A975" s="20" t="s">
        <v>260</v>
      </c>
      <c r="B975" s="21" t="s">
        <v>46</v>
      </c>
      <c r="C975" s="22" t="s">
        <v>188</v>
      </c>
      <c r="D975" s="22" t="s">
        <v>48</v>
      </c>
      <c r="E975" s="23" t="s">
        <v>919</v>
      </c>
      <c r="F975" s="20" t="s">
        <v>920</v>
      </c>
      <c r="G975" s="47" t="s">
        <v>165</v>
      </c>
      <c r="H975" s="25" t="s">
        <v>1275</v>
      </c>
      <c r="I975" s="24" t="s">
        <v>491</v>
      </c>
      <c r="J975" s="20" t="s">
        <v>1285</v>
      </c>
      <c r="K975" s="26" t="s">
        <v>920</v>
      </c>
      <c r="L975" s="48"/>
      <c r="M975" s="49"/>
      <c r="N975" s="47" t="s">
        <v>656</v>
      </c>
      <c r="O975" s="50">
        <v>0</v>
      </c>
      <c r="P975" s="158">
        <v>0</v>
      </c>
      <c r="Q975" s="51">
        <f t="shared" si="26"/>
        <v>0</v>
      </c>
      <c r="R975" s="31">
        <v>202310</v>
      </c>
      <c r="S975" s="32" t="s">
        <v>1288</v>
      </c>
      <c r="T975" s="33"/>
      <c r="U975" s="117"/>
      <c r="V975" s="32"/>
      <c r="W975" s="52"/>
      <c r="X975" s="52"/>
      <c r="Y975" s="36"/>
      <c r="Z975" s="36"/>
      <c r="AA975" s="36"/>
      <c r="AB975" s="36"/>
      <c r="AC975" s="36"/>
      <c r="AD975" s="36"/>
      <c r="AE975" s="36"/>
      <c r="AF975" s="40" t="s">
        <v>484</v>
      </c>
      <c r="AG975" s="42"/>
      <c r="AH975" s="42"/>
      <c r="AI975" s="43"/>
      <c r="AJ975" s="43"/>
      <c r="AK975" s="43"/>
      <c r="AL975" s="43"/>
      <c r="AM975" s="43"/>
      <c r="AN975" s="42"/>
      <c r="AO975" s="42"/>
      <c r="AP975" s="42"/>
      <c r="AQ975" s="43"/>
      <c r="AR975" s="42"/>
      <c r="AS975" s="42" t="s">
        <v>1280</v>
      </c>
    </row>
    <row r="976" spans="1:45" ht="15" customHeight="1">
      <c r="A976" s="20" t="s">
        <v>260</v>
      </c>
      <c r="B976" s="21" t="s">
        <v>46</v>
      </c>
      <c r="C976" s="22" t="s">
        <v>188</v>
      </c>
      <c r="D976" s="22" t="s">
        <v>48</v>
      </c>
      <c r="E976" s="23" t="s">
        <v>919</v>
      </c>
      <c r="F976" s="20" t="s">
        <v>920</v>
      </c>
      <c r="G976" s="47" t="s">
        <v>165</v>
      </c>
      <c r="H976" s="25" t="s">
        <v>1275</v>
      </c>
      <c r="I976" s="24" t="s">
        <v>491</v>
      </c>
      <c r="J976" s="20" t="s">
        <v>1289</v>
      </c>
      <c r="K976" s="26" t="s">
        <v>1290</v>
      </c>
      <c r="L976" s="48"/>
      <c r="M976" s="49"/>
      <c r="N976" s="47"/>
      <c r="O976" s="50">
        <v>0</v>
      </c>
      <c r="P976" s="158">
        <v>512</v>
      </c>
      <c r="Q976" s="51">
        <f t="shared" si="26"/>
        <v>0</v>
      </c>
      <c r="R976" s="31">
        <v>202310</v>
      </c>
      <c r="S976" s="32" t="s">
        <v>1291</v>
      </c>
      <c r="T976" s="33"/>
      <c r="U976" s="117"/>
      <c r="V976" s="32"/>
      <c r="W976" s="52"/>
      <c r="X976" s="52"/>
      <c r="Y976" s="36"/>
      <c r="Z976" s="36"/>
      <c r="AA976" s="36"/>
      <c r="AB976" s="36"/>
      <c r="AC976" s="36"/>
      <c r="AD976" s="36"/>
      <c r="AE976" s="36"/>
      <c r="AF976" s="40" t="s">
        <v>503</v>
      </c>
      <c r="AG976" s="42"/>
      <c r="AH976" s="42"/>
      <c r="AI976" s="43"/>
      <c r="AJ976" s="43"/>
      <c r="AK976" s="43"/>
      <c r="AL976" s="43"/>
      <c r="AM976" s="43"/>
      <c r="AN976" s="42"/>
      <c r="AO976" s="42"/>
      <c r="AP976" s="42"/>
      <c r="AQ976" s="43"/>
      <c r="AR976" s="42"/>
      <c r="AS976" s="42" t="s">
        <v>1280</v>
      </c>
    </row>
    <row r="977" spans="1:45" ht="15" customHeight="1">
      <c r="A977" s="22" t="s">
        <v>260</v>
      </c>
      <c r="B977" s="21" t="s">
        <v>46</v>
      </c>
      <c r="C977" s="22" t="s">
        <v>188</v>
      </c>
      <c r="D977" s="22" t="s">
        <v>48</v>
      </c>
      <c r="E977" s="23" t="s">
        <v>919</v>
      </c>
      <c r="F977" s="22" t="s">
        <v>920</v>
      </c>
      <c r="G977" s="101" t="s">
        <v>77</v>
      </c>
      <c r="H977" s="25" t="s">
        <v>1275</v>
      </c>
      <c r="I977" s="24" t="s">
        <v>849</v>
      </c>
      <c r="J977" s="20" t="s">
        <v>1276</v>
      </c>
      <c r="K977" s="20" t="s">
        <v>1277</v>
      </c>
      <c r="L977" s="48" t="s">
        <v>1278</v>
      </c>
      <c r="M977" s="156" t="s">
        <v>340</v>
      </c>
      <c r="N977" s="20" t="s">
        <v>504</v>
      </c>
      <c r="O977" s="157">
        <v>4000</v>
      </c>
      <c r="P977" s="30">
        <v>2</v>
      </c>
      <c r="Q977" s="30">
        <f t="shared" si="26"/>
        <v>8000</v>
      </c>
      <c r="R977" s="31">
        <v>202310</v>
      </c>
      <c r="S977" s="117" t="s">
        <v>1292</v>
      </c>
      <c r="T977" s="33"/>
      <c r="U977" s="117"/>
      <c r="V977" s="117"/>
      <c r="W977" s="42"/>
      <c r="X977" s="42"/>
      <c r="Y977" s="36"/>
      <c r="Z977" s="36"/>
      <c r="AA977" s="36"/>
      <c r="AB977" s="36"/>
      <c r="AC977" s="36"/>
      <c r="AD977" s="36"/>
      <c r="AE977" s="36"/>
      <c r="AF977" s="40" t="s">
        <v>853</v>
      </c>
      <c r="AG977" s="42"/>
      <c r="AH977" s="42"/>
      <c r="AI977" s="43"/>
      <c r="AJ977" s="43"/>
      <c r="AK977" s="43"/>
      <c r="AL977" s="43"/>
      <c r="AM977" s="43"/>
      <c r="AN977" s="42"/>
      <c r="AO977" s="42"/>
      <c r="AP977" s="42"/>
      <c r="AQ977" s="43"/>
      <c r="AR977" s="42"/>
      <c r="AS977" s="42" t="s">
        <v>1280</v>
      </c>
    </row>
    <row r="978" spans="1:45" ht="15" customHeight="1">
      <c r="A978" s="22" t="s">
        <v>260</v>
      </c>
      <c r="B978" s="21" t="s">
        <v>46</v>
      </c>
      <c r="C978" s="22" t="s">
        <v>188</v>
      </c>
      <c r="D978" s="22" t="s">
        <v>48</v>
      </c>
      <c r="E978" s="23" t="s">
        <v>919</v>
      </c>
      <c r="F978" s="22" t="s">
        <v>920</v>
      </c>
      <c r="G978" s="101" t="s">
        <v>77</v>
      </c>
      <c r="H978" s="25" t="s">
        <v>1275</v>
      </c>
      <c r="I978" s="24" t="s">
        <v>849</v>
      </c>
      <c r="J978" s="20" t="s">
        <v>1276</v>
      </c>
      <c r="K978" s="20" t="s">
        <v>1277</v>
      </c>
      <c r="L978" s="48" t="s">
        <v>1278</v>
      </c>
      <c r="M978" s="156" t="s">
        <v>340</v>
      </c>
      <c r="N978" s="20" t="s">
        <v>504</v>
      </c>
      <c r="O978" s="157">
        <v>0</v>
      </c>
      <c r="P978" s="30">
        <v>4</v>
      </c>
      <c r="Q978" s="30">
        <f t="shared" si="26"/>
        <v>0</v>
      </c>
      <c r="R978" s="31">
        <v>202310</v>
      </c>
      <c r="S978" s="117" t="s">
        <v>1293</v>
      </c>
      <c r="T978" s="33"/>
      <c r="U978" s="117"/>
      <c r="V978" s="117"/>
      <c r="W978" s="42"/>
      <c r="X978" s="42"/>
      <c r="Y978" s="36"/>
      <c r="Z978" s="36"/>
      <c r="AA978" s="36"/>
      <c r="AB978" s="36"/>
      <c r="AC978" s="36"/>
      <c r="AD978" s="36"/>
      <c r="AE978" s="36"/>
      <c r="AF978" s="40" t="s">
        <v>853</v>
      </c>
      <c r="AG978" s="42"/>
      <c r="AH978" s="42"/>
      <c r="AI978" s="43"/>
      <c r="AJ978" s="43"/>
      <c r="AK978" s="43"/>
      <c r="AL978" s="43"/>
      <c r="AM978" s="43"/>
      <c r="AN978" s="42"/>
      <c r="AO978" s="42"/>
      <c r="AP978" s="42"/>
      <c r="AQ978" s="43"/>
      <c r="AR978" s="42"/>
      <c r="AS978" s="42" t="s">
        <v>1280</v>
      </c>
    </row>
    <row r="979" spans="1:45" ht="15" customHeight="1">
      <c r="A979" s="22" t="s">
        <v>260</v>
      </c>
      <c r="B979" s="21" t="s">
        <v>46</v>
      </c>
      <c r="C979" s="22" t="s">
        <v>188</v>
      </c>
      <c r="D979" s="22" t="s">
        <v>48</v>
      </c>
      <c r="E979" s="23" t="s">
        <v>919</v>
      </c>
      <c r="F979" s="22" t="s">
        <v>920</v>
      </c>
      <c r="G979" s="101" t="s">
        <v>77</v>
      </c>
      <c r="H979" s="25" t="s">
        <v>1275</v>
      </c>
      <c r="I979" s="24" t="s">
        <v>849</v>
      </c>
      <c r="J979" s="20" t="s">
        <v>1276</v>
      </c>
      <c r="K979" s="20" t="s">
        <v>1277</v>
      </c>
      <c r="L979" s="48" t="s">
        <v>1278</v>
      </c>
      <c r="M979" s="49">
        <v>44454</v>
      </c>
      <c r="N979" s="20" t="s">
        <v>504</v>
      </c>
      <c r="O979" s="157">
        <v>4000</v>
      </c>
      <c r="P979" s="30">
        <v>-2</v>
      </c>
      <c r="Q979" s="51">
        <f t="shared" si="26"/>
        <v>-8000</v>
      </c>
      <c r="R979" s="31">
        <v>202310</v>
      </c>
      <c r="S979" s="117" t="s">
        <v>1294</v>
      </c>
      <c r="T979" s="33"/>
      <c r="U979" s="117"/>
      <c r="V979" s="117"/>
      <c r="W979" s="42"/>
      <c r="X979" s="42"/>
      <c r="Y979" s="36"/>
      <c r="Z979" s="36"/>
      <c r="AA979" s="36"/>
      <c r="AB979" s="36"/>
      <c r="AC979" s="36"/>
      <c r="AD979" s="36"/>
      <c r="AE979" s="36"/>
      <c r="AF979" s="40" t="s">
        <v>853</v>
      </c>
      <c r="AG979" s="42"/>
      <c r="AH979" s="42"/>
      <c r="AI979" s="43"/>
      <c r="AJ979" s="43"/>
      <c r="AK979" s="43"/>
      <c r="AL979" s="43"/>
      <c r="AM979" s="43"/>
      <c r="AN979" s="42"/>
      <c r="AO979" s="42"/>
      <c r="AP979" s="42"/>
      <c r="AQ979" s="43"/>
      <c r="AR979" s="42"/>
      <c r="AS979" s="42" t="s">
        <v>1280</v>
      </c>
    </row>
    <row r="980" spans="1:45" ht="15" customHeight="1">
      <c r="A980" s="22" t="s">
        <v>260</v>
      </c>
      <c r="B980" s="21" t="s">
        <v>46</v>
      </c>
      <c r="C980" s="22" t="s">
        <v>188</v>
      </c>
      <c r="D980" s="22" t="s">
        <v>48</v>
      </c>
      <c r="E980" s="23" t="s">
        <v>919</v>
      </c>
      <c r="F980" s="22" t="s">
        <v>920</v>
      </c>
      <c r="G980" s="101" t="s">
        <v>77</v>
      </c>
      <c r="H980" s="25" t="s">
        <v>1275</v>
      </c>
      <c r="I980" s="24" t="s">
        <v>849</v>
      </c>
      <c r="J980" s="20" t="s">
        <v>1276</v>
      </c>
      <c r="K980" s="20" t="s">
        <v>1277</v>
      </c>
      <c r="L980" s="48" t="s">
        <v>1278</v>
      </c>
      <c r="M980" s="49">
        <v>44454</v>
      </c>
      <c r="N980" s="20" t="s">
        <v>504</v>
      </c>
      <c r="O980" s="157">
        <v>0</v>
      </c>
      <c r="P980" s="30">
        <v>-4</v>
      </c>
      <c r="Q980" s="30">
        <f t="shared" si="26"/>
        <v>0</v>
      </c>
      <c r="R980" s="31">
        <v>202310</v>
      </c>
      <c r="S980" s="117" t="s">
        <v>1295</v>
      </c>
      <c r="T980" s="33"/>
      <c r="U980" s="117"/>
      <c r="V980" s="117"/>
      <c r="W980" s="42"/>
      <c r="X980" s="42"/>
      <c r="Y980" s="36"/>
      <c r="Z980" s="36"/>
      <c r="AA980" s="36"/>
      <c r="AB980" s="36"/>
      <c r="AC980" s="36"/>
      <c r="AD980" s="36"/>
      <c r="AE980" s="36"/>
      <c r="AF980" s="40" t="s">
        <v>853</v>
      </c>
      <c r="AG980" s="42"/>
      <c r="AH980" s="42"/>
      <c r="AI980" s="43"/>
      <c r="AJ980" s="43"/>
      <c r="AK980" s="43"/>
      <c r="AL980" s="43"/>
      <c r="AM980" s="43"/>
      <c r="AN980" s="42"/>
      <c r="AO980" s="42"/>
      <c r="AP980" s="42"/>
      <c r="AQ980" s="43"/>
      <c r="AR980" s="42"/>
      <c r="AS980" s="42" t="s">
        <v>1280</v>
      </c>
    </row>
    <row r="981" spans="1:45" ht="15" customHeight="1">
      <c r="A981" s="22" t="s">
        <v>260</v>
      </c>
      <c r="B981" s="21" t="s">
        <v>46</v>
      </c>
      <c r="C981" s="22" t="s">
        <v>188</v>
      </c>
      <c r="D981" s="22" t="s">
        <v>48</v>
      </c>
      <c r="E981" s="23" t="s">
        <v>919</v>
      </c>
      <c r="F981" s="22" t="s">
        <v>920</v>
      </c>
      <c r="G981" s="101" t="s">
        <v>77</v>
      </c>
      <c r="H981" s="25" t="s">
        <v>1275</v>
      </c>
      <c r="I981" s="24" t="s">
        <v>849</v>
      </c>
      <c r="J981" s="20" t="s">
        <v>1296</v>
      </c>
      <c r="K981" s="104" t="s">
        <v>1277</v>
      </c>
      <c r="L981" s="48" t="s">
        <v>1282</v>
      </c>
      <c r="M981" s="49">
        <v>44462</v>
      </c>
      <c r="N981" s="20" t="s">
        <v>504</v>
      </c>
      <c r="O981" s="157">
        <v>0</v>
      </c>
      <c r="P981" s="30">
        <v>2</v>
      </c>
      <c r="Q981" s="51">
        <f t="shared" si="26"/>
        <v>0</v>
      </c>
      <c r="R981" s="31">
        <v>202310</v>
      </c>
      <c r="S981" s="117" t="s">
        <v>1297</v>
      </c>
      <c r="T981" s="33"/>
      <c r="U981" s="117"/>
      <c r="V981" s="117"/>
      <c r="W981" s="42"/>
      <c r="X981" s="42"/>
      <c r="Y981" s="36"/>
      <c r="Z981" s="36"/>
      <c r="AA981" s="36"/>
      <c r="AB981" s="36"/>
      <c r="AC981" s="36"/>
      <c r="AD981" s="36"/>
      <c r="AE981" s="36"/>
      <c r="AF981" s="40" t="s">
        <v>853</v>
      </c>
      <c r="AG981" s="42"/>
      <c r="AH981" s="42"/>
      <c r="AI981" s="43"/>
      <c r="AJ981" s="43"/>
      <c r="AK981" s="43"/>
      <c r="AL981" s="43"/>
      <c r="AM981" s="43"/>
      <c r="AN981" s="42"/>
      <c r="AO981" s="42"/>
      <c r="AP981" s="42"/>
      <c r="AQ981" s="43"/>
      <c r="AR981" s="42"/>
      <c r="AS981" s="42" t="s">
        <v>1280</v>
      </c>
    </row>
    <row r="982" spans="1:45" ht="15" customHeight="1">
      <c r="A982" s="22" t="s">
        <v>260</v>
      </c>
      <c r="B982" s="21" t="s">
        <v>46</v>
      </c>
      <c r="C982" s="22" t="s">
        <v>188</v>
      </c>
      <c r="D982" s="22" t="s">
        <v>48</v>
      </c>
      <c r="E982" s="23" t="s">
        <v>919</v>
      </c>
      <c r="F982" s="22" t="s">
        <v>920</v>
      </c>
      <c r="G982" s="101" t="s">
        <v>77</v>
      </c>
      <c r="H982" s="25" t="s">
        <v>1275</v>
      </c>
      <c r="I982" s="24" t="s">
        <v>849</v>
      </c>
      <c r="J982" s="20" t="s">
        <v>1296</v>
      </c>
      <c r="K982" s="104" t="s">
        <v>1277</v>
      </c>
      <c r="L982" s="48" t="s">
        <v>1282</v>
      </c>
      <c r="M982" s="49">
        <v>44462</v>
      </c>
      <c r="N982" s="20" t="s">
        <v>504</v>
      </c>
      <c r="O982" s="157">
        <v>0</v>
      </c>
      <c r="P982" s="30">
        <v>4</v>
      </c>
      <c r="Q982" s="51">
        <f t="shared" si="26"/>
        <v>0</v>
      </c>
      <c r="R982" s="31">
        <v>202310</v>
      </c>
      <c r="S982" s="117" t="s">
        <v>1298</v>
      </c>
      <c r="T982" s="33"/>
      <c r="U982" s="117"/>
      <c r="V982" s="117"/>
      <c r="W982" s="42"/>
      <c r="X982" s="42"/>
      <c r="Y982" s="36"/>
      <c r="Z982" s="36"/>
      <c r="AA982" s="36"/>
      <c r="AB982" s="36"/>
      <c r="AC982" s="36"/>
      <c r="AD982" s="36"/>
      <c r="AE982" s="36"/>
      <c r="AF982" s="40" t="s">
        <v>853</v>
      </c>
      <c r="AG982" s="42"/>
      <c r="AH982" s="42"/>
      <c r="AI982" s="43"/>
      <c r="AJ982" s="43"/>
      <c r="AK982" s="43"/>
      <c r="AL982" s="43"/>
      <c r="AM982" s="43"/>
      <c r="AN982" s="42"/>
      <c r="AO982" s="42"/>
      <c r="AP982" s="42"/>
      <c r="AQ982" s="43"/>
      <c r="AR982" s="42"/>
      <c r="AS982" s="42" t="s">
        <v>1280</v>
      </c>
    </row>
    <row r="983" spans="1:45" ht="15" customHeight="1">
      <c r="A983" s="22" t="s">
        <v>260</v>
      </c>
      <c r="B983" s="21" t="s">
        <v>46</v>
      </c>
      <c r="C983" s="22" t="s">
        <v>188</v>
      </c>
      <c r="D983" s="22" t="s">
        <v>48</v>
      </c>
      <c r="E983" s="23" t="s">
        <v>919</v>
      </c>
      <c r="F983" s="22" t="s">
        <v>920</v>
      </c>
      <c r="G983" s="101" t="s">
        <v>77</v>
      </c>
      <c r="H983" s="25" t="s">
        <v>1275</v>
      </c>
      <c r="I983" s="24" t="s">
        <v>849</v>
      </c>
      <c r="J983" s="20" t="s">
        <v>1296</v>
      </c>
      <c r="K983" s="104" t="s">
        <v>1277</v>
      </c>
      <c r="L983" s="48" t="s">
        <v>1282</v>
      </c>
      <c r="M983" s="49">
        <v>45169</v>
      </c>
      <c r="N983" s="20" t="s">
        <v>504</v>
      </c>
      <c r="O983" s="157">
        <v>0</v>
      </c>
      <c r="P983" s="30">
        <v>-6</v>
      </c>
      <c r="Q983" s="51">
        <f t="shared" si="26"/>
        <v>0</v>
      </c>
      <c r="R983" s="31">
        <v>202310</v>
      </c>
      <c r="S983" s="117" t="s">
        <v>1299</v>
      </c>
      <c r="T983" s="33"/>
      <c r="U983" s="117"/>
      <c r="V983" s="117"/>
      <c r="W983" s="42"/>
      <c r="X983" s="42"/>
      <c r="Y983" s="36"/>
      <c r="Z983" s="36"/>
      <c r="AA983" s="36"/>
      <c r="AB983" s="36"/>
      <c r="AC983" s="36"/>
      <c r="AD983" s="36"/>
      <c r="AE983" s="36"/>
      <c r="AF983" s="40" t="s">
        <v>853</v>
      </c>
      <c r="AG983" s="42"/>
      <c r="AH983" s="42"/>
      <c r="AI983" s="43"/>
      <c r="AJ983" s="43"/>
      <c r="AK983" s="43"/>
      <c r="AL983" s="43"/>
      <c r="AM983" s="43"/>
      <c r="AN983" s="42"/>
      <c r="AO983" s="42"/>
      <c r="AP983" s="42"/>
      <c r="AQ983" s="43"/>
      <c r="AR983" s="42"/>
      <c r="AS983" s="42" t="s">
        <v>1280</v>
      </c>
    </row>
    <row r="984" spans="1:45" ht="15" customHeight="1">
      <c r="A984" s="22" t="s">
        <v>260</v>
      </c>
      <c r="B984" s="21" t="s">
        <v>46</v>
      </c>
      <c r="C984" s="22" t="s">
        <v>188</v>
      </c>
      <c r="D984" s="22" t="s">
        <v>48</v>
      </c>
      <c r="E984" s="23" t="s">
        <v>919</v>
      </c>
      <c r="F984" s="22" t="s">
        <v>920</v>
      </c>
      <c r="G984" s="101" t="s">
        <v>77</v>
      </c>
      <c r="H984" s="25" t="s">
        <v>1275</v>
      </c>
      <c r="I984" s="24" t="s">
        <v>479</v>
      </c>
      <c r="J984" s="20" t="s">
        <v>699</v>
      </c>
      <c r="K984" s="26" t="s">
        <v>1290</v>
      </c>
      <c r="L984" s="48" t="s">
        <v>1300</v>
      </c>
      <c r="M984" s="156" t="s">
        <v>340</v>
      </c>
      <c r="N984" s="20" t="s">
        <v>177</v>
      </c>
      <c r="O984" s="157">
        <v>0</v>
      </c>
      <c r="P984" s="30">
        <v>9</v>
      </c>
      <c r="Q984" s="51">
        <f t="shared" si="26"/>
        <v>0</v>
      </c>
      <c r="R984" s="31">
        <v>202310</v>
      </c>
      <c r="S984" s="117" t="s">
        <v>1301</v>
      </c>
      <c r="T984" s="33"/>
      <c r="U984" s="117"/>
      <c r="V984" s="117"/>
      <c r="W984" s="42"/>
      <c r="X984" s="42"/>
      <c r="Y984" s="36"/>
      <c r="Z984" s="36"/>
      <c r="AA984" s="36"/>
      <c r="AB984" s="36"/>
      <c r="AC984" s="36"/>
      <c r="AD984" s="36"/>
      <c r="AE984" s="36"/>
      <c r="AF984" s="40" t="s">
        <v>503</v>
      </c>
      <c r="AG984" s="42"/>
      <c r="AH984" s="42"/>
      <c r="AI984" s="43"/>
      <c r="AJ984" s="43"/>
      <c r="AK984" s="43"/>
      <c r="AL984" s="43"/>
      <c r="AM984" s="43"/>
      <c r="AN984" s="42"/>
      <c r="AO984" s="42"/>
      <c r="AP984" s="42"/>
      <c r="AQ984" s="43"/>
      <c r="AR984" s="42"/>
      <c r="AS984" s="42" t="s">
        <v>1280</v>
      </c>
    </row>
    <row r="985" spans="1:45" ht="15" customHeight="1">
      <c r="A985" s="22" t="s">
        <v>260</v>
      </c>
      <c r="B985" s="21" t="s">
        <v>46</v>
      </c>
      <c r="C985" s="22" t="s">
        <v>188</v>
      </c>
      <c r="D985" s="22" t="s">
        <v>48</v>
      </c>
      <c r="E985" s="23" t="s">
        <v>919</v>
      </c>
      <c r="F985" s="22" t="s">
        <v>920</v>
      </c>
      <c r="G985" s="101" t="s">
        <v>77</v>
      </c>
      <c r="H985" s="25" t="s">
        <v>1275</v>
      </c>
      <c r="I985" s="24" t="s">
        <v>479</v>
      </c>
      <c r="J985" s="20" t="s">
        <v>699</v>
      </c>
      <c r="K985" s="26" t="s">
        <v>920</v>
      </c>
      <c r="L985" s="48" t="s">
        <v>1300</v>
      </c>
      <c r="M985" s="156" t="s">
        <v>340</v>
      </c>
      <c r="N985" s="20" t="s">
        <v>177</v>
      </c>
      <c r="O985" s="157">
        <v>0</v>
      </c>
      <c r="P985" s="30">
        <v>6</v>
      </c>
      <c r="Q985" s="51">
        <f t="shared" si="26"/>
        <v>0</v>
      </c>
      <c r="R985" s="31">
        <v>202310</v>
      </c>
      <c r="S985" s="117" t="s">
        <v>1302</v>
      </c>
      <c r="T985" s="33"/>
      <c r="U985" s="117"/>
      <c r="V985" s="117"/>
      <c r="W985" s="42"/>
      <c r="X985" s="42"/>
      <c r="Y985" s="36"/>
      <c r="Z985" s="36"/>
      <c r="AA985" s="36"/>
      <c r="AB985" s="36"/>
      <c r="AC985" s="36"/>
      <c r="AD985" s="36"/>
      <c r="AE985" s="36"/>
      <c r="AF985" s="40" t="s">
        <v>503</v>
      </c>
      <c r="AG985" s="42"/>
      <c r="AH985" s="42"/>
      <c r="AI985" s="43"/>
      <c r="AJ985" s="43"/>
      <c r="AK985" s="43"/>
      <c r="AL985" s="43"/>
      <c r="AM985" s="43"/>
      <c r="AN985" s="42"/>
      <c r="AO985" s="42"/>
      <c r="AP985" s="42"/>
      <c r="AQ985" s="43"/>
      <c r="AR985" s="42"/>
      <c r="AS985" s="42" t="s">
        <v>1280</v>
      </c>
    </row>
    <row r="986" spans="1:45" ht="15" customHeight="1">
      <c r="A986" s="22" t="s">
        <v>260</v>
      </c>
      <c r="B986" s="21" t="s">
        <v>46</v>
      </c>
      <c r="C986" s="22" t="s">
        <v>188</v>
      </c>
      <c r="D986" s="22" t="s">
        <v>48</v>
      </c>
      <c r="E986" s="23" t="s">
        <v>919</v>
      </c>
      <c r="F986" s="22" t="s">
        <v>920</v>
      </c>
      <c r="G986" s="101" t="s">
        <v>77</v>
      </c>
      <c r="H986" s="25" t="s">
        <v>1275</v>
      </c>
      <c r="I986" s="24" t="s">
        <v>479</v>
      </c>
      <c r="J986" s="20" t="s">
        <v>699</v>
      </c>
      <c r="K986" s="26" t="s">
        <v>920</v>
      </c>
      <c r="L986" s="48" t="s">
        <v>1300</v>
      </c>
      <c r="M986" s="156" t="s">
        <v>340</v>
      </c>
      <c r="N986" s="20" t="s">
        <v>177</v>
      </c>
      <c r="O986" s="157">
        <v>0</v>
      </c>
      <c r="P986" s="30">
        <v>3</v>
      </c>
      <c r="Q986" s="51">
        <f t="shared" si="26"/>
        <v>0</v>
      </c>
      <c r="R986" s="31">
        <v>202310</v>
      </c>
      <c r="S986" s="159" t="s">
        <v>1303</v>
      </c>
      <c r="T986" s="33"/>
      <c r="U986" s="117"/>
      <c r="V986" s="117"/>
      <c r="W986" s="42"/>
      <c r="X986" s="42"/>
      <c r="Y986" s="36"/>
      <c r="Z986" s="36"/>
      <c r="AA986" s="36"/>
      <c r="AB986" s="36"/>
      <c r="AC986" s="36"/>
      <c r="AD986" s="36"/>
      <c r="AE986" s="36"/>
      <c r="AF986" s="40" t="s">
        <v>484</v>
      </c>
      <c r="AG986" s="42"/>
      <c r="AH986" s="42"/>
      <c r="AI986" s="43"/>
      <c r="AJ986" s="43"/>
      <c r="AK986" s="43"/>
      <c r="AL986" s="43"/>
      <c r="AM986" s="43"/>
      <c r="AN986" s="42"/>
      <c r="AO986" s="42"/>
      <c r="AP986" s="42"/>
      <c r="AQ986" s="43"/>
      <c r="AR986" s="42"/>
      <c r="AS986" s="42" t="s">
        <v>1280</v>
      </c>
    </row>
    <row r="987" spans="1:45" ht="15" customHeight="1">
      <c r="A987" s="22" t="s">
        <v>260</v>
      </c>
      <c r="B987" s="21" t="s">
        <v>46</v>
      </c>
      <c r="C987" s="22" t="s">
        <v>188</v>
      </c>
      <c r="D987" s="22" t="s">
        <v>48</v>
      </c>
      <c r="E987" s="23" t="s">
        <v>919</v>
      </c>
      <c r="F987" s="22" t="s">
        <v>920</v>
      </c>
      <c r="G987" s="101" t="s">
        <v>77</v>
      </c>
      <c r="H987" s="25" t="s">
        <v>1275</v>
      </c>
      <c r="I987" s="24" t="s">
        <v>479</v>
      </c>
      <c r="J987" s="20" t="s">
        <v>699</v>
      </c>
      <c r="K987" s="26" t="s">
        <v>920</v>
      </c>
      <c r="L987" s="48" t="s">
        <v>1300</v>
      </c>
      <c r="M987" s="156">
        <v>44178</v>
      </c>
      <c r="N987" s="20" t="s">
        <v>177</v>
      </c>
      <c r="O987" s="157">
        <v>0</v>
      </c>
      <c r="P987" s="30">
        <v>1</v>
      </c>
      <c r="Q987" s="51">
        <f t="shared" si="26"/>
        <v>0</v>
      </c>
      <c r="R987" s="31">
        <v>202310</v>
      </c>
      <c r="S987" s="117" t="s">
        <v>1304</v>
      </c>
      <c r="T987" s="33"/>
      <c r="U987" s="117"/>
      <c r="V987" s="117"/>
      <c r="W987" s="42"/>
      <c r="X987" s="42"/>
      <c r="Y987" s="36"/>
      <c r="Z987" s="36"/>
      <c r="AA987" s="36"/>
      <c r="AB987" s="36"/>
      <c r="AC987" s="36"/>
      <c r="AD987" s="36"/>
      <c r="AE987" s="36"/>
      <c r="AF987" s="40" t="s">
        <v>484</v>
      </c>
      <c r="AG987" s="42"/>
      <c r="AH987" s="42"/>
      <c r="AI987" s="43"/>
      <c r="AJ987" s="43"/>
      <c r="AK987" s="43"/>
      <c r="AL987" s="43"/>
      <c r="AM987" s="43"/>
      <c r="AN987" s="42"/>
      <c r="AO987" s="42"/>
      <c r="AP987" s="42"/>
      <c r="AQ987" s="43"/>
      <c r="AR987" s="42"/>
      <c r="AS987" s="42" t="s">
        <v>1280</v>
      </c>
    </row>
    <row r="988" spans="1:45" ht="15" customHeight="1">
      <c r="A988" s="20" t="s">
        <v>260</v>
      </c>
      <c r="B988" s="21" t="s">
        <v>46</v>
      </c>
      <c r="C988" s="22" t="s">
        <v>188</v>
      </c>
      <c r="D988" s="22" t="s">
        <v>48</v>
      </c>
      <c r="E988" s="23" t="s">
        <v>919</v>
      </c>
      <c r="F988" s="20" t="s">
        <v>1305</v>
      </c>
      <c r="G988" s="20" t="s">
        <v>77</v>
      </c>
      <c r="H988" s="25" t="s">
        <v>1306</v>
      </c>
      <c r="I988" s="24" t="s">
        <v>479</v>
      </c>
      <c r="J988" s="20" t="s">
        <v>1307</v>
      </c>
      <c r="K988" s="26" t="s">
        <v>1308</v>
      </c>
      <c r="L988" s="20" t="s">
        <v>1309</v>
      </c>
      <c r="M988" s="156">
        <v>44971</v>
      </c>
      <c r="N988" s="20" t="s">
        <v>1310</v>
      </c>
      <c r="O988" s="28">
        <v>0</v>
      </c>
      <c r="P988" s="29">
        <v>1</v>
      </c>
      <c r="Q988" s="30">
        <f t="shared" si="26"/>
        <v>0</v>
      </c>
      <c r="R988" s="31">
        <v>202310</v>
      </c>
      <c r="S988" s="32" t="s">
        <v>1311</v>
      </c>
      <c r="T988" s="33"/>
      <c r="U988" s="32"/>
      <c r="V988" s="32"/>
      <c r="W988" s="35"/>
      <c r="X988" s="35"/>
      <c r="Y988" s="36">
        <v>44972</v>
      </c>
      <c r="Z988" s="36">
        <v>45336</v>
      </c>
      <c r="AA988" s="36"/>
      <c r="AB988" s="36"/>
      <c r="AC988" s="36"/>
      <c r="AD988" s="36"/>
      <c r="AE988" s="36"/>
      <c r="AF988" s="148" t="s">
        <v>484</v>
      </c>
      <c r="AG988" s="42"/>
      <c r="AH988" s="42"/>
      <c r="AI988" s="43"/>
      <c r="AJ988" s="43"/>
      <c r="AK988" s="43"/>
      <c r="AL988" s="43"/>
      <c r="AM988" s="43"/>
      <c r="AN988" s="42"/>
      <c r="AO988" s="42"/>
      <c r="AP988" s="42"/>
      <c r="AQ988" s="42"/>
      <c r="AR988" s="42"/>
      <c r="AS988" s="42"/>
    </row>
    <row r="989" spans="1:45" ht="15" customHeight="1">
      <c r="A989" s="20" t="s">
        <v>260</v>
      </c>
      <c r="B989" s="21" t="s">
        <v>46</v>
      </c>
      <c r="C989" s="22" t="s">
        <v>188</v>
      </c>
      <c r="D989" s="22" t="s">
        <v>48</v>
      </c>
      <c r="E989" s="23" t="s">
        <v>919</v>
      </c>
      <c r="F989" s="20" t="s">
        <v>1305</v>
      </c>
      <c r="G989" s="20" t="s">
        <v>165</v>
      </c>
      <c r="H989" s="25" t="s">
        <v>1306</v>
      </c>
      <c r="I989" s="24" t="s">
        <v>491</v>
      </c>
      <c r="J989" s="20" t="s">
        <v>1307</v>
      </c>
      <c r="K989" s="26" t="s">
        <v>1308</v>
      </c>
      <c r="L989" s="20" t="s">
        <v>1309</v>
      </c>
      <c r="M989" s="156">
        <v>44971</v>
      </c>
      <c r="N989" s="20"/>
      <c r="O989" s="28">
        <v>0</v>
      </c>
      <c r="P989" s="29">
        <v>160</v>
      </c>
      <c r="Q989" s="30">
        <f t="shared" si="26"/>
        <v>0</v>
      </c>
      <c r="R989" s="31">
        <v>202310</v>
      </c>
      <c r="S989" s="32" t="s">
        <v>1312</v>
      </c>
      <c r="T989" s="33"/>
      <c r="U989" s="32"/>
      <c r="V989" s="32"/>
      <c r="W989" s="35"/>
      <c r="X989" s="35"/>
      <c r="Y989" s="36">
        <v>44972</v>
      </c>
      <c r="Z989" s="36">
        <v>45336</v>
      </c>
      <c r="AA989" s="36"/>
      <c r="AB989" s="36"/>
      <c r="AC989" s="36"/>
      <c r="AD989" s="36"/>
      <c r="AE989" s="36"/>
      <c r="AF989" s="148" t="s">
        <v>484</v>
      </c>
      <c r="AG989" s="42"/>
      <c r="AH989" s="42"/>
      <c r="AI989" s="43"/>
      <c r="AJ989" s="43"/>
      <c r="AK989" s="43"/>
      <c r="AL989" s="43"/>
      <c r="AM989" s="43"/>
      <c r="AN989" s="42"/>
      <c r="AO989" s="42"/>
      <c r="AP989" s="42"/>
      <c r="AQ989" s="42"/>
      <c r="AR989" s="42"/>
      <c r="AS989" s="42"/>
    </row>
    <row r="990" spans="1:45" ht="15" customHeight="1">
      <c r="A990" s="21" t="s">
        <v>260</v>
      </c>
      <c r="B990" s="21" t="s">
        <v>46</v>
      </c>
      <c r="C990" s="21" t="s">
        <v>188</v>
      </c>
      <c r="D990" s="21" t="s">
        <v>48</v>
      </c>
      <c r="E990" s="80" t="s">
        <v>1313</v>
      </c>
      <c r="F990" s="21" t="s">
        <v>953</v>
      </c>
      <c r="G990" s="26" t="s">
        <v>62</v>
      </c>
      <c r="H990" s="160" t="s">
        <v>1314</v>
      </c>
      <c r="I990" s="26" t="s">
        <v>64</v>
      </c>
      <c r="J990" s="101" t="s">
        <v>1315</v>
      </c>
      <c r="K990" s="115"/>
      <c r="L990" s="48"/>
      <c r="M990" s="116">
        <v>42293</v>
      </c>
      <c r="N990" s="116" t="s">
        <v>66</v>
      </c>
      <c r="O990" s="68">
        <v>13200</v>
      </c>
      <c r="P990" s="30">
        <v>1</v>
      </c>
      <c r="Q990" s="51">
        <f t="shared" si="26"/>
        <v>13200</v>
      </c>
      <c r="R990" s="31">
        <v>202310</v>
      </c>
      <c r="S990" s="117" t="s">
        <v>1316</v>
      </c>
      <c r="T990" s="33"/>
      <c r="U990" s="117"/>
      <c r="V990" s="118"/>
      <c r="W990" s="67"/>
      <c r="X990" s="67"/>
      <c r="Y990" s="36">
        <v>42217</v>
      </c>
      <c r="Z990" s="36">
        <v>45504</v>
      </c>
      <c r="AA990" s="36"/>
      <c r="AB990" s="36"/>
      <c r="AC990" s="36"/>
      <c r="AD990" s="36"/>
      <c r="AE990" s="36"/>
      <c r="AF990" s="53" t="s">
        <v>68</v>
      </c>
      <c r="AG990" s="42"/>
      <c r="AH990" s="42"/>
      <c r="AI990" s="43"/>
      <c r="AJ990" s="43"/>
      <c r="AK990" s="43"/>
      <c r="AL990" s="43"/>
      <c r="AM990" s="43"/>
      <c r="AN990" s="42"/>
      <c r="AO990" s="42"/>
      <c r="AP990" s="42"/>
      <c r="AQ990" s="43"/>
      <c r="AR990" s="42"/>
      <c r="AS990" s="42"/>
    </row>
    <row r="991" spans="1:45" ht="15" customHeight="1">
      <c r="A991" s="21" t="s">
        <v>260</v>
      </c>
      <c r="B991" s="21" t="s">
        <v>46</v>
      </c>
      <c r="C991" s="21" t="s">
        <v>188</v>
      </c>
      <c r="D991" s="21" t="s">
        <v>48</v>
      </c>
      <c r="E991" s="80" t="s">
        <v>1313</v>
      </c>
      <c r="F991" s="21" t="s">
        <v>953</v>
      </c>
      <c r="G991" s="101" t="s">
        <v>77</v>
      </c>
      <c r="H991" s="25" t="s">
        <v>1317</v>
      </c>
      <c r="I991" s="102" t="s">
        <v>78</v>
      </c>
      <c r="J991" s="101" t="s">
        <v>1318</v>
      </c>
      <c r="K991" s="115"/>
      <c r="L991" s="48" t="s">
        <v>956</v>
      </c>
      <c r="M991" s="116">
        <v>43094</v>
      </c>
      <c r="N991" s="116" t="s">
        <v>177</v>
      </c>
      <c r="O991" s="68">
        <v>6000</v>
      </c>
      <c r="P991" s="68">
        <v>238</v>
      </c>
      <c r="Q991" s="51">
        <f t="shared" si="26"/>
        <v>1428000</v>
      </c>
      <c r="R991" s="31">
        <v>202310</v>
      </c>
      <c r="S991" s="117" t="s">
        <v>1319</v>
      </c>
      <c r="T991" s="33"/>
      <c r="U991" s="117"/>
      <c r="V991" s="118"/>
      <c r="W991" s="67"/>
      <c r="X991" s="67"/>
      <c r="Y991" s="36"/>
      <c r="Z991" s="36"/>
      <c r="AA991" s="36"/>
      <c r="AB991" s="36"/>
      <c r="AC991" s="36"/>
      <c r="AD991" s="36"/>
      <c r="AE991" s="36"/>
      <c r="AF991" s="53" t="s">
        <v>68</v>
      </c>
      <c r="AG991" s="42"/>
      <c r="AH991" s="42"/>
      <c r="AI991" s="43"/>
      <c r="AJ991" s="43"/>
      <c r="AK991" s="43"/>
      <c r="AL991" s="43"/>
      <c r="AM991" s="43"/>
      <c r="AN991" s="42"/>
      <c r="AO991" s="42"/>
      <c r="AP991" s="42"/>
      <c r="AQ991" s="43"/>
      <c r="AR991" s="42"/>
      <c r="AS991" s="42" t="s">
        <v>1320</v>
      </c>
    </row>
    <row r="992" spans="1:45" ht="15" customHeight="1">
      <c r="A992" s="21" t="s">
        <v>260</v>
      </c>
      <c r="B992" s="21" t="s">
        <v>46</v>
      </c>
      <c r="C992" s="21" t="s">
        <v>188</v>
      </c>
      <c r="D992" s="21" t="s">
        <v>48</v>
      </c>
      <c r="E992" s="80" t="s">
        <v>1313</v>
      </c>
      <c r="F992" s="21" t="s">
        <v>953</v>
      </c>
      <c r="G992" s="101" t="s">
        <v>77</v>
      </c>
      <c r="H992" s="25" t="s">
        <v>1317</v>
      </c>
      <c r="I992" s="102" t="s">
        <v>78</v>
      </c>
      <c r="J992" s="101" t="s">
        <v>1318</v>
      </c>
      <c r="K992" s="115"/>
      <c r="L992" s="48" t="s">
        <v>956</v>
      </c>
      <c r="M992" s="116">
        <v>43094</v>
      </c>
      <c r="N992" s="116" t="s">
        <v>177</v>
      </c>
      <c r="O992" s="68">
        <v>6000</v>
      </c>
      <c r="P992" s="68">
        <v>88</v>
      </c>
      <c r="Q992" s="51">
        <f t="shared" si="26"/>
        <v>528000</v>
      </c>
      <c r="R992" s="31">
        <v>202310</v>
      </c>
      <c r="S992" s="117" t="s">
        <v>1321</v>
      </c>
      <c r="T992" s="33"/>
      <c r="U992" s="117"/>
      <c r="V992" s="118"/>
      <c r="W992" s="67"/>
      <c r="X992" s="67"/>
      <c r="Y992" s="36"/>
      <c r="Z992" s="36"/>
      <c r="AA992" s="36"/>
      <c r="AB992" s="36"/>
      <c r="AC992" s="36"/>
      <c r="AD992" s="36"/>
      <c r="AE992" s="36"/>
      <c r="AF992" s="53" t="s">
        <v>68</v>
      </c>
      <c r="AG992" s="42"/>
      <c r="AH992" s="42"/>
      <c r="AI992" s="43"/>
      <c r="AJ992" s="43"/>
      <c r="AK992" s="43"/>
      <c r="AL992" s="43"/>
      <c r="AM992" s="43"/>
      <c r="AN992" s="42"/>
      <c r="AO992" s="42"/>
      <c r="AP992" s="42"/>
      <c r="AQ992" s="43"/>
      <c r="AR992" s="42"/>
      <c r="AS992" s="42" t="s">
        <v>1320</v>
      </c>
    </row>
    <row r="993" spans="1:45" ht="15" customHeight="1">
      <c r="A993" s="21" t="s">
        <v>260</v>
      </c>
      <c r="B993" s="21" t="s">
        <v>46</v>
      </c>
      <c r="C993" s="21" t="s">
        <v>188</v>
      </c>
      <c r="D993" s="21" t="s">
        <v>48</v>
      </c>
      <c r="E993" s="80" t="s">
        <v>1313</v>
      </c>
      <c r="F993" s="21" t="s">
        <v>953</v>
      </c>
      <c r="G993" s="101" t="s">
        <v>77</v>
      </c>
      <c r="H993" s="25" t="s">
        <v>1317</v>
      </c>
      <c r="I993" s="102" t="s">
        <v>78</v>
      </c>
      <c r="J993" s="101" t="s">
        <v>1318</v>
      </c>
      <c r="K993" s="115"/>
      <c r="L993" s="48" t="s">
        <v>956</v>
      </c>
      <c r="M993" s="116">
        <v>43101</v>
      </c>
      <c r="N993" s="116" t="s">
        <v>177</v>
      </c>
      <c r="O993" s="68">
        <v>6000</v>
      </c>
      <c r="P993" s="68">
        <v>78</v>
      </c>
      <c r="Q993" s="51">
        <f t="shared" si="26"/>
        <v>468000</v>
      </c>
      <c r="R993" s="31">
        <v>202310</v>
      </c>
      <c r="S993" s="117" t="s">
        <v>1322</v>
      </c>
      <c r="T993" s="33"/>
      <c r="U993" s="117"/>
      <c r="V993" s="118"/>
      <c r="W993" s="67"/>
      <c r="X993" s="67"/>
      <c r="Y993" s="36"/>
      <c r="Z993" s="36"/>
      <c r="AA993" s="36"/>
      <c r="AB993" s="36"/>
      <c r="AC993" s="36"/>
      <c r="AD993" s="36"/>
      <c r="AE993" s="36"/>
      <c r="AF993" s="53" t="s">
        <v>68</v>
      </c>
      <c r="AG993" s="42"/>
      <c r="AH993" s="42"/>
      <c r="AI993" s="43"/>
      <c r="AJ993" s="43"/>
      <c r="AK993" s="43"/>
      <c r="AL993" s="43"/>
      <c r="AM993" s="43"/>
      <c r="AN993" s="42"/>
      <c r="AO993" s="42"/>
      <c r="AP993" s="42"/>
      <c r="AQ993" s="43"/>
      <c r="AR993" s="42"/>
      <c r="AS993" s="42" t="s">
        <v>1320</v>
      </c>
    </row>
    <row r="994" spans="1:45" ht="15" customHeight="1">
      <c r="A994" s="21" t="s">
        <v>260</v>
      </c>
      <c r="B994" s="21" t="s">
        <v>46</v>
      </c>
      <c r="C994" s="21" t="s">
        <v>188</v>
      </c>
      <c r="D994" s="21" t="s">
        <v>48</v>
      </c>
      <c r="E994" s="80" t="s">
        <v>1313</v>
      </c>
      <c r="F994" s="21" t="s">
        <v>953</v>
      </c>
      <c r="G994" s="101" t="s">
        <v>77</v>
      </c>
      <c r="H994" s="25" t="s">
        <v>1317</v>
      </c>
      <c r="I994" s="102" t="s">
        <v>78</v>
      </c>
      <c r="J994" s="101" t="s">
        <v>1318</v>
      </c>
      <c r="K994" s="115"/>
      <c r="L994" s="48" t="s">
        <v>956</v>
      </c>
      <c r="M994" s="116">
        <v>43118</v>
      </c>
      <c r="N994" s="116" t="s">
        <v>177</v>
      </c>
      <c r="O994" s="68">
        <v>6000</v>
      </c>
      <c r="P994" s="68">
        <v>3</v>
      </c>
      <c r="Q994" s="51">
        <f t="shared" si="26"/>
        <v>18000</v>
      </c>
      <c r="R994" s="31">
        <v>202310</v>
      </c>
      <c r="S994" s="117" t="s">
        <v>1321</v>
      </c>
      <c r="T994" s="33"/>
      <c r="U994" s="117"/>
      <c r="V994" s="118"/>
      <c r="W994" s="67"/>
      <c r="X994" s="67"/>
      <c r="Y994" s="36"/>
      <c r="Z994" s="36"/>
      <c r="AA994" s="36"/>
      <c r="AB994" s="36"/>
      <c r="AC994" s="36"/>
      <c r="AD994" s="36"/>
      <c r="AE994" s="36"/>
      <c r="AF994" s="53" t="s">
        <v>68</v>
      </c>
      <c r="AG994" s="42"/>
      <c r="AH994" s="42"/>
      <c r="AI994" s="43"/>
      <c r="AJ994" s="43"/>
      <c r="AK994" s="43"/>
      <c r="AL994" s="43"/>
      <c r="AM994" s="43"/>
      <c r="AN994" s="42"/>
      <c r="AO994" s="42"/>
      <c r="AP994" s="42"/>
      <c r="AQ994" s="43"/>
      <c r="AR994" s="42"/>
      <c r="AS994" s="42" t="s">
        <v>1320</v>
      </c>
    </row>
    <row r="995" spans="1:45" ht="15" customHeight="1">
      <c r="A995" s="21" t="s">
        <v>260</v>
      </c>
      <c r="B995" s="21" t="s">
        <v>46</v>
      </c>
      <c r="C995" s="21" t="s">
        <v>188</v>
      </c>
      <c r="D995" s="21" t="s">
        <v>48</v>
      </c>
      <c r="E995" s="80" t="s">
        <v>1313</v>
      </c>
      <c r="F995" s="21" t="s">
        <v>953</v>
      </c>
      <c r="G995" s="101" t="s">
        <v>77</v>
      </c>
      <c r="H995" s="25" t="s">
        <v>1317</v>
      </c>
      <c r="I995" s="102" t="s">
        <v>78</v>
      </c>
      <c r="J995" s="101" t="s">
        <v>1318</v>
      </c>
      <c r="K995" s="115"/>
      <c r="L995" s="48" t="s">
        <v>956</v>
      </c>
      <c r="M995" s="116">
        <v>43118</v>
      </c>
      <c r="N995" s="116" t="s">
        <v>177</v>
      </c>
      <c r="O995" s="68">
        <v>6000</v>
      </c>
      <c r="P995" s="68">
        <v>5</v>
      </c>
      <c r="Q995" s="51">
        <f t="shared" si="26"/>
        <v>30000</v>
      </c>
      <c r="R995" s="31">
        <v>202310</v>
      </c>
      <c r="S995" s="117"/>
      <c r="T995" s="33"/>
      <c r="U995" s="117"/>
      <c r="V995" s="118"/>
      <c r="W995" s="67"/>
      <c r="X995" s="67"/>
      <c r="Y995" s="36"/>
      <c r="Z995" s="36"/>
      <c r="AA995" s="36"/>
      <c r="AB995" s="36"/>
      <c r="AC995" s="36"/>
      <c r="AD995" s="36"/>
      <c r="AE995" s="36"/>
      <c r="AF995" s="53" t="s">
        <v>68</v>
      </c>
      <c r="AG995" s="42"/>
      <c r="AH995" s="42"/>
      <c r="AI995" s="43"/>
      <c r="AJ995" s="43"/>
      <c r="AK995" s="43"/>
      <c r="AL995" s="43"/>
      <c r="AM995" s="43"/>
      <c r="AN995" s="42"/>
      <c r="AO995" s="42"/>
      <c r="AP995" s="42"/>
      <c r="AQ995" s="43"/>
      <c r="AR995" s="42"/>
      <c r="AS995" s="42" t="s">
        <v>1320</v>
      </c>
    </row>
    <row r="996" spans="1:45" ht="15" customHeight="1">
      <c r="A996" s="21" t="s">
        <v>260</v>
      </c>
      <c r="B996" s="21" t="s">
        <v>46</v>
      </c>
      <c r="C996" s="21" t="s">
        <v>188</v>
      </c>
      <c r="D996" s="21" t="s">
        <v>48</v>
      </c>
      <c r="E996" s="80" t="s">
        <v>1313</v>
      </c>
      <c r="F996" s="21" t="s">
        <v>953</v>
      </c>
      <c r="G996" s="101" t="s">
        <v>77</v>
      </c>
      <c r="H996" s="25" t="s">
        <v>1317</v>
      </c>
      <c r="I996" s="102" t="s">
        <v>78</v>
      </c>
      <c r="J996" s="101" t="s">
        <v>1318</v>
      </c>
      <c r="K996" s="115"/>
      <c r="L996" s="48" t="s">
        <v>956</v>
      </c>
      <c r="M996" s="116">
        <v>43130</v>
      </c>
      <c r="N996" s="116" t="s">
        <v>177</v>
      </c>
      <c r="O996" s="68">
        <v>6000</v>
      </c>
      <c r="P996" s="68">
        <v>8</v>
      </c>
      <c r="Q996" s="51">
        <f t="shared" si="26"/>
        <v>48000</v>
      </c>
      <c r="R996" s="31">
        <v>202310</v>
      </c>
      <c r="S996" s="117"/>
      <c r="T996" s="33"/>
      <c r="U996" s="117"/>
      <c r="V996" s="118"/>
      <c r="W996" s="67"/>
      <c r="X996" s="67"/>
      <c r="Y996" s="36"/>
      <c r="Z996" s="36"/>
      <c r="AA996" s="36"/>
      <c r="AB996" s="36"/>
      <c r="AC996" s="36"/>
      <c r="AD996" s="36"/>
      <c r="AE996" s="36"/>
      <c r="AF996" s="53" t="s">
        <v>68</v>
      </c>
      <c r="AG996" s="42"/>
      <c r="AH996" s="42"/>
      <c r="AI996" s="43"/>
      <c r="AJ996" s="43"/>
      <c r="AK996" s="43"/>
      <c r="AL996" s="43"/>
      <c r="AM996" s="43"/>
      <c r="AN996" s="42"/>
      <c r="AO996" s="42"/>
      <c r="AP996" s="42"/>
      <c r="AQ996" s="43"/>
      <c r="AR996" s="42"/>
      <c r="AS996" s="42" t="s">
        <v>1320</v>
      </c>
    </row>
    <row r="997" spans="1:45" ht="15" customHeight="1">
      <c r="A997" s="21" t="s">
        <v>260</v>
      </c>
      <c r="B997" s="21" t="s">
        <v>46</v>
      </c>
      <c r="C997" s="21" t="s">
        <v>188</v>
      </c>
      <c r="D997" s="21" t="s">
        <v>48</v>
      </c>
      <c r="E997" s="80" t="s">
        <v>1313</v>
      </c>
      <c r="F997" s="21" t="s">
        <v>953</v>
      </c>
      <c r="G997" s="101" t="s">
        <v>77</v>
      </c>
      <c r="H997" s="25" t="s">
        <v>1317</v>
      </c>
      <c r="I997" s="102" t="s">
        <v>78</v>
      </c>
      <c r="J997" s="101" t="s">
        <v>1318</v>
      </c>
      <c r="K997" s="115"/>
      <c r="L997" s="48" t="s">
        <v>956</v>
      </c>
      <c r="M997" s="116">
        <v>43131</v>
      </c>
      <c r="N997" s="116" t="s">
        <v>177</v>
      </c>
      <c r="O997" s="68">
        <v>6000</v>
      </c>
      <c r="P997" s="68">
        <v>1</v>
      </c>
      <c r="Q997" s="51">
        <f t="shared" si="26"/>
        <v>6000</v>
      </c>
      <c r="R997" s="31">
        <v>202310</v>
      </c>
      <c r="S997" s="117"/>
      <c r="T997" s="33"/>
      <c r="U997" s="117"/>
      <c r="V997" s="118"/>
      <c r="W997" s="67"/>
      <c r="X997" s="67"/>
      <c r="Y997" s="36"/>
      <c r="Z997" s="36"/>
      <c r="AA997" s="36"/>
      <c r="AB997" s="36"/>
      <c r="AC997" s="36"/>
      <c r="AD997" s="36"/>
      <c r="AE997" s="36"/>
      <c r="AF997" s="53" t="s">
        <v>68</v>
      </c>
      <c r="AG997" s="42"/>
      <c r="AH997" s="42"/>
      <c r="AI997" s="43"/>
      <c r="AJ997" s="43"/>
      <c r="AK997" s="43"/>
      <c r="AL997" s="43"/>
      <c r="AM997" s="43"/>
      <c r="AN997" s="42"/>
      <c r="AO997" s="42"/>
      <c r="AP997" s="42"/>
      <c r="AQ997" s="43"/>
      <c r="AR997" s="42"/>
      <c r="AS997" s="42" t="s">
        <v>1320</v>
      </c>
    </row>
    <row r="998" spans="1:45" ht="15" customHeight="1">
      <c r="A998" s="21" t="s">
        <v>260</v>
      </c>
      <c r="B998" s="21" t="s">
        <v>46</v>
      </c>
      <c r="C998" s="21" t="s">
        <v>188</v>
      </c>
      <c r="D998" s="21" t="s">
        <v>48</v>
      </c>
      <c r="E998" s="80" t="s">
        <v>1313</v>
      </c>
      <c r="F998" s="21" t="s">
        <v>953</v>
      </c>
      <c r="G998" s="101" t="s">
        <v>77</v>
      </c>
      <c r="H998" s="25" t="s">
        <v>1317</v>
      </c>
      <c r="I998" s="102" t="s">
        <v>78</v>
      </c>
      <c r="J998" s="101" t="s">
        <v>1318</v>
      </c>
      <c r="K998" s="115"/>
      <c r="L998" s="48" t="s">
        <v>956</v>
      </c>
      <c r="M998" s="116">
        <v>43138</v>
      </c>
      <c r="N998" s="116" t="s">
        <v>177</v>
      </c>
      <c r="O998" s="68">
        <v>6000</v>
      </c>
      <c r="P998" s="68">
        <v>7</v>
      </c>
      <c r="Q998" s="51">
        <f t="shared" si="26"/>
        <v>42000</v>
      </c>
      <c r="R998" s="31">
        <v>202310</v>
      </c>
      <c r="S998" s="117"/>
      <c r="T998" s="33"/>
      <c r="U998" s="117"/>
      <c r="V998" s="118"/>
      <c r="W998" s="67"/>
      <c r="X998" s="67"/>
      <c r="Y998" s="36"/>
      <c r="Z998" s="36"/>
      <c r="AA998" s="36"/>
      <c r="AB998" s="36"/>
      <c r="AC998" s="36"/>
      <c r="AD998" s="36"/>
      <c r="AE998" s="36"/>
      <c r="AF998" s="53" t="s">
        <v>68</v>
      </c>
      <c r="AG998" s="42"/>
      <c r="AH998" s="42"/>
      <c r="AI998" s="43"/>
      <c r="AJ998" s="43"/>
      <c r="AK998" s="43"/>
      <c r="AL998" s="43"/>
      <c r="AM998" s="43"/>
      <c r="AN998" s="42"/>
      <c r="AO998" s="42"/>
      <c r="AP998" s="42"/>
      <c r="AQ998" s="43"/>
      <c r="AR998" s="42"/>
      <c r="AS998" s="42" t="s">
        <v>1320</v>
      </c>
    </row>
    <row r="999" spans="1:45" ht="15" customHeight="1">
      <c r="A999" s="21" t="s">
        <v>260</v>
      </c>
      <c r="B999" s="21" t="s">
        <v>46</v>
      </c>
      <c r="C999" s="21" t="s">
        <v>188</v>
      </c>
      <c r="D999" s="21" t="s">
        <v>48</v>
      </c>
      <c r="E999" s="80" t="s">
        <v>1313</v>
      </c>
      <c r="F999" s="21" t="s">
        <v>953</v>
      </c>
      <c r="G999" s="101" t="s">
        <v>77</v>
      </c>
      <c r="H999" s="25" t="s">
        <v>1317</v>
      </c>
      <c r="I999" s="102" t="s">
        <v>78</v>
      </c>
      <c r="J999" s="101" t="s">
        <v>1318</v>
      </c>
      <c r="K999" s="115"/>
      <c r="L999" s="48" t="s">
        <v>956</v>
      </c>
      <c r="M999" s="116">
        <v>43143</v>
      </c>
      <c r="N999" s="116" t="s">
        <v>177</v>
      </c>
      <c r="O999" s="68">
        <v>6000</v>
      </c>
      <c r="P999" s="68">
        <v>6</v>
      </c>
      <c r="Q999" s="51">
        <f t="shared" si="26"/>
        <v>36000</v>
      </c>
      <c r="R999" s="31">
        <v>202310</v>
      </c>
      <c r="S999" s="117"/>
      <c r="T999" s="33"/>
      <c r="U999" s="117"/>
      <c r="V999" s="118"/>
      <c r="W999" s="67"/>
      <c r="X999" s="67"/>
      <c r="Y999" s="36"/>
      <c r="Z999" s="36"/>
      <c r="AA999" s="36"/>
      <c r="AB999" s="36"/>
      <c r="AC999" s="36"/>
      <c r="AD999" s="36"/>
      <c r="AE999" s="36"/>
      <c r="AF999" s="53" t="s">
        <v>68</v>
      </c>
      <c r="AG999" s="42"/>
      <c r="AH999" s="42"/>
      <c r="AI999" s="43"/>
      <c r="AJ999" s="43"/>
      <c r="AK999" s="43"/>
      <c r="AL999" s="43"/>
      <c r="AM999" s="43"/>
      <c r="AN999" s="42"/>
      <c r="AO999" s="42"/>
      <c r="AP999" s="42"/>
      <c r="AQ999" s="43"/>
      <c r="AR999" s="42"/>
      <c r="AS999" s="42" t="s">
        <v>1320</v>
      </c>
    </row>
    <row r="1000" spans="1:45" ht="15" customHeight="1">
      <c r="A1000" s="21" t="s">
        <v>260</v>
      </c>
      <c r="B1000" s="21" t="s">
        <v>46</v>
      </c>
      <c r="C1000" s="21" t="s">
        <v>188</v>
      </c>
      <c r="D1000" s="21" t="s">
        <v>48</v>
      </c>
      <c r="E1000" s="80" t="s">
        <v>1313</v>
      </c>
      <c r="F1000" s="21" t="s">
        <v>953</v>
      </c>
      <c r="G1000" s="101" t="s">
        <v>77</v>
      </c>
      <c r="H1000" s="25" t="s">
        <v>1317</v>
      </c>
      <c r="I1000" s="102" t="s">
        <v>78</v>
      </c>
      <c r="J1000" s="101" t="s">
        <v>1318</v>
      </c>
      <c r="K1000" s="115"/>
      <c r="L1000" s="48" t="s">
        <v>956</v>
      </c>
      <c r="M1000" s="116">
        <v>43143</v>
      </c>
      <c r="N1000" s="116" t="s">
        <v>177</v>
      </c>
      <c r="O1000" s="68">
        <v>6000</v>
      </c>
      <c r="P1000" s="68">
        <v>21</v>
      </c>
      <c r="Q1000" s="51">
        <f t="shared" si="26"/>
        <v>126000</v>
      </c>
      <c r="R1000" s="31">
        <v>202310</v>
      </c>
      <c r="S1000" s="117"/>
      <c r="T1000" s="33"/>
      <c r="U1000" s="117"/>
      <c r="V1000" s="118"/>
      <c r="W1000" s="67"/>
      <c r="X1000" s="67"/>
      <c r="Y1000" s="36"/>
      <c r="Z1000" s="36"/>
      <c r="AA1000" s="36"/>
      <c r="AB1000" s="36"/>
      <c r="AC1000" s="36"/>
      <c r="AD1000" s="36"/>
      <c r="AE1000" s="36"/>
      <c r="AF1000" s="53" t="s">
        <v>68</v>
      </c>
      <c r="AG1000" s="42"/>
      <c r="AH1000" s="42"/>
      <c r="AI1000" s="43"/>
      <c r="AJ1000" s="43"/>
      <c r="AK1000" s="43"/>
      <c r="AL1000" s="43"/>
      <c r="AM1000" s="43"/>
      <c r="AN1000" s="42"/>
      <c r="AO1000" s="42"/>
      <c r="AP1000" s="42"/>
      <c r="AQ1000" s="43"/>
      <c r="AR1000" s="42"/>
      <c r="AS1000" s="42" t="s">
        <v>1320</v>
      </c>
    </row>
    <row r="1001" spans="1:45" ht="15" customHeight="1">
      <c r="A1001" s="21" t="s">
        <v>260</v>
      </c>
      <c r="B1001" s="21" t="s">
        <v>46</v>
      </c>
      <c r="C1001" s="21" t="s">
        <v>188</v>
      </c>
      <c r="D1001" s="21" t="s">
        <v>48</v>
      </c>
      <c r="E1001" s="80" t="s">
        <v>1313</v>
      </c>
      <c r="F1001" s="21" t="s">
        <v>953</v>
      </c>
      <c r="G1001" s="101" t="s">
        <v>77</v>
      </c>
      <c r="H1001" s="25" t="s">
        <v>1317</v>
      </c>
      <c r="I1001" s="102" t="s">
        <v>78</v>
      </c>
      <c r="J1001" s="101" t="s">
        <v>1318</v>
      </c>
      <c r="K1001" s="115"/>
      <c r="L1001" s="48" t="s">
        <v>956</v>
      </c>
      <c r="M1001" s="116">
        <v>43158</v>
      </c>
      <c r="N1001" s="116" t="s">
        <v>177</v>
      </c>
      <c r="O1001" s="68">
        <v>6000</v>
      </c>
      <c r="P1001" s="68">
        <v>1</v>
      </c>
      <c r="Q1001" s="51">
        <f t="shared" si="26"/>
        <v>6000</v>
      </c>
      <c r="R1001" s="31">
        <v>202310</v>
      </c>
      <c r="S1001" s="117"/>
      <c r="T1001" s="33"/>
      <c r="U1001" s="117"/>
      <c r="V1001" s="118"/>
      <c r="W1001" s="67"/>
      <c r="X1001" s="67"/>
      <c r="Y1001" s="36"/>
      <c r="Z1001" s="36"/>
      <c r="AA1001" s="36"/>
      <c r="AB1001" s="36"/>
      <c r="AC1001" s="36"/>
      <c r="AD1001" s="36"/>
      <c r="AE1001" s="36"/>
      <c r="AF1001" s="53" t="s">
        <v>68</v>
      </c>
      <c r="AG1001" s="42"/>
      <c r="AH1001" s="42"/>
      <c r="AI1001" s="43"/>
      <c r="AJ1001" s="43"/>
      <c r="AK1001" s="43"/>
      <c r="AL1001" s="43"/>
      <c r="AM1001" s="43"/>
      <c r="AN1001" s="42"/>
      <c r="AO1001" s="42"/>
      <c r="AP1001" s="42"/>
      <c r="AQ1001" s="43"/>
      <c r="AR1001" s="42"/>
      <c r="AS1001" s="42" t="s">
        <v>1320</v>
      </c>
    </row>
    <row r="1002" spans="1:45" ht="15" customHeight="1">
      <c r="A1002" s="21" t="s">
        <v>260</v>
      </c>
      <c r="B1002" s="21" t="s">
        <v>46</v>
      </c>
      <c r="C1002" s="21" t="s">
        <v>188</v>
      </c>
      <c r="D1002" s="21" t="s">
        <v>48</v>
      </c>
      <c r="E1002" s="80" t="s">
        <v>1313</v>
      </c>
      <c r="F1002" s="21" t="s">
        <v>953</v>
      </c>
      <c r="G1002" s="101" t="s">
        <v>77</v>
      </c>
      <c r="H1002" s="25" t="s">
        <v>1317</v>
      </c>
      <c r="I1002" s="102" t="s">
        <v>78</v>
      </c>
      <c r="J1002" s="101" t="s">
        <v>1318</v>
      </c>
      <c r="K1002" s="115"/>
      <c r="L1002" s="48" t="s">
        <v>956</v>
      </c>
      <c r="M1002" s="116">
        <v>43160</v>
      </c>
      <c r="N1002" s="116" t="s">
        <v>177</v>
      </c>
      <c r="O1002" s="68">
        <v>6000</v>
      </c>
      <c r="P1002" s="68">
        <v>7</v>
      </c>
      <c r="Q1002" s="51">
        <f t="shared" si="26"/>
        <v>42000</v>
      </c>
      <c r="R1002" s="31">
        <v>202310</v>
      </c>
      <c r="S1002" s="117"/>
      <c r="T1002" s="33"/>
      <c r="U1002" s="117"/>
      <c r="V1002" s="118"/>
      <c r="W1002" s="67"/>
      <c r="X1002" s="67"/>
      <c r="Y1002" s="36"/>
      <c r="Z1002" s="36"/>
      <c r="AA1002" s="36"/>
      <c r="AB1002" s="36"/>
      <c r="AC1002" s="36"/>
      <c r="AD1002" s="36"/>
      <c r="AE1002" s="36"/>
      <c r="AF1002" s="53" t="s">
        <v>68</v>
      </c>
      <c r="AG1002" s="42"/>
      <c r="AH1002" s="42"/>
      <c r="AI1002" s="43"/>
      <c r="AJ1002" s="43"/>
      <c r="AK1002" s="43"/>
      <c r="AL1002" s="43"/>
      <c r="AM1002" s="43"/>
      <c r="AN1002" s="42"/>
      <c r="AO1002" s="42"/>
      <c r="AP1002" s="42"/>
      <c r="AQ1002" s="43"/>
      <c r="AR1002" s="42"/>
      <c r="AS1002" s="42" t="s">
        <v>1320</v>
      </c>
    </row>
    <row r="1003" spans="1:45" ht="15" customHeight="1">
      <c r="A1003" s="21" t="s">
        <v>260</v>
      </c>
      <c r="B1003" s="21" t="s">
        <v>46</v>
      </c>
      <c r="C1003" s="21" t="s">
        <v>188</v>
      </c>
      <c r="D1003" s="21" t="s">
        <v>48</v>
      </c>
      <c r="E1003" s="80" t="s">
        <v>1313</v>
      </c>
      <c r="F1003" s="21" t="s">
        <v>953</v>
      </c>
      <c r="G1003" s="101" t="s">
        <v>77</v>
      </c>
      <c r="H1003" s="25" t="s">
        <v>1317</v>
      </c>
      <c r="I1003" s="102" t="s">
        <v>78</v>
      </c>
      <c r="J1003" s="101" t="s">
        <v>1318</v>
      </c>
      <c r="K1003" s="115"/>
      <c r="L1003" s="48" t="s">
        <v>956</v>
      </c>
      <c r="M1003" s="116">
        <v>43161</v>
      </c>
      <c r="N1003" s="116" t="s">
        <v>177</v>
      </c>
      <c r="O1003" s="68">
        <v>6000</v>
      </c>
      <c r="P1003" s="68">
        <v>6</v>
      </c>
      <c r="Q1003" s="51">
        <f t="shared" si="26"/>
        <v>36000</v>
      </c>
      <c r="R1003" s="31">
        <v>202310</v>
      </c>
      <c r="S1003" s="117"/>
      <c r="T1003" s="33"/>
      <c r="U1003" s="117"/>
      <c r="V1003" s="118"/>
      <c r="W1003" s="67"/>
      <c r="X1003" s="67"/>
      <c r="Y1003" s="36"/>
      <c r="Z1003" s="36"/>
      <c r="AA1003" s="36"/>
      <c r="AB1003" s="36"/>
      <c r="AC1003" s="36"/>
      <c r="AD1003" s="36"/>
      <c r="AE1003" s="36"/>
      <c r="AF1003" s="53" t="s">
        <v>68</v>
      </c>
      <c r="AG1003" s="42"/>
      <c r="AH1003" s="42"/>
      <c r="AI1003" s="43"/>
      <c r="AJ1003" s="43"/>
      <c r="AK1003" s="43"/>
      <c r="AL1003" s="43"/>
      <c r="AM1003" s="43"/>
      <c r="AN1003" s="42"/>
      <c r="AO1003" s="42"/>
      <c r="AP1003" s="42"/>
      <c r="AQ1003" s="43"/>
      <c r="AR1003" s="42"/>
      <c r="AS1003" s="42" t="s">
        <v>1320</v>
      </c>
    </row>
    <row r="1004" spans="1:45" ht="15" customHeight="1">
      <c r="A1004" s="21" t="s">
        <v>260</v>
      </c>
      <c r="B1004" s="21" t="s">
        <v>46</v>
      </c>
      <c r="C1004" s="21" t="s">
        <v>188</v>
      </c>
      <c r="D1004" s="21" t="s">
        <v>48</v>
      </c>
      <c r="E1004" s="80" t="s">
        <v>1313</v>
      </c>
      <c r="F1004" s="21" t="s">
        <v>953</v>
      </c>
      <c r="G1004" s="101" t="s">
        <v>77</v>
      </c>
      <c r="H1004" s="25" t="s">
        <v>1317</v>
      </c>
      <c r="I1004" s="102" t="s">
        <v>78</v>
      </c>
      <c r="J1004" s="101" t="s">
        <v>1318</v>
      </c>
      <c r="K1004" s="115"/>
      <c r="L1004" s="48" t="s">
        <v>956</v>
      </c>
      <c r="M1004" s="116">
        <v>43167</v>
      </c>
      <c r="N1004" s="116" t="s">
        <v>177</v>
      </c>
      <c r="O1004" s="68">
        <v>6000</v>
      </c>
      <c r="P1004" s="68">
        <v>7</v>
      </c>
      <c r="Q1004" s="51">
        <f t="shared" si="26"/>
        <v>42000</v>
      </c>
      <c r="R1004" s="31">
        <v>202310</v>
      </c>
      <c r="S1004" s="117"/>
      <c r="T1004" s="33"/>
      <c r="U1004" s="117"/>
      <c r="V1004" s="118"/>
      <c r="W1004" s="67"/>
      <c r="X1004" s="67"/>
      <c r="Y1004" s="36"/>
      <c r="Z1004" s="36"/>
      <c r="AA1004" s="36"/>
      <c r="AB1004" s="36"/>
      <c r="AC1004" s="36"/>
      <c r="AD1004" s="36"/>
      <c r="AE1004" s="36"/>
      <c r="AF1004" s="53" t="s">
        <v>68</v>
      </c>
      <c r="AG1004" s="42"/>
      <c r="AH1004" s="42"/>
      <c r="AI1004" s="43"/>
      <c r="AJ1004" s="43"/>
      <c r="AK1004" s="43"/>
      <c r="AL1004" s="43"/>
      <c r="AM1004" s="43"/>
      <c r="AN1004" s="42"/>
      <c r="AO1004" s="42"/>
      <c r="AP1004" s="42"/>
      <c r="AQ1004" s="43"/>
      <c r="AR1004" s="42"/>
      <c r="AS1004" s="42" t="s">
        <v>1320</v>
      </c>
    </row>
    <row r="1005" spans="1:45" ht="15" customHeight="1">
      <c r="A1005" s="21" t="s">
        <v>260</v>
      </c>
      <c r="B1005" s="21" t="s">
        <v>46</v>
      </c>
      <c r="C1005" s="21" t="s">
        <v>188</v>
      </c>
      <c r="D1005" s="21" t="s">
        <v>48</v>
      </c>
      <c r="E1005" s="80" t="s">
        <v>1313</v>
      </c>
      <c r="F1005" s="21" t="s">
        <v>953</v>
      </c>
      <c r="G1005" s="101" t="s">
        <v>77</v>
      </c>
      <c r="H1005" s="25" t="s">
        <v>1317</v>
      </c>
      <c r="I1005" s="102" t="s">
        <v>78</v>
      </c>
      <c r="J1005" s="101" t="s">
        <v>1318</v>
      </c>
      <c r="K1005" s="115"/>
      <c r="L1005" s="48" t="s">
        <v>956</v>
      </c>
      <c r="M1005" s="116">
        <v>43168</v>
      </c>
      <c r="N1005" s="116" t="s">
        <v>177</v>
      </c>
      <c r="O1005" s="68">
        <v>6000</v>
      </c>
      <c r="P1005" s="68">
        <v>1</v>
      </c>
      <c r="Q1005" s="51">
        <f t="shared" si="26"/>
        <v>6000</v>
      </c>
      <c r="R1005" s="31">
        <v>202310</v>
      </c>
      <c r="S1005" s="117"/>
      <c r="T1005" s="33"/>
      <c r="U1005" s="117"/>
      <c r="V1005" s="118"/>
      <c r="W1005" s="67"/>
      <c r="X1005" s="67"/>
      <c r="Y1005" s="36"/>
      <c r="Z1005" s="36"/>
      <c r="AA1005" s="36"/>
      <c r="AB1005" s="36"/>
      <c r="AC1005" s="36"/>
      <c r="AD1005" s="36"/>
      <c r="AE1005" s="36"/>
      <c r="AF1005" s="53" t="s">
        <v>68</v>
      </c>
      <c r="AG1005" s="42"/>
      <c r="AH1005" s="42"/>
      <c r="AI1005" s="43"/>
      <c r="AJ1005" s="43"/>
      <c r="AK1005" s="43"/>
      <c r="AL1005" s="43"/>
      <c r="AM1005" s="43"/>
      <c r="AN1005" s="42"/>
      <c r="AO1005" s="42"/>
      <c r="AP1005" s="42"/>
      <c r="AQ1005" s="43"/>
      <c r="AR1005" s="42"/>
      <c r="AS1005" s="42" t="s">
        <v>1320</v>
      </c>
    </row>
    <row r="1006" spans="1:45" ht="15" customHeight="1">
      <c r="A1006" s="21" t="s">
        <v>260</v>
      </c>
      <c r="B1006" s="21" t="s">
        <v>46</v>
      </c>
      <c r="C1006" s="21" t="s">
        <v>188</v>
      </c>
      <c r="D1006" s="21" t="s">
        <v>48</v>
      </c>
      <c r="E1006" s="80" t="s">
        <v>1313</v>
      </c>
      <c r="F1006" s="21" t="s">
        <v>953</v>
      </c>
      <c r="G1006" s="101" t="s">
        <v>77</v>
      </c>
      <c r="H1006" s="25" t="s">
        <v>1317</v>
      </c>
      <c r="I1006" s="102" t="s">
        <v>78</v>
      </c>
      <c r="J1006" s="101" t="s">
        <v>1318</v>
      </c>
      <c r="K1006" s="115"/>
      <c r="L1006" s="48" t="s">
        <v>956</v>
      </c>
      <c r="M1006" s="116">
        <v>43173</v>
      </c>
      <c r="N1006" s="116" t="s">
        <v>177</v>
      </c>
      <c r="O1006" s="68">
        <v>6000</v>
      </c>
      <c r="P1006" s="68">
        <v>1</v>
      </c>
      <c r="Q1006" s="51">
        <f t="shared" si="26"/>
        <v>6000</v>
      </c>
      <c r="R1006" s="31">
        <v>202310</v>
      </c>
      <c r="S1006" s="117"/>
      <c r="T1006" s="33"/>
      <c r="U1006" s="117"/>
      <c r="V1006" s="118"/>
      <c r="W1006" s="67"/>
      <c r="X1006" s="67"/>
      <c r="Y1006" s="36"/>
      <c r="Z1006" s="36"/>
      <c r="AA1006" s="36"/>
      <c r="AB1006" s="36"/>
      <c r="AC1006" s="36"/>
      <c r="AD1006" s="36"/>
      <c r="AE1006" s="36"/>
      <c r="AF1006" s="53" t="s">
        <v>68</v>
      </c>
      <c r="AG1006" s="42"/>
      <c r="AH1006" s="42"/>
      <c r="AI1006" s="43"/>
      <c r="AJ1006" s="43"/>
      <c r="AK1006" s="43"/>
      <c r="AL1006" s="43"/>
      <c r="AM1006" s="43"/>
      <c r="AN1006" s="42"/>
      <c r="AO1006" s="42"/>
      <c r="AP1006" s="42"/>
      <c r="AQ1006" s="43"/>
      <c r="AR1006" s="42"/>
      <c r="AS1006" s="42" t="s">
        <v>1320</v>
      </c>
    </row>
    <row r="1007" spans="1:45" ht="15" customHeight="1">
      <c r="A1007" s="21" t="s">
        <v>260</v>
      </c>
      <c r="B1007" s="21" t="s">
        <v>46</v>
      </c>
      <c r="C1007" s="21" t="s">
        <v>188</v>
      </c>
      <c r="D1007" s="21" t="s">
        <v>48</v>
      </c>
      <c r="E1007" s="80" t="s">
        <v>1313</v>
      </c>
      <c r="F1007" s="21" t="s">
        <v>953</v>
      </c>
      <c r="G1007" s="101" t="s">
        <v>77</v>
      </c>
      <c r="H1007" s="25" t="s">
        <v>1317</v>
      </c>
      <c r="I1007" s="102" t="s">
        <v>78</v>
      </c>
      <c r="J1007" s="101" t="s">
        <v>1318</v>
      </c>
      <c r="K1007" s="115"/>
      <c r="L1007" s="48" t="s">
        <v>956</v>
      </c>
      <c r="M1007" s="116">
        <v>43174</v>
      </c>
      <c r="N1007" s="116" t="s">
        <v>177</v>
      </c>
      <c r="O1007" s="68">
        <v>6000</v>
      </c>
      <c r="P1007" s="68">
        <v>1</v>
      </c>
      <c r="Q1007" s="51">
        <f t="shared" si="26"/>
        <v>6000</v>
      </c>
      <c r="R1007" s="31">
        <v>202310</v>
      </c>
      <c r="S1007" s="117"/>
      <c r="T1007" s="33"/>
      <c r="U1007" s="117"/>
      <c r="V1007" s="118"/>
      <c r="W1007" s="67"/>
      <c r="X1007" s="67"/>
      <c r="Y1007" s="36"/>
      <c r="Z1007" s="36"/>
      <c r="AA1007" s="36"/>
      <c r="AB1007" s="36"/>
      <c r="AC1007" s="36"/>
      <c r="AD1007" s="36"/>
      <c r="AE1007" s="36"/>
      <c r="AF1007" s="53" t="s">
        <v>68</v>
      </c>
      <c r="AG1007" s="42"/>
      <c r="AH1007" s="42"/>
      <c r="AI1007" s="43"/>
      <c r="AJ1007" s="43"/>
      <c r="AK1007" s="43"/>
      <c r="AL1007" s="43"/>
      <c r="AM1007" s="43"/>
      <c r="AN1007" s="42"/>
      <c r="AO1007" s="42"/>
      <c r="AP1007" s="42"/>
      <c r="AQ1007" s="43"/>
      <c r="AR1007" s="42"/>
      <c r="AS1007" s="42" t="s">
        <v>1320</v>
      </c>
    </row>
    <row r="1008" spans="1:45" ht="15" customHeight="1">
      <c r="A1008" s="21" t="s">
        <v>260</v>
      </c>
      <c r="B1008" s="21" t="s">
        <v>46</v>
      </c>
      <c r="C1008" s="21" t="s">
        <v>188</v>
      </c>
      <c r="D1008" s="21" t="s">
        <v>48</v>
      </c>
      <c r="E1008" s="80" t="s">
        <v>1313</v>
      </c>
      <c r="F1008" s="21" t="s">
        <v>953</v>
      </c>
      <c r="G1008" s="101" t="s">
        <v>77</v>
      </c>
      <c r="H1008" s="25" t="s">
        <v>1317</v>
      </c>
      <c r="I1008" s="102" t="s">
        <v>78</v>
      </c>
      <c r="J1008" s="101" t="s">
        <v>1318</v>
      </c>
      <c r="K1008" s="115"/>
      <c r="L1008" s="48" t="s">
        <v>956</v>
      </c>
      <c r="M1008" s="116">
        <v>43179</v>
      </c>
      <c r="N1008" s="116" t="s">
        <v>177</v>
      </c>
      <c r="O1008" s="68">
        <v>6000</v>
      </c>
      <c r="P1008" s="68">
        <v>2</v>
      </c>
      <c r="Q1008" s="51">
        <f t="shared" si="26"/>
        <v>12000</v>
      </c>
      <c r="R1008" s="31">
        <v>202310</v>
      </c>
      <c r="S1008" s="117"/>
      <c r="T1008" s="33"/>
      <c r="U1008" s="117"/>
      <c r="V1008" s="118"/>
      <c r="W1008" s="67"/>
      <c r="X1008" s="67"/>
      <c r="Y1008" s="36"/>
      <c r="Z1008" s="36"/>
      <c r="AA1008" s="36"/>
      <c r="AB1008" s="36"/>
      <c r="AC1008" s="36"/>
      <c r="AD1008" s="36"/>
      <c r="AE1008" s="36"/>
      <c r="AF1008" s="53" t="s">
        <v>68</v>
      </c>
      <c r="AG1008" s="42"/>
      <c r="AH1008" s="42"/>
      <c r="AI1008" s="43"/>
      <c r="AJ1008" s="43"/>
      <c r="AK1008" s="43"/>
      <c r="AL1008" s="43"/>
      <c r="AM1008" s="43"/>
      <c r="AN1008" s="42"/>
      <c r="AO1008" s="42"/>
      <c r="AP1008" s="42"/>
      <c r="AQ1008" s="43"/>
      <c r="AR1008" s="42"/>
      <c r="AS1008" s="42" t="s">
        <v>1320</v>
      </c>
    </row>
    <row r="1009" spans="1:45" ht="15" customHeight="1">
      <c r="A1009" s="21" t="s">
        <v>260</v>
      </c>
      <c r="B1009" s="21" t="s">
        <v>46</v>
      </c>
      <c r="C1009" s="21" t="s">
        <v>188</v>
      </c>
      <c r="D1009" s="21" t="s">
        <v>48</v>
      </c>
      <c r="E1009" s="80" t="s">
        <v>1313</v>
      </c>
      <c r="F1009" s="21" t="s">
        <v>953</v>
      </c>
      <c r="G1009" s="101" t="s">
        <v>77</v>
      </c>
      <c r="H1009" s="25" t="s">
        <v>1317</v>
      </c>
      <c r="I1009" s="102" t="s">
        <v>78</v>
      </c>
      <c r="J1009" s="101" t="s">
        <v>1318</v>
      </c>
      <c r="K1009" s="115"/>
      <c r="L1009" s="48" t="s">
        <v>956</v>
      </c>
      <c r="M1009" s="116">
        <v>43218</v>
      </c>
      <c r="N1009" s="116" t="s">
        <v>177</v>
      </c>
      <c r="O1009" s="68">
        <v>6000</v>
      </c>
      <c r="P1009" s="68">
        <v>20</v>
      </c>
      <c r="Q1009" s="51">
        <f t="shared" si="26"/>
        <v>120000</v>
      </c>
      <c r="R1009" s="31">
        <v>202310</v>
      </c>
      <c r="S1009" s="117"/>
      <c r="T1009" s="33"/>
      <c r="U1009" s="117"/>
      <c r="V1009" s="118"/>
      <c r="W1009" s="67"/>
      <c r="X1009" s="67"/>
      <c r="Y1009" s="36"/>
      <c r="Z1009" s="36"/>
      <c r="AA1009" s="36"/>
      <c r="AB1009" s="36"/>
      <c r="AC1009" s="36"/>
      <c r="AD1009" s="36"/>
      <c r="AE1009" s="36"/>
      <c r="AF1009" s="53" t="s">
        <v>68</v>
      </c>
      <c r="AG1009" s="42"/>
      <c r="AH1009" s="42"/>
      <c r="AI1009" s="43"/>
      <c r="AJ1009" s="43"/>
      <c r="AK1009" s="43"/>
      <c r="AL1009" s="43"/>
      <c r="AM1009" s="43"/>
      <c r="AN1009" s="42"/>
      <c r="AO1009" s="42"/>
      <c r="AP1009" s="42"/>
      <c r="AQ1009" s="43"/>
      <c r="AR1009" s="42"/>
      <c r="AS1009" s="42" t="s">
        <v>1320</v>
      </c>
    </row>
    <row r="1010" spans="1:45" ht="15" customHeight="1">
      <c r="A1010" s="21" t="s">
        <v>260</v>
      </c>
      <c r="B1010" s="21" t="s">
        <v>46</v>
      </c>
      <c r="C1010" s="21" t="s">
        <v>188</v>
      </c>
      <c r="D1010" s="21" t="s">
        <v>48</v>
      </c>
      <c r="E1010" s="80" t="s">
        <v>1313</v>
      </c>
      <c r="F1010" s="21" t="s">
        <v>953</v>
      </c>
      <c r="G1010" s="101" t="s">
        <v>77</v>
      </c>
      <c r="H1010" s="25" t="s">
        <v>1317</v>
      </c>
      <c r="I1010" s="102" t="s">
        <v>78</v>
      </c>
      <c r="J1010" s="101" t="s">
        <v>1318</v>
      </c>
      <c r="K1010" s="115"/>
      <c r="L1010" s="48" t="s">
        <v>956</v>
      </c>
      <c r="M1010" s="116">
        <v>43225</v>
      </c>
      <c r="N1010" s="116" t="s">
        <v>177</v>
      </c>
      <c r="O1010" s="68">
        <v>6000</v>
      </c>
      <c r="P1010" s="68">
        <v>17</v>
      </c>
      <c r="Q1010" s="51">
        <f t="shared" si="26"/>
        <v>102000</v>
      </c>
      <c r="R1010" s="31">
        <v>202310</v>
      </c>
      <c r="S1010" s="117"/>
      <c r="T1010" s="33"/>
      <c r="U1010" s="117"/>
      <c r="V1010" s="118"/>
      <c r="W1010" s="67"/>
      <c r="X1010" s="67"/>
      <c r="Y1010" s="36"/>
      <c r="Z1010" s="36"/>
      <c r="AA1010" s="36"/>
      <c r="AB1010" s="36"/>
      <c r="AC1010" s="36"/>
      <c r="AD1010" s="36"/>
      <c r="AE1010" s="36"/>
      <c r="AF1010" s="53" t="s">
        <v>68</v>
      </c>
      <c r="AG1010" s="42"/>
      <c r="AH1010" s="42"/>
      <c r="AI1010" s="43"/>
      <c r="AJ1010" s="43"/>
      <c r="AK1010" s="43"/>
      <c r="AL1010" s="43"/>
      <c r="AM1010" s="43"/>
      <c r="AN1010" s="42"/>
      <c r="AO1010" s="42"/>
      <c r="AP1010" s="42"/>
      <c r="AQ1010" s="43"/>
      <c r="AR1010" s="42"/>
      <c r="AS1010" s="42" t="s">
        <v>1320</v>
      </c>
    </row>
    <row r="1011" spans="1:45" ht="15" customHeight="1">
      <c r="A1011" s="21" t="s">
        <v>260</v>
      </c>
      <c r="B1011" s="21" t="s">
        <v>46</v>
      </c>
      <c r="C1011" s="21" t="s">
        <v>188</v>
      </c>
      <c r="D1011" s="21" t="s">
        <v>48</v>
      </c>
      <c r="E1011" s="80" t="s">
        <v>1313</v>
      </c>
      <c r="F1011" s="21" t="s">
        <v>953</v>
      </c>
      <c r="G1011" s="101" t="s">
        <v>77</v>
      </c>
      <c r="H1011" s="25" t="s">
        <v>1317</v>
      </c>
      <c r="I1011" s="102" t="s">
        <v>78</v>
      </c>
      <c r="J1011" s="101" t="s">
        <v>1318</v>
      </c>
      <c r="K1011" s="115"/>
      <c r="L1011" s="48" t="s">
        <v>956</v>
      </c>
      <c r="M1011" s="116">
        <v>43252</v>
      </c>
      <c r="N1011" s="116" t="s">
        <v>177</v>
      </c>
      <c r="O1011" s="68">
        <v>6000</v>
      </c>
      <c r="P1011" s="68">
        <v>3</v>
      </c>
      <c r="Q1011" s="51">
        <f t="shared" si="26"/>
        <v>18000</v>
      </c>
      <c r="R1011" s="31">
        <v>202310</v>
      </c>
      <c r="S1011" s="117"/>
      <c r="T1011" s="33"/>
      <c r="U1011" s="117"/>
      <c r="V1011" s="118"/>
      <c r="W1011" s="67"/>
      <c r="X1011" s="67"/>
      <c r="Y1011" s="36"/>
      <c r="Z1011" s="36"/>
      <c r="AA1011" s="36"/>
      <c r="AB1011" s="36"/>
      <c r="AC1011" s="36"/>
      <c r="AD1011" s="36"/>
      <c r="AE1011" s="36"/>
      <c r="AF1011" s="53" t="s">
        <v>68</v>
      </c>
      <c r="AG1011" s="42"/>
      <c r="AH1011" s="42"/>
      <c r="AI1011" s="43"/>
      <c r="AJ1011" s="43"/>
      <c r="AK1011" s="43"/>
      <c r="AL1011" s="43"/>
      <c r="AM1011" s="43"/>
      <c r="AN1011" s="42"/>
      <c r="AO1011" s="42"/>
      <c r="AP1011" s="42"/>
      <c r="AQ1011" s="43"/>
      <c r="AR1011" s="42"/>
      <c r="AS1011" s="42" t="s">
        <v>1320</v>
      </c>
    </row>
    <row r="1012" spans="1:45" ht="15" customHeight="1">
      <c r="A1012" s="21" t="s">
        <v>260</v>
      </c>
      <c r="B1012" s="21" t="s">
        <v>46</v>
      </c>
      <c r="C1012" s="21" t="s">
        <v>188</v>
      </c>
      <c r="D1012" s="21" t="s">
        <v>48</v>
      </c>
      <c r="E1012" s="80" t="s">
        <v>1313</v>
      </c>
      <c r="F1012" s="21" t="s">
        <v>953</v>
      </c>
      <c r="G1012" s="101" t="s">
        <v>77</v>
      </c>
      <c r="H1012" s="25" t="s">
        <v>1317</v>
      </c>
      <c r="I1012" s="102" t="s">
        <v>78</v>
      </c>
      <c r="J1012" s="101" t="s">
        <v>1318</v>
      </c>
      <c r="K1012" s="115"/>
      <c r="L1012" s="48" t="s">
        <v>956</v>
      </c>
      <c r="M1012" s="116">
        <v>43327</v>
      </c>
      <c r="N1012" s="116" t="s">
        <v>177</v>
      </c>
      <c r="O1012" s="68">
        <v>6000</v>
      </c>
      <c r="P1012" s="68">
        <v>-8</v>
      </c>
      <c r="Q1012" s="51">
        <f t="shared" si="26"/>
        <v>-48000</v>
      </c>
      <c r="R1012" s="31">
        <v>202310</v>
      </c>
      <c r="S1012" s="117" t="s">
        <v>1323</v>
      </c>
      <c r="T1012" s="33"/>
      <c r="U1012" s="117"/>
      <c r="V1012" s="118"/>
      <c r="W1012" s="67"/>
      <c r="X1012" s="67"/>
      <c r="Y1012" s="36"/>
      <c r="Z1012" s="36"/>
      <c r="AA1012" s="36"/>
      <c r="AB1012" s="36"/>
      <c r="AC1012" s="36"/>
      <c r="AD1012" s="36"/>
      <c r="AE1012" s="36"/>
      <c r="AF1012" s="53" t="s">
        <v>68</v>
      </c>
      <c r="AG1012" s="42"/>
      <c r="AH1012" s="42"/>
      <c r="AI1012" s="43"/>
      <c r="AJ1012" s="43"/>
      <c r="AK1012" s="43"/>
      <c r="AL1012" s="43"/>
      <c r="AM1012" s="43"/>
      <c r="AN1012" s="42"/>
      <c r="AO1012" s="42"/>
      <c r="AP1012" s="42"/>
      <c r="AQ1012" s="43"/>
      <c r="AR1012" s="42"/>
      <c r="AS1012" s="42" t="s">
        <v>1320</v>
      </c>
    </row>
    <row r="1013" spans="1:45" ht="15" customHeight="1">
      <c r="A1013" s="21" t="s">
        <v>260</v>
      </c>
      <c r="B1013" s="21" t="s">
        <v>46</v>
      </c>
      <c r="C1013" s="21" t="s">
        <v>188</v>
      </c>
      <c r="D1013" s="21" t="s">
        <v>48</v>
      </c>
      <c r="E1013" s="80" t="s">
        <v>1313</v>
      </c>
      <c r="F1013" s="21" t="s">
        <v>953</v>
      </c>
      <c r="G1013" s="101" t="s">
        <v>77</v>
      </c>
      <c r="H1013" s="25" t="s">
        <v>1317</v>
      </c>
      <c r="I1013" s="102" t="s">
        <v>78</v>
      </c>
      <c r="J1013" s="101" t="s">
        <v>1318</v>
      </c>
      <c r="K1013" s="115"/>
      <c r="L1013" s="48" t="s">
        <v>956</v>
      </c>
      <c r="M1013" s="116">
        <v>43332</v>
      </c>
      <c r="N1013" s="116" t="s">
        <v>177</v>
      </c>
      <c r="O1013" s="68">
        <v>6000</v>
      </c>
      <c r="P1013" s="68">
        <v>3</v>
      </c>
      <c r="Q1013" s="51">
        <f t="shared" si="26"/>
        <v>18000</v>
      </c>
      <c r="R1013" s="31">
        <v>202310</v>
      </c>
      <c r="S1013" s="117" t="s">
        <v>1324</v>
      </c>
      <c r="T1013" s="33"/>
      <c r="U1013" s="117"/>
      <c r="V1013" s="118"/>
      <c r="W1013" s="67"/>
      <c r="X1013" s="67"/>
      <c r="Y1013" s="36"/>
      <c r="Z1013" s="36"/>
      <c r="AA1013" s="36"/>
      <c r="AB1013" s="36"/>
      <c r="AC1013" s="36"/>
      <c r="AD1013" s="36"/>
      <c r="AE1013" s="36"/>
      <c r="AF1013" s="53" t="s">
        <v>68</v>
      </c>
      <c r="AG1013" s="42"/>
      <c r="AH1013" s="42"/>
      <c r="AI1013" s="43"/>
      <c r="AJ1013" s="43"/>
      <c r="AK1013" s="43"/>
      <c r="AL1013" s="43"/>
      <c r="AM1013" s="43"/>
      <c r="AN1013" s="42"/>
      <c r="AO1013" s="42"/>
      <c r="AP1013" s="42"/>
      <c r="AQ1013" s="43"/>
      <c r="AR1013" s="42"/>
      <c r="AS1013" s="42" t="s">
        <v>1320</v>
      </c>
    </row>
    <row r="1014" spans="1:45" ht="15" customHeight="1">
      <c r="A1014" s="21" t="s">
        <v>260</v>
      </c>
      <c r="B1014" s="21" t="s">
        <v>46</v>
      </c>
      <c r="C1014" s="21" t="s">
        <v>188</v>
      </c>
      <c r="D1014" s="21" t="s">
        <v>48</v>
      </c>
      <c r="E1014" s="80" t="s">
        <v>1313</v>
      </c>
      <c r="F1014" s="21" t="s">
        <v>953</v>
      </c>
      <c r="G1014" s="101" t="s">
        <v>77</v>
      </c>
      <c r="H1014" s="25" t="s">
        <v>1317</v>
      </c>
      <c r="I1014" s="102" t="s">
        <v>78</v>
      </c>
      <c r="J1014" s="101" t="s">
        <v>1318</v>
      </c>
      <c r="K1014" s="115"/>
      <c r="L1014" s="48" t="s">
        <v>956</v>
      </c>
      <c r="M1014" s="116">
        <v>43349</v>
      </c>
      <c r="N1014" s="116" t="s">
        <v>177</v>
      </c>
      <c r="O1014" s="68">
        <v>6000</v>
      </c>
      <c r="P1014" s="68">
        <v>1</v>
      </c>
      <c r="Q1014" s="51">
        <f t="shared" si="26"/>
        <v>6000</v>
      </c>
      <c r="R1014" s="31">
        <v>202310</v>
      </c>
      <c r="S1014" s="117" t="s">
        <v>1325</v>
      </c>
      <c r="T1014" s="33"/>
      <c r="U1014" s="117"/>
      <c r="V1014" s="118"/>
      <c r="W1014" s="67"/>
      <c r="X1014" s="67"/>
      <c r="Y1014" s="36"/>
      <c r="Z1014" s="36"/>
      <c r="AA1014" s="36"/>
      <c r="AB1014" s="36"/>
      <c r="AC1014" s="36"/>
      <c r="AD1014" s="36"/>
      <c r="AE1014" s="36"/>
      <c r="AF1014" s="53" t="s">
        <v>68</v>
      </c>
      <c r="AG1014" s="42"/>
      <c r="AH1014" s="42"/>
      <c r="AI1014" s="43"/>
      <c r="AJ1014" s="43"/>
      <c r="AK1014" s="43"/>
      <c r="AL1014" s="43"/>
      <c r="AM1014" s="43"/>
      <c r="AN1014" s="42"/>
      <c r="AO1014" s="42"/>
      <c r="AP1014" s="42"/>
      <c r="AQ1014" s="43"/>
      <c r="AR1014" s="42"/>
      <c r="AS1014" s="42" t="s">
        <v>1320</v>
      </c>
    </row>
    <row r="1015" spans="1:45" ht="15" customHeight="1">
      <c r="A1015" s="21" t="s">
        <v>260</v>
      </c>
      <c r="B1015" s="21" t="s">
        <v>46</v>
      </c>
      <c r="C1015" s="21" t="s">
        <v>188</v>
      </c>
      <c r="D1015" s="21" t="s">
        <v>48</v>
      </c>
      <c r="E1015" s="80" t="s">
        <v>1313</v>
      </c>
      <c r="F1015" s="21" t="s">
        <v>953</v>
      </c>
      <c r="G1015" s="101" t="s">
        <v>77</v>
      </c>
      <c r="H1015" s="25" t="s">
        <v>1317</v>
      </c>
      <c r="I1015" s="102" t="s">
        <v>78</v>
      </c>
      <c r="J1015" s="101" t="s">
        <v>1318</v>
      </c>
      <c r="K1015" s="115"/>
      <c r="L1015" s="48" t="s">
        <v>956</v>
      </c>
      <c r="M1015" s="116">
        <v>43354</v>
      </c>
      <c r="N1015" s="116" t="s">
        <v>177</v>
      </c>
      <c r="O1015" s="68">
        <v>6000</v>
      </c>
      <c r="P1015" s="68">
        <v>2</v>
      </c>
      <c r="Q1015" s="51">
        <f t="shared" si="26"/>
        <v>12000</v>
      </c>
      <c r="R1015" s="31">
        <v>202310</v>
      </c>
      <c r="S1015" s="117" t="s">
        <v>1326</v>
      </c>
      <c r="T1015" s="33"/>
      <c r="U1015" s="117"/>
      <c r="V1015" s="118"/>
      <c r="W1015" s="67"/>
      <c r="X1015" s="67"/>
      <c r="Y1015" s="36"/>
      <c r="Z1015" s="36"/>
      <c r="AA1015" s="36"/>
      <c r="AB1015" s="36"/>
      <c r="AC1015" s="36"/>
      <c r="AD1015" s="36"/>
      <c r="AE1015" s="36"/>
      <c r="AF1015" s="53" t="s">
        <v>68</v>
      </c>
      <c r="AG1015" s="42"/>
      <c r="AH1015" s="42"/>
      <c r="AI1015" s="43"/>
      <c r="AJ1015" s="43"/>
      <c r="AK1015" s="43"/>
      <c r="AL1015" s="43"/>
      <c r="AM1015" s="43"/>
      <c r="AN1015" s="42"/>
      <c r="AO1015" s="42"/>
      <c r="AP1015" s="42"/>
      <c r="AQ1015" s="43"/>
      <c r="AR1015" s="42"/>
      <c r="AS1015" s="42" t="s">
        <v>1320</v>
      </c>
    </row>
    <row r="1016" spans="1:45" ht="15" customHeight="1">
      <c r="A1016" s="21" t="s">
        <v>260</v>
      </c>
      <c r="B1016" s="21" t="s">
        <v>46</v>
      </c>
      <c r="C1016" s="21" t="s">
        <v>188</v>
      </c>
      <c r="D1016" s="21" t="s">
        <v>48</v>
      </c>
      <c r="E1016" s="80" t="s">
        <v>1313</v>
      </c>
      <c r="F1016" s="21" t="s">
        <v>953</v>
      </c>
      <c r="G1016" s="101" t="s">
        <v>77</v>
      </c>
      <c r="H1016" s="25" t="s">
        <v>1317</v>
      </c>
      <c r="I1016" s="102" t="s">
        <v>78</v>
      </c>
      <c r="J1016" s="101" t="s">
        <v>1318</v>
      </c>
      <c r="K1016" s="115"/>
      <c r="L1016" s="48" t="s">
        <v>956</v>
      </c>
      <c r="M1016" s="116">
        <v>43340</v>
      </c>
      <c r="N1016" s="116" t="s">
        <v>177</v>
      </c>
      <c r="O1016" s="68">
        <v>6000</v>
      </c>
      <c r="P1016" s="68">
        <v>2</v>
      </c>
      <c r="Q1016" s="51">
        <f t="shared" si="26"/>
        <v>12000</v>
      </c>
      <c r="R1016" s="31">
        <v>202310</v>
      </c>
      <c r="S1016" s="117" t="s">
        <v>1327</v>
      </c>
      <c r="T1016" s="33"/>
      <c r="U1016" s="117"/>
      <c r="V1016" s="118"/>
      <c r="W1016" s="67"/>
      <c r="X1016" s="67"/>
      <c r="Y1016" s="36"/>
      <c r="Z1016" s="36"/>
      <c r="AA1016" s="36"/>
      <c r="AB1016" s="36"/>
      <c r="AC1016" s="36"/>
      <c r="AD1016" s="36"/>
      <c r="AE1016" s="36"/>
      <c r="AF1016" s="53" t="s">
        <v>68</v>
      </c>
      <c r="AG1016" s="42"/>
      <c r="AH1016" s="42"/>
      <c r="AI1016" s="43"/>
      <c r="AJ1016" s="43"/>
      <c r="AK1016" s="43"/>
      <c r="AL1016" s="43"/>
      <c r="AM1016" s="43"/>
      <c r="AN1016" s="42"/>
      <c r="AO1016" s="42"/>
      <c r="AP1016" s="42"/>
      <c r="AQ1016" s="43"/>
      <c r="AR1016" s="42"/>
      <c r="AS1016" s="42" t="s">
        <v>1320</v>
      </c>
    </row>
    <row r="1017" spans="1:45" ht="15" customHeight="1">
      <c r="A1017" s="21" t="s">
        <v>260</v>
      </c>
      <c r="B1017" s="21" t="s">
        <v>46</v>
      </c>
      <c r="C1017" s="21" t="s">
        <v>188</v>
      </c>
      <c r="D1017" s="21" t="s">
        <v>48</v>
      </c>
      <c r="E1017" s="80" t="s">
        <v>1313</v>
      </c>
      <c r="F1017" s="21" t="s">
        <v>953</v>
      </c>
      <c r="G1017" s="101" t="s">
        <v>77</v>
      </c>
      <c r="H1017" s="25" t="s">
        <v>1317</v>
      </c>
      <c r="I1017" s="102" t="s">
        <v>78</v>
      </c>
      <c r="J1017" s="101" t="s">
        <v>1318</v>
      </c>
      <c r="K1017" s="115"/>
      <c r="L1017" s="48" t="s">
        <v>956</v>
      </c>
      <c r="M1017" s="116">
        <v>43342</v>
      </c>
      <c r="N1017" s="116" t="s">
        <v>177</v>
      </c>
      <c r="O1017" s="68">
        <v>6000</v>
      </c>
      <c r="P1017" s="68">
        <v>1</v>
      </c>
      <c r="Q1017" s="51">
        <f t="shared" si="26"/>
        <v>6000</v>
      </c>
      <c r="R1017" s="31">
        <v>202310</v>
      </c>
      <c r="S1017" s="117" t="s">
        <v>1328</v>
      </c>
      <c r="T1017" s="33"/>
      <c r="U1017" s="117"/>
      <c r="V1017" s="118"/>
      <c r="W1017" s="67"/>
      <c r="X1017" s="67"/>
      <c r="Y1017" s="36"/>
      <c r="Z1017" s="36"/>
      <c r="AA1017" s="36"/>
      <c r="AB1017" s="36"/>
      <c r="AC1017" s="36"/>
      <c r="AD1017" s="36"/>
      <c r="AE1017" s="36"/>
      <c r="AF1017" s="53" t="s">
        <v>68</v>
      </c>
      <c r="AG1017" s="42"/>
      <c r="AH1017" s="42"/>
      <c r="AI1017" s="43"/>
      <c r="AJ1017" s="43"/>
      <c r="AK1017" s="43"/>
      <c r="AL1017" s="43"/>
      <c r="AM1017" s="43"/>
      <c r="AN1017" s="42"/>
      <c r="AO1017" s="42"/>
      <c r="AP1017" s="42"/>
      <c r="AQ1017" s="43"/>
      <c r="AR1017" s="42"/>
      <c r="AS1017" s="42" t="s">
        <v>1320</v>
      </c>
    </row>
    <row r="1018" spans="1:45" ht="15" customHeight="1">
      <c r="A1018" s="21" t="s">
        <v>260</v>
      </c>
      <c r="B1018" s="21" t="s">
        <v>46</v>
      </c>
      <c r="C1018" s="21" t="s">
        <v>188</v>
      </c>
      <c r="D1018" s="21" t="s">
        <v>48</v>
      </c>
      <c r="E1018" s="80" t="s">
        <v>1313</v>
      </c>
      <c r="F1018" s="21" t="s">
        <v>953</v>
      </c>
      <c r="G1018" s="101" t="s">
        <v>77</v>
      </c>
      <c r="H1018" s="25" t="s">
        <v>1317</v>
      </c>
      <c r="I1018" s="102" t="s">
        <v>78</v>
      </c>
      <c r="J1018" s="101" t="s">
        <v>1318</v>
      </c>
      <c r="K1018" s="115"/>
      <c r="L1018" s="48" t="s">
        <v>956</v>
      </c>
      <c r="M1018" s="116">
        <v>43347</v>
      </c>
      <c r="N1018" s="116" t="s">
        <v>177</v>
      </c>
      <c r="O1018" s="68">
        <v>6000</v>
      </c>
      <c r="P1018" s="68">
        <v>8</v>
      </c>
      <c r="Q1018" s="51">
        <f t="shared" si="26"/>
        <v>48000</v>
      </c>
      <c r="R1018" s="31">
        <v>202310</v>
      </c>
      <c r="S1018" s="117" t="s">
        <v>1329</v>
      </c>
      <c r="T1018" s="33"/>
      <c r="U1018" s="117"/>
      <c r="V1018" s="118"/>
      <c r="W1018" s="67"/>
      <c r="X1018" s="67"/>
      <c r="Y1018" s="36"/>
      <c r="Z1018" s="36"/>
      <c r="AA1018" s="36"/>
      <c r="AB1018" s="36"/>
      <c r="AC1018" s="36"/>
      <c r="AD1018" s="36"/>
      <c r="AE1018" s="36"/>
      <c r="AF1018" s="53" t="s">
        <v>68</v>
      </c>
      <c r="AG1018" s="42"/>
      <c r="AH1018" s="42"/>
      <c r="AI1018" s="43"/>
      <c r="AJ1018" s="43"/>
      <c r="AK1018" s="43"/>
      <c r="AL1018" s="43"/>
      <c r="AM1018" s="43"/>
      <c r="AN1018" s="42"/>
      <c r="AO1018" s="42"/>
      <c r="AP1018" s="42"/>
      <c r="AQ1018" s="43"/>
      <c r="AR1018" s="42"/>
      <c r="AS1018" s="42" t="s">
        <v>1320</v>
      </c>
    </row>
    <row r="1019" spans="1:45" ht="15" customHeight="1">
      <c r="A1019" s="21" t="s">
        <v>260</v>
      </c>
      <c r="B1019" s="21" t="s">
        <v>46</v>
      </c>
      <c r="C1019" s="21" t="s">
        <v>188</v>
      </c>
      <c r="D1019" s="21" t="s">
        <v>48</v>
      </c>
      <c r="E1019" s="80" t="s">
        <v>1313</v>
      </c>
      <c r="F1019" s="21" t="s">
        <v>953</v>
      </c>
      <c r="G1019" s="101" t="s">
        <v>77</v>
      </c>
      <c r="H1019" s="25" t="s">
        <v>1317</v>
      </c>
      <c r="I1019" s="102" t="s">
        <v>78</v>
      </c>
      <c r="J1019" s="101" t="s">
        <v>1318</v>
      </c>
      <c r="K1019" s="115"/>
      <c r="L1019" s="48" t="s">
        <v>956</v>
      </c>
      <c r="M1019" s="116">
        <v>43347</v>
      </c>
      <c r="N1019" s="116" t="s">
        <v>177</v>
      </c>
      <c r="O1019" s="68">
        <v>6000</v>
      </c>
      <c r="P1019" s="68">
        <v>3</v>
      </c>
      <c r="Q1019" s="51">
        <f t="shared" si="26"/>
        <v>18000</v>
      </c>
      <c r="R1019" s="31">
        <v>202310</v>
      </c>
      <c r="S1019" s="117" t="s">
        <v>1330</v>
      </c>
      <c r="T1019" s="33"/>
      <c r="U1019" s="117"/>
      <c r="V1019" s="118"/>
      <c r="W1019" s="67"/>
      <c r="X1019" s="67"/>
      <c r="Y1019" s="36"/>
      <c r="Z1019" s="36"/>
      <c r="AA1019" s="36"/>
      <c r="AB1019" s="36"/>
      <c r="AC1019" s="36"/>
      <c r="AD1019" s="36"/>
      <c r="AE1019" s="36"/>
      <c r="AF1019" s="53" t="s">
        <v>68</v>
      </c>
      <c r="AG1019" s="42"/>
      <c r="AH1019" s="42"/>
      <c r="AI1019" s="43"/>
      <c r="AJ1019" s="43"/>
      <c r="AK1019" s="43"/>
      <c r="AL1019" s="43"/>
      <c r="AM1019" s="43"/>
      <c r="AN1019" s="42"/>
      <c r="AO1019" s="42"/>
      <c r="AP1019" s="42"/>
      <c r="AQ1019" s="43"/>
      <c r="AR1019" s="42"/>
      <c r="AS1019" s="42" t="s">
        <v>1320</v>
      </c>
    </row>
    <row r="1020" spans="1:45" ht="15" customHeight="1">
      <c r="A1020" s="21" t="s">
        <v>260</v>
      </c>
      <c r="B1020" s="21" t="s">
        <v>46</v>
      </c>
      <c r="C1020" s="21" t="s">
        <v>188</v>
      </c>
      <c r="D1020" s="21" t="s">
        <v>48</v>
      </c>
      <c r="E1020" s="80" t="s">
        <v>1313</v>
      </c>
      <c r="F1020" s="21" t="s">
        <v>953</v>
      </c>
      <c r="G1020" s="101" t="s">
        <v>77</v>
      </c>
      <c r="H1020" s="25" t="s">
        <v>1317</v>
      </c>
      <c r="I1020" s="102" t="s">
        <v>78</v>
      </c>
      <c r="J1020" s="101" t="s">
        <v>1318</v>
      </c>
      <c r="K1020" s="115"/>
      <c r="L1020" s="48" t="s">
        <v>956</v>
      </c>
      <c r="M1020" s="161">
        <v>43363</v>
      </c>
      <c r="N1020" s="105" t="s">
        <v>177</v>
      </c>
      <c r="O1020" s="68">
        <v>6000</v>
      </c>
      <c r="P1020" s="68">
        <v>3</v>
      </c>
      <c r="Q1020" s="51">
        <f t="shared" si="26"/>
        <v>18000</v>
      </c>
      <c r="R1020" s="31">
        <v>202310</v>
      </c>
      <c r="S1020" s="117" t="s">
        <v>1331</v>
      </c>
      <c r="T1020" s="33"/>
      <c r="U1020" s="117"/>
      <c r="V1020" s="118"/>
      <c r="W1020" s="67"/>
      <c r="X1020" s="67"/>
      <c r="Y1020" s="36"/>
      <c r="Z1020" s="36"/>
      <c r="AA1020" s="36"/>
      <c r="AB1020" s="36"/>
      <c r="AC1020" s="36"/>
      <c r="AD1020" s="36"/>
      <c r="AE1020" s="36"/>
      <c r="AF1020" s="53" t="s">
        <v>68</v>
      </c>
      <c r="AG1020" s="42"/>
      <c r="AH1020" s="42"/>
      <c r="AI1020" s="43"/>
      <c r="AJ1020" s="43"/>
      <c r="AK1020" s="43"/>
      <c r="AL1020" s="43"/>
      <c r="AM1020" s="43"/>
      <c r="AN1020" s="42"/>
      <c r="AO1020" s="42"/>
      <c r="AP1020" s="42"/>
      <c r="AQ1020" s="43"/>
      <c r="AR1020" s="42"/>
      <c r="AS1020" s="42" t="s">
        <v>1320</v>
      </c>
    </row>
    <row r="1021" spans="1:45" ht="15" customHeight="1">
      <c r="A1021" s="21" t="s">
        <v>260</v>
      </c>
      <c r="B1021" s="21" t="s">
        <v>46</v>
      </c>
      <c r="C1021" s="21" t="s">
        <v>188</v>
      </c>
      <c r="D1021" s="21" t="s">
        <v>48</v>
      </c>
      <c r="E1021" s="80" t="s">
        <v>1313</v>
      </c>
      <c r="F1021" s="21" t="s">
        <v>953</v>
      </c>
      <c r="G1021" s="101" t="s">
        <v>77</v>
      </c>
      <c r="H1021" s="25" t="s">
        <v>1317</v>
      </c>
      <c r="I1021" s="102" t="s">
        <v>78</v>
      </c>
      <c r="J1021" s="101" t="s">
        <v>1318</v>
      </c>
      <c r="K1021" s="115"/>
      <c r="L1021" s="48" t="s">
        <v>956</v>
      </c>
      <c r="M1021" s="161">
        <v>43382</v>
      </c>
      <c r="N1021" s="105" t="s">
        <v>177</v>
      </c>
      <c r="O1021" s="68">
        <v>6000</v>
      </c>
      <c r="P1021" s="68">
        <v>9</v>
      </c>
      <c r="Q1021" s="51">
        <f t="shared" si="26"/>
        <v>54000</v>
      </c>
      <c r="R1021" s="31">
        <v>202310</v>
      </c>
      <c r="S1021" s="117" t="s">
        <v>1332</v>
      </c>
      <c r="T1021" s="33"/>
      <c r="U1021" s="117"/>
      <c r="V1021" s="118"/>
      <c r="W1021" s="67"/>
      <c r="X1021" s="67"/>
      <c r="Y1021" s="36"/>
      <c r="Z1021" s="36"/>
      <c r="AA1021" s="36"/>
      <c r="AB1021" s="36"/>
      <c r="AC1021" s="36"/>
      <c r="AD1021" s="36"/>
      <c r="AE1021" s="36"/>
      <c r="AF1021" s="53" t="s">
        <v>68</v>
      </c>
      <c r="AG1021" s="42"/>
      <c r="AH1021" s="42"/>
      <c r="AI1021" s="43"/>
      <c r="AJ1021" s="43"/>
      <c r="AK1021" s="43"/>
      <c r="AL1021" s="43"/>
      <c r="AM1021" s="43"/>
      <c r="AN1021" s="42"/>
      <c r="AO1021" s="42"/>
      <c r="AP1021" s="42"/>
      <c r="AQ1021" s="43"/>
      <c r="AR1021" s="42"/>
      <c r="AS1021" s="42" t="s">
        <v>1320</v>
      </c>
    </row>
    <row r="1022" spans="1:45" ht="15" customHeight="1">
      <c r="A1022" s="21" t="s">
        <v>260</v>
      </c>
      <c r="B1022" s="21" t="s">
        <v>46</v>
      </c>
      <c r="C1022" s="21" t="s">
        <v>188</v>
      </c>
      <c r="D1022" s="21" t="s">
        <v>48</v>
      </c>
      <c r="E1022" s="80" t="s">
        <v>1313</v>
      </c>
      <c r="F1022" s="21" t="s">
        <v>953</v>
      </c>
      <c r="G1022" s="101" t="s">
        <v>77</v>
      </c>
      <c r="H1022" s="25" t="s">
        <v>1317</v>
      </c>
      <c r="I1022" s="102" t="s">
        <v>78</v>
      </c>
      <c r="J1022" s="101" t="s">
        <v>1318</v>
      </c>
      <c r="K1022" s="115"/>
      <c r="L1022" s="48" t="s">
        <v>956</v>
      </c>
      <c r="M1022" s="161">
        <v>43485</v>
      </c>
      <c r="N1022" s="105" t="s">
        <v>177</v>
      </c>
      <c r="O1022" s="68">
        <v>6000</v>
      </c>
      <c r="P1022" s="68">
        <v>2</v>
      </c>
      <c r="Q1022" s="51">
        <f t="shared" si="26"/>
        <v>12000</v>
      </c>
      <c r="R1022" s="31">
        <v>202310</v>
      </c>
      <c r="S1022" s="117"/>
      <c r="T1022" s="33"/>
      <c r="U1022" s="117"/>
      <c r="V1022" s="118"/>
      <c r="W1022" s="67"/>
      <c r="X1022" s="67"/>
      <c r="Y1022" s="36"/>
      <c r="Z1022" s="36"/>
      <c r="AA1022" s="36"/>
      <c r="AB1022" s="36"/>
      <c r="AC1022" s="36"/>
      <c r="AD1022" s="36"/>
      <c r="AE1022" s="36"/>
      <c r="AF1022" s="53" t="s">
        <v>68</v>
      </c>
      <c r="AG1022" s="42"/>
      <c r="AH1022" s="42"/>
      <c r="AI1022" s="43"/>
      <c r="AJ1022" s="43"/>
      <c r="AK1022" s="43"/>
      <c r="AL1022" s="43"/>
      <c r="AM1022" s="43"/>
      <c r="AN1022" s="42"/>
      <c r="AO1022" s="42"/>
      <c r="AP1022" s="42"/>
      <c r="AQ1022" s="43"/>
      <c r="AR1022" s="42"/>
      <c r="AS1022" s="42" t="s">
        <v>1320</v>
      </c>
    </row>
    <row r="1023" spans="1:45" ht="15" customHeight="1">
      <c r="A1023" s="21" t="s">
        <v>260</v>
      </c>
      <c r="B1023" s="21" t="s">
        <v>46</v>
      </c>
      <c r="C1023" s="21" t="s">
        <v>188</v>
      </c>
      <c r="D1023" s="21" t="s">
        <v>48</v>
      </c>
      <c r="E1023" s="80" t="s">
        <v>1313</v>
      </c>
      <c r="F1023" s="21" t="s">
        <v>953</v>
      </c>
      <c r="G1023" s="101" t="s">
        <v>77</v>
      </c>
      <c r="H1023" s="25" t="s">
        <v>1317</v>
      </c>
      <c r="I1023" s="102" t="s">
        <v>78</v>
      </c>
      <c r="J1023" s="101" t="s">
        <v>1318</v>
      </c>
      <c r="K1023" s="115"/>
      <c r="L1023" s="48" t="s">
        <v>956</v>
      </c>
      <c r="M1023" s="116">
        <v>43492</v>
      </c>
      <c r="N1023" s="116" t="s">
        <v>177</v>
      </c>
      <c r="O1023" s="68">
        <v>6000</v>
      </c>
      <c r="P1023" s="68">
        <v>3</v>
      </c>
      <c r="Q1023" s="51">
        <f t="shared" si="26"/>
        <v>18000</v>
      </c>
      <c r="R1023" s="31">
        <v>202310</v>
      </c>
      <c r="S1023" s="117"/>
      <c r="T1023" s="33"/>
      <c r="U1023" s="117"/>
      <c r="V1023" s="118"/>
      <c r="W1023" s="67"/>
      <c r="X1023" s="67"/>
      <c r="Y1023" s="36"/>
      <c r="Z1023" s="36"/>
      <c r="AA1023" s="36"/>
      <c r="AB1023" s="36"/>
      <c r="AC1023" s="36"/>
      <c r="AD1023" s="36"/>
      <c r="AE1023" s="36"/>
      <c r="AF1023" s="53" t="s">
        <v>68</v>
      </c>
      <c r="AG1023" s="42"/>
      <c r="AH1023" s="42"/>
      <c r="AI1023" s="43"/>
      <c r="AJ1023" s="43"/>
      <c r="AK1023" s="43"/>
      <c r="AL1023" s="43"/>
      <c r="AM1023" s="43"/>
      <c r="AN1023" s="42"/>
      <c r="AO1023" s="42"/>
      <c r="AP1023" s="42"/>
      <c r="AQ1023" s="43"/>
      <c r="AR1023" s="42"/>
      <c r="AS1023" s="42" t="s">
        <v>1320</v>
      </c>
    </row>
    <row r="1024" spans="1:45" ht="15" customHeight="1">
      <c r="A1024" s="21" t="s">
        <v>260</v>
      </c>
      <c r="B1024" s="21" t="s">
        <v>46</v>
      </c>
      <c r="C1024" s="21" t="s">
        <v>188</v>
      </c>
      <c r="D1024" s="21" t="s">
        <v>48</v>
      </c>
      <c r="E1024" s="80" t="s">
        <v>1313</v>
      </c>
      <c r="F1024" s="21" t="s">
        <v>953</v>
      </c>
      <c r="G1024" s="101" t="s">
        <v>77</v>
      </c>
      <c r="H1024" s="25" t="s">
        <v>1317</v>
      </c>
      <c r="I1024" s="102" t="s">
        <v>78</v>
      </c>
      <c r="J1024" s="101" t="s">
        <v>1318</v>
      </c>
      <c r="K1024" s="115"/>
      <c r="L1024" s="48" t="s">
        <v>956</v>
      </c>
      <c r="M1024" s="116">
        <v>43514</v>
      </c>
      <c r="N1024" s="116" t="s">
        <v>177</v>
      </c>
      <c r="O1024" s="68">
        <v>6000</v>
      </c>
      <c r="P1024" s="68">
        <v>1</v>
      </c>
      <c r="Q1024" s="51">
        <f t="shared" si="26"/>
        <v>6000</v>
      </c>
      <c r="R1024" s="31">
        <v>202310</v>
      </c>
      <c r="S1024" s="117" t="s">
        <v>1333</v>
      </c>
      <c r="T1024" s="33"/>
      <c r="U1024" s="117"/>
      <c r="V1024" s="118"/>
      <c r="W1024" s="67"/>
      <c r="X1024" s="67"/>
      <c r="Y1024" s="36"/>
      <c r="Z1024" s="36"/>
      <c r="AA1024" s="36"/>
      <c r="AB1024" s="36"/>
      <c r="AC1024" s="36"/>
      <c r="AD1024" s="36"/>
      <c r="AE1024" s="36"/>
      <c r="AF1024" s="53" t="s">
        <v>68</v>
      </c>
      <c r="AG1024" s="42"/>
      <c r="AH1024" s="42"/>
      <c r="AI1024" s="43"/>
      <c r="AJ1024" s="43"/>
      <c r="AK1024" s="43"/>
      <c r="AL1024" s="43"/>
      <c r="AM1024" s="43"/>
      <c r="AN1024" s="42"/>
      <c r="AO1024" s="42"/>
      <c r="AP1024" s="42"/>
      <c r="AQ1024" s="43"/>
      <c r="AR1024" s="42"/>
      <c r="AS1024" s="42" t="s">
        <v>1320</v>
      </c>
    </row>
    <row r="1025" spans="1:45" ht="15" customHeight="1">
      <c r="A1025" s="21" t="s">
        <v>260</v>
      </c>
      <c r="B1025" s="21" t="s">
        <v>46</v>
      </c>
      <c r="C1025" s="21" t="s">
        <v>188</v>
      </c>
      <c r="D1025" s="21" t="s">
        <v>48</v>
      </c>
      <c r="E1025" s="80" t="s">
        <v>1313</v>
      </c>
      <c r="F1025" s="21" t="s">
        <v>953</v>
      </c>
      <c r="G1025" s="101" t="s">
        <v>77</v>
      </c>
      <c r="H1025" s="25" t="s">
        <v>1317</v>
      </c>
      <c r="I1025" s="102" t="s">
        <v>78</v>
      </c>
      <c r="J1025" s="101" t="s">
        <v>1318</v>
      </c>
      <c r="K1025" s="115"/>
      <c r="L1025" s="48" t="s">
        <v>956</v>
      </c>
      <c r="M1025" s="116" t="s">
        <v>851</v>
      </c>
      <c r="N1025" s="116" t="s">
        <v>177</v>
      </c>
      <c r="O1025" s="68">
        <v>6000</v>
      </c>
      <c r="P1025" s="68">
        <v>4</v>
      </c>
      <c r="Q1025" s="51">
        <f t="shared" si="26"/>
        <v>24000</v>
      </c>
      <c r="R1025" s="31">
        <v>202310</v>
      </c>
      <c r="S1025" s="117" t="s">
        <v>1334</v>
      </c>
      <c r="T1025" s="33"/>
      <c r="U1025" s="117"/>
      <c r="V1025" s="118"/>
      <c r="W1025" s="67"/>
      <c r="X1025" s="67"/>
      <c r="Y1025" s="36"/>
      <c r="Z1025" s="36"/>
      <c r="AA1025" s="36"/>
      <c r="AB1025" s="36"/>
      <c r="AC1025" s="36"/>
      <c r="AD1025" s="36"/>
      <c r="AE1025" s="36"/>
      <c r="AF1025" s="53" t="s">
        <v>68</v>
      </c>
      <c r="AG1025" s="42"/>
      <c r="AH1025" s="42"/>
      <c r="AI1025" s="43"/>
      <c r="AJ1025" s="43"/>
      <c r="AK1025" s="43"/>
      <c r="AL1025" s="43"/>
      <c r="AM1025" s="43"/>
      <c r="AN1025" s="42"/>
      <c r="AO1025" s="42"/>
      <c r="AP1025" s="42"/>
      <c r="AQ1025" s="43"/>
      <c r="AR1025" s="42"/>
      <c r="AS1025" s="42" t="s">
        <v>1320</v>
      </c>
    </row>
    <row r="1026" spans="1:45" ht="15" customHeight="1">
      <c r="A1026" s="21" t="s">
        <v>260</v>
      </c>
      <c r="B1026" s="21" t="s">
        <v>46</v>
      </c>
      <c r="C1026" s="21" t="s">
        <v>188</v>
      </c>
      <c r="D1026" s="21" t="s">
        <v>48</v>
      </c>
      <c r="E1026" s="80" t="s">
        <v>1313</v>
      </c>
      <c r="F1026" s="21" t="s">
        <v>953</v>
      </c>
      <c r="G1026" s="101" t="s">
        <v>77</v>
      </c>
      <c r="H1026" s="25" t="s">
        <v>1317</v>
      </c>
      <c r="I1026" s="102" t="s">
        <v>78</v>
      </c>
      <c r="J1026" s="101" t="s">
        <v>1318</v>
      </c>
      <c r="K1026" s="115"/>
      <c r="L1026" s="48" t="s">
        <v>956</v>
      </c>
      <c r="M1026" s="116">
        <v>44029</v>
      </c>
      <c r="N1026" s="116" t="s">
        <v>177</v>
      </c>
      <c r="O1026" s="68">
        <v>6000</v>
      </c>
      <c r="P1026" s="68">
        <v>15</v>
      </c>
      <c r="Q1026" s="51">
        <f t="shared" si="26"/>
        <v>90000</v>
      </c>
      <c r="R1026" s="31">
        <v>202310</v>
      </c>
      <c r="S1026" s="117" t="s">
        <v>1335</v>
      </c>
      <c r="T1026" s="33"/>
      <c r="U1026" s="117"/>
      <c r="V1026" s="118"/>
      <c r="W1026" s="67"/>
      <c r="X1026" s="67"/>
      <c r="Y1026" s="36"/>
      <c r="Z1026" s="36"/>
      <c r="AA1026" s="36"/>
      <c r="AB1026" s="36"/>
      <c r="AC1026" s="36"/>
      <c r="AD1026" s="36"/>
      <c r="AE1026" s="36"/>
      <c r="AF1026" s="53" t="s">
        <v>68</v>
      </c>
      <c r="AG1026" s="42"/>
      <c r="AH1026" s="42"/>
      <c r="AI1026" s="43"/>
      <c r="AJ1026" s="43"/>
      <c r="AK1026" s="43"/>
      <c r="AL1026" s="43"/>
      <c r="AM1026" s="43"/>
      <c r="AN1026" s="42"/>
      <c r="AO1026" s="42"/>
      <c r="AP1026" s="42"/>
      <c r="AQ1026" s="43"/>
      <c r="AR1026" s="42"/>
      <c r="AS1026" s="42" t="s">
        <v>1320</v>
      </c>
    </row>
    <row r="1027" spans="1:45" ht="15" customHeight="1">
      <c r="A1027" s="21" t="s">
        <v>260</v>
      </c>
      <c r="B1027" s="21" t="s">
        <v>46</v>
      </c>
      <c r="C1027" s="21" t="s">
        <v>188</v>
      </c>
      <c r="D1027" s="21" t="s">
        <v>48</v>
      </c>
      <c r="E1027" s="80" t="s">
        <v>1313</v>
      </c>
      <c r="F1027" s="21" t="s">
        <v>953</v>
      </c>
      <c r="G1027" s="101" t="s">
        <v>77</v>
      </c>
      <c r="H1027" s="25" t="s">
        <v>1317</v>
      </c>
      <c r="I1027" s="102" t="s">
        <v>78</v>
      </c>
      <c r="J1027" s="101" t="s">
        <v>1318</v>
      </c>
      <c r="K1027" s="115"/>
      <c r="L1027" s="48" t="s">
        <v>956</v>
      </c>
      <c r="M1027" s="116">
        <v>44035</v>
      </c>
      <c r="N1027" s="116" t="s">
        <v>182</v>
      </c>
      <c r="O1027" s="68">
        <v>6000</v>
      </c>
      <c r="P1027" s="68">
        <v>1</v>
      </c>
      <c r="Q1027" s="51">
        <f t="shared" si="26"/>
        <v>6000</v>
      </c>
      <c r="R1027" s="31">
        <v>202310</v>
      </c>
      <c r="S1027" s="117" t="s">
        <v>1336</v>
      </c>
      <c r="T1027" s="33"/>
      <c r="U1027" s="117"/>
      <c r="V1027" s="118"/>
      <c r="W1027" s="67"/>
      <c r="X1027" s="67"/>
      <c r="Y1027" s="36"/>
      <c r="Z1027" s="36"/>
      <c r="AA1027" s="36"/>
      <c r="AB1027" s="36"/>
      <c r="AC1027" s="36"/>
      <c r="AD1027" s="36"/>
      <c r="AE1027" s="36"/>
      <c r="AF1027" s="53" t="s">
        <v>68</v>
      </c>
      <c r="AG1027" s="42"/>
      <c r="AH1027" s="42"/>
      <c r="AI1027" s="43"/>
      <c r="AJ1027" s="43"/>
      <c r="AK1027" s="43"/>
      <c r="AL1027" s="43"/>
      <c r="AM1027" s="43"/>
      <c r="AN1027" s="42"/>
      <c r="AO1027" s="42"/>
      <c r="AP1027" s="42"/>
      <c r="AQ1027" s="43"/>
      <c r="AR1027" s="42"/>
      <c r="AS1027" s="42" t="s">
        <v>1320</v>
      </c>
    </row>
    <row r="1028" spans="1:45" ht="15" customHeight="1">
      <c r="A1028" s="21" t="s">
        <v>260</v>
      </c>
      <c r="B1028" s="21" t="s">
        <v>46</v>
      </c>
      <c r="C1028" s="21" t="s">
        <v>188</v>
      </c>
      <c r="D1028" s="21" t="s">
        <v>48</v>
      </c>
      <c r="E1028" s="80" t="s">
        <v>1313</v>
      </c>
      <c r="F1028" s="21" t="s">
        <v>953</v>
      </c>
      <c r="G1028" s="101" t="s">
        <v>77</v>
      </c>
      <c r="H1028" s="25" t="s">
        <v>1317</v>
      </c>
      <c r="I1028" s="102" t="s">
        <v>78</v>
      </c>
      <c r="J1028" s="101" t="s">
        <v>1318</v>
      </c>
      <c r="K1028" s="115"/>
      <c r="L1028" s="48" t="s">
        <v>956</v>
      </c>
      <c r="M1028" s="116">
        <v>44861</v>
      </c>
      <c r="N1028" s="116" t="s">
        <v>177</v>
      </c>
      <c r="O1028" s="68">
        <v>0</v>
      </c>
      <c r="P1028" s="68">
        <v>-4</v>
      </c>
      <c r="Q1028" s="51">
        <f t="shared" si="26"/>
        <v>0</v>
      </c>
      <c r="R1028" s="31">
        <v>202310</v>
      </c>
      <c r="S1028" s="117" t="s">
        <v>1337</v>
      </c>
      <c r="T1028" s="33"/>
      <c r="U1028" s="117"/>
      <c r="V1028" s="118"/>
      <c r="W1028" s="67"/>
      <c r="X1028" s="67"/>
      <c r="Y1028" s="36"/>
      <c r="Z1028" s="36"/>
      <c r="AA1028" s="36"/>
      <c r="AB1028" s="36"/>
      <c r="AC1028" s="36"/>
      <c r="AD1028" s="36"/>
      <c r="AE1028" s="36"/>
      <c r="AF1028" s="53" t="s">
        <v>68</v>
      </c>
      <c r="AG1028" s="42"/>
      <c r="AH1028" s="42"/>
      <c r="AI1028" s="43"/>
      <c r="AJ1028" s="43"/>
      <c r="AK1028" s="43"/>
      <c r="AL1028" s="43"/>
      <c r="AM1028" s="43"/>
      <c r="AN1028" s="42"/>
      <c r="AO1028" s="42"/>
      <c r="AP1028" s="42"/>
      <c r="AQ1028" s="43"/>
      <c r="AR1028" s="42"/>
      <c r="AS1028" s="42" t="s">
        <v>1320</v>
      </c>
    </row>
    <row r="1029" spans="1:45" ht="15" customHeight="1">
      <c r="A1029" s="21" t="s">
        <v>260</v>
      </c>
      <c r="B1029" s="21" t="s">
        <v>46</v>
      </c>
      <c r="C1029" s="21" t="s">
        <v>188</v>
      </c>
      <c r="D1029" s="21" t="s">
        <v>48</v>
      </c>
      <c r="E1029" s="80" t="s">
        <v>1313</v>
      </c>
      <c r="F1029" s="21" t="s">
        <v>953</v>
      </c>
      <c r="G1029" s="101" t="s">
        <v>77</v>
      </c>
      <c r="H1029" s="25" t="s">
        <v>1317</v>
      </c>
      <c r="I1029" s="102" t="s">
        <v>366</v>
      </c>
      <c r="J1029" s="65" t="s">
        <v>1338</v>
      </c>
      <c r="K1029" s="104"/>
      <c r="L1029" s="48" t="s">
        <v>956</v>
      </c>
      <c r="M1029" s="27"/>
      <c r="N1029" s="105"/>
      <c r="O1029" s="106">
        <v>300</v>
      </c>
      <c r="P1029" s="106">
        <v>3300</v>
      </c>
      <c r="Q1029" s="51">
        <f t="shared" si="26"/>
        <v>990000</v>
      </c>
      <c r="R1029" s="31">
        <v>202310</v>
      </c>
      <c r="S1029" s="107" t="s">
        <v>1339</v>
      </c>
      <c r="T1029" s="33" t="s">
        <v>1340</v>
      </c>
      <c r="U1029" s="117"/>
      <c r="V1029" s="67"/>
      <c r="W1029" s="67"/>
      <c r="X1029" s="67"/>
      <c r="Y1029" s="36"/>
      <c r="Z1029" s="36"/>
      <c r="AA1029" s="36"/>
      <c r="AB1029" s="36"/>
      <c r="AC1029" s="36"/>
      <c r="AD1029" s="36"/>
      <c r="AE1029" s="36"/>
      <c r="AF1029" s="53" t="s">
        <v>68</v>
      </c>
      <c r="AG1029" s="42"/>
      <c r="AH1029" s="42"/>
      <c r="AI1029" s="43"/>
      <c r="AJ1029" s="43"/>
      <c r="AK1029" s="43"/>
      <c r="AL1029" s="43"/>
      <c r="AM1029" s="43"/>
      <c r="AN1029" s="42"/>
      <c r="AO1029" s="42"/>
      <c r="AP1029" s="42"/>
      <c r="AQ1029" s="43"/>
      <c r="AR1029" s="42"/>
      <c r="AS1029" s="42" t="s">
        <v>1320</v>
      </c>
    </row>
    <row r="1030" spans="1:45" ht="15" customHeight="1">
      <c r="A1030" s="21" t="s">
        <v>260</v>
      </c>
      <c r="B1030" s="21" t="s">
        <v>46</v>
      </c>
      <c r="C1030" s="21" t="s">
        <v>188</v>
      </c>
      <c r="D1030" s="21" t="s">
        <v>48</v>
      </c>
      <c r="E1030" s="80" t="s">
        <v>1313</v>
      </c>
      <c r="F1030" s="21" t="s">
        <v>953</v>
      </c>
      <c r="G1030" s="26" t="s">
        <v>62</v>
      </c>
      <c r="H1030" s="160" t="s">
        <v>1341</v>
      </c>
      <c r="I1030" s="26" t="s">
        <v>64</v>
      </c>
      <c r="J1030" s="101" t="s">
        <v>1342</v>
      </c>
      <c r="K1030" s="115"/>
      <c r="L1030" s="48"/>
      <c r="M1030" s="116">
        <v>43000</v>
      </c>
      <c r="N1030" s="116" t="s">
        <v>66</v>
      </c>
      <c r="O1030" s="68">
        <v>1600</v>
      </c>
      <c r="P1030" s="30">
        <v>1</v>
      </c>
      <c r="Q1030" s="51">
        <f t="shared" si="26"/>
        <v>1600</v>
      </c>
      <c r="R1030" s="31">
        <v>202310</v>
      </c>
      <c r="S1030" s="117" t="s">
        <v>1343</v>
      </c>
      <c r="T1030" s="33"/>
      <c r="U1030" s="33"/>
      <c r="V1030" s="118"/>
      <c r="W1030" s="67"/>
      <c r="X1030" s="67"/>
      <c r="Y1030" s="36">
        <v>42948</v>
      </c>
      <c r="Z1030" s="36">
        <v>45504</v>
      </c>
      <c r="AA1030" s="36"/>
      <c r="AB1030" s="36"/>
      <c r="AC1030" s="36"/>
      <c r="AD1030" s="36"/>
      <c r="AE1030" s="36"/>
      <c r="AF1030" s="53" t="s">
        <v>68</v>
      </c>
      <c r="AG1030" s="42"/>
      <c r="AH1030" s="42"/>
      <c r="AI1030" s="43"/>
      <c r="AJ1030" s="43"/>
      <c r="AK1030" s="43"/>
      <c r="AL1030" s="43"/>
      <c r="AM1030" s="43"/>
      <c r="AN1030" s="42"/>
      <c r="AO1030" s="42"/>
      <c r="AP1030" s="42"/>
      <c r="AQ1030" s="43"/>
      <c r="AR1030" s="42"/>
      <c r="AS1030" s="42"/>
    </row>
    <row r="1031" spans="1:45" ht="15" customHeight="1">
      <c r="A1031" s="21" t="s">
        <v>260</v>
      </c>
      <c r="B1031" s="21" t="s">
        <v>46</v>
      </c>
      <c r="C1031" s="21" t="s">
        <v>188</v>
      </c>
      <c r="D1031" s="21" t="s">
        <v>48</v>
      </c>
      <c r="E1031" s="80" t="s">
        <v>1313</v>
      </c>
      <c r="F1031" s="21" t="s">
        <v>953</v>
      </c>
      <c r="G1031" s="101" t="s">
        <v>77</v>
      </c>
      <c r="H1031" s="25" t="s">
        <v>1344</v>
      </c>
      <c r="I1031" s="102" t="s">
        <v>78</v>
      </c>
      <c r="J1031" s="101" t="s">
        <v>1345</v>
      </c>
      <c r="K1031" s="115"/>
      <c r="L1031" s="48" t="s">
        <v>956</v>
      </c>
      <c r="M1031" s="116">
        <v>43352</v>
      </c>
      <c r="N1031" s="116" t="s">
        <v>177</v>
      </c>
      <c r="O1031" s="68">
        <v>5950</v>
      </c>
      <c r="P1031" s="68">
        <v>44</v>
      </c>
      <c r="Q1031" s="51">
        <f t="shared" si="26"/>
        <v>261800</v>
      </c>
      <c r="R1031" s="31">
        <v>202310</v>
      </c>
      <c r="S1031" s="117" t="s">
        <v>1346</v>
      </c>
      <c r="T1031" s="33"/>
      <c r="U1031" s="117"/>
      <c r="V1031" s="118"/>
      <c r="W1031" s="67"/>
      <c r="X1031" s="67"/>
      <c r="Y1031" s="36">
        <v>43358</v>
      </c>
      <c r="Z1031" s="36">
        <v>45549</v>
      </c>
      <c r="AA1031" s="36"/>
      <c r="AB1031" s="36"/>
      <c r="AC1031" s="36"/>
      <c r="AD1031" s="36"/>
      <c r="AE1031" s="36"/>
      <c r="AF1031" s="53" t="s">
        <v>68</v>
      </c>
      <c r="AG1031" s="42"/>
      <c r="AH1031" s="42"/>
      <c r="AI1031" s="43"/>
      <c r="AJ1031" s="43"/>
      <c r="AK1031" s="43"/>
      <c r="AL1031" s="43"/>
      <c r="AM1031" s="43"/>
      <c r="AN1031" s="42"/>
      <c r="AO1031" s="42"/>
      <c r="AP1031" s="42"/>
      <c r="AQ1031" s="43"/>
      <c r="AR1031" s="42"/>
      <c r="AS1031" s="42"/>
    </row>
    <row r="1032" spans="1:45" ht="15" customHeight="1">
      <c r="A1032" s="21" t="s">
        <v>260</v>
      </c>
      <c r="B1032" s="21" t="s">
        <v>46</v>
      </c>
      <c r="C1032" s="21" t="s">
        <v>188</v>
      </c>
      <c r="D1032" s="21" t="s">
        <v>48</v>
      </c>
      <c r="E1032" s="80" t="s">
        <v>1313</v>
      </c>
      <c r="F1032" s="21" t="s">
        <v>953</v>
      </c>
      <c r="G1032" s="101" t="s">
        <v>77</v>
      </c>
      <c r="H1032" s="25" t="s">
        <v>1344</v>
      </c>
      <c r="I1032" s="102" t="s">
        <v>78</v>
      </c>
      <c r="J1032" s="101" t="s">
        <v>1345</v>
      </c>
      <c r="K1032" s="115"/>
      <c r="L1032" s="48" t="s">
        <v>956</v>
      </c>
      <c r="M1032" s="116">
        <v>43352</v>
      </c>
      <c r="N1032" s="116" t="s">
        <v>177</v>
      </c>
      <c r="O1032" s="68">
        <v>5950</v>
      </c>
      <c r="P1032" s="68">
        <v>-1</v>
      </c>
      <c r="Q1032" s="51">
        <f t="shared" si="26"/>
        <v>-5950</v>
      </c>
      <c r="R1032" s="31">
        <v>202310</v>
      </c>
      <c r="S1032" s="117" t="s">
        <v>1347</v>
      </c>
      <c r="T1032" s="33"/>
      <c r="U1032" s="117"/>
      <c r="V1032" s="118"/>
      <c r="W1032" s="67"/>
      <c r="X1032" s="67"/>
      <c r="Y1032" s="36">
        <v>43358</v>
      </c>
      <c r="Z1032" s="36">
        <v>45549</v>
      </c>
      <c r="AA1032" s="36"/>
      <c r="AB1032" s="36"/>
      <c r="AC1032" s="36"/>
      <c r="AD1032" s="36"/>
      <c r="AE1032" s="36"/>
      <c r="AF1032" s="53" t="s">
        <v>68</v>
      </c>
      <c r="AG1032" s="42"/>
      <c r="AH1032" s="42"/>
      <c r="AI1032" s="43"/>
      <c r="AJ1032" s="43"/>
      <c r="AK1032" s="43"/>
      <c r="AL1032" s="43"/>
      <c r="AM1032" s="43"/>
      <c r="AN1032" s="42"/>
      <c r="AO1032" s="42"/>
      <c r="AP1032" s="42"/>
      <c r="AQ1032" s="43"/>
      <c r="AR1032" s="42"/>
      <c r="AS1032" s="42"/>
    </row>
    <row r="1033" spans="1:45" ht="15" customHeight="1">
      <c r="A1033" s="21" t="s">
        <v>260</v>
      </c>
      <c r="B1033" s="21" t="s">
        <v>46</v>
      </c>
      <c r="C1033" s="21" t="s">
        <v>188</v>
      </c>
      <c r="D1033" s="21" t="s">
        <v>48</v>
      </c>
      <c r="E1033" s="80" t="s">
        <v>1313</v>
      </c>
      <c r="F1033" s="21" t="s">
        <v>953</v>
      </c>
      <c r="G1033" s="101" t="s">
        <v>77</v>
      </c>
      <c r="H1033" s="25" t="s">
        <v>1344</v>
      </c>
      <c r="I1033" s="102" t="s">
        <v>78</v>
      </c>
      <c r="J1033" s="101" t="s">
        <v>1345</v>
      </c>
      <c r="K1033" s="115"/>
      <c r="L1033" s="48" t="s">
        <v>956</v>
      </c>
      <c r="M1033" s="116">
        <v>43347</v>
      </c>
      <c r="N1033" s="116" t="s">
        <v>177</v>
      </c>
      <c r="O1033" s="68">
        <v>5950</v>
      </c>
      <c r="P1033" s="68">
        <v>1</v>
      </c>
      <c r="Q1033" s="51">
        <f t="shared" si="26"/>
        <v>5950</v>
      </c>
      <c r="R1033" s="31">
        <v>202310</v>
      </c>
      <c r="S1033" s="117" t="s">
        <v>1348</v>
      </c>
      <c r="T1033" s="33"/>
      <c r="U1033" s="117"/>
      <c r="V1033" s="118"/>
      <c r="W1033" s="67"/>
      <c r="X1033" s="67"/>
      <c r="Y1033" s="36">
        <v>43358</v>
      </c>
      <c r="Z1033" s="36">
        <v>45549</v>
      </c>
      <c r="AA1033" s="36"/>
      <c r="AB1033" s="36"/>
      <c r="AC1033" s="36"/>
      <c r="AD1033" s="36"/>
      <c r="AE1033" s="36"/>
      <c r="AF1033" s="53" t="s">
        <v>68</v>
      </c>
      <c r="AG1033" s="42"/>
      <c r="AH1033" s="42"/>
      <c r="AI1033" s="43"/>
      <c r="AJ1033" s="43"/>
      <c r="AK1033" s="43"/>
      <c r="AL1033" s="43"/>
      <c r="AM1033" s="43"/>
      <c r="AN1033" s="42"/>
      <c r="AO1033" s="42"/>
      <c r="AP1033" s="42"/>
      <c r="AQ1033" s="43"/>
      <c r="AR1033" s="42"/>
      <c r="AS1033" s="42"/>
    </row>
    <row r="1034" spans="1:45" ht="15" customHeight="1">
      <c r="A1034" s="21" t="s">
        <v>260</v>
      </c>
      <c r="B1034" s="21" t="s">
        <v>46</v>
      </c>
      <c r="C1034" s="21" t="s">
        <v>188</v>
      </c>
      <c r="D1034" s="21" t="s">
        <v>48</v>
      </c>
      <c r="E1034" s="80" t="s">
        <v>1313</v>
      </c>
      <c r="F1034" s="21" t="s">
        <v>953</v>
      </c>
      <c r="G1034" s="101" t="s">
        <v>77</v>
      </c>
      <c r="H1034" s="25" t="s">
        <v>1344</v>
      </c>
      <c r="I1034" s="102" t="s">
        <v>78</v>
      </c>
      <c r="J1034" s="101" t="s">
        <v>1345</v>
      </c>
      <c r="K1034" s="115"/>
      <c r="L1034" s="48" t="s">
        <v>956</v>
      </c>
      <c r="M1034" s="116">
        <v>43363</v>
      </c>
      <c r="N1034" s="116" t="s">
        <v>177</v>
      </c>
      <c r="O1034" s="68">
        <v>5950</v>
      </c>
      <c r="P1034" s="68">
        <v>3</v>
      </c>
      <c r="Q1034" s="51">
        <f t="shared" si="26"/>
        <v>17850</v>
      </c>
      <c r="R1034" s="31">
        <v>202310</v>
      </c>
      <c r="S1034" s="117" t="s">
        <v>1349</v>
      </c>
      <c r="T1034" s="33"/>
      <c r="U1034" s="117"/>
      <c r="V1034" s="118"/>
      <c r="W1034" s="67"/>
      <c r="X1034" s="67"/>
      <c r="Y1034" s="36">
        <v>43358</v>
      </c>
      <c r="Z1034" s="36">
        <v>45549</v>
      </c>
      <c r="AA1034" s="36"/>
      <c r="AB1034" s="36"/>
      <c r="AC1034" s="36"/>
      <c r="AD1034" s="36"/>
      <c r="AE1034" s="36"/>
      <c r="AF1034" s="53" t="s">
        <v>68</v>
      </c>
      <c r="AG1034" s="42"/>
      <c r="AH1034" s="42"/>
      <c r="AI1034" s="43"/>
      <c r="AJ1034" s="43"/>
      <c r="AK1034" s="43"/>
      <c r="AL1034" s="43"/>
      <c r="AM1034" s="43"/>
      <c r="AN1034" s="42"/>
      <c r="AO1034" s="42"/>
      <c r="AP1034" s="42"/>
      <c r="AQ1034" s="43"/>
      <c r="AR1034" s="42"/>
      <c r="AS1034" s="42"/>
    </row>
    <row r="1035" spans="1:45" ht="15" customHeight="1">
      <c r="A1035" s="21" t="s">
        <v>260</v>
      </c>
      <c r="B1035" s="21" t="s">
        <v>46</v>
      </c>
      <c r="C1035" s="21" t="s">
        <v>188</v>
      </c>
      <c r="D1035" s="21" t="s">
        <v>48</v>
      </c>
      <c r="E1035" s="80" t="s">
        <v>1313</v>
      </c>
      <c r="F1035" s="21" t="s">
        <v>953</v>
      </c>
      <c r="G1035" s="101" t="s">
        <v>77</v>
      </c>
      <c r="H1035" s="25" t="s">
        <v>1344</v>
      </c>
      <c r="I1035" s="102" t="s">
        <v>78</v>
      </c>
      <c r="J1035" s="101" t="s">
        <v>1345</v>
      </c>
      <c r="K1035" s="115"/>
      <c r="L1035" s="48" t="s">
        <v>956</v>
      </c>
      <c r="M1035" s="116">
        <v>43365</v>
      </c>
      <c r="N1035" s="116" t="s">
        <v>177</v>
      </c>
      <c r="O1035" s="68">
        <v>5950</v>
      </c>
      <c r="P1035" s="68">
        <v>30</v>
      </c>
      <c r="Q1035" s="51">
        <f t="shared" ref="Q1035:Q1100" si="27">ROUND(O1035*P1035,2)</f>
        <v>178500</v>
      </c>
      <c r="R1035" s="31">
        <v>202310</v>
      </c>
      <c r="S1035" s="117" t="s">
        <v>1350</v>
      </c>
      <c r="T1035" s="33"/>
      <c r="U1035" s="117"/>
      <c r="V1035" s="118"/>
      <c r="W1035" s="67"/>
      <c r="X1035" s="67"/>
      <c r="Y1035" s="36">
        <v>43358</v>
      </c>
      <c r="Z1035" s="36">
        <v>45549</v>
      </c>
      <c r="AA1035" s="36"/>
      <c r="AB1035" s="36"/>
      <c r="AC1035" s="36"/>
      <c r="AD1035" s="36"/>
      <c r="AE1035" s="36"/>
      <c r="AF1035" s="53" t="s">
        <v>68</v>
      </c>
      <c r="AG1035" s="42"/>
      <c r="AH1035" s="42"/>
      <c r="AI1035" s="43"/>
      <c r="AJ1035" s="43"/>
      <c r="AK1035" s="43"/>
      <c r="AL1035" s="43"/>
      <c r="AM1035" s="43"/>
      <c r="AN1035" s="42"/>
      <c r="AO1035" s="42"/>
      <c r="AP1035" s="42"/>
      <c r="AQ1035" s="43"/>
      <c r="AR1035" s="42"/>
      <c r="AS1035" s="42"/>
    </row>
    <row r="1036" spans="1:45" ht="15" customHeight="1">
      <c r="A1036" s="21" t="s">
        <v>260</v>
      </c>
      <c r="B1036" s="21" t="s">
        <v>46</v>
      </c>
      <c r="C1036" s="21" t="s">
        <v>188</v>
      </c>
      <c r="D1036" s="21" t="s">
        <v>48</v>
      </c>
      <c r="E1036" s="80" t="s">
        <v>1313</v>
      </c>
      <c r="F1036" s="21" t="s">
        <v>953</v>
      </c>
      <c r="G1036" s="101" t="s">
        <v>77</v>
      </c>
      <c r="H1036" s="25" t="s">
        <v>1344</v>
      </c>
      <c r="I1036" s="102" t="s">
        <v>78</v>
      </c>
      <c r="J1036" s="101" t="s">
        <v>1345</v>
      </c>
      <c r="K1036" s="115"/>
      <c r="L1036" s="48" t="s">
        <v>956</v>
      </c>
      <c r="M1036" s="116">
        <v>43368</v>
      </c>
      <c r="N1036" s="116" t="s">
        <v>177</v>
      </c>
      <c r="O1036" s="68">
        <v>5950</v>
      </c>
      <c r="P1036" s="68">
        <v>30</v>
      </c>
      <c r="Q1036" s="51">
        <f t="shared" si="27"/>
        <v>178500</v>
      </c>
      <c r="R1036" s="31">
        <v>202310</v>
      </c>
      <c r="S1036" s="117" t="s">
        <v>1351</v>
      </c>
      <c r="T1036" s="33"/>
      <c r="U1036" s="117"/>
      <c r="V1036" s="118"/>
      <c r="W1036" s="67"/>
      <c r="X1036" s="67"/>
      <c r="Y1036" s="36">
        <v>43358</v>
      </c>
      <c r="Z1036" s="36">
        <v>45549</v>
      </c>
      <c r="AA1036" s="36"/>
      <c r="AB1036" s="36"/>
      <c r="AC1036" s="36"/>
      <c r="AD1036" s="36"/>
      <c r="AE1036" s="36"/>
      <c r="AF1036" s="53" t="s">
        <v>68</v>
      </c>
      <c r="AG1036" s="42"/>
      <c r="AH1036" s="42"/>
      <c r="AI1036" s="43"/>
      <c r="AJ1036" s="43"/>
      <c r="AK1036" s="43"/>
      <c r="AL1036" s="43"/>
      <c r="AM1036" s="43"/>
      <c r="AN1036" s="42"/>
      <c r="AO1036" s="42"/>
      <c r="AP1036" s="42"/>
      <c r="AQ1036" s="43"/>
      <c r="AR1036" s="42"/>
      <c r="AS1036" s="42"/>
    </row>
    <row r="1037" spans="1:45" ht="15" customHeight="1">
      <c r="A1037" s="21" t="s">
        <v>260</v>
      </c>
      <c r="B1037" s="21" t="s">
        <v>46</v>
      </c>
      <c r="C1037" s="21" t="s">
        <v>188</v>
      </c>
      <c r="D1037" s="21" t="s">
        <v>48</v>
      </c>
      <c r="E1037" s="80" t="s">
        <v>1313</v>
      </c>
      <c r="F1037" s="21" t="s">
        <v>953</v>
      </c>
      <c r="G1037" s="101" t="s">
        <v>77</v>
      </c>
      <c r="H1037" s="25" t="s">
        <v>1344</v>
      </c>
      <c r="I1037" s="102" t="s">
        <v>78</v>
      </c>
      <c r="J1037" s="101" t="s">
        <v>1345</v>
      </c>
      <c r="K1037" s="115"/>
      <c r="L1037" s="48" t="s">
        <v>956</v>
      </c>
      <c r="M1037" s="116">
        <v>43370</v>
      </c>
      <c r="N1037" s="116" t="s">
        <v>177</v>
      </c>
      <c r="O1037" s="68">
        <v>5950</v>
      </c>
      <c r="P1037" s="68">
        <v>31</v>
      </c>
      <c r="Q1037" s="51">
        <f t="shared" si="27"/>
        <v>184450</v>
      </c>
      <c r="R1037" s="31">
        <v>202310</v>
      </c>
      <c r="S1037" s="117" t="s">
        <v>1352</v>
      </c>
      <c r="T1037" s="33"/>
      <c r="U1037" s="117"/>
      <c r="V1037" s="118"/>
      <c r="W1037" s="67"/>
      <c r="X1037" s="67"/>
      <c r="Y1037" s="36">
        <v>43358</v>
      </c>
      <c r="Z1037" s="36">
        <v>45549</v>
      </c>
      <c r="AA1037" s="36"/>
      <c r="AB1037" s="36"/>
      <c r="AC1037" s="36"/>
      <c r="AD1037" s="36"/>
      <c r="AE1037" s="36"/>
      <c r="AF1037" s="53" t="s">
        <v>68</v>
      </c>
      <c r="AG1037" s="42"/>
      <c r="AH1037" s="42"/>
      <c r="AI1037" s="43"/>
      <c r="AJ1037" s="43"/>
      <c r="AK1037" s="43"/>
      <c r="AL1037" s="43"/>
      <c r="AM1037" s="43"/>
      <c r="AN1037" s="42"/>
      <c r="AO1037" s="42"/>
      <c r="AP1037" s="42"/>
      <c r="AQ1037" s="43"/>
      <c r="AR1037" s="42"/>
      <c r="AS1037" s="42"/>
    </row>
    <row r="1038" spans="1:45" ht="15" customHeight="1">
      <c r="A1038" s="21" t="s">
        <v>260</v>
      </c>
      <c r="B1038" s="21" t="s">
        <v>46</v>
      </c>
      <c r="C1038" s="21" t="s">
        <v>188</v>
      </c>
      <c r="D1038" s="21" t="s">
        <v>48</v>
      </c>
      <c r="E1038" s="80" t="s">
        <v>1313</v>
      </c>
      <c r="F1038" s="21" t="s">
        <v>953</v>
      </c>
      <c r="G1038" s="101" t="s">
        <v>77</v>
      </c>
      <c r="H1038" s="25" t="s">
        <v>1344</v>
      </c>
      <c r="I1038" s="102" t="s">
        <v>78</v>
      </c>
      <c r="J1038" s="101" t="s">
        <v>1345</v>
      </c>
      <c r="K1038" s="115"/>
      <c r="L1038" s="48" t="s">
        <v>956</v>
      </c>
      <c r="M1038" s="116">
        <v>43371</v>
      </c>
      <c r="N1038" s="116" t="s">
        <v>177</v>
      </c>
      <c r="O1038" s="68">
        <v>5950</v>
      </c>
      <c r="P1038" s="68">
        <v>8</v>
      </c>
      <c r="Q1038" s="51">
        <f t="shared" si="27"/>
        <v>47600</v>
      </c>
      <c r="R1038" s="31">
        <v>202310</v>
      </c>
      <c r="S1038" s="117" t="s">
        <v>1353</v>
      </c>
      <c r="T1038" s="33"/>
      <c r="U1038" s="117"/>
      <c r="V1038" s="118"/>
      <c r="W1038" s="67"/>
      <c r="X1038" s="67"/>
      <c r="Y1038" s="36">
        <v>43358</v>
      </c>
      <c r="Z1038" s="36">
        <v>45549</v>
      </c>
      <c r="AA1038" s="36"/>
      <c r="AB1038" s="36"/>
      <c r="AC1038" s="36"/>
      <c r="AD1038" s="36"/>
      <c r="AE1038" s="36"/>
      <c r="AF1038" s="53" t="s">
        <v>68</v>
      </c>
      <c r="AG1038" s="42"/>
      <c r="AH1038" s="42"/>
      <c r="AI1038" s="43"/>
      <c r="AJ1038" s="43"/>
      <c r="AK1038" s="43"/>
      <c r="AL1038" s="43"/>
      <c r="AM1038" s="43"/>
      <c r="AN1038" s="42"/>
      <c r="AO1038" s="42"/>
      <c r="AP1038" s="42"/>
      <c r="AQ1038" s="43"/>
      <c r="AR1038" s="42"/>
      <c r="AS1038" s="42"/>
    </row>
    <row r="1039" spans="1:45" ht="15" customHeight="1">
      <c r="A1039" s="21" t="s">
        <v>260</v>
      </c>
      <c r="B1039" s="21" t="s">
        <v>46</v>
      </c>
      <c r="C1039" s="21" t="s">
        <v>188</v>
      </c>
      <c r="D1039" s="21" t="s">
        <v>48</v>
      </c>
      <c r="E1039" s="80" t="s">
        <v>1313</v>
      </c>
      <c r="F1039" s="21" t="s">
        <v>953</v>
      </c>
      <c r="G1039" s="101" t="s">
        <v>77</v>
      </c>
      <c r="H1039" s="25" t="s">
        <v>1344</v>
      </c>
      <c r="I1039" s="102" t="s">
        <v>78</v>
      </c>
      <c r="J1039" s="101" t="s">
        <v>1345</v>
      </c>
      <c r="K1039" s="115"/>
      <c r="L1039" s="48" t="s">
        <v>956</v>
      </c>
      <c r="M1039" s="116">
        <v>43382</v>
      </c>
      <c r="N1039" s="116" t="s">
        <v>177</v>
      </c>
      <c r="O1039" s="68">
        <v>5950</v>
      </c>
      <c r="P1039" s="68">
        <v>169</v>
      </c>
      <c r="Q1039" s="51">
        <f t="shared" si="27"/>
        <v>1005550</v>
      </c>
      <c r="R1039" s="31">
        <v>202310</v>
      </c>
      <c r="S1039" s="117" t="s">
        <v>1354</v>
      </c>
      <c r="T1039" s="33"/>
      <c r="U1039" s="117"/>
      <c r="V1039" s="118"/>
      <c r="W1039" s="67"/>
      <c r="X1039" s="67"/>
      <c r="Y1039" s="36">
        <v>43358</v>
      </c>
      <c r="Z1039" s="36">
        <v>45549</v>
      </c>
      <c r="AA1039" s="36"/>
      <c r="AB1039" s="36"/>
      <c r="AC1039" s="36"/>
      <c r="AD1039" s="36"/>
      <c r="AE1039" s="36"/>
      <c r="AF1039" s="53" t="s">
        <v>68</v>
      </c>
      <c r="AG1039" s="42"/>
      <c r="AH1039" s="42"/>
      <c r="AI1039" s="43"/>
      <c r="AJ1039" s="43"/>
      <c r="AK1039" s="43"/>
      <c r="AL1039" s="43"/>
      <c r="AM1039" s="43"/>
      <c r="AN1039" s="42"/>
      <c r="AO1039" s="42"/>
      <c r="AP1039" s="42"/>
      <c r="AQ1039" s="43"/>
      <c r="AR1039" s="42"/>
      <c r="AS1039" s="42"/>
    </row>
    <row r="1040" spans="1:45" ht="15" customHeight="1">
      <c r="A1040" s="21" t="s">
        <v>260</v>
      </c>
      <c r="B1040" s="21" t="s">
        <v>46</v>
      </c>
      <c r="C1040" s="21" t="s">
        <v>188</v>
      </c>
      <c r="D1040" s="21" t="s">
        <v>48</v>
      </c>
      <c r="E1040" s="80" t="s">
        <v>1313</v>
      </c>
      <c r="F1040" s="21" t="s">
        <v>953</v>
      </c>
      <c r="G1040" s="101" t="s">
        <v>77</v>
      </c>
      <c r="H1040" s="25" t="s">
        <v>1344</v>
      </c>
      <c r="I1040" s="102" t="s">
        <v>78</v>
      </c>
      <c r="J1040" s="101" t="s">
        <v>1345</v>
      </c>
      <c r="K1040" s="115"/>
      <c r="L1040" s="48" t="s">
        <v>956</v>
      </c>
      <c r="M1040" s="116">
        <v>43389</v>
      </c>
      <c r="N1040" s="116" t="s">
        <v>177</v>
      </c>
      <c r="O1040" s="68">
        <v>5950</v>
      </c>
      <c r="P1040" s="68">
        <v>3</v>
      </c>
      <c r="Q1040" s="51">
        <f t="shared" si="27"/>
        <v>17850</v>
      </c>
      <c r="R1040" s="31">
        <v>202310</v>
      </c>
      <c r="S1040" s="117" t="s">
        <v>1355</v>
      </c>
      <c r="T1040" s="33"/>
      <c r="U1040" s="117"/>
      <c r="V1040" s="118"/>
      <c r="W1040" s="67"/>
      <c r="X1040" s="67"/>
      <c r="Y1040" s="36">
        <v>43358</v>
      </c>
      <c r="Z1040" s="36">
        <v>45549</v>
      </c>
      <c r="AA1040" s="36"/>
      <c r="AB1040" s="36"/>
      <c r="AC1040" s="36"/>
      <c r="AD1040" s="36"/>
      <c r="AE1040" s="36"/>
      <c r="AF1040" s="53" t="s">
        <v>68</v>
      </c>
      <c r="AG1040" s="42"/>
      <c r="AH1040" s="42"/>
      <c r="AI1040" s="43"/>
      <c r="AJ1040" s="43"/>
      <c r="AK1040" s="43"/>
      <c r="AL1040" s="43"/>
      <c r="AM1040" s="43"/>
      <c r="AN1040" s="42"/>
      <c r="AO1040" s="42"/>
      <c r="AP1040" s="42"/>
      <c r="AQ1040" s="43"/>
      <c r="AR1040" s="42"/>
      <c r="AS1040" s="42"/>
    </row>
    <row r="1041" spans="1:45" ht="15" customHeight="1">
      <c r="A1041" s="21" t="s">
        <v>260</v>
      </c>
      <c r="B1041" s="21" t="s">
        <v>46</v>
      </c>
      <c r="C1041" s="21" t="s">
        <v>188</v>
      </c>
      <c r="D1041" s="21" t="s">
        <v>48</v>
      </c>
      <c r="E1041" s="80" t="s">
        <v>1313</v>
      </c>
      <c r="F1041" s="21" t="s">
        <v>953</v>
      </c>
      <c r="G1041" s="101" t="s">
        <v>77</v>
      </c>
      <c r="H1041" s="25" t="s">
        <v>1344</v>
      </c>
      <c r="I1041" s="102" t="s">
        <v>78</v>
      </c>
      <c r="J1041" s="101" t="s">
        <v>1345</v>
      </c>
      <c r="K1041" s="115"/>
      <c r="L1041" s="48" t="s">
        <v>956</v>
      </c>
      <c r="M1041" s="116">
        <v>43391</v>
      </c>
      <c r="N1041" s="116" t="s">
        <v>177</v>
      </c>
      <c r="O1041" s="68">
        <v>5950</v>
      </c>
      <c r="P1041" s="68">
        <v>6</v>
      </c>
      <c r="Q1041" s="51">
        <f t="shared" si="27"/>
        <v>35700</v>
      </c>
      <c r="R1041" s="31">
        <v>202310</v>
      </c>
      <c r="S1041" s="117" t="s">
        <v>1356</v>
      </c>
      <c r="T1041" s="33"/>
      <c r="U1041" s="117"/>
      <c r="V1041" s="118"/>
      <c r="W1041" s="67"/>
      <c r="X1041" s="67"/>
      <c r="Y1041" s="36">
        <v>43358</v>
      </c>
      <c r="Z1041" s="36">
        <v>45549</v>
      </c>
      <c r="AA1041" s="36"/>
      <c r="AB1041" s="36"/>
      <c r="AC1041" s="36"/>
      <c r="AD1041" s="36"/>
      <c r="AE1041" s="36"/>
      <c r="AF1041" s="53" t="s">
        <v>68</v>
      </c>
      <c r="AG1041" s="42"/>
      <c r="AH1041" s="42"/>
      <c r="AI1041" s="43"/>
      <c r="AJ1041" s="43"/>
      <c r="AK1041" s="43"/>
      <c r="AL1041" s="43"/>
      <c r="AM1041" s="43"/>
      <c r="AN1041" s="42"/>
      <c r="AO1041" s="42"/>
      <c r="AP1041" s="42"/>
      <c r="AQ1041" s="43"/>
      <c r="AR1041" s="42"/>
      <c r="AS1041" s="42"/>
    </row>
    <row r="1042" spans="1:45" ht="15" customHeight="1">
      <c r="A1042" s="21" t="s">
        <v>260</v>
      </c>
      <c r="B1042" s="21" t="s">
        <v>46</v>
      </c>
      <c r="C1042" s="21" t="s">
        <v>188</v>
      </c>
      <c r="D1042" s="21" t="s">
        <v>48</v>
      </c>
      <c r="E1042" s="80" t="s">
        <v>1313</v>
      </c>
      <c r="F1042" s="21" t="s">
        <v>953</v>
      </c>
      <c r="G1042" s="101" t="s">
        <v>77</v>
      </c>
      <c r="H1042" s="25" t="s">
        <v>1344</v>
      </c>
      <c r="I1042" s="102" t="s">
        <v>78</v>
      </c>
      <c r="J1042" s="101" t="s">
        <v>1345</v>
      </c>
      <c r="K1042" s="115"/>
      <c r="L1042" s="48" t="s">
        <v>956</v>
      </c>
      <c r="M1042" s="116">
        <v>43397</v>
      </c>
      <c r="N1042" s="116" t="s">
        <v>177</v>
      </c>
      <c r="O1042" s="68">
        <v>5950</v>
      </c>
      <c r="P1042" s="68">
        <v>1</v>
      </c>
      <c r="Q1042" s="51">
        <f t="shared" si="27"/>
        <v>5950</v>
      </c>
      <c r="R1042" s="31">
        <v>202310</v>
      </c>
      <c r="S1042" s="117" t="s">
        <v>1357</v>
      </c>
      <c r="T1042" s="33"/>
      <c r="U1042" s="117"/>
      <c r="V1042" s="118"/>
      <c r="W1042" s="67"/>
      <c r="X1042" s="67"/>
      <c r="Y1042" s="36">
        <v>43358</v>
      </c>
      <c r="Z1042" s="36">
        <v>45549</v>
      </c>
      <c r="AA1042" s="36"/>
      <c r="AB1042" s="36"/>
      <c r="AC1042" s="36"/>
      <c r="AD1042" s="36"/>
      <c r="AE1042" s="36"/>
      <c r="AF1042" s="53" t="s">
        <v>68</v>
      </c>
      <c r="AG1042" s="42"/>
      <c r="AH1042" s="42"/>
      <c r="AI1042" s="43"/>
      <c r="AJ1042" s="43"/>
      <c r="AK1042" s="43"/>
      <c r="AL1042" s="43"/>
      <c r="AM1042" s="43"/>
      <c r="AN1042" s="42"/>
      <c r="AO1042" s="42"/>
      <c r="AP1042" s="42"/>
      <c r="AQ1042" s="43"/>
      <c r="AR1042" s="42"/>
      <c r="AS1042" s="42"/>
    </row>
    <row r="1043" spans="1:45" ht="15" customHeight="1">
      <c r="A1043" s="21" t="s">
        <v>260</v>
      </c>
      <c r="B1043" s="21" t="s">
        <v>46</v>
      </c>
      <c r="C1043" s="21" t="s">
        <v>188</v>
      </c>
      <c r="D1043" s="21" t="s">
        <v>48</v>
      </c>
      <c r="E1043" s="80" t="s">
        <v>1313</v>
      </c>
      <c r="F1043" s="21" t="s">
        <v>953</v>
      </c>
      <c r="G1043" s="101" t="s">
        <v>77</v>
      </c>
      <c r="H1043" s="25" t="s">
        <v>1344</v>
      </c>
      <c r="I1043" s="102" t="s">
        <v>78</v>
      </c>
      <c r="J1043" s="101" t="s">
        <v>1345</v>
      </c>
      <c r="K1043" s="115"/>
      <c r="L1043" s="48" t="s">
        <v>956</v>
      </c>
      <c r="M1043" s="116">
        <v>43383</v>
      </c>
      <c r="N1043" s="116" t="s">
        <v>177</v>
      </c>
      <c r="O1043" s="68">
        <v>5950</v>
      </c>
      <c r="P1043" s="68">
        <v>12</v>
      </c>
      <c r="Q1043" s="51">
        <f t="shared" si="27"/>
        <v>71400</v>
      </c>
      <c r="R1043" s="31">
        <v>202310</v>
      </c>
      <c r="S1043" s="117" t="s">
        <v>1358</v>
      </c>
      <c r="T1043" s="33"/>
      <c r="U1043" s="117"/>
      <c r="V1043" s="118"/>
      <c r="W1043" s="67"/>
      <c r="X1043" s="67"/>
      <c r="Y1043" s="36">
        <v>43358</v>
      </c>
      <c r="Z1043" s="36">
        <v>45549</v>
      </c>
      <c r="AA1043" s="36"/>
      <c r="AB1043" s="36"/>
      <c r="AC1043" s="36"/>
      <c r="AD1043" s="36"/>
      <c r="AE1043" s="36"/>
      <c r="AF1043" s="53" t="s">
        <v>68</v>
      </c>
      <c r="AG1043" s="42"/>
      <c r="AH1043" s="42"/>
      <c r="AI1043" s="43"/>
      <c r="AJ1043" s="43"/>
      <c r="AK1043" s="43"/>
      <c r="AL1043" s="43"/>
      <c r="AM1043" s="43"/>
      <c r="AN1043" s="42"/>
      <c r="AO1043" s="42"/>
      <c r="AP1043" s="42"/>
      <c r="AQ1043" s="43"/>
      <c r="AR1043" s="42"/>
      <c r="AS1043" s="42"/>
    </row>
    <row r="1044" spans="1:45" ht="15" customHeight="1">
      <c r="A1044" s="21" t="s">
        <v>260</v>
      </c>
      <c r="B1044" s="21" t="s">
        <v>46</v>
      </c>
      <c r="C1044" s="21" t="s">
        <v>188</v>
      </c>
      <c r="D1044" s="21" t="s">
        <v>48</v>
      </c>
      <c r="E1044" s="80" t="s">
        <v>1313</v>
      </c>
      <c r="F1044" s="21" t="s">
        <v>953</v>
      </c>
      <c r="G1044" s="101" t="s">
        <v>77</v>
      </c>
      <c r="H1044" s="25" t="s">
        <v>1344</v>
      </c>
      <c r="I1044" s="102" t="s">
        <v>78</v>
      </c>
      <c r="J1044" s="101" t="s">
        <v>1345</v>
      </c>
      <c r="K1044" s="115"/>
      <c r="L1044" s="48" t="s">
        <v>956</v>
      </c>
      <c r="M1044" s="116">
        <v>43384</v>
      </c>
      <c r="N1044" s="116" t="s">
        <v>177</v>
      </c>
      <c r="O1044" s="68">
        <v>5950</v>
      </c>
      <c r="P1044" s="68">
        <v>1</v>
      </c>
      <c r="Q1044" s="51">
        <f t="shared" si="27"/>
        <v>5950</v>
      </c>
      <c r="R1044" s="31">
        <v>202310</v>
      </c>
      <c r="S1044" s="117" t="s">
        <v>1359</v>
      </c>
      <c r="T1044" s="33"/>
      <c r="U1044" s="117"/>
      <c r="V1044" s="118"/>
      <c r="W1044" s="67"/>
      <c r="X1044" s="67"/>
      <c r="Y1044" s="36">
        <v>43358</v>
      </c>
      <c r="Z1044" s="36">
        <v>45549</v>
      </c>
      <c r="AA1044" s="36"/>
      <c r="AB1044" s="36"/>
      <c r="AC1044" s="36"/>
      <c r="AD1044" s="36"/>
      <c r="AE1044" s="36"/>
      <c r="AF1044" s="53" t="s">
        <v>68</v>
      </c>
      <c r="AG1044" s="42"/>
      <c r="AH1044" s="42"/>
      <c r="AI1044" s="43"/>
      <c r="AJ1044" s="43"/>
      <c r="AK1044" s="43"/>
      <c r="AL1044" s="43"/>
      <c r="AM1044" s="43"/>
      <c r="AN1044" s="42"/>
      <c r="AO1044" s="42"/>
      <c r="AP1044" s="42"/>
      <c r="AQ1044" s="43"/>
      <c r="AR1044" s="42"/>
      <c r="AS1044" s="42"/>
    </row>
    <row r="1045" spans="1:45" ht="15" customHeight="1">
      <c r="A1045" s="21" t="s">
        <v>260</v>
      </c>
      <c r="B1045" s="21" t="s">
        <v>46</v>
      </c>
      <c r="C1045" s="21" t="s">
        <v>188</v>
      </c>
      <c r="D1045" s="21" t="s">
        <v>48</v>
      </c>
      <c r="E1045" s="80" t="s">
        <v>1313</v>
      </c>
      <c r="F1045" s="21" t="s">
        <v>953</v>
      </c>
      <c r="G1045" s="101" t="s">
        <v>77</v>
      </c>
      <c r="H1045" s="25" t="s">
        <v>1344</v>
      </c>
      <c r="I1045" s="102" t="s">
        <v>78</v>
      </c>
      <c r="J1045" s="101" t="s">
        <v>1345</v>
      </c>
      <c r="K1045" s="115"/>
      <c r="L1045" s="48" t="s">
        <v>956</v>
      </c>
      <c r="M1045" s="116">
        <v>43385</v>
      </c>
      <c r="N1045" s="116" t="s">
        <v>177</v>
      </c>
      <c r="O1045" s="68">
        <v>5950</v>
      </c>
      <c r="P1045" s="68">
        <v>4</v>
      </c>
      <c r="Q1045" s="51">
        <f t="shared" si="27"/>
        <v>23800</v>
      </c>
      <c r="R1045" s="31">
        <v>202310</v>
      </c>
      <c r="S1045" s="117" t="s">
        <v>1360</v>
      </c>
      <c r="T1045" s="33"/>
      <c r="U1045" s="117"/>
      <c r="V1045" s="118"/>
      <c r="W1045" s="67"/>
      <c r="X1045" s="67"/>
      <c r="Y1045" s="36">
        <v>43358</v>
      </c>
      <c r="Z1045" s="36">
        <v>45549</v>
      </c>
      <c r="AA1045" s="36"/>
      <c r="AB1045" s="36"/>
      <c r="AC1045" s="36"/>
      <c r="AD1045" s="36"/>
      <c r="AE1045" s="36"/>
      <c r="AF1045" s="53" t="s">
        <v>68</v>
      </c>
      <c r="AG1045" s="42"/>
      <c r="AH1045" s="42"/>
      <c r="AI1045" s="43"/>
      <c r="AJ1045" s="43"/>
      <c r="AK1045" s="43"/>
      <c r="AL1045" s="43"/>
      <c r="AM1045" s="43"/>
      <c r="AN1045" s="42"/>
      <c r="AO1045" s="42"/>
      <c r="AP1045" s="42"/>
      <c r="AQ1045" s="43"/>
      <c r="AR1045" s="42"/>
      <c r="AS1045" s="42"/>
    </row>
    <row r="1046" spans="1:45" ht="15" customHeight="1">
      <c r="A1046" s="21" t="s">
        <v>260</v>
      </c>
      <c r="B1046" s="21" t="s">
        <v>46</v>
      </c>
      <c r="C1046" s="21" t="s">
        <v>188</v>
      </c>
      <c r="D1046" s="21" t="s">
        <v>48</v>
      </c>
      <c r="E1046" s="80" t="s">
        <v>1313</v>
      </c>
      <c r="F1046" s="21" t="s">
        <v>953</v>
      </c>
      <c r="G1046" s="101" t="s">
        <v>77</v>
      </c>
      <c r="H1046" s="25" t="s">
        <v>1344</v>
      </c>
      <c r="I1046" s="102" t="s">
        <v>78</v>
      </c>
      <c r="J1046" s="101" t="s">
        <v>1345</v>
      </c>
      <c r="K1046" s="115"/>
      <c r="L1046" s="48" t="s">
        <v>956</v>
      </c>
      <c r="M1046" s="116">
        <v>43389</v>
      </c>
      <c r="N1046" s="116" t="s">
        <v>177</v>
      </c>
      <c r="O1046" s="68">
        <v>5950</v>
      </c>
      <c r="P1046" s="68">
        <v>1</v>
      </c>
      <c r="Q1046" s="51">
        <f t="shared" si="27"/>
        <v>5950</v>
      </c>
      <c r="R1046" s="31">
        <v>202310</v>
      </c>
      <c r="S1046" s="117" t="s">
        <v>1361</v>
      </c>
      <c r="T1046" s="33"/>
      <c r="U1046" s="117"/>
      <c r="V1046" s="118"/>
      <c r="W1046" s="67"/>
      <c r="X1046" s="67"/>
      <c r="Y1046" s="36">
        <v>43358</v>
      </c>
      <c r="Z1046" s="36">
        <v>45549</v>
      </c>
      <c r="AA1046" s="36"/>
      <c r="AB1046" s="36"/>
      <c r="AC1046" s="36"/>
      <c r="AD1046" s="36"/>
      <c r="AE1046" s="36"/>
      <c r="AF1046" s="53" t="s">
        <v>68</v>
      </c>
      <c r="AG1046" s="42"/>
      <c r="AH1046" s="42"/>
      <c r="AI1046" s="43"/>
      <c r="AJ1046" s="43"/>
      <c r="AK1046" s="43"/>
      <c r="AL1046" s="43"/>
      <c r="AM1046" s="43"/>
      <c r="AN1046" s="42"/>
      <c r="AO1046" s="42"/>
      <c r="AP1046" s="42"/>
      <c r="AQ1046" s="43"/>
      <c r="AR1046" s="42"/>
      <c r="AS1046" s="42"/>
    </row>
    <row r="1047" spans="1:45" ht="15" customHeight="1">
      <c r="A1047" s="21" t="s">
        <v>260</v>
      </c>
      <c r="B1047" s="21" t="s">
        <v>46</v>
      </c>
      <c r="C1047" s="21" t="s">
        <v>188</v>
      </c>
      <c r="D1047" s="21" t="s">
        <v>48</v>
      </c>
      <c r="E1047" s="80" t="s">
        <v>1313</v>
      </c>
      <c r="F1047" s="21" t="s">
        <v>953</v>
      </c>
      <c r="G1047" s="101" t="s">
        <v>77</v>
      </c>
      <c r="H1047" s="25" t="s">
        <v>1344</v>
      </c>
      <c r="I1047" s="102" t="s">
        <v>78</v>
      </c>
      <c r="J1047" s="101" t="s">
        <v>1345</v>
      </c>
      <c r="K1047" s="115"/>
      <c r="L1047" s="48" t="s">
        <v>956</v>
      </c>
      <c r="M1047" s="116">
        <v>43391</v>
      </c>
      <c r="N1047" s="116" t="s">
        <v>177</v>
      </c>
      <c r="O1047" s="68">
        <v>5950</v>
      </c>
      <c r="P1047" s="68">
        <v>4</v>
      </c>
      <c r="Q1047" s="51">
        <f t="shared" si="27"/>
        <v>23800</v>
      </c>
      <c r="R1047" s="31">
        <v>202310</v>
      </c>
      <c r="S1047" s="117" t="s">
        <v>1362</v>
      </c>
      <c r="T1047" s="33"/>
      <c r="U1047" s="117"/>
      <c r="V1047" s="118"/>
      <c r="W1047" s="67"/>
      <c r="X1047" s="67"/>
      <c r="Y1047" s="36">
        <v>43358</v>
      </c>
      <c r="Z1047" s="36">
        <v>45549</v>
      </c>
      <c r="AA1047" s="36"/>
      <c r="AB1047" s="36"/>
      <c r="AC1047" s="36"/>
      <c r="AD1047" s="36"/>
      <c r="AE1047" s="36"/>
      <c r="AF1047" s="53" t="s">
        <v>68</v>
      </c>
      <c r="AG1047" s="42"/>
      <c r="AH1047" s="42"/>
      <c r="AI1047" s="43"/>
      <c r="AJ1047" s="43"/>
      <c r="AK1047" s="43"/>
      <c r="AL1047" s="43"/>
      <c r="AM1047" s="43"/>
      <c r="AN1047" s="42"/>
      <c r="AO1047" s="42"/>
      <c r="AP1047" s="42"/>
      <c r="AQ1047" s="43"/>
      <c r="AR1047" s="42"/>
      <c r="AS1047" s="42"/>
    </row>
    <row r="1048" spans="1:45" ht="15" customHeight="1">
      <c r="A1048" s="21" t="s">
        <v>260</v>
      </c>
      <c r="B1048" s="21" t="s">
        <v>46</v>
      </c>
      <c r="C1048" s="21" t="s">
        <v>188</v>
      </c>
      <c r="D1048" s="21" t="s">
        <v>48</v>
      </c>
      <c r="E1048" s="80" t="s">
        <v>1313</v>
      </c>
      <c r="F1048" s="21" t="s">
        <v>953</v>
      </c>
      <c r="G1048" s="101" t="s">
        <v>77</v>
      </c>
      <c r="H1048" s="25" t="s">
        <v>1344</v>
      </c>
      <c r="I1048" s="102" t="s">
        <v>78</v>
      </c>
      <c r="J1048" s="101" t="s">
        <v>1345</v>
      </c>
      <c r="K1048" s="115"/>
      <c r="L1048" s="48" t="s">
        <v>956</v>
      </c>
      <c r="M1048" s="116">
        <v>43404</v>
      </c>
      <c r="N1048" s="116" t="s">
        <v>177</v>
      </c>
      <c r="O1048" s="68">
        <v>5950</v>
      </c>
      <c r="P1048" s="68">
        <v>26</v>
      </c>
      <c r="Q1048" s="51">
        <f t="shared" si="27"/>
        <v>154700</v>
      </c>
      <c r="R1048" s="31">
        <v>202310</v>
      </c>
      <c r="S1048" s="117" t="s">
        <v>1363</v>
      </c>
      <c r="T1048" s="33"/>
      <c r="U1048" s="117"/>
      <c r="V1048" s="118"/>
      <c r="W1048" s="67"/>
      <c r="X1048" s="67"/>
      <c r="Y1048" s="36">
        <v>43358</v>
      </c>
      <c r="Z1048" s="36">
        <v>45549</v>
      </c>
      <c r="AA1048" s="36"/>
      <c r="AB1048" s="36"/>
      <c r="AC1048" s="36"/>
      <c r="AD1048" s="36"/>
      <c r="AE1048" s="36"/>
      <c r="AF1048" s="53" t="s">
        <v>68</v>
      </c>
      <c r="AG1048" s="42"/>
      <c r="AH1048" s="42"/>
      <c r="AI1048" s="43"/>
      <c r="AJ1048" s="43"/>
      <c r="AK1048" s="43"/>
      <c r="AL1048" s="43"/>
      <c r="AM1048" s="43"/>
      <c r="AN1048" s="42"/>
      <c r="AO1048" s="42"/>
      <c r="AP1048" s="42"/>
      <c r="AQ1048" s="43"/>
      <c r="AR1048" s="42"/>
      <c r="AS1048" s="42"/>
    </row>
    <row r="1049" spans="1:45" ht="15" customHeight="1">
      <c r="A1049" s="21" t="s">
        <v>260</v>
      </c>
      <c r="B1049" s="21" t="s">
        <v>46</v>
      </c>
      <c r="C1049" s="21" t="s">
        <v>188</v>
      </c>
      <c r="D1049" s="21" t="s">
        <v>48</v>
      </c>
      <c r="E1049" s="80" t="s">
        <v>1313</v>
      </c>
      <c r="F1049" s="21" t="s">
        <v>953</v>
      </c>
      <c r="G1049" s="101" t="s">
        <v>77</v>
      </c>
      <c r="H1049" s="25" t="s">
        <v>1344</v>
      </c>
      <c r="I1049" s="102" t="s">
        <v>78</v>
      </c>
      <c r="J1049" s="101" t="s">
        <v>1345</v>
      </c>
      <c r="K1049" s="115"/>
      <c r="L1049" s="48" t="s">
        <v>956</v>
      </c>
      <c r="M1049" s="116">
        <v>43411</v>
      </c>
      <c r="N1049" s="116" t="s">
        <v>177</v>
      </c>
      <c r="O1049" s="68">
        <v>5950</v>
      </c>
      <c r="P1049" s="68">
        <v>5</v>
      </c>
      <c r="Q1049" s="51">
        <f t="shared" si="27"/>
        <v>29750</v>
      </c>
      <c r="R1049" s="31">
        <v>202310</v>
      </c>
      <c r="S1049" s="117" t="s">
        <v>1364</v>
      </c>
      <c r="T1049" s="33"/>
      <c r="U1049" s="117"/>
      <c r="V1049" s="118"/>
      <c r="W1049" s="67"/>
      <c r="X1049" s="67"/>
      <c r="Y1049" s="36">
        <v>43358</v>
      </c>
      <c r="Z1049" s="36">
        <v>45549</v>
      </c>
      <c r="AA1049" s="36"/>
      <c r="AB1049" s="36"/>
      <c r="AC1049" s="36"/>
      <c r="AD1049" s="36"/>
      <c r="AE1049" s="36"/>
      <c r="AF1049" s="53" t="s">
        <v>68</v>
      </c>
      <c r="AG1049" s="42"/>
      <c r="AH1049" s="42"/>
      <c r="AI1049" s="43"/>
      <c r="AJ1049" s="43"/>
      <c r="AK1049" s="43"/>
      <c r="AL1049" s="43"/>
      <c r="AM1049" s="43"/>
      <c r="AN1049" s="42"/>
      <c r="AO1049" s="42"/>
      <c r="AP1049" s="42"/>
      <c r="AQ1049" s="43"/>
      <c r="AR1049" s="42"/>
      <c r="AS1049" s="42"/>
    </row>
    <row r="1050" spans="1:45" ht="15" customHeight="1">
      <c r="A1050" s="21" t="s">
        <v>260</v>
      </c>
      <c r="B1050" s="21" t="s">
        <v>46</v>
      </c>
      <c r="C1050" s="21" t="s">
        <v>188</v>
      </c>
      <c r="D1050" s="21" t="s">
        <v>48</v>
      </c>
      <c r="E1050" s="80" t="s">
        <v>1313</v>
      </c>
      <c r="F1050" s="21" t="s">
        <v>953</v>
      </c>
      <c r="G1050" s="101" t="s">
        <v>77</v>
      </c>
      <c r="H1050" s="25" t="s">
        <v>1344</v>
      </c>
      <c r="I1050" s="102" t="s">
        <v>78</v>
      </c>
      <c r="J1050" s="101" t="s">
        <v>1345</v>
      </c>
      <c r="K1050" s="115"/>
      <c r="L1050" s="48" t="s">
        <v>956</v>
      </c>
      <c r="M1050" s="161">
        <v>43420</v>
      </c>
      <c r="N1050" s="105" t="s">
        <v>177</v>
      </c>
      <c r="O1050" s="68">
        <v>5950</v>
      </c>
      <c r="P1050" s="68">
        <v>9</v>
      </c>
      <c r="Q1050" s="51">
        <f t="shared" si="27"/>
        <v>53550</v>
      </c>
      <c r="R1050" s="31">
        <v>202310</v>
      </c>
      <c r="S1050" s="117" t="s">
        <v>1365</v>
      </c>
      <c r="T1050" s="33"/>
      <c r="U1050" s="117"/>
      <c r="V1050" s="118"/>
      <c r="W1050" s="67"/>
      <c r="X1050" s="67"/>
      <c r="Y1050" s="36">
        <v>43358</v>
      </c>
      <c r="Z1050" s="36">
        <v>45549</v>
      </c>
      <c r="AA1050" s="36"/>
      <c r="AB1050" s="36"/>
      <c r="AC1050" s="36"/>
      <c r="AD1050" s="36"/>
      <c r="AE1050" s="36"/>
      <c r="AF1050" s="53" t="s">
        <v>68</v>
      </c>
      <c r="AG1050" s="42"/>
      <c r="AH1050" s="42"/>
      <c r="AI1050" s="43"/>
      <c r="AJ1050" s="43"/>
      <c r="AK1050" s="43"/>
      <c r="AL1050" s="43"/>
      <c r="AM1050" s="43"/>
      <c r="AN1050" s="42"/>
      <c r="AO1050" s="42"/>
      <c r="AP1050" s="42"/>
      <c r="AQ1050" s="43"/>
      <c r="AR1050" s="42"/>
      <c r="AS1050" s="42"/>
    </row>
    <row r="1051" spans="1:45" ht="15" customHeight="1">
      <c r="A1051" s="21" t="s">
        <v>260</v>
      </c>
      <c r="B1051" s="21" t="s">
        <v>46</v>
      </c>
      <c r="C1051" s="21" t="s">
        <v>188</v>
      </c>
      <c r="D1051" s="21" t="s">
        <v>48</v>
      </c>
      <c r="E1051" s="80" t="s">
        <v>1313</v>
      </c>
      <c r="F1051" s="21" t="s">
        <v>953</v>
      </c>
      <c r="G1051" s="101" t="s">
        <v>77</v>
      </c>
      <c r="H1051" s="25" t="s">
        <v>1344</v>
      </c>
      <c r="I1051" s="102" t="s">
        <v>78</v>
      </c>
      <c r="J1051" s="101" t="s">
        <v>1345</v>
      </c>
      <c r="K1051" s="115"/>
      <c r="L1051" s="48" t="s">
        <v>956</v>
      </c>
      <c r="M1051" s="161">
        <v>43429</v>
      </c>
      <c r="N1051" s="105" t="s">
        <v>177</v>
      </c>
      <c r="O1051" s="68">
        <v>5900</v>
      </c>
      <c r="P1051" s="68">
        <v>21</v>
      </c>
      <c r="Q1051" s="51">
        <f t="shared" si="27"/>
        <v>123900</v>
      </c>
      <c r="R1051" s="31">
        <v>202310</v>
      </c>
      <c r="S1051" s="117" t="s">
        <v>1366</v>
      </c>
      <c r="T1051" s="33"/>
      <c r="U1051" s="117"/>
      <c r="V1051" s="118"/>
      <c r="W1051" s="67"/>
      <c r="X1051" s="67"/>
      <c r="Y1051" s="36">
        <v>43358</v>
      </c>
      <c r="Z1051" s="36">
        <v>45549</v>
      </c>
      <c r="AA1051" s="36"/>
      <c r="AB1051" s="36"/>
      <c r="AC1051" s="36"/>
      <c r="AD1051" s="36"/>
      <c r="AE1051" s="36"/>
      <c r="AF1051" s="53" t="s">
        <v>68</v>
      </c>
      <c r="AG1051" s="42"/>
      <c r="AH1051" s="42"/>
      <c r="AI1051" s="43"/>
      <c r="AJ1051" s="43"/>
      <c r="AK1051" s="43"/>
      <c r="AL1051" s="43"/>
      <c r="AM1051" s="43"/>
      <c r="AN1051" s="42"/>
      <c r="AO1051" s="42"/>
      <c r="AP1051" s="42"/>
      <c r="AQ1051" s="43"/>
      <c r="AR1051" s="42"/>
      <c r="AS1051" s="42"/>
    </row>
    <row r="1052" spans="1:45" ht="15" customHeight="1">
      <c r="A1052" s="21" t="s">
        <v>260</v>
      </c>
      <c r="B1052" s="21" t="s">
        <v>46</v>
      </c>
      <c r="C1052" s="21" t="s">
        <v>188</v>
      </c>
      <c r="D1052" s="21" t="s">
        <v>48</v>
      </c>
      <c r="E1052" s="80" t="s">
        <v>1313</v>
      </c>
      <c r="F1052" s="21" t="s">
        <v>953</v>
      </c>
      <c r="G1052" s="101" t="s">
        <v>77</v>
      </c>
      <c r="H1052" s="25" t="s">
        <v>1344</v>
      </c>
      <c r="I1052" s="102" t="s">
        <v>78</v>
      </c>
      <c r="J1052" s="101" t="s">
        <v>1345</v>
      </c>
      <c r="K1052" s="115"/>
      <c r="L1052" s="48" t="s">
        <v>956</v>
      </c>
      <c r="M1052" s="161">
        <v>43432</v>
      </c>
      <c r="N1052" s="105" t="s">
        <v>177</v>
      </c>
      <c r="O1052" s="68">
        <v>5950</v>
      </c>
      <c r="P1052" s="68">
        <v>11</v>
      </c>
      <c r="Q1052" s="51">
        <f t="shared" si="27"/>
        <v>65450</v>
      </c>
      <c r="R1052" s="31">
        <v>202310</v>
      </c>
      <c r="S1052" s="117" t="s">
        <v>1367</v>
      </c>
      <c r="T1052" s="33"/>
      <c r="U1052" s="117"/>
      <c r="V1052" s="118"/>
      <c r="W1052" s="67"/>
      <c r="X1052" s="67"/>
      <c r="Y1052" s="36">
        <v>43358</v>
      </c>
      <c r="Z1052" s="36">
        <v>45549</v>
      </c>
      <c r="AA1052" s="36"/>
      <c r="AB1052" s="36"/>
      <c r="AC1052" s="36"/>
      <c r="AD1052" s="36"/>
      <c r="AE1052" s="36"/>
      <c r="AF1052" s="53" t="s">
        <v>68</v>
      </c>
      <c r="AG1052" s="42"/>
      <c r="AH1052" s="42"/>
      <c r="AI1052" s="43"/>
      <c r="AJ1052" s="43"/>
      <c r="AK1052" s="43"/>
      <c r="AL1052" s="43"/>
      <c r="AM1052" s="43"/>
      <c r="AN1052" s="42"/>
      <c r="AO1052" s="42"/>
      <c r="AP1052" s="42"/>
      <c r="AQ1052" s="43"/>
      <c r="AR1052" s="42"/>
      <c r="AS1052" s="42"/>
    </row>
    <row r="1053" spans="1:45" ht="15" customHeight="1">
      <c r="A1053" s="21" t="s">
        <v>260</v>
      </c>
      <c r="B1053" s="21" t="s">
        <v>46</v>
      </c>
      <c r="C1053" s="21" t="s">
        <v>188</v>
      </c>
      <c r="D1053" s="21" t="s">
        <v>48</v>
      </c>
      <c r="E1053" s="80" t="s">
        <v>1313</v>
      </c>
      <c r="F1053" s="21" t="s">
        <v>953</v>
      </c>
      <c r="G1053" s="101" t="s">
        <v>77</v>
      </c>
      <c r="H1053" s="25" t="s">
        <v>1344</v>
      </c>
      <c r="I1053" s="102" t="s">
        <v>78</v>
      </c>
      <c r="J1053" s="101" t="s">
        <v>1345</v>
      </c>
      <c r="K1053" s="115"/>
      <c r="L1053" s="48" t="s">
        <v>956</v>
      </c>
      <c r="M1053" s="161">
        <v>43434</v>
      </c>
      <c r="N1053" s="105" t="s">
        <v>177</v>
      </c>
      <c r="O1053" s="68">
        <v>5950</v>
      </c>
      <c r="P1053" s="68">
        <v>31</v>
      </c>
      <c r="Q1053" s="51">
        <f t="shared" si="27"/>
        <v>184450</v>
      </c>
      <c r="R1053" s="31">
        <v>202310</v>
      </c>
      <c r="S1053" s="117" t="s">
        <v>1368</v>
      </c>
      <c r="T1053" s="33"/>
      <c r="U1053" s="117"/>
      <c r="V1053" s="118"/>
      <c r="W1053" s="67"/>
      <c r="X1053" s="67"/>
      <c r="Y1053" s="36">
        <v>43358</v>
      </c>
      <c r="Z1053" s="36">
        <v>45549</v>
      </c>
      <c r="AA1053" s="36"/>
      <c r="AB1053" s="36"/>
      <c r="AC1053" s="36"/>
      <c r="AD1053" s="36"/>
      <c r="AE1053" s="36"/>
      <c r="AF1053" s="53" t="s">
        <v>68</v>
      </c>
      <c r="AG1053" s="42"/>
      <c r="AH1053" s="42"/>
      <c r="AI1053" s="43"/>
      <c r="AJ1053" s="43"/>
      <c r="AK1053" s="43"/>
      <c r="AL1053" s="43"/>
      <c r="AM1053" s="43"/>
      <c r="AN1053" s="42"/>
      <c r="AO1053" s="42"/>
      <c r="AP1053" s="42"/>
      <c r="AQ1053" s="43"/>
      <c r="AR1053" s="42"/>
      <c r="AS1053" s="42"/>
    </row>
    <row r="1054" spans="1:45" ht="15" customHeight="1">
      <c r="A1054" s="21" t="s">
        <v>260</v>
      </c>
      <c r="B1054" s="21" t="s">
        <v>46</v>
      </c>
      <c r="C1054" s="21" t="s">
        <v>188</v>
      </c>
      <c r="D1054" s="21" t="s">
        <v>48</v>
      </c>
      <c r="E1054" s="80" t="s">
        <v>1313</v>
      </c>
      <c r="F1054" s="21" t="s">
        <v>953</v>
      </c>
      <c r="G1054" s="101" t="s">
        <v>77</v>
      </c>
      <c r="H1054" s="25" t="s">
        <v>1344</v>
      </c>
      <c r="I1054" s="102" t="s">
        <v>78</v>
      </c>
      <c r="J1054" s="101" t="s">
        <v>1345</v>
      </c>
      <c r="K1054" s="115"/>
      <c r="L1054" s="48" t="s">
        <v>956</v>
      </c>
      <c r="M1054" s="161">
        <v>43438</v>
      </c>
      <c r="N1054" s="105" t="s">
        <v>177</v>
      </c>
      <c r="O1054" s="68">
        <v>5950</v>
      </c>
      <c r="P1054" s="68">
        <v>2</v>
      </c>
      <c r="Q1054" s="51">
        <f t="shared" si="27"/>
        <v>11900</v>
      </c>
      <c r="R1054" s="31">
        <v>202310</v>
      </c>
      <c r="S1054" s="117" t="s">
        <v>1369</v>
      </c>
      <c r="T1054" s="33"/>
      <c r="U1054" s="117"/>
      <c r="V1054" s="118"/>
      <c r="W1054" s="67"/>
      <c r="X1054" s="67"/>
      <c r="Y1054" s="36">
        <v>43358</v>
      </c>
      <c r="Z1054" s="36">
        <v>45549</v>
      </c>
      <c r="AA1054" s="36"/>
      <c r="AB1054" s="36"/>
      <c r="AC1054" s="36"/>
      <c r="AD1054" s="36"/>
      <c r="AE1054" s="36"/>
      <c r="AF1054" s="53" t="s">
        <v>68</v>
      </c>
      <c r="AG1054" s="42"/>
      <c r="AH1054" s="42"/>
      <c r="AI1054" s="43"/>
      <c r="AJ1054" s="43"/>
      <c r="AK1054" s="43"/>
      <c r="AL1054" s="43"/>
      <c r="AM1054" s="43"/>
      <c r="AN1054" s="42"/>
      <c r="AO1054" s="42"/>
      <c r="AP1054" s="42"/>
      <c r="AQ1054" s="43"/>
      <c r="AR1054" s="42"/>
      <c r="AS1054" s="42"/>
    </row>
    <row r="1055" spans="1:45" ht="15" customHeight="1">
      <c r="A1055" s="21" t="s">
        <v>260</v>
      </c>
      <c r="B1055" s="21" t="s">
        <v>46</v>
      </c>
      <c r="C1055" s="21" t="s">
        <v>188</v>
      </c>
      <c r="D1055" s="21" t="s">
        <v>48</v>
      </c>
      <c r="E1055" s="80" t="s">
        <v>1313</v>
      </c>
      <c r="F1055" s="21" t="s">
        <v>953</v>
      </c>
      <c r="G1055" s="101" t="s">
        <v>77</v>
      </c>
      <c r="H1055" s="25" t="s">
        <v>1344</v>
      </c>
      <c r="I1055" s="102" t="s">
        <v>78</v>
      </c>
      <c r="J1055" s="101" t="s">
        <v>1345</v>
      </c>
      <c r="K1055" s="115"/>
      <c r="L1055" s="48" t="s">
        <v>956</v>
      </c>
      <c r="M1055" s="161">
        <v>43445</v>
      </c>
      <c r="N1055" s="105" t="s">
        <v>177</v>
      </c>
      <c r="O1055" s="68">
        <v>5950</v>
      </c>
      <c r="P1055" s="68">
        <v>4</v>
      </c>
      <c r="Q1055" s="51">
        <f t="shared" si="27"/>
        <v>23800</v>
      </c>
      <c r="R1055" s="31">
        <v>202310</v>
      </c>
      <c r="S1055" s="117" t="s">
        <v>1370</v>
      </c>
      <c r="T1055" s="33"/>
      <c r="U1055" s="117"/>
      <c r="V1055" s="118"/>
      <c r="W1055" s="67"/>
      <c r="X1055" s="67"/>
      <c r="Y1055" s="36">
        <v>43358</v>
      </c>
      <c r="Z1055" s="36">
        <v>45549</v>
      </c>
      <c r="AA1055" s="36"/>
      <c r="AB1055" s="36"/>
      <c r="AC1055" s="36"/>
      <c r="AD1055" s="36"/>
      <c r="AE1055" s="36"/>
      <c r="AF1055" s="53" t="s">
        <v>68</v>
      </c>
      <c r="AG1055" s="42"/>
      <c r="AH1055" s="42"/>
      <c r="AI1055" s="43"/>
      <c r="AJ1055" s="43"/>
      <c r="AK1055" s="43"/>
      <c r="AL1055" s="43"/>
      <c r="AM1055" s="43"/>
      <c r="AN1055" s="42"/>
      <c r="AO1055" s="42"/>
      <c r="AP1055" s="42"/>
      <c r="AQ1055" s="43"/>
      <c r="AR1055" s="42"/>
      <c r="AS1055" s="42"/>
    </row>
    <row r="1056" spans="1:45" ht="15" customHeight="1">
      <c r="A1056" s="21" t="s">
        <v>260</v>
      </c>
      <c r="B1056" s="21" t="s">
        <v>46</v>
      </c>
      <c r="C1056" s="21" t="s">
        <v>188</v>
      </c>
      <c r="D1056" s="21" t="s">
        <v>48</v>
      </c>
      <c r="E1056" s="80" t="s">
        <v>1313</v>
      </c>
      <c r="F1056" s="21" t="s">
        <v>953</v>
      </c>
      <c r="G1056" s="101" t="s">
        <v>77</v>
      </c>
      <c r="H1056" s="25" t="s">
        <v>1344</v>
      </c>
      <c r="I1056" s="102" t="s">
        <v>78</v>
      </c>
      <c r="J1056" s="101" t="s">
        <v>1345</v>
      </c>
      <c r="K1056" s="115"/>
      <c r="L1056" s="48" t="s">
        <v>956</v>
      </c>
      <c r="M1056" s="161">
        <v>43447</v>
      </c>
      <c r="N1056" s="105" t="s">
        <v>177</v>
      </c>
      <c r="O1056" s="68">
        <v>5950</v>
      </c>
      <c r="P1056" s="68">
        <v>6</v>
      </c>
      <c r="Q1056" s="51">
        <f t="shared" si="27"/>
        <v>35700</v>
      </c>
      <c r="R1056" s="31">
        <v>202310</v>
      </c>
      <c r="S1056" s="117" t="s">
        <v>1371</v>
      </c>
      <c r="T1056" s="33"/>
      <c r="U1056" s="117"/>
      <c r="V1056" s="118"/>
      <c r="W1056" s="67"/>
      <c r="X1056" s="67"/>
      <c r="Y1056" s="36">
        <v>43358</v>
      </c>
      <c r="Z1056" s="36">
        <v>45549</v>
      </c>
      <c r="AA1056" s="36"/>
      <c r="AB1056" s="36"/>
      <c r="AC1056" s="36"/>
      <c r="AD1056" s="36"/>
      <c r="AE1056" s="36"/>
      <c r="AF1056" s="53" t="s">
        <v>68</v>
      </c>
      <c r="AG1056" s="42"/>
      <c r="AH1056" s="42"/>
      <c r="AI1056" s="43"/>
      <c r="AJ1056" s="43"/>
      <c r="AK1056" s="43"/>
      <c r="AL1056" s="43"/>
      <c r="AM1056" s="43"/>
      <c r="AN1056" s="42"/>
      <c r="AO1056" s="42"/>
      <c r="AP1056" s="42"/>
      <c r="AQ1056" s="43"/>
      <c r="AR1056" s="42"/>
      <c r="AS1056" s="42"/>
    </row>
    <row r="1057" spans="1:45" ht="15" customHeight="1">
      <c r="A1057" s="21" t="s">
        <v>260</v>
      </c>
      <c r="B1057" s="21" t="s">
        <v>46</v>
      </c>
      <c r="C1057" s="21" t="s">
        <v>188</v>
      </c>
      <c r="D1057" s="21" t="s">
        <v>48</v>
      </c>
      <c r="E1057" s="80" t="s">
        <v>1313</v>
      </c>
      <c r="F1057" s="21" t="s">
        <v>953</v>
      </c>
      <c r="G1057" s="101" t="s">
        <v>77</v>
      </c>
      <c r="H1057" s="25" t="s">
        <v>1344</v>
      </c>
      <c r="I1057" s="102" t="s">
        <v>78</v>
      </c>
      <c r="J1057" s="101" t="s">
        <v>1345</v>
      </c>
      <c r="K1057" s="115"/>
      <c r="L1057" s="48" t="s">
        <v>956</v>
      </c>
      <c r="M1057" s="161">
        <v>43458</v>
      </c>
      <c r="N1057" s="105" t="s">
        <v>177</v>
      </c>
      <c r="O1057" s="68">
        <v>5950</v>
      </c>
      <c r="P1057" s="68">
        <v>6</v>
      </c>
      <c r="Q1057" s="51">
        <f t="shared" si="27"/>
        <v>35700</v>
      </c>
      <c r="R1057" s="31">
        <v>202310</v>
      </c>
      <c r="S1057" s="117" t="s">
        <v>1372</v>
      </c>
      <c r="T1057" s="33"/>
      <c r="U1057" s="117"/>
      <c r="V1057" s="118"/>
      <c r="W1057" s="67"/>
      <c r="X1057" s="67"/>
      <c r="Y1057" s="36">
        <v>43358</v>
      </c>
      <c r="Z1057" s="36">
        <v>45549</v>
      </c>
      <c r="AA1057" s="36"/>
      <c r="AB1057" s="36"/>
      <c r="AC1057" s="36"/>
      <c r="AD1057" s="36"/>
      <c r="AE1057" s="36"/>
      <c r="AF1057" s="53" t="s">
        <v>68</v>
      </c>
      <c r="AG1057" s="42"/>
      <c r="AH1057" s="42"/>
      <c r="AI1057" s="43"/>
      <c r="AJ1057" s="43"/>
      <c r="AK1057" s="43"/>
      <c r="AL1057" s="43"/>
      <c r="AM1057" s="43"/>
      <c r="AN1057" s="42"/>
      <c r="AO1057" s="42"/>
      <c r="AP1057" s="42"/>
      <c r="AQ1057" s="43"/>
      <c r="AR1057" s="42"/>
      <c r="AS1057" s="42"/>
    </row>
    <row r="1058" spans="1:45" ht="15" customHeight="1">
      <c r="A1058" s="21" t="s">
        <v>260</v>
      </c>
      <c r="B1058" s="21" t="s">
        <v>46</v>
      </c>
      <c r="C1058" s="21" t="s">
        <v>188</v>
      </c>
      <c r="D1058" s="21" t="s">
        <v>48</v>
      </c>
      <c r="E1058" s="80" t="s">
        <v>1313</v>
      </c>
      <c r="F1058" s="21" t="s">
        <v>953</v>
      </c>
      <c r="G1058" s="101" t="s">
        <v>77</v>
      </c>
      <c r="H1058" s="25" t="s">
        <v>1344</v>
      </c>
      <c r="I1058" s="102" t="s">
        <v>78</v>
      </c>
      <c r="J1058" s="101" t="s">
        <v>1345</v>
      </c>
      <c r="K1058" s="115"/>
      <c r="L1058" s="48" t="s">
        <v>956</v>
      </c>
      <c r="M1058" s="161">
        <v>43451</v>
      </c>
      <c r="N1058" s="105" t="s">
        <v>177</v>
      </c>
      <c r="O1058" s="68">
        <v>5950</v>
      </c>
      <c r="P1058" s="68">
        <v>-3</v>
      </c>
      <c r="Q1058" s="51">
        <f t="shared" si="27"/>
        <v>-17850</v>
      </c>
      <c r="R1058" s="31">
        <v>202310</v>
      </c>
      <c r="S1058" s="117" t="s">
        <v>1349</v>
      </c>
      <c r="T1058" s="33"/>
      <c r="U1058" s="117"/>
      <c r="V1058" s="118"/>
      <c r="W1058" s="67"/>
      <c r="X1058" s="67"/>
      <c r="Y1058" s="36">
        <v>43358</v>
      </c>
      <c r="Z1058" s="36">
        <v>45549</v>
      </c>
      <c r="AA1058" s="36"/>
      <c r="AB1058" s="36"/>
      <c r="AC1058" s="36"/>
      <c r="AD1058" s="36"/>
      <c r="AE1058" s="36"/>
      <c r="AF1058" s="53" t="s">
        <v>68</v>
      </c>
      <c r="AG1058" s="42"/>
      <c r="AH1058" s="42"/>
      <c r="AI1058" s="43"/>
      <c r="AJ1058" s="43"/>
      <c r="AK1058" s="43"/>
      <c r="AL1058" s="43"/>
      <c r="AM1058" s="43"/>
      <c r="AN1058" s="42"/>
      <c r="AO1058" s="42"/>
      <c r="AP1058" s="42"/>
      <c r="AQ1058" s="43"/>
      <c r="AR1058" s="42"/>
      <c r="AS1058" s="42"/>
    </row>
    <row r="1059" spans="1:45" ht="15" customHeight="1">
      <c r="A1059" s="21" t="s">
        <v>260</v>
      </c>
      <c r="B1059" s="21" t="s">
        <v>46</v>
      </c>
      <c r="C1059" s="21" t="s">
        <v>188</v>
      </c>
      <c r="D1059" s="21" t="s">
        <v>48</v>
      </c>
      <c r="E1059" s="80" t="s">
        <v>1313</v>
      </c>
      <c r="F1059" s="21" t="s">
        <v>953</v>
      </c>
      <c r="G1059" s="101" t="s">
        <v>77</v>
      </c>
      <c r="H1059" s="25" t="s">
        <v>1344</v>
      </c>
      <c r="I1059" s="102" t="s">
        <v>78</v>
      </c>
      <c r="J1059" s="101" t="s">
        <v>1345</v>
      </c>
      <c r="K1059" s="115"/>
      <c r="L1059" s="48" t="s">
        <v>956</v>
      </c>
      <c r="M1059" s="161">
        <v>43476</v>
      </c>
      <c r="N1059" s="105" t="s">
        <v>177</v>
      </c>
      <c r="O1059" s="68">
        <v>5950</v>
      </c>
      <c r="P1059" s="68">
        <v>2</v>
      </c>
      <c r="Q1059" s="51">
        <f t="shared" si="27"/>
        <v>11900</v>
      </c>
      <c r="R1059" s="31">
        <v>202310</v>
      </c>
      <c r="S1059" s="117"/>
      <c r="T1059" s="33"/>
      <c r="U1059" s="117"/>
      <c r="V1059" s="118"/>
      <c r="W1059" s="67"/>
      <c r="X1059" s="67"/>
      <c r="Y1059" s="36">
        <v>43358</v>
      </c>
      <c r="Z1059" s="36">
        <v>45549</v>
      </c>
      <c r="AA1059" s="36"/>
      <c r="AB1059" s="36"/>
      <c r="AC1059" s="36"/>
      <c r="AD1059" s="36"/>
      <c r="AE1059" s="36"/>
      <c r="AF1059" s="53" t="s">
        <v>68</v>
      </c>
      <c r="AG1059" s="42"/>
      <c r="AH1059" s="42"/>
      <c r="AI1059" s="43"/>
      <c r="AJ1059" s="43"/>
      <c r="AK1059" s="43"/>
      <c r="AL1059" s="43"/>
      <c r="AM1059" s="43"/>
      <c r="AN1059" s="42"/>
      <c r="AO1059" s="42"/>
      <c r="AP1059" s="42"/>
      <c r="AQ1059" s="43"/>
      <c r="AR1059" s="42"/>
      <c r="AS1059" s="42"/>
    </row>
    <row r="1060" spans="1:45" ht="15" customHeight="1">
      <c r="A1060" s="21" t="s">
        <v>260</v>
      </c>
      <c r="B1060" s="21" t="s">
        <v>46</v>
      </c>
      <c r="C1060" s="21" t="s">
        <v>188</v>
      </c>
      <c r="D1060" s="21" t="s">
        <v>48</v>
      </c>
      <c r="E1060" s="80" t="s">
        <v>1313</v>
      </c>
      <c r="F1060" s="21" t="s">
        <v>953</v>
      </c>
      <c r="G1060" s="101" t="s">
        <v>77</v>
      </c>
      <c r="H1060" s="25" t="s">
        <v>1344</v>
      </c>
      <c r="I1060" s="102" t="s">
        <v>78</v>
      </c>
      <c r="J1060" s="101" t="s">
        <v>1345</v>
      </c>
      <c r="K1060" s="115"/>
      <c r="L1060" s="48" t="s">
        <v>956</v>
      </c>
      <c r="M1060" s="161">
        <v>43481</v>
      </c>
      <c r="N1060" s="105" t="s">
        <v>177</v>
      </c>
      <c r="O1060" s="68">
        <v>5950</v>
      </c>
      <c r="P1060" s="68">
        <f>187-P1061</f>
        <v>129</v>
      </c>
      <c r="Q1060" s="51">
        <f t="shared" si="27"/>
        <v>767550</v>
      </c>
      <c r="R1060" s="31">
        <v>202310</v>
      </c>
      <c r="S1060" s="117" t="s">
        <v>1373</v>
      </c>
      <c r="T1060" s="33"/>
      <c r="U1060" s="117"/>
      <c r="V1060" s="118"/>
      <c r="W1060" s="67"/>
      <c r="X1060" s="67"/>
      <c r="Y1060" s="36">
        <v>43358</v>
      </c>
      <c r="Z1060" s="36">
        <v>45549</v>
      </c>
      <c r="AA1060" s="36"/>
      <c r="AB1060" s="36"/>
      <c r="AC1060" s="36"/>
      <c r="AD1060" s="36"/>
      <c r="AE1060" s="36"/>
      <c r="AF1060" s="53" t="s">
        <v>68</v>
      </c>
      <c r="AG1060" s="42"/>
      <c r="AH1060" s="42"/>
      <c r="AI1060" s="43"/>
      <c r="AJ1060" s="43"/>
      <c r="AK1060" s="43"/>
      <c r="AL1060" s="43"/>
      <c r="AM1060" s="43"/>
      <c r="AN1060" s="42"/>
      <c r="AO1060" s="42"/>
      <c r="AP1060" s="42"/>
      <c r="AQ1060" s="43"/>
      <c r="AR1060" s="42"/>
      <c r="AS1060" s="42"/>
    </row>
    <row r="1061" spans="1:45" ht="15" customHeight="1">
      <c r="A1061" s="21" t="s">
        <v>260</v>
      </c>
      <c r="B1061" s="21" t="s">
        <v>46</v>
      </c>
      <c r="C1061" s="21" t="s">
        <v>188</v>
      </c>
      <c r="D1061" s="21" t="s">
        <v>48</v>
      </c>
      <c r="E1061" s="80" t="s">
        <v>1313</v>
      </c>
      <c r="F1061" s="21" t="s">
        <v>953</v>
      </c>
      <c r="G1061" s="101" t="s">
        <v>77</v>
      </c>
      <c r="H1061" s="25" t="s">
        <v>1344</v>
      </c>
      <c r="I1061" s="102" t="s">
        <v>78</v>
      </c>
      <c r="J1061" s="101" t="s">
        <v>1345</v>
      </c>
      <c r="K1061" s="115"/>
      <c r="L1061" s="48" t="s">
        <v>956</v>
      </c>
      <c r="M1061" s="161">
        <v>43481</v>
      </c>
      <c r="N1061" s="105" t="s">
        <v>177</v>
      </c>
      <c r="O1061" s="68">
        <v>5900</v>
      </c>
      <c r="P1061" s="68">
        <v>58</v>
      </c>
      <c r="Q1061" s="51">
        <f t="shared" si="27"/>
        <v>342200</v>
      </c>
      <c r="R1061" s="31">
        <v>202310</v>
      </c>
      <c r="S1061" s="117" t="s">
        <v>1374</v>
      </c>
      <c r="T1061" s="33"/>
      <c r="U1061" s="117"/>
      <c r="V1061" s="118"/>
      <c r="W1061" s="67"/>
      <c r="X1061" s="67"/>
      <c r="Y1061" s="36">
        <v>43358</v>
      </c>
      <c r="Z1061" s="36">
        <v>45549</v>
      </c>
      <c r="AA1061" s="36"/>
      <c r="AB1061" s="36"/>
      <c r="AC1061" s="36"/>
      <c r="AD1061" s="36"/>
      <c r="AE1061" s="36"/>
      <c r="AF1061" s="53" t="s">
        <v>68</v>
      </c>
      <c r="AG1061" s="42"/>
      <c r="AH1061" s="42"/>
      <c r="AI1061" s="43"/>
      <c r="AJ1061" s="43"/>
      <c r="AK1061" s="43"/>
      <c r="AL1061" s="43"/>
      <c r="AM1061" s="43"/>
      <c r="AN1061" s="42"/>
      <c r="AO1061" s="42"/>
      <c r="AP1061" s="42"/>
      <c r="AQ1061" s="43"/>
      <c r="AR1061" s="42"/>
      <c r="AS1061" s="42"/>
    </row>
    <row r="1062" spans="1:45" ht="15" customHeight="1">
      <c r="A1062" s="21" t="s">
        <v>260</v>
      </c>
      <c r="B1062" s="21" t="s">
        <v>46</v>
      </c>
      <c r="C1062" s="21" t="s">
        <v>188</v>
      </c>
      <c r="D1062" s="21" t="s">
        <v>48</v>
      </c>
      <c r="E1062" s="80" t="s">
        <v>1313</v>
      </c>
      <c r="F1062" s="21" t="s">
        <v>953</v>
      </c>
      <c r="G1062" s="101" t="s">
        <v>77</v>
      </c>
      <c r="H1062" s="25" t="s">
        <v>1344</v>
      </c>
      <c r="I1062" s="102" t="s">
        <v>78</v>
      </c>
      <c r="J1062" s="101" t="s">
        <v>1345</v>
      </c>
      <c r="K1062" s="115"/>
      <c r="L1062" s="48" t="s">
        <v>956</v>
      </c>
      <c r="M1062" s="161">
        <v>43485</v>
      </c>
      <c r="N1062" s="105" t="s">
        <v>177</v>
      </c>
      <c r="O1062" s="68">
        <v>5900</v>
      </c>
      <c r="P1062" s="68">
        <v>37</v>
      </c>
      <c r="Q1062" s="51">
        <f t="shared" si="27"/>
        <v>218300</v>
      </c>
      <c r="R1062" s="31">
        <v>202310</v>
      </c>
      <c r="S1062" s="117" t="s">
        <v>1374</v>
      </c>
      <c r="T1062" s="33"/>
      <c r="U1062" s="117"/>
      <c r="V1062" s="118"/>
      <c r="W1062" s="67"/>
      <c r="X1062" s="67"/>
      <c r="Y1062" s="36">
        <v>43358</v>
      </c>
      <c r="Z1062" s="36">
        <v>45549</v>
      </c>
      <c r="AA1062" s="36"/>
      <c r="AB1062" s="36"/>
      <c r="AC1062" s="36"/>
      <c r="AD1062" s="36"/>
      <c r="AE1062" s="36"/>
      <c r="AF1062" s="53" t="s">
        <v>68</v>
      </c>
      <c r="AG1062" s="42"/>
      <c r="AH1062" s="42"/>
      <c r="AI1062" s="43"/>
      <c r="AJ1062" s="43"/>
      <c r="AK1062" s="43"/>
      <c r="AL1062" s="43"/>
      <c r="AM1062" s="43"/>
      <c r="AN1062" s="42"/>
      <c r="AO1062" s="42"/>
      <c r="AP1062" s="42"/>
      <c r="AQ1062" s="43"/>
      <c r="AR1062" s="42"/>
      <c r="AS1062" s="42"/>
    </row>
    <row r="1063" spans="1:45" ht="15" customHeight="1">
      <c r="A1063" s="21" t="s">
        <v>260</v>
      </c>
      <c r="B1063" s="21" t="s">
        <v>46</v>
      </c>
      <c r="C1063" s="21" t="s">
        <v>188</v>
      </c>
      <c r="D1063" s="21" t="s">
        <v>48</v>
      </c>
      <c r="E1063" s="80" t="s">
        <v>1313</v>
      </c>
      <c r="F1063" s="21" t="s">
        <v>953</v>
      </c>
      <c r="G1063" s="101" t="s">
        <v>77</v>
      </c>
      <c r="H1063" s="25" t="s">
        <v>1344</v>
      </c>
      <c r="I1063" s="102" t="s">
        <v>78</v>
      </c>
      <c r="J1063" s="101" t="s">
        <v>1345</v>
      </c>
      <c r="K1063" s="115"/>
      <c r="L1063" s="48" t="s">
        <v>956</v>
      </c>
      <c r="M1063" s="155">
        <v>43486</v>
      </c>
      <c r="N1063" s="155" t="s">
        <v>177</v>
      </c>
      <c r="O1063" s="68">
        <v>5900</v>
      </c>
      <c r="P1063" s="61">
        <v>70</v>
      </c>
      <c r="Q1063" s="51">
        <f t="shared" si="27"/>
        <v>413000</v>
      </c>
      <c r="R1063" s="31">
        <v>202310</v>
      </c>
      <c r="S1063" s="117" t="s">
        <v>1374</v>
      </c>
      <c r="T1063" s="33"/>
      <c r="U1063" s="117"/>
      <c r="V1063" s="118"/>
      <c r="W1063" s="67"/>
      <c r="X1063" s="67"/>
      <c r="Y1063" s="36">
        <v>43358</v>
      </c>
      <c r="Z1063" s="36">
        <v>45549</v>
      </c>
      <c r="AA1063" s="36"/>
      <c r="AB1063" s="36"/>
      <c r="AC1063" s="36"/>
      <c r="AD1063" s="36"/>
      <c r="AE1063" s="36"/>
      <c r="AF1063" s="53" t="s">
        <v>68</v>
      </c>
      <c r="AG1063" s="42"/>
      <c r="AH1063" s="42"/>
      <c r="AI1063" s="43"/>
      <c r="AJ1063" s="43"/>
      <c r="AK1063" s="43"/>
      <c r="AL1063" s="43"/>
      <c r="AM1063" s="43"/>
      <c r="AN1063" s="42"/>
      <c r="AO1063" s="42"/>
      <c r="AP1063" s="42"/>
      <c r="AQ1063" s="43"/>
      <c r="AR1063" s="42"/>
      <c r="AS1063" s="42"/>
    </row>
    <row r="1064" spans="1:45" ht="15" customHeight="1">
      <c r="A1064" s="21" t="s">
        <v>260</v>
      </c>
      <c r="B1064" s="21" t="s">
        <v>46</v>
      </c>
      <c r="C1064" s="21" t="s">
        <v>188</v>
      </c>
      <c r="D1064" s="21" t="s">
        <v>48</v>
      </c>
      <c r="E1064" s="80" t="s">
        <v>1313</v>
      </c>
      <c r="F1064" s="21" t="s">
        <v>953</v>
      </c>
      <c r="G1064" s="101" t="s">
        <v>77</v>
      </c>
      <c r="H1064" s="25" t="s">
        <v>1344</v>
      </c>
      <c r="I1064" s="102" t="s">
        <v>78</v>
      </c>
      <c r="J1064" s="101" t="s">
        <v>1345</v>
      </c>
      <c r="K1064" s="115"/>
      <c r="L1064" s="48" t="s">
        <v>956</v>
      </c>
      <c r="M1064" s="155">
        <v>43487</v>
      </c>
      <c r="N1064" s="155" t="s">
        <v>177</v>
      </c>
      <c r="O1064" s="68">
        <v>5900</v>
      </c>
      <c r="P1064" s="61">
        <v>46</v>
      </c>
      <c r="Q1064" s="51">
        <f t="shared" si="27"/>
        <v>271400</v>
      </c>
      <c r="R1064" s="31">
        <v>202310</v>
      </c>
      <c r="S1064" s="117" t="s">
        <v>1374</v>
      </c>
      <c r="T1064" s="33"/>
      <c r="U1064" s="117"/>
      <c r="V1064" s="118"/>
      <c r="W1064" s="67"/>
      <c r="X1064" s="67"/>
      <c r="Y1064" s="36">
        <v>43358</v>
      </c>
      <c r="Z1064" s="36">
        <v>45549</v>
      </c>
      <c r="AA1064" s="36"/>
      <c r="AB1064" s="36"/>
      <c r="AC1064" s="36"/>
      <c r="AD1064" s="36"/>
      <c r="AE1064" s="36"/>
      <c r="AF1064" s="53" t="s">
        <v>68</v>
      </c>
      <c r="AG1064" s="42"/>
      <c r="AH1064" s="42"/>
      <c r="AI1064" s="43"/>
      <c r="AJ1064" s="43"/>
      <c r="AK1064" s="43"/>
      <c r="AL1064" s="43"/>
      <c r="AM1064" s="43"/>
      <c r="AN1064" s="42"/>
      <c r="AO1064" s="42"/>
      <c r="AP1064" s="42"/>
      <c r="AQ1064" s="43"/>
      <c r="AR1064" s="42"/>
      <c r="AS1064" s="42"/>
    </row>
    <row r="1065" spans="1:45" ht="15" customHeight="1">
      <c r="A1065" s="21" t="s">
        <v>260</v>
      </c>
      <c r="B1065" s="21" t="s">
        <v>46</v>
      </c>
      <c r="C1065" s="21" t="s">
        <v>188</v>
      </c>
      <c r="D1065" s="21" t="s">
        <v>48</v>
      </c>
      <c r="E1065" s="80" t="s">
        <v>1313</v>
      </c>
      <c r="F1065" s="21" t="s">
        <v>953</v>
      </c>
      <c r="G1065" s="101" t="s">
        <v>77</v>
      </c>
      <c r="H1065" s="25" t="s">
        <v>1344</v>
      </c>
      <c r="I1065" s="102" t="s">
        <v>78</v>
      </c>
      <c r="J1065" s="101" t="s">
        <v>1345</v>
      </c>
      <c r="K1065" s="115"/>
      <c r="L1065" s="48" t="s">
        <v>956</v>
      </c>
      <c r="M1065" s="155">
        <v>43565</v>
      </c>
      <c r="N1065" s="155" t="s">
        <v>182</v>
      </c>
      <c r="O1065" s="68">
        <v>5900</v>
      </c>
      <c r="P1065" s="61">
        <v>8</v>
      </c>
      <c r="Q1065" s="51">
        <f t="shared" si="27"/>
        <v>47200</v>
      </c>
      <c r="R1065" s="31">
        <v>202310</v>
      </c>
      <c r="S1065" s="117" t="s">
        <v>1374</v>
      </c>
      <c r="T1065" s="33"/>
      <c r="U1065" s="117"/>
      <c r="V1065" s="118"/>
      <c r="W1065" s="67"/>
      <c r="X1065" s="67"/>
      <c r="Y1065" s="36">
        <v>43358</v>
      </c>
      <c r="Z1065" s="36">
        <v>45549</v>
      </c>
      <c r="AA1065" s="36"/>
      <c r="AB1065" s="36"/>
      <c r="AC1065" s="36"/>
      <c r="AD1065" s="36"/>
      <c r="AE1065" s="36"/>
      <c r="AF1065" s="53" t="s">
        <v>68</v>
      </c>
      <c r="AG1065" s="42"/>
      <c r="AH1065" s="42"/>
      <c r="AI1065" s="43"/>
      <c r="AJ1065" s="43"/>
      <c r="AK1065" s="43"/>
      <c r="AL1065" s="43"/>
      <c r="AM1065" s="43"/>
      <c r="AN1065" s="42"/>
      <c r="AO1065" s="42"/>
      <c r="AP1065" s="42"/>
      <c r="AQ1065" s="43"/>
      <c r="AR1065" s="42"/>
      <c r="AS1065" s="42"/>
    </row>
    <row r="1066" spans="1:45" ht="15" customHeight="1">
      <c r="A1066" s="21" t="s">
        <v>260</v>
      </c>
      <c r="B1066" s="21" t="s">
        <v>46</v>
      </c>
      <c r="C1066" s="21" t="s">
        <v>188</v>
      </c>
      <c r="D1066" s="21" t="s">
        <v>48</v>
      </c>
      <c r="E1066" s="80" t="s">
        <v>1313</v>
      </c>
      <c r="F1066" s="21" t="s">
        <v>953</v>
      </c>
      <c r="G1066" s="101" t="s">
        <v>77</v>
      </c>
      <c r="H1066" s="25" t="s">
        <v>1344</v>
      </c>
      <c r="I1066" s="102" t="s">
        <v>78</v>
      </c>
      <c r="J1066" s="101" t="s">
        <v>1345</v>
      </c>
      <c r="K1066" s="115"/>
      <c r="L1066" s="48" t="s">
        <v>956</v>
      </c>
      <c r="M1066" s="155">
        <v>43577</v>
      </c>
      <c r="N1066" s="155" t="s">
        <v>182</v>
      </c>
      <c r="O1066" s="68">
        <v>5900</v>
      </c>
      <c r="P1066" s="61">
        <v>3</v>
      </c>
      <c r="Q1066" s="51">
        <f t="shared" si="27"/>
        <v>17700</v>
      </c>
      <c r="R1066" s="31">
        <v>202310</v>
      </c>
      <c r="S1066" s="117" t="s">
        <v>1375</v>
      </c>
      <c r="T1066" s="33"/>
      <c r="U1066" s="117"/>
      <c r="V1066" s="118"/>
      <c r="W1066" s="67"/>
      <c r="X1066" s="67"/>
      <c r="Y1066" s="36">
        <v>43358</v>
      </c>
      <c r="Z1066" s="36">
        <v>45549</v>
      </c>
      <c r="AA1066" s="36"/>
      <c r="AB1066" s="36"/>
      <c r="AC1066" s="36"/>
      <c r="AD1066" s="36"/>
      <c r="AE1066" s="36"/>
      <c r="AF1066" s="53" t="s">
        <v>68</v>
      </c>
      <c r="AG1066" s="42"/>
      <c r="AH1066" s="42"/>
      <c r="AI1066" s="43"/>
      <c r="AJ1066" s="43"/>
      <c r="AK1066" s="43"/>
      <c r="AL1066" s="43"/>
      <c r="AM1066" s="43"/>
      <c r="AN1066" s="42"/>
      <c r="AO1066" s="42"/>
      <c r="AP1066" s="42"/>
      <c r="AQ1066" s="43"/>
      <c r="AR1066" s="42"/>
      <c r="AS1066" s="42"/>
    </row>
    <row r="1067" spans="1:45" ht="15" customHeight="1">
      <c r="A1067" s="21" t="s">
        <v>260</v>
      </c>
      <c r="B1067" s="21" t="s">
        <v>46</v>
      </c>
      <c r="C1067" s="21" t="s">
        <v>188</v>
      </c>
      <c r="D1067" s="21" t="s">
        <v>48</v>
      </c>
      <c r="E1067" s="80" t="s">
        <v>1313</v>
      </c>
      <c r="F1067" s="21" t="s">
        <v>953</v>
      </c>
      <c r="G1067" s="101" t="s">
        <v>77</v>
      </c>
      <c r="H1067" s="25" t="s">
        <v>1344</v>
      </c>
      <c r="I1067" s="102" t="s">
        <v>78</v>
      </c>
      <c r="J1067" s="101" t="s">
        <v>1345</v>
      </c>
      <c r="K1067" s="115"/>
      <c r="L1067" s="48" t="s">
        <v>956</v>
      </c>
      <c r="M1067" s="155">
        <v>43579</v>
      </c>
      <c r="N1067" s="155" t="s">
        <v>182</v>
      </c>
      <c r="O1067" s="68">
        <v>5900</v>
      </c>
      <c r="P1067" s="61">
        <v>1</v>
      </c>
      <c r="Q1067" s="51">
        <f t="shared" si="27"/>
        <v>5900</v>
      </c>
      <c r="R1067" s="31">
        <v>202310</v>
      </c>
      <c r="S1067" s="117" t="s">
        <v>1376</v>
      </c>
      <c r="T1067" s="33"/>
      <c r="U1067" s="117"/>
      <c r="V1067" s="118"/>
      <c r="W1067" s="67"/>
      <c r="X1067" s="67"/>
      <c r="Y1067" s="36">
        <v>43358</v>
      </c>
      <c r="Z1067" s="36">
        <v>45549</v>
      </c>
      <c r="AA1067" s="36"/>
      <c r="AB1067" s="36"/>
      <c r="AC1067" s="36"/>
      <c r="AD1067" s="36"/>
      <c r="AE1067" s="36"/>
      <c r="AF1067" s="53" t="s">
        <v>68</v>
      </c>
      <c r="AG1067" s="42"/>
      <c r="AH1067" s="42"/>
      <c r="AI1067" s="43"/>
      <c r="AJ1067" s="43"/>
      <c r="AK1067" s="43"/>
      <c r="AL1067" s="43"/>
      <c r="AM1067" s="43"/>
      <c r="AN1067" s="42"/>
      <c r="AO1067" s="42"/>
      <c r="AP1067" s="42"/>
      <c r="AQ1067" s="43"/>
      <c r="AR1067" s="42"/>
      <c r="AS1067" s="42"/>
    </row>
    <row r="1068" spans="1:45" ht="15" customHeight="1">
      <c r="A1068" s="21" t="s">
        <v>260</v>
      </c>
      <c r="B1068" s="21" t="s">
        <v>46</v>
      </c>
      <c r="C1068" s="21" t="s">
        <v>188</v>
      </c>
      <c r="D1068" s="21" t="s">
        <v>48</v>
      </c>
      <c r="E1068" s="80" t="s">
        <v>1313</v>
      </c>
      <c r="F1068" s="21" t="s">
        <v>953</v>
      </c>
      <c r="G1068" s="101" t="s">
        <v>77</v>
      </c>
      <c r="H1068" s="25" t="s">
        <v>1344</v>
      </c>
      <c r="I1068" s="102" t="s">
        <v>78</v>
      </c>
      <c r="J1068" s="101" t="s">
        <v>1345</v>
      </c>
      <c r="K1068" s="115"/>
      <c r="L1068" s="48" t="s">
        <v>956</v>
      </c>
      <c r="M1068" s="155">
        <v>43585</v>
      </c>
      <c r="N1068" s="155" t="s">
        <v>182</v>
      </c>
      <c r="O1068" s="68">
        <v>5900</v>
      </c>
      <c r="P1068" s="61">
        <v>5</v>
      </c>
      <c r="Q1068" s="51">
        <f t="shared" si="27"/>
        <v>29500</v>
      </c>
      <c r="R1068" s="31">
        <v>202310</v>
      </c>
      <c r="S1068" s="117" t="s">
        <v>1377</v>
      </c>
      <c r="T1068" s="33"/>
      <c r="U1068" s="117"/>
      <c r="V1068" s="118"/>
      <c r="W1068" s="67"/>
      <c r="X1068" s="67"/>
      <c r="Y1068" s="36">
        <v>43358</v>
      </c>
      <c r="Z1068" s="36">
        <v>45549</v>
      </c>
      <c r="AA1068" s="36"/>
      <c r="AB1068" s="36"/>
      <c r="AC1068" s="36"/>
      <c r="AD1068" s="36"/>
      <c r="AE1068" s="36"/>
      <c r="AF1068" s="53" t="s">
        <v>68</v>
      </c>
      <c r="AG1068" s="42"/>
      <c r="AH1068" s="42"/>
      <c r="AI1068" s="43"/>
      <c r="AJ1068" s="43"/>
      <c r="AK1068" s="43"/>
      <c r="AL1068" s="43"/>
      <c r="AM1068" s="43"/>
      <c r="AN1068" s="42"/>
      <c r="AO1068" s="42"/>
      <c r="AP1068" s="42"/>
      <c r="AQ1068" s="43"/>
      <c r="AR1068" s="42"/>
      <c r="AS1068" s="42"/>
    </row>
    <row r="1069" spans="1:45" ht="15" customHeight="1">
      <c r="A1069" s="21" t="s">
        <v>260</v>
      </c>
      <c r="B1069" s="21" t="s">
        <v>46</v>
      </c>
      <c r="C1069" s="21" t="s">
        <v>188</v>
      </c>
      <c r="D1069" s="21" t="s">
        <v>48</v>
      </c>
      <c r="E1069" s="80" t="s">
        <v>1313</v>
      </c>
      <c r="F1069" s="21" t="s">
        <v>953</v>
      </c>
      <c r="G1069" s="101" t="s">
        <v>77</v>
      </c>
      <c r="H1069" s="25" t="s">
        <v>1344</v>
      </c>
      <c r="I1069" s="102" t="s">
        <v>78</v>
      </c>
      <c r="J1069" s="101" t="s">
        <v>1345</v>
      </c>
      <c r="K1069" s="115"/>
      <c r="L1069" s="48" t="s">
        <v>956</v>
      </c>
      <c r="M1069" s="155">
        <v>43595</v>
      </c>
      <c r="N1069" s="155" t="s">
        <v>182</v>
      </c>
      <c r="O1069" s="68">
        <v>5900</v>
      </c>
      <c r="P1069" s="61">
        <v>2</v>
      </c>
      <c r="Q1069" s="51">
        <f t="shared" si="27"/>
        <v>11800</v>
      </c>
      <c r="R1069" s="31">
        <v>202310</v>
      </c>
      <c r="S1069" s="117" t="s">
        <v>1378</v>
      </c>
      <c r="T1069" s="33"/>
      <c r="U1069" s="117"/>
      <c r="V1069" s="118"/>
      <c r="W1069" s="67"/>
      <c r="X1069" s="67"/>
      <c r="Y1069" s="36">
        <v>43358</v>
      </c>
      <c r="Z1069" s="36">
        <v>45549</v>
      </c>
      <c r="AA1069" s="36"/>
      <c r="AB1069" s="36"/>
      <c r="AC1069" s="36"/>
      <c r="AD1069" s="36"/>
      <c r="AE1069" s="36"/>
      <c r="AF1069" s="53" t="s">
        <v>68</v>
      </c>
      <c r="AG1069" s="42"/>
      <c r="AH1069" s="42"/>
      <c r="AI1069" s="43"/>
      <c r="AJ1069" s="43"/>
      <c r="AK1069" s="43"/>
      <c r="AL1069" s="43"/>
      <c r="AM1069" s="43"/>
      <c r="AN1069" s="42"/>
      <c r="AO1069" s="42"/>
      <c r="AP1069" s="42"/>
      <c r="AQ1069" s="43"/>
      <c r="AR1069" s="42"/>
      <c r="AS1069" s="42"/>
    </row>
    <row r="1070" spans="1:45" ht="15" customHeight="1">
      <c r="A1070" s="21" t="s">
        <v>260</v>
      </c>
      <c r="B1070" s="21" t="s">
        <v>46</v>
      </c>
      <c r="C1070" s="21" t="s">
        <v>188</v>
      </c>
      <c r="D1070" s="21" t="s">
        <v>48</v>
      </c>
      <c r="E1070" s="80" t="s">
        <v>1313</v>
      </c>
      <c r="F1070" s="21" t="s">
        <v>953</v>
      </c>
      <c r="G1070" s="101" t="s">
        <v>77</v>
      </c>
      <c r="H1070" s="25" t="s">
        <v>1344</v>
      </c>
      <c r="I1070" s="102" t="s">
        <v>78</v>
      </c>
      <c r="J1070" s="101" t="s">
        <v>1345</v>
      </c>
      <c r="K1070" s="115"/>
      <c r="L1070" s="48" t="s">
        <v>956</v>
      </c>
      <c r="M1070" s="116">
        <v>43591</v>
      </c>
      <c r="N1070" s="116" t="s">
        <v>182</v>
      </c>
      <c r="O1070" s="68">
        <v>5900</v>
      </c>
      <c r="P1070" s="68">
        <v>16</v>
      </c>
      <c r="Q1070" s="51">
        <f t="shared" si="27"/>
        <v>94400</v>
      </c>
      <c r="R1070" s="31">
        <v>202310</v>
      </c>
      <c r="S1070" s="117" t="s">
        <v>1379</v>
      </c>
      <c r="T1070" s="33"/>
      <c r="U1070" s="117"/>
      <c r="V1070" s="118"/>
      <c r="W1070" s="67"/>
      <c r="X1070" s="67"/>
      <c r="Y1070" s="36">
        <v>43358</v>
      </c>
      <c r="Z1070" s="36">
        <v>45549</v>
      </c>
      <c r="AA1070" s="36"/>
      <c r="AB1070" s="36"/>
      <c r="AC1070" s="36"/>
      <c r="AD1070" s="36"/>
      <c r="AE1070" s="36"/>
      <c r="AF1070" s="53" t="s">
        <v>68</v>
      </c>
      <c r="AG1070" s="42"/>
      <c r="AH1070" s="42"/>
      <c r="AI1070" s="43"/>
      <c r="AJ1070" s="43"/>
      <c r="AK1070" s="43"/>
      <c r="AL1070" s="43"/>
      <c r="AM1070" s="43"/>
      <c r="AN1070" s="42"/>
      <c r="AO1070" s="42"/>
      <c r="AP1070" s="42"/>
      <c r="AQ1070" s="43"/>
      <c r="AR1070" s="42"/>
      <c r="AS1070" s="42"/>
    </row>
    <row r="1071" spans="1:45" ht="15" customHeight="1">
      <c r="A1071" s="21" t="s">
        <v>260</v>
      </c>
      <c r="B1071" s="21" t="s">
        <v>46</v>
      </c>
      <c r="C1071" s="21" t="s">
        <v>188</v>
      </c>
      <c r="D1071" s="21" t="s">
        <v>48</v>
      </c>
      <c r="E1071" s="80" t="s">
        <v>1313</v>
      </c>
      <c r="F1071" s="21" t="s">
        <v>953</v>
      </c>
      <c r="G1071" s="101" t="s">
        <v>77</v>
      </c>
      <c r="H1071" s="25" t="s">
        <v>1344</v>
      </c>
      <c r="I1071" s="102" t="s">
        <v>78</v>
      </c>
      <c r="J1071" s="101" t="s">
        <v>1345</v>
      </c>
      <c r="K1071" s="115"/>
      <c r="L1071" s="48" t="s">
        <v>956</v>
      </c>
      <c r="M1071" s="155">
        <v>43593</v>
      </c>
      <c r="N1071" s="155" t="s">
        <v>182</v>
      </c>
      <c r="O1071" s="68">
        <v>5900</v>
      </c>
      <c r="P1071" s="61">
        <v>5</v>
      </c>
      <c r="Q1071" s="51">
        <f t="shared" si="27"/>
        <v>29500</v>
      </c>
      <c r="R1071" s="31">
        <v>202310</v>
      </c>
      <c r="S1071" s="117" t="s">
        <v>1380</v>
      </c>
      <c r="T1071" s="33"/>
      <c r="U1071" s="117"/>
      <c r="V1071" s="118"/>
      <c r="W1071" s="67"/>
      <c r="X1071" s="67"/>
      <c r="Y1071" s="36">
        <v>43358</v>
      </c>
      <c r="Z1071" s="36">
        <v>45549</v>
      </c>
      <c r="AA1071" s="36"/>
      <c r="AB1071" s="36"/>
      <c r="AC1071" s="36"/>
      <c r="AD1071" s="36"/>
      <c r="AE1071" s="36"/>
      <c r="AF1071" s="53" t="s">
        <v>68</v>
      </c>
      <c r="AG1071" s="42"/>
      <c r="AH1071" s="42"/>
      <c r="AI1071" s="43"/>
      <c r="AJ1071" s="43"/>
      <c r="AK1071" s="43"/>
      <c r="AL1071" s="43"/>
      <c r="AM1071" s="43"/>
      <c r="AN1071" s="42"/>
      <c r="AO1071" s="42"/>
      <c r="AP1071" s="42"/>
      <c r="AQ1071" s="43"/>
      <c r="AR1071" s="42"/>
      <c r="AS1071" s="42"/>
    </row>
    <row r="1072" spans="1:45" ht="15" customHeight="1">
      <c r="A1072" s="21" t="s">
        <v>260</v>
      </c>
      <c r="B1072" s="21" t="s">
        <v>46</v>
      </c>
      <c r="C1072" s="21" t="s">
        <v>188</v>
      </c>
      <c r="D1072" s="21" t="s">
        <v>48</v>
      </c>
      <c r="E1072" s="80" t="s">
        <v>1313</v>
      </c>
      <c r="F1072" s="21" t="s">
        <v>953</v>
      </c>
      <c r="G1072" s="101" t="s">
        <v>77</v>
      </c>
      <c r="H1072" s="25" t="s">
        <v>1344</v>
      </c>
      <c r="I1072" s="102" t="s">
        <v>78</v>
      </c>
      <c r="J1072" s="101" t="s">
        <v>1345</v>
      </c>
      <c r="K1072" s="115"/>
      <c r="L1072" s="48" t="s">
        <v>956</v>
      </c>
      <c r="M1072" s="155">
        <v>43643</v>
      </c>
      <c r="N1072" s="155" t="s">
        <v>182</v>
      </c>
      <c r="O1072" s="68">
        <v>5900</v>
      </c>
      <c r="P1072" s="61">
        <v>85</v>
      </c>
      <c r="Q1072" s="51">
        <f t="shared" si="27"/>
        <v>501500</v>
      </c>
      <c r="R1072" s="31">
        <v>202310</v>
      </c>
      <c r="S1072" s="117" t="s">
        <v>1381</v>
      </c>
      <c r="T1072" s="33"/>
      <c r="U1072" s="117"/>
      <c r="V1072" s="118"/>
      <c r="W1072" s="67"/>
      <c r="X1072" s="67"/>
      <c r="Y1072" s="36">
        <v>43358</v>
      </c>
      <c r="Z1072" s="36">
        <v>45549</v>
      </c>
      <c r="AA1072" s="36"/>
      <c r="AB1072" s="36"/>
      <c r="AC1072" s="36"/>
      <c r="AD1072" s="36"/>
      <c r="AE1072" s="36"/>
      <c r="AF1072" s="53" t="s">
        <v>68</v>
      </c>
      <c r="AG1072" s="42"/>
      <c r="AH1072" s="42"/>
      <c r="AI1072" s="43"/>
      <c r="AJ1072" s="43"/>
      <c r="AK1072" s="43"/>
      <c r="AL1072" s="43"/>
      <c r="AM1072" s="43"/>
      <c r="AN1072" s="42"/>
      <c r="AO1072" s="42"/>
      <c r="AP1072" s="42"/>
      <c r="AQ1072" s="43"/>
      <c r="AR1072" s="42"/>
      <c r="AS1072" s="42"/>
    </row>
    <row r="1073" spans="1:45" ht="15" customHeight="1">
      <c r="A1073" s="21" t="s">
        <v>260</v>
      </c>
      <c r="B1073" s="21" t="s">
        <v>46</v>
      </c>
      <c r="C1073" s="21" t="s">
        <v>188</v>
      </c>
      <c r="D1073" s="21" t="s">
        <v>48</v>
      </c>
      <c r="E1073" s="80" t="s">
        <v>1313</v>
      </c>
      <c r="F1073" s="21" t="s">
        <v>953</v>
      </c>
      <c r="G1073" s="101" t="s">
        <v>77</v>
      </c>
      <c r="H1073" s="25" t="s">
        <v>1344</v>
      </c>
      <c r="I1073" s="102" t="s">
        <v>78</v>
      </c>
      <c r="J1073" s="101" t="s">
        <v>1345</v>
      </c>
      <c r="K1073" s="115"/>
      <c r="L1073" s="48" t="s">
        <v>956</v>
      </c>
      <c r="M1073" s="155">
        <v>43711</v>
      </c>
      <c r="N1073" s="155" t="s">
        <v>182</v>
      </c>
      <c r="O1073" s="68">
        <v>5900</v>
      </c>
      <c r="P1073" s="61">
        <v>30</v>
      </c>
      <c r="Q1073" s="51">
        <f t="shared" si="27"/>
        <v>177000</v>
      </c>
      <c r="R1073" s="31">
        <v>202310</v>
      </c>
      <c r="S1073" s="117" t="s">
        <v>1382</v>
      </c>
      <c r="T1073" s="33"/>
      <c r="U1073" s="117"/>
      <c r="V1073" s="118"/>
      <c r="W1073" s="67"/>
      <c r="X1073" s="67"/>
      <c r="Y1073" s="36">
        <v>43358</v>
      </c>
      <c r="Z1073" s="36">
        <v>45549</v>
      </c>
      <c r="AA1073" s="36"/>
      <c r="AB1073" s="36"/>
      <c r="AC1073" s="36"/>
      <c r="AD1073" s="36"/>
      <c r="AE1073" s="36"/>
      <c r="AF1073" s="53" t="s">
        <v>68</v>
      </c>
      <c r="AG1073" s="42"/>
      <c r="AH1073" s="42"/>
      <c r="AI1073" s="43"/>
      <c r="AJ1073" s="43"/>
      <c r="AK1073" s="43"/>
      <c r="AL1073" s="43"/>
      <c r="AM1073" s="43"/>
      <c r="AN1073" s="42"/>
      <c r="AO1073" s="42"/>
      <c r="AP1073" s="42"/>
      <c r="AQ1073" s="43"/>
      <c r="AR1073" s="42"/>
      <c r="AS1073" s="42"/>
    </row>
    <row r="1074" spans="1:45" ht="15" customHeight="1">
      <c r="A1074" s="21" t="s">
        <v>260</v>
      </c>
      <c r="B1074" s="21" t="s">
        <v>46</v>
      </c>
      <c r="C1074" s="21" t="s">
        <v>188</v>
      </c>
      <c r="D1074" s="21" t="s">
        <v>48</v>
      </c>
      <c r="E1074" s="80" t="s">
        <v>1313</v>
      </c>
      <c r="F1074" s="21" t="s">
        <v>953</v>
      </c>
      <c r="G1074" s="101" t="s">
        <v>77</v>
      </c>
      <c r="H1074" s="25" t="s">
        <v>1344</v>
      </c>
      <c r="I1074" s="102" t="s">
        <v>78</v>
      </c>
      <c r="J1074" s="101" t="s">
        <v>1345</v>
      </c>
      <c r="K1074" s="115"/>
      <c r="L1074" s="48" t="s">
        <v>956</v>
      </c>
      <c r="M1074" s="155">
        <v>43747</v>
      </c>
      <c r="N1074" s="155" t="s">
        <v>182</v>
      </c>
      <c r="O1074" s="68">
        <v>5900</v>
      </c>
      <c r="P1074" s="61">
        <v>5</v>
      </c>
      <c r="Q1074" s="51">
        <f t="shared" si="27"/>
        <v>29500</v>
      </c>
      <c r="R1074" s="31">
        <v>202310</v>
      </c>
      <c r="S1074" s="159" t="s">
        <v>1383</v>
      </c>
      <c r="T1074" s="33"/>
      <c r="U1074" s="117"/>
      <c r="V1074" s="118"/>
      <c r="W1074" s="67"/>
      <c r="X1074" s="67"/>
      <c r="Y1074" s="36">
        <v>43358</v>
      </c>
      <c r="Z1074" s="36">
        <v>45549</v>
      </c>
      <c r="AA1074" s="36"/>
      <c r="AB1074" s="36"/>
      <c r="AC1074" s="36"/>
      <c r="AD1074" s="36"/>
      <c r="AE1074" s="36"/>
      <c r="AF1074" s="53" t="s">
        <v>68</v>
      </c>
      <c r="AG1074" s="42"/>
      <c r="AH1074" s="42"/>
      <c r="AI1074" s="43"/>
      <c r="AJ1074" s="43"/>
      <c r="AK1074" s="43"/>
      <c r="AL1074" s="43"/>
      <c r="AM1074" s="43"/>
      <c r="AN1074" s="42"/>
      <c r="AO1074" s="42"/>
      <c r="AP1074" s="42"/>
      <c r="AQ1074" s="43"/>
      <c r="AR1074" s="42"/>
      <c r="AS1074" s="42"/>
    </row>
    <row r="1075" spans="1:45" ht="15" customHeight="1">
      <c r="A1075" s="21" t="s">
        <v>260</v>
      </c>
      <c r="B1075" s="21" t="s">
        <v>46</v>
      </c>
      <c r="C1075" s="21" t="s">
        <v>188</v>
      </c>
      <c r="D1075" s="21" t="s">
        <v>48</v>
      </c>
      <c r="E1075" s="80" t="s">
        <v>1313</v>
      </c>
      <c r="F1075" s="21" t="s">
        <v>953</v>
      </c>
      <c r="G1075" s="101" t="s">
        <v>77</v>
      </c>
      <c r="H1075" s="25" t="s">
        <v>1344</v>
      </c>
      <c r="I1075" s="102" t="s">
        <v>78</v>
      </c>
      <c r="J1075" s="101" t="s">
        <v>1345</v>
      </c>
      <c r="K1075" s="115"/>
      <c r="L1075" s="48" t="s">
        <v>956</v>
      </c>
      <c r="M1075" s="155" t="s">
        <v>851</v>
      </c>
      <c r="N1075" s="155" t="s">
        <v>182</v>
      </c>
      <c r="O1075" s="61">
        <v>5900</v>
      </c>
      <c r="P1075" s="61">
        <v>37</v>
      </c>
      <c r="Q1075" s="51">
        <f t="shared" si="27"/>
        <v>218300</v>
      </c>
      <c r="R1075" s="31">
        <v>202310</v>
      </c>
      <c r="S1075" s="117" t="s">
        <v>1384</v>
      </c>
      <c r="T1075" s="33"/>
      <c r="U1075" s="117"/>
      <c r="V1075" s="118"/>
      <c r="W1075" s="67"/>
      <c r="X1075" s="67"/>
      <c r="Y1075" s="36">
        <v>43358</v>
      </c>
      <c r="Z1075" s="36">
        <v>45549</v>
      </c>
      <c r="AA1075" s="36"/>
      <c r="AB1075" s="36"/>
      <c r="AC1075" s="36"/>
      <c r="AD1075" s="36"/>
      <c r="AE1075" s="36"/>
      <c r="AF1075" s="53" t="s">
        <v>68</v>
      </c>
      <c r="AG1075" s="42"/>
      <c r="AH1075" s="42"/>
      <c r="AI1075" s="43"/>
      <c r="AJ1075" s="43"/>
      <c r="AK1075" s="43"/>
      <c r="AL1075" s="43"/>
      <c r="AM1075" s="43"/>
      <c r="AN1075" s="42"/>
      <c r="AO1075" s="42"/>
      <c r="AP1075" s="42"/>
      <c r="AQ1075" s="43"/>
      <c r="AR1075" s="42"/>
      <c r="AS1075" s="42"/>
    </row>
    <row r="1076" spans="1:45" ht="15" customHeight="1">
      <c r="A1076" s="21" t="s">
        <v>260</v>
      </c>
      <c r="B1076" s="21" t="s">
        <v>46</v>
      </c>
      <c r="C1076" s="21" t="s">
        <v>188</v>
      </c>
      <c r="D1076" s="21" t="s">
        <v>48</v>
      </c>
      <c r="E1076" s="80" t="s">
        <v>1313</v>
      </c>
      <c r="F1076" s="21" t="s">
        <v>953</v>
      </c>
      <c r="G1076" s="101" t="s">
        <v>77</v>
      </c>
      <c r="H1076" s="25" t="s">
        <v>1344</v>
      </c>
      <c r="I1076" s="102" t="s">
        <v>78</v>
      </c>
      <c r="J1076" s="101" t="s">
        <v>1345</v>
      </c>
      <c r="K1076" s="115"/>
      <c r="L1076" s="48" t="s">
        <v>956</v>
      </c>
      <c r="M1076" s="155">
        <v>43849</v>
      </c>
      <c r="N1076" s="155" t="s">
        <v>182</v>
      </c>
      <c r="O1076" s="61">
        <v>5900</v>
      </c>
      <c r="P1076" s="61">
        <v>1</v>
      </c>
      <c r="Q1076" s="51">
        <f t="shared" si="27"/>
        <v>5900</v>
      </c>
      <c r="R1076" s="31">
        <v>202310</v>
      </c>
      <c r="S1076" s="117" t="s">
        <v>1385</v>
      </c>
      <c r="T1076" s="33"/>
      <c r="U1076" s="117"/>
      <c r="V1076" s="118"/>
      <c r="W1076" s="67"/>
      <c r="X1076" s="67"/>
      <c r="Y1076" s="36">
        <v>43358</v>
      </c>
      <c r="Z1076" s="36">
        <v>45549</v>
      </c>
      <c r="AA1076" s="36"/>
      <c r="AB1076" s="36"/>
      <c r="AC1076" s="36"/>
      <c r="AD1076" s="36"/>
      <c r="AE1076" s="36"/>
      <c r="AF1076" s="53" t="s">
        <v>68</v>
      </c>
      <c r="AG1076" s="42"/>
      <c r="AH1076" s="42"/>
      <c r="AI1076" s="43"/>
      <c r="AJ1076" s="43"/>
      <c r="AK1076" s="43"/>
      <c r="AL1076" s="43"/>
      <c r="AM1076" s="43"/>
      <c r="AN1076" s="42"/>
      <c r="AO1076" s="42"/>
      <c r="AP1076" s="42"/>
      <c r="AQ1076" s="43"/>
      <c r="AR1076" s="42"/>
      <c r="AS1076" s="42"/>
    </row>
    <row r="1077" spans="1:45" ht="15" customHeight="1">
      <c r="A1077" s="21" t="s">
        <v>260</v>
      </c>
      <c r="B1077" s="21" t="s">
        <v>46</v>
      </c>
      <c r="C1077" s="21" t="s">
        <v>188</v>
      </c>
      <c r="D1077" s="21" t="s">
        <v>48</v>
      </c>
      <c r="E1077" s="80" t="s">
        <v>1313</v>
      </c>
      <c r="F1077" s="21" t="s">
        <v>953</v>
      </c>
      <c r="G1077" s="101" t="s">
        <v>77</v>
      </c>
      <c r="H1077" s="25" t="s">
        <v>1344</v>
      </c>
      <c r="I1077" s="102" t="s">
        <v>78</v>
      </c>
      <c r="J1077" s="101" t="s">
        <v>1345</v>
      </c>
      <c r="K1077" s="115"/>
      <c r="L1077" s="48" t="s">
        <v>956</v>
      </c>
      <c r="M1077" s="155">
        <v>43851</v>
      </c>
      <c r="N1077" s="155" t="s">
        <v>182</v>
      </c>
      <c r="O1077" s="61">
        <v>5900</v>
      </c>
      <c r="P1077" s="61">
        <v>5</v>
      </c>
      <c r="Q1077" s="51">
        <f t="shared" si="27"/>
        <v>29500</v>
      </c>
      <c r="R1077" s="31">
        <v>202310</v>
      </c>
      <c r="S1077" s="117" t="s">
        <v>1386</v>
      </c>
      <c r="T1077" s="33"/>
      <c r="U1077" s="117"/>
      <c r="V1077" s="118"/>
      <c r="W1077" s="67"/>
      <c r="X1077" s="67"/>
      <c r="Y1077" s="36">
        <v>43358</v>
      </c>
      <c r="Z1077" s="36">
        <v>45549</v>
      </c>
      <c r="AA1077" s="36"/>
      <c r="AB1077" s="36"/>
      <c r="AC1077" s="36"/>
      <c r="AD1077" s="36"/>
      <c r="AE1077" s="36"/>
      <c r="AF1077" s="53" t="s">
        <v>68</v>
      </c>
      <c r="AG1077" s="42"/>
      <c r="AH1077" s="42"/>
      <c r="AI1077" s="43"/>
      <c r="AJ1077" s="43"/>
      <c r="AK1077" s="43"/>
      <c r="AL1077" s="43"/>
      <c r="AM1077" s="43"/>
      <c r="AN1077" s="42"/>
      <c r="AO1077" s="42"/>
      <c r="AP1077" s="42"/>
      <c r="AQ1077" s="43"/>
      <c r="AR1077" s="42"/>
      <c r="AS1077" s="42"/>
    </row>
    <row r="1078" spans="1:45" ht="15" customHeight="1">
      <c r="A1078" s="21" t="s">
        <v>260</v>
      </c>
      <c r="B1078" s="21" t="s">
        <v>46</v>
      </c>
      <c r="C1078" s="21" t="s">
        <v>188</v>
      </c>
      <c r="D1078" s="21" t="s">
        <v>48</v>
      </c>
      <c r="E1078" s="80" t="s">
        <v>1313</v>
      </c>
      <c r="F1078" s="21" t="s">
        <v>953</v>
      </c>
      <c r="G1078" s="101" t="s">
        <v>77</v>
      </c>
      <c r="H1078" s="25" t="s">
        <v>1344</v>
      </c>
      <c r="I1078" s="102" t="s">
        <v>78</v>
      </c>
      <c r="J1078" s="101" t="s">
        <v>1345</v>
      </c>
      <c r="K1078" s="115"/>
      <c r="L1078" s="48" t="s">
        <v>956</v>
      </c>
      <c r="M1078" s="155">
        <v>43915</v>
      </c>
      <c r="N1078" s="155" t="s">
        <v>182</v>
      </c>
      <c r="O1078" s="61">
        <v>5900</v>
      </c>
      <c r="P1078" s="61">
        <v>4</v>
      </c>
      <c r="Q1078" s="51">
        <f t="shared" si="27"/>
        <v>23600</v>
      </c>
      <c r="R1078" s="31">
        <v>202310</v>
      </c>
      <c r="S1078" s="117" t="s">
        <v>1387</v>
      </c>
      <c r="T1078" s="33"/>
      <c r="U1078" s="117"/>
      <c r="V1078" s="118"/>
      <c r="W1078" s="67"/>
      <c r="X1078" s="67"/>
      <c r="Y1078" s="36">
        <v>43358</v>
      </c>
      <c r="Z1078" s="36">
        <v>45549</v>
      </c>
      <c r="AA1078" s="36"/>
      <c r="AB1078" s="36"/>
      <c r="AC1078" s="36"/>
      <c r="AD1078" s="36"/>
      <c r="AE1078" s="36"/>
      <c r="AF1078" s="53" t="s">
        <v>68</v>
      </c>
      <c r="AG1078" s="42"/>
      <c r="AH1078" s="42"/>
      <c r="AI1078" s="43"/>
      <c r="AJ1078" s="43"/>
      <c r="AK1078" s="43"/>
      <c r="AL1078" s="43"/>
      <c r="AM1078" s="43"/>
      <c r="AN1078" s="42"/>
      <c r="AO1078" s="42"/>
      <c r="AP1078" s="42"/>
      <c r="AQ1078" s="43"/>
      <c r="AR1078" s="42"/>
      <c r="AS1078" s="42"/>
    </row>
    <row r="1079" spans="1:45" ht="15" customHeight="1">
      <c r="A1079" s="21" t="s">
        <v>260</v>
      </c>
      <c r="B1079" s="21" t="s">
        <v>46</v>
      </c>
      <c r="C1079" s="21" t="s">
        <v>188</v>
      </c>
      <c r="D1079" s="21" t="s">
        <v>48</v>
      </c>
      <c r="E1079" s="80" t="s">
        <v>1313</v>
      </c>
      <c r="F1079" s="21" t="s">
        <v>953</v>
      </c>
      <c r="G1079" s="101" t="s">
        <v>77</v>
      </c>
      <c r="H1079" s="25" t="s">
        <v>1344</v>
      </c>
      <c r="I1079" s="102" t="s">
        <v>78</v>
      </c>
      <c r="J1079" s="101" t="s">
        <v>1345</v>
      </c>
      <c r="K1079" s="115"/>
      <c r="L1079" s="48" t="s">
        <v>956</v>
      </c>
      <c r="M1079" s="155">
        <v>43918</v>
      </c>
      <c r="N1079" s="155" t="s">
        <v>182</v>
      </c>
      <c r="O1079" s="61">
        <v>5900</v>
      </c>
      <c r="P1079" s="61">
        <v>1</v>
      </c>
      <c r="Q1079" s="51">
        <f t="shared" si="27"/>
        <v>5900</v>
      </c>
      <c r="R1079" s="31">
        <v>202310</v>
      </c>
      <c r="S1079" s="117" t="s">
        <v>1388</v>
      </c>
      <c r="T1079" s="33"/>
      <c r="U1079" s="117"/>
      <c r="V1079" s="118"/>
      <c r="W1079" s="67"/>
      <c r="X1079" s="67"/>
      <c r="Y1079" s="36">
        <v>43358</v>
      </c>
      <c r="Z1079" s="36">
        <v>45549</v>
      </c>
      <c r="AA1079" s="36"/>
      <c r="AB1079" s="36"/>
      <c r="AC1079" s="36"/>
      <c r="AD1079" s="36"/>
      <c r="AE1079" s="36"/>
      <c r="AF1079" s="53" t="s">
        <v>68</v>
      </c>
      <c r="AG1079" s="42"/>
      <c r="AH1079" s="42"/>
      <c r="AI1079" s="43"/>
      <c r="AJ1079" s="43"/>
      <c r="AK1079" s="43"/>
      <c r="AL1079" s="43"/>
      <c r="AM1079" s="43"/>
      <c r="AN1079" s="42"/>
      <c r="AO1079" s="42"/>
      <c r="AP1079" s="42"/>
      <c r="AQ1079" s="43"/>
      <c r="AR1079" s="42"/>
      <c r="AS1079" s="42"/>
    </row>
    <row r="1080" spans="1:45" ht="15" customHeight="1">
      <c r="A1080" s="21" t="s">
        <v>260</v>
      </c>
      <c r="B1080" s="21" t="s">
        <v>46</v>
      </c>
      <c r="C1080" s="21" t="s">
        <v>188</v>
      </c>
      <c r="D1080" s="21" t="s">
        <v>48</v>
      </c>
      <c r="E1080" s="80" t="s">
        <v>1313</v>
      </c>
      <c r="F1080" s="21" t="s">
        <v>953</v>
      </c>
      <c r="G1080" s="101" t="s">
        <v>77</v>
      </c>
      <c r="H1080" s="25" t="s">
        <v>1344</v>
      </c>
      <c r="I1080" s="102" t="s">
        <v>78</v>
      </c>
      <c r="J1080" s="101" t="s">
        <v>1345</v>
      </c>
      <c r="K1080" s="115"/>
      <c r="L1080" s="48" t="s">
        <v>956</v>
      </c>
      <c r="M1080" s="155">
        <v>43936</v>
      </c>
      <c r="N1080" s="155" t="s">
        <v>182</v>
      </c>
      <c r="O1080" s="61">
        <v>5900</v>
      </c>
      <c r="P1080" s="61">
        <v>1</v>
      </c>
      <c r="Q1080" s="51">
        <f t="shared" si="27"/>
        <v>5900</v>
      </c>
      <c r="R1080" s="31">
        <v>202310</v>
      </c>
      <c r="S1080" s="117" t="s">
        <v>1389</v>
      </c>
      <c r="T1080" s="33"/>
      <c r="U1080" s="117"/>
      <c r="V1080" s="118"/>
      <c r="W1080" s="67"/>
      <c r="X1080" s="67"/>
      <c r="Y1080" s="36">
        <v>43358</v>
      </c>
      <c r="Z1080" s="36">
        <v>45549</v>
      </c>
      <c r="AA1080" s="36"/>
      <c r="AB1080" s="36"/>
      <c r="AC1080" s="36"/>
      <c r="AD1080" s="36"/>
      <c r="AE1080" s="36"/>
      <c r="AF1080" s="53" t="s">
        <v>68</v>
      </c>
      <c r="AG1080" s="42"/>
      <c r="AH1080" s="42"/>
      <c r="AI1080" s="43"/>
      <c r="AJ1080" s="43"/>
      <c r="AK1080" s="43"/>
      <c r="AL1080" s="43"/>
      <c r="AM1080" s="43"/>
      <c r="AN1080" s="42"/>
      <c r="AO1080" s="42"/>
      <c r="AP1080" s="42"/>
      <c r="AQ1080" s="43"/>
      <c r="AR1080" s="42"/>
      <c r="AS1080" s="42"/>
    </row>
    <row r="1081" spans="1:45" ht="15" customHeight="1">
      <c r="A1081" s="21" t="s">
        <v>260</v>
      </c>
      <c r="B1081" s="21" t="s">
        <v>46</v>
      </c>
      <c r="C1081" s="21" t="s">
        <v>188</v>
      </c>
      <c r="D1081" s="21" t="s">
        <v>48</v>
      </c>
      <c r="E1081" s="80" t="s">
        <v>1313</v>
      </c>
      <c r="F1081" s="21" t="s">
        <v>953</v>
      </c>
      <c r="G1081" s="101" t="s">
        <v>77</v>
      </c>
      <c r="H1081" s="25" t="s">
        <v>1344</v>
      </c>
      <c r="I1081" s="102" t="s">
        <v>78</v>
      </c>
      <c r="J1081" s="101" t="s">
        <v>1345</v>
      </c>
      <c r="K1081" s="115"/>
      <c r="L1081" s="48" t="s">
        <v>956</v>
      </c>
      <c r="M1081" s="155">
        <v>43940</v>
      </c>
      <c r="N1081" s="155" t="s">
        <v>182</v>
      </c>
      <c r="O1081" s="61">
        <v>5900</v>
      </c>
      <c r="P1081" s="61">
        <v>1</v>
      </c>
      <c r="Q1081" s="51">
        <f t="shared" si="27"/>
        <v>5900</v>
      </c>
      <c r="R1081" s="31">
        <v>202310</v>
      </c>
      <c r="S1081" s="117" t="s">
        <v>1390</v>
      </c>
      <c r="T1081" s="33"/>
      <c r="U1081" s="117"/>
      <c r="V1081" s="118"/>
      <c r="W1081" s="67"/>
      <c r="X1081" s="67"/>
      <c r="Y1081" s="36">
        <v>43358</v>
      </c>
      <c r="Z1081" s="36">
        <v>45549</v>
      </c>
      <c r="AA1081" s="36"/>
      <c r="AB1081" s="36"/>
      <c r="AC1081" s="36"/>
      <c r="AD1081" s="36"/>
      <c r="AE1081" s="36"/>
      <c r="AF1081" s="53" t="s">
        <v>68</v>
      </c>
      <c r="AG1081" s="42"/>
      <c r="AH1081" s="42"/>
      <c r="AI1081" s="43"/>
      <c r="AJ1081" s="43"/>
      <c r="AK1081" s="43"/>
      <c r="AL1081" s="43"/>
      <c r="AM1081" s="43"/>
      <c r="AN1081" s="42"/>
      <c r="AO1081" s="42"/>
      <c r="AP1081" s="42"/>
      <c r="AQ1081" s="43"/>
      <c r="AR1081" s="42"/>
      <c r="AS1081" s="42"/>
    </row>
    <row r="1082" spans="1:45" ht="15" customHeight="1">
      <c r="A1082" s="21" t="s">
        <v>260</v>
      </c>
      <c r="B1082" s="21" t="s">
        <v>46</v>
      </c>
      <c r="C1082" s="21" t="s">
        <v>188</v>
      </c>
      <c r="D1082" s="21" t="s">
        <v>48</v>
      </c>
      <c r="E1082" s="80" t="s">
        <v>1313</v>
      </c>
      <c r="F1082" s="21" t="s">
        <v>953</v>
      </c>
      <c r="G1082" s="101" t="s">
        <v>77</v>
      </c>
      <c r="H1082" s="25" t="s">
        <v>1344</v>
      </c>
      <c r="I1082" s="102" t="s">
        <v>78</v>
      </c>
      <c r="J1082" s="101" t="s">
        <v>1345</v>
      </c>
      <c r="K1082" s="115"/>
      <c r="L1082" s="48" t="s">
        <v>956</v>
      </c>
      <c r="M1082" s="155">
        <v>43984</v>
      </c>
      <c r="N1082" s="155" t="s">
        <v>182</v>
      </c>
      <c r="O1082" s="61">
        <v>5900</v>
      </c>
      <c r="P1082" s="61">
        <v>12</v>
      </c>
      <c r="Q1082" s="51">
        <f t="shared" si="27"/>
        <v>70800</v>
      </c>
      <c r="R1082" s="31">
        <v>202310</v>
      </c>
      <c r="S1082" s="117" t="s">
        <v>1391</v>
      </c>
      <c r="T1082" s="33"/>
      <c r="U1082" s="117"/>
      <c r="V1082" s="118"/>
      <c r="W1082" s="67"/>
      <c r="X1082" s="67"/>
      <c r="Y1082" s="36">
        <v>43358</v>
      </c>
      <c r="Z1082" s="36">
        <v>45549</v>
      </c>
      <c r="AA1082" s="36"/>
      <c r="AB1082" s="36"/>
      <c r="AC1082" s="36"/>
      <c r="AD1082" s="36"/>
      <c r="AE1082" s="36"/>
      <c r="AF1082" s="53" t="s">
        <v>68</v>
      </c>
      <c r="AG1082" s="42"/>
      <c r="AH1082" s="42"/>
      <c r="AI1082" s="43"/>
      <c r="AJ1082" s="43"/>
      <c r="AK1082" s="43"/>
      <c r="AL1082" s="43"/>
      <c r="AM1082" s="43"/>
      <c r="AN1082" s="42"/>
      <c r="AO1082" s="42"/>
      <c r="AP1082" s="42"/>
      <c r="AQ1082" s="43"/>
      <c r="AR1082" s="42"/>
      <c r="AS1082" s="42"/>
    </row>
    <row r="1083" spans="1:45" ht="15" customHeight="1">
      <c r="A1083" s="21" t="s">
        <v>260</v>
      </c>
      <c r="B1083" s="21" t="s">
        <v>46</v>
      </c>
      <c r="C1083" s="21" t="s">
        <v>188</v>
      </c>
      <c r="D1083" s="21" t="s">
        <v>48</v>
      </c>
      <c r="E1083" s="80" t="s">
        <v>1313</v>
      </c>
      <c r="F1083" s="21" t="s">
        <v>953</v>
      </c>
      <c r="G1083" s="101" t="s">
        <v>77</v>
      </c>
      <c r="H1083" s="25" t="s">
        <v>1344</v>
      </c>
      <c r="I1083" s="102" t="s">
        <v>78</v>
      </c>
      <c r="J1083" s="101" t="s">
        <v>1345</v>
      </c>
      <c r="K1083" s="115"/>
      <c r="L1083" s="48" t="s">
        <v>956</v>
      </c>
      <c r="M1083" s="155">
        <v>43990</v>
      </c>
      <c r="N1083" s="155" t="s">
        <v>182</v>
      </c>
      <c r="O1083" s="61">
        <v>5900</v>
      </c>
      <c r="P1083" s="61">
        <v>2</v>
      </c>
      <c r="Q1083" s="51">
        <f t="shared" si="27"/>
        <v>11800</v>
      </c>
      <c r="R1083" s="31">
        <v>202310</v>
      </c>
      <c r="S1083" s="117" t="s">
        <v>1392</v>
      </c>
      <c r="T1083" s="33"/>
      <c r="U1083" s="117"/>
      <c r="V1083" s="118"/>
      <c r="W1083" s="67"/>
      <c r="X1083" s="67"/>
      <c r="Y1083" s="36">
        <v>43358</v>
      </c>
      <c r="Z1083" s="36">
        <v>45549</v>
      </c>
      <c r="AA1083" s="36"/>
      <c r="AB1083" s="36"/>
      <c r="AC1083" s="36"/>
      <c r="AD1083" s="36"/>
      <c r="AE1083" s="36"/>
      <c r="AF1083" s="53" t="s">
        <v>68</v>
      </c>
      <c r="AG1083" s="42"/>
      <c r="AH1083" s="42"/>
      <c r="AI1083" s="43"/>
      <c r="AJ1083" s="43"/>
      <c r="AK1083" s="43"/>
      <c r="AL1083" s="43"/>
      <c r="AM1083" s="43"/>
      <c r="AN1083" s="42"/>
      <c r="AO1083" s="42"/>
      <c r="AP1083" s="42"/>
      <c r="AQ1083" s="43"/>
      <c r="AR1083" s="42"/>
      <c r="AS1083" s="42"/>
    </row>
    <row r="1084" spans="1:45" ht="15" customHeight="1">
      <c r="A1084" s="21" t="s">
        <v>260</v>
      </c>
      <c r="B1084" s="21" t="s">
        <v>46</v>
      </c>
      <c r="C1084" s="21" t="s">
        <v>188</v>
      </c>
      <c r="D1084" s="21" t="s">
        <v>48</v>
      </c>
      <c r="E1084" s="80" t="s">
        <v>1313</v>
      </c>
      <c r="F1084" s="21" t="s">
        <v>953</v>
      </c>
      <c r="G1084" s="101" t="s">
        <v>77</v>
      </c>
      <c r="H1084" s="25" t="s">
        <v>1344</v>
      </c>
      <c r="I1084" s="102" t="s">
        <v>78</v>
      </c>
      <c r="J1084" s="101" t="s">
        <v>1345</v>
      </c>
      <c r="K1084" s="115"/>
      <c r="L1084" s="48" t="s">
        <v>956</v>
      </c>
      <c r="M1084" s="155">
        <v>44029</v>
      </c>
      <c r="N1084" s="155" t="s">
        <v>182</v>
      </c>
      <c r="O1084" s="61">
        <v>5900</v>
      </c>
      <c r="P1084" s="61">
        <v>7</v>
      </c>
      <c r="Q1084" s="51">
        <f t="shared" si="27"/>
        <v>41300</v>
      </c>
      <c r="R1084" s="31">
        <v>202310</v>
      </c>
      <c r="S1084" s="117" t="s">
        <v>1393</v>
      </c>
      <c r="T1084" s="33"/>
      <c r="U1084" s="117"/>
      <c r="V1084" s="118"/>
      <c r="W1084" s="67"/>
      <c r="X1084" s="67"/>
      <c r="Y1084" s="36">
        <v>43358</v>
      </c>
      <c r="Z1084" s="36">
        <v>45549</v>
      </c>
      <c r="AA1084" s="36"/>
      <c r="AB1084" s="36"/>
      <c r="AC1084" s="36"/>
      <c r="AD1084" s="36"/>
      <c r="AE1084" s="36"/>
      <c r="AF1084" s="53" t="s">
        <v>68</v>
      </c>
      <c r="AG1084" s="42"/>
      <c r="AH1084" s="42"/>
      <c r="AI1084" s="43"/>
      <c r="AJ1084" s="43"/>
      <c r="AK1084" s="43"/>
      <c r="AL1084" s="43"/>
      <c r="AM1084" s="43"/>
      <c r="AN1084" s="42"/>
      <c r="AO1084" s="42"/>
      <c r="AP1084" s="42"/>
      <c r="AQ1084" s="43"/>
      <c r="AR1084" s="42"/>
      <c r="AS1084" s="42"/>
    </row>
    <row r="1085" spans="1:45" ht="15" customHeight="1">
      <c r="A1085" s="21" t="s">
        <v>260</v>
      </c>
      <c r="B1085" s="21" t="s">
        <v>46</v>
      </c>
      <c r="C1085" s="21" t="s">
        <v>188</v>
      </c>
      <c r="D1085" s="21" t="s">
        <v>48</v>
      </c>
      <c r="E1085" s="80" t="s">
        <v>1313</v>
      </c>
      <c r="F1085" s="21" t="s">
        <v>953</v>
      </c>
      <c r="G1085" s="101" t="s">
        <v>77</v>
      </c>
      <c r="H1085" s="25" t="s">
        <v>1344</v>
      </c>
      <c r="I1085" s="102" t="s">
        <v>78</v>
      </c>
      <c r="J1085" s="101" t="s">
        <v>1345</v>
      </c>
      <c r="K1085" s="115"/>
      <c r="L1085" s="48" t="s">
        <v>956</v>
      </c>
      <c r="M1085" s="155">
        <v>44035</v>
      </c>
      <c r="N1085" s="155" t="s">
        <v>182</v>
      </c>
      <c r="O1085" s="61">
        <v>5900</v>
      </c>
      <c r="P1085" s="61">
        <v>5</v>
      </c>
      <c r="Q1085" s="51">
        <f t="shared" si="27"/>
        <v>29500</v>
      </c>
      <c r="R1085" s="31">
        <v>202310</v>
      </c>
      <c r="S1085" s="117" t="s">
        <v>1394</v>
      </c>
      <c r="T1085" s="33"/>
      <c r="U1085" s="117"/>
      <c r="V1085" s="118"/>
      <c r="W1085" s="67"/>
      <c r="X1085" s="67"/>
      <c r="Y1085" s="36">
        <v>43358</v>
      </c>
      <c r="Z1085" s="36">
        <v>45549</v>
      </c>
      <c r="AA1085" s="36"/>
      <c r="AB1085" s="36"/>
      <c r="AC1085" s="36"/>
      <c r="AD1085" s="36"/>
      <c r="AE1085" s="36"/>
      <c r="AF1085" s="53" t="s">
        <v>68</v>
      </c>
      <c r="AG1085" s="42"/>
      <c r="AH1085" s="42"/>
      <c r="AI1085" s="43"/>
      <c r="AJ1085" s="43"/>
      <c r="AK1085" s="43"/>
      <c r="AL1085" s="43"/>
      <c r="AM1085" s="43"/>
      <c r="AN1085" s="42"/>
      <c r="AO1085" s="42"/>
      <c r="AP1085" s="42"/>
      <c r="AQ1085" s="43"/>
      <c r="AR1085" s="42"/>
      <c r="AS1085" s="42"/>
    </row>
    <row r="1086" spans="1:45" ht="15" customHeight="1">
      <c r="A1086" s="21" t="s">
        <v>260</v>
      </c>
      <c r="B1086" s="21" t="s">
        <v>46</v>
      </c>
      <c r="C1086" s="21" t="s">
        <v>188</v>
      </c>
      <c r="D1086" s="21" t="s">
        <v>48</v>
      </c>
      <c r="E1086" s="80" t="s">
        <v>1313</v>
      </c>
      <c r="F1086" s="21" t="s">
        <v>953</v>
      </c>
      <c r="G1086" s="101" t="s">
        <v>77</v>
      </c>
      <c r="H1086" s="25" t="s">
        <v>1344</v>
      </c>
      <c r="I1086" s="102" t="s">
        <v>78</v>
      </c>
      <c r="J1086" s="101" t="s">
        <v>1345</v>
      </c>
      <c r="K1086" s="115"/>
      <c r="L1086" s="48" t="s">
        <v>956</v>
      </c>
      <c r="M1086" s="155">
        <v>44035</v>
      </c>
      <c r="N1086" s="155" t="s">
        <v>182</v>
      </c>
      <c r="O1086" s="68">
        <v>5950</v>
      </c>
      <c r="P1086" s="61">
        <v>10</v>
      </c>
      <c r="Q1086" s="51">
        <f t="shared" si="27"/>
        <v>59500</v>
      </c>
      <c r="R1086" s="31">
        <v>202310</v>
      </c>
      <c r="S1086" s="117" t="s">
        <v>1395</v>
      </c>
      <c r="T1086" s="33"/>
      <c r="U1086" s="117"/>
      <c r="V1086" s="118"/>
      <c r="W1086" s="67"/>
      <c r="X1086" s="67"/>
      <c r="Y1086" s="36">
        <v>43358</v>
      </c>
      <c r="Z1086" s="36">
        <v>45549</v>
      </c>
      <c r="AA1086" s="36"/>
      <c r="AB1086" s="36"/>
      <c r="AC1086" s="36"/>
      <c r="AD1086" s="36"/>
      <c r="AE1086" s="36"/>
      <c r="AF1086" s="53" t="s">
        <v>68</v>
      </c>
      <c r="AG1086" s="42"/>
      <c r="AH1086" s="42"/>
      <c r="AI1086" s="43"/>
      <c r="AJ1086" s="43"/>
      <c r="AK1086" s="43"/>
      <c r="AL1086" s="43"/>
      <c r="AM1086" s="43"/>
      <c r="AN1086" s="42"/>
      <c r="AO1086" s="42"/>
      <c r="AP1086" s="42"/>
      <c r="AQ1086" s="43"/>
      <c r="AR1086" s="42"/>
      <c r="AS1086" s="42"/>
    </row>
    <row r="1087" spans="1:45" ht="15" customHeight="1">
      <c r="A1087" s="21" t="s">
        <v>260</v>
      </c>
      <c r="B1087" s="21" t="s">
        <v>46</v>
      </c>
      <c r="C1087" s="21" t="s">
        <v>188</v>
      </c>
      <c r="D1087" s="21" t="s">
        <v>48</v>
      </c>
      <c r="E1087" s="80" t="s">
        <v>1313</v>
      </c>
      <c r="F1087" s="21" t="s">
        <v>953</v>
      </c>
      <c r="G1087" s="101" t="s">
        <v>77</v>
      </c>
      <c r="H1087" s="25" t="s">
        <v>1344</v>
      </c>
      <c r="I1087" s="102" t="s">
        <v>78</v>
      </c>
      <c r="J1087" s="101" t="s">
        <v>1345</v>
      </c>
      <c r="K1087" s="115"/>
      <c r="L1087" s="48" t="s">
        <v>956</v>
      </c>
      <c r="M1087" s="155">
        <v>44043</v>
      </c>
      <c r="N1087" s="155" t="s">
        <v>182</v>
      </c>
      <c r="O1087" s="68">
        <v>5900</v>
      </c>
      <c r="P1087" s="61">
        <v>17</v>
      </c>
      <c r="Q1087" s="51">
        <f t="shared" si="27"/>
        <v>100300</v>
      </c>
      <c r="R1087" s="31">
        <v>202310</v>
      </c>
      <c r="S1087" s="117" t="s">
        <v>1396</v>
      </c>
      <c r="T1087" s="33"/>
      <c r="U1087" s="117"/>
      <c r="V1087" s="118"/>
      <c r="W1087" s="67"/>
      <c r="X1087" s="67"/>
      <c r="Y1087" s="36">
        <v>43358</v>
      </c>
      <c r="Z1087" s="36">
        <v>45549</v>
      </c>
      <c r="AA1087" s="36"/>
      <c r="AB1087" s="36"/>
      <c r="AC1087" s="36"/>
      <c r="AD1087" s="36"/>
      <c r="AE1087" s="36"/>
      <c r="AF1087" s="53" t="s">
        <v>68</v>
      </c>
      <c r="AG1087" s="42"/>
      <c r="AH1087" s="42"/>
      <c r="AI1087" s="43"/>
      <c r="AJ1087" s="43"/>
      <c r="AK1087" s="43"/>
      <c r="AL1087" s="43"/>
      <c r="AM1087" s="43"/>
      <c r="AN1087" s="42"/>
      <c r="AO1087" s="42"/>
      <c r="AP1087" s="42"/>
      <c r="AQ1087" s="43"/>
      <c r="AR1087" s="42"/>
      <c r="AS1087" s="42"/>
    </row>
    <row r="1088" spans="1:45" ht="15" customHeight="1">
      <c r="A1088" s="21" t="s">
        <v>260</v>
      </c>
      <c r="B1088" s="21" t="s">
        <v>46</v>
      </c>
      <c r="C1088" s="21" t="s">
        <v>188</v>
      </c>
      <c r="D1088" s="21" t="s">
        <v>48</v>
      </c>
      <c r="E1088" s="80" t="s">
        <v>1313</v>
      </c>
      <c r="F1088" s="21" t="s">
        <v>953</v>
      </c>
      <c r="G1088" s="101" t="s">
        <v>77</v>
      </c>
      <c r="H1088" s="25" t="s">
        <v>1344</v>
      </c>
      <c r="I1088" s="102" t="s">
        <v>78</v>
      </c>
      <c r="J1088" s="101" t="s">
        <v>1345</v>
      </c>
      <c r="K1088" s="115"/>
      <c r="L1088" s="48" t="s">
        <v>956</v>
      </c>
      <c r="M1088" s="155">
        <v>44052</v>
      </c>
      <c r="N1088" s="155" t="s">
        <v>182</v>
      </c>
      <c r="O1088" s="68">
        <v>5900</v>
      </c>
      <c r="P1088" s="61">
        <v>13</v>
      </c>
      <c r="Q1088" s="51">
        <f t="shared" si="27"/>
        <v>76700</v>
      </c>
      <c r="R1088" s="31">
        <v>202310</v>
      </c>
      <c r="S1088" s="117" t="s">
        <v>1397</v>
      </c>
      <c r="T1088" s="33"/>
      <c r="U1088" s="117"/>
      <c r="V1088" s="118"/>
      <c r="W1088" s="67"/>
      <c r="X1088" s="67"/>
      <c r="Y1088" s="36">
        <v>43358</v>
      </c>
      <c r="Z1088" s="36">
        <v>45549</v>
      </c>
      <c r="AA1088" s="36"/>
      <c r="AB1088" s="36"/>
      <c r="AC1088" s="36"/>
      <c r="AD1088" s="36"/>
      <c r="AE1088" s="36"/>
      <c r="AF1088" s="53" t="s">
        <v>68</v>
      </c>
      <c r="AG1088" s="42"/>
      <c r="AH1088" s="42"/>
      <c r="AI1088" s="43"/>
      <c r="AJ1088" s="43"/>
      <c r="AK1088" s="43"/>
      <c r="AL1088" s="43"/>
      <c r="AM1088" s="43"/>
      <c r="AN1088" s="42"/>
      <c r="AO1088" s="42"/>
      <c r="AP1088" s="42"/>
      <c r="AQ1088" s="43"/>
      <c r="AR1088" s="42"/>
      <c r="AS1088" s="42"/>
    </row>
    <row r="1089" spans="1:45" ht="15" customHeight="1">
      <c r="A1089" s="21" t="s">
        <v>260</v>
      </c>
      <c r="B1089" s="21" t="s">
        <v>46</v>
      </c>
      <c r="C1089" s="21" t="s">
        <v>188</v>
      </c>
      <c r="D1089" s="21" t="s">
        <v>48</v>
      </c>
      <c r="E1089" s="80" t="s">
        <v>1313</v>
      </c>
      <c r="F1089" s="21" t="s">
        <v>953</v>
      </c>
      <c r="G1089" s="101" t="s">
        <v>77</v>
      </c>
      <c r="H1089" s="25" t="s">
        <v>1344</v>
      </c>
      <c r="I1089" s="102" t="s">
        <v>78</v>
      </c>
      <c r="J1089" s="101" t="s">
        <v>1345</v>
      </c>
      <c r="K1089" s="115"/>
      <c r="L1089" s="48" t="s">
        <v>956</v>
      </c>
      <c r="M1089" s="155">
        <v>44053</v>
      </c>
      <c r="N1089" s="155" t="s">
        <v>182</v>
      </c>
      <c r="O1089" s="68">
        <v>5900</v>
      </c>
      <c r="P1089" s="61">
        <v>12</v>
      </c>
      <c r="Q1089" s="51">
        <f t="shared" si="27"/>
        <v>70800</v>
      </c>
      <c r="R1089" s="31">
        <v>202310</v>
      </c>
      <c r="S1089" s="117" t="s">
        <v>1398</v>
      </c>
      <c r="T1089" s="33"/>
      <c r="U1089" s="117"/>
      <c r="V1089" s="118"/>
      <c r="W1089" s="67"/>
      <c r="X1089" s="67"/>
      <c r="Y1089" s="36">
        <v>43358</v>
      </c>
      <c r="Z1089" s="36">
        <v>45549</v>
      </c>
      <c r="AA1089" s="36"/>
      <c r="AB1089" s="36"/>
      <c r="AC1089" s="36"/>
      <c r="AD1089" s="36"/>
      <c r="AE1089" s="36"/>
      <c r="AF1089" s="53" t="s">
        <v>68</v>
      </c>
      <c r="AG1089" s="42"/>
      <c r="AH1089" s="42"/>
      <c r="AI1089" s="43"/>
      <c r="AJ1089" s="43"/>
      <c r="AK1089" s="43"/>
      <c r="AL1089" s="43"/>
      <c r="AM1089" s="43"/>
      <c r="AN1089" s="42"/>
      <c r="AO1089" s="42"/>
      <c r="AP1089" s="42"/>
      <c r="AQ1089" s="43"/>
      <c r="AR1089" s="42"/>
      <c r="AS1089" s="42"/>
    </row>
    <row r="1090" spans="1:45" ht="15" customHeight="1">
      <c r="A1090" s="21" t="s">
        <v>260</v>
      </c>
      <c r="B1090" s="21" t="s">
        <v>46</v>
      </c>
      <c r="C1090" s="21" t="s">
        <v>188</v>
      </c>
      <c r="D1090" s="21" t="s">
        <v>48</v>
      </c>
      <c r="E1090" s="80" t="s">
        <v>1313</v>
      </c>
      <c r="F1090" s="21" t="s">
        <v>953</v>
      </c>
      <c r="G1090" s="101" t="s">
        <v>77</v>
      </c>
      <c r="H1090" s="25" t="s">
        <v>1344</v>
      </c>
      <c r="I1090" s="102" t="s">
        <v>78</v>
      </c>
      <c r="J1090" s="101" t="s">
        <v>1345</v>
      </c>
      <c r="K1090" s="115"/>
      <c r="L1090" s="48" t="s">
        <v>956</v>
      </c>
      <c r="M1090" s="155">
        <v>44060</v>
      </c>
      <c r="N1090" s="155" t="s">
        <v>182</v>
      </c>
      <c r="O1090" s="68">
        <v>5900</v>
      </c>
      <c r="P1090" s="61">
        <v>1</v>
      </c>
      <c r="Q1090" s="51">
        <f t="shared" si="27"/>
        <v>5900</v>
      </c>
      <c r="R1090" s="31">
        <v>202310</v>
      </c>
      <c r="S1090" s="117" t="s">
        <v>1399</v>
      </c>
      <c r="T1090" s="33"/>
      <c r="U1090" s="117"/>
      <c r="V1090" s="118"/>
      <c r="W1090" s="67"/>
      <c r="X1090" s="67"/>
      <c r="Y1090" s="36">
        <v>43358</v>
      </c>
      <c r="Z1090" s="36">
        <v>45549</v>
      </c>
      <c r="AA1090" s="36"/>
      <c r="AB1090" s="36"/>
      <c r="AC1090" s="36"/>
      <c r="AD1090" s="36"/>
      <c r="AE1090" s="36"/>
      <c r="AF1090" s="53" t="s">
        <v>68</v>
      </c>
      <c r="AG1090" s="42"/>
      <c r="AH1090" s="42"/>
      <c r="AI1090" s="43"/>
      <c r="AJ1090" s="43"/>
      <c r="AK1090" s="43"/>
      <c r="AL1090" s="43"/>
      <c r="AM1090" s="43"/>
      <c r="AN1090" s="42"/>
      <c r="AO1090" s="42"/>
      <c r="AP1090" s="42"/>
      <c r="AQ1090" s="43"/>
      <c r="AR1090" s="42"/>
      <c r="AS1090" s="42"/>
    </row>
    <row r="1091" spans="1:45" ht="15" customHeight="1">
      <c r="A1091" s="21" t="s">
        <v>260</v>
      </c>
      <c r="B1091" s="21" t="s">
        <v>46</v>
      </c>
      <c r="C1091" s="21" t="s">
        <v>188</v>
      </c>
      <c r="D1091" s="21" t="s">
        <v>48</v>
      </c>
      <c r="E1091" s="80" t="s">
        <v>1313</v>
      </c>
      <c r="F1091" s="21" t="s">
        <v>953</v>
      </c>
      <c r="G1091" s="101" t="s">
        <v>77</v>
      </c>
      <c r="H1091" s="25" t="s">
        <v>1344</v>
      </c>
      <c r="I1091" s="102" t="s">
        <v>78</v>
      </c>
      <c r="J1091" s="101" t="s">
        <v>1345</v>
      </c>
      <c r="K1091" s="115"/>
      <c r="L1091" s="48" t="s">
        <v>956</v>
      </c>
      <c r="M1091" s="155">
        <v>44279</v>
      </c>
      <c r="N1091" s="155" t="s">
        <v>182</v>
      </c>
      <c r="O1091" s="68">
        <v>5950</v>
      </c>
      <c r="P1091" s="61">
        <v>2</v>
      </c>
      <c r="Q1091" s="51">
        <f t="shared" si="27"/>
        <v>11900</v>
      </c>
      <c r="R1091" s="31">
        <v>202310</v>
      </c>
      <c r="S1091" s="117" t="s">
        <v>1400</v>
      </c>
      <c r="T1091" s="33"/>
      <c r="U1091" s="117"/>
      <c r="V1091" s="118"/>
      <c r="W1091" s="67"/>
      <c r="X1091" s="67"/>
      <c r="Y1091" s="36">
        <v>43358</v>
      </c>
      <c r="Z1091" s="36">
        <v>45549</v>
      </c>
      <c r="AA1091" s="36"/>
      <c r="AB1091" s="36"/>
      <c r="AC1091" s="36"/>
      <c r="AD1091" s="36"/>
      <c r="AE1091" s="36"/>
      <c r="AF1091" s="53" t="s">
        <v>68</v>
      </c>
      <c r="AG1091" s="42"/>
      <c r="AH1091" s="42"/>
      <c r="AI1091" s="43"/>
      <c r="AJ1091" s="43"/>
      <c r="AK1091" s="43"/>
      <c r="AL1091" s="43"/>
      <c r="AM1091" s="43"/>
      <c r="AN1091" s="42"/>
      <c r="AO1091" s="42"/>
      <c r="AP1091" s="42"/>
      <c r="AQ1091" s="43"/>
      <c r="AR1091" s="42"/>
      <c r="AS1091" s="42"/>
    </row>
    <row r="1092" spans="1:45" ht="15" customHeight="1">
      <c r="A1092" s="21" t="s">
        <v>260</v>
      </c>
      <c r="B1092" s="21" t="s">
        <v>46</v>
      </c>
      <c r="C1092" s="21" t="s">
        <v>188</v>
      </c>
      <c r="D1092" s="21" t="s">
        <v>48</v>
      </c>
      <c r="E1092" s="80" t="s">
        <v>1313</v>
      </c>
      <c r="F1092" s="21" t="s">
        <v>953</v>
      </c>
      <c r="G1092" s="101" t="s">
        <v>77</v>
      </c>
      <c r="H1092" s="25" t="s">
        <v>1344</v>
      </c>
      <c r="I1092" s="102" t="s">
        <v>78</v>
      </c>
      <c r="J1092" s="101" t="s">
        <v>1345</v>
      </c>
      <c r="K1092" s="115"/>
      <c r="L1092" s="48" t="s">
        <v>956</v>
      </c>
      <c r="M1092" s="155">
        <v>44136</v>
      </c>
      <c r="N1092" s="155" t="s">
        <v>182</v>
      </c>
      <c r="O1092" s="68">
        <v>5900</v>
      </c>
      <c r="P1092" s="61">
        <v>1</v>
      </c>
      <c r="Q1092" s="51">
        <f t="shared" si="27"/>
        <v>5900</v>
      </c>
      <c r="R1092" s="31">
        <v>202310</v>
      </c>
      <c r="S1092" s="117" t="s">
        <v>1401</v>
      </c>
      <c r="T1092" s="33"/>
      <c r="U1092" s="117"/>
      <c r="V1092" s="118"/>
      <c r="W1092" s="67"/>
      <c r="X1092" s="67"/>
      <c r="Y1092" s="36">
        <v>43358</v>
      </c>
      <c r="Z1092" s="36">
        <v>45549</v>
      </c>
      <c r="AA1092" s="36"/>
      <c r="AB1092" s="36"/>
      <c r="AC1092" s="36"/>
      <c r="AD1092" s="36"/>
      <c r="AE1092" s="36"/>
      <c r="AF1092" s="53" t="s">
        <v>68</v>
      </c>
      <c r="AG1092" s="42"/>
      <c r="AH1092" s="42"/>
      <c r="AI1092" s="43"/>
      <c r="AJ1092" s="43"/>
      <c r="AK1092" s="43"/>
      <c r="AL1092" s="43"/>
      <c r="AM1092" s="43"/>
      <c r="AN1092" s="42"/>
      <c r="AO1092" s="42"/>
      <c r="AP1092" s="42"/>
      <c r="AQ1092" s="43"/>
      <c r="AR1092" s="42"/>
      <c r="AS1092" s="42"/>
    </row>
    <row r="1093" spans="1:45" ht="15" customHeight="1">
      <c r="A1093" s="21" t="s">
        <v>260</v>
      </c>
      <c r="B1093" s="21" t="s">
        <v>46</v>
      </c>
      <c r="C1093" s="21" t="s">
        <v>188</v>
      </c>
      <c r="D1093" s="21" t="s">
        <v>48</v>
      </c>
      <c r="E1093" s="80" t="s">
        <v>1313</v>
      </c>
      <c r="F1093" s="21" t="s">
        <v>953</v>
      </c>
      <c r="G1093" s="101" t="s">
        <v>77</v>
      </c>
      <c r="H1093" s="25" t="s">
        <v>1344</v>
      </c>
      <c r="I1093" s="102" t="s">
        <v>78</v>
      </c>
      <c r="J1093" s="101" t="s">
        <v>1345</v>
      </c>
      <c r="K1093" s="115"/>
      <c r="L1093" s="48" t="s">
        <v>956</v>
      </c>
      <c r="M1093" s="155">
        <v>44136</v>
      </c>
      <c r="N1093" s="155" t="s">
        <v>291</v>
      </c>
      <c r="O1093" s="68">
        <v>5950</v>
      </c>
      <c r="P1093" s="61">
        <v>2</v>
      </c>
      <c r="Q1093" s="51">
        <f t="shared" si="27"/>
        <v>11900</v>
      </c>
      <c r="R1093" s="31">
        <v>202310</v>
      </c>
      <c r="S1093" s="117" t="s">
        <v>1402</v>
      </c>
      <c r="T1093" s="33"/>
      <c r="U1093" s="117"/>
      <c r="V1093" s="118"/>
      <c r="W1093" s="67"/>
      <c r="X1093" s="67"/>
      <c r="Y1093" s="36">
        <v>43358</v>
      </c>
      <c r="Z1093" s="36">
        <v>45549</v>
      </c>
      <c r="AA1093" s="36"/>
      <c r="AB1093" s="36"/>
      <c r="AC1093" s="36"/>
      <c r="AD1093" s="36"/>
      <c r="AE1093" s="36"/>
      <c r="AF1093" s="53" t="s">
        <v>68</v>
      </c>
      <c r="AG1093" s="42"/>
      <c r="AH1093" s="42"/>
      <c r="AI1093" s="43"/>
      <c r="AJ1093" s="43"/>
      <c r="AK1093" s="43"/>
      <c r="AL1093" s="43"/>
      <c r="AM1093" s="43"/>
      <c r="AN1093" s="42"/>
      <c r="AO1093" s="42"/>
      <c r="AP1093" s="42"/>
      <c r="AQ1093" s="43"/>
      <c r="AR1093" s="42"/>
      <c r="AS1093" s="42"/>
    </row>
    <row r="1094" spans="1:45" ht="15" customHeight="1">
      <c r="A1094" s="21" t="s">
        <v>260</v>
      </c>
      <c r="B1094" s="21" t="s">
        <v>46</v>
      </c>
      <c r="C1094" s="21" t="s">
        <v>188</v>
      </c>
      <c r="D1094" s="21" t="s">
        <v>48</v>
      </c>
      <c r="E1094" s="80" t="s">
        <v>1313</v>
      </c>
      <c r="F1094" s="21" t="s">
        <v>953</v>
      </c>
      <c r="G1094" s="101" t="s">
        <v>77</v>
      </c>
      <c r="H1094" s="25" t="s">
        <v>1344</v>
      </c>
      <c r="I1094" s="102" t="s">
        <v>78</v>
      </c>
      <c r="J1094" s="101" t="s">
        <v>1345</v>
      </c>
      <c r="K1094" s="115"/>
      <c r="L1094" s="48" t="s">
        <v>956</v>
      </c>
      <c r="M1094" s="155">
        <v>44136</v>
      </c>
      <c r="N1094" s="155" t="s">
        <v>177</v>
      </c>
      <c r="O1094" s="68">
        <v>5950</v>
      </c>
      <c r="P1094" s="61">
        <v>1</v>
      </c>
      <c r="Q1094" s="51">
        <f t="shared" si="27"/>
        <v>5950</v>
      </c>
      <c r="R1094" s="31">
        <v>202310</v>
      </c>
      <c r="S1094" s="117" t="s">
        <v>1403</v>
      </c>
      <c r="T1094" s="33"/>
      <c r="U1094" s="117"/>
      <c r="V1094" s="118"/>
      <c r="W1094" s="67"/>
      <c r="X1094" s="67"/>
      <c r="Y1094" s="36">
        <v>43358</v>
      </c>
      <c r="Z1094" s="36">
        <v>45549</v>
      </c>
      <c r="AA1094" s="36"/>
      <c r="AB1094" s="36"/>
      <c r="AC1094" s="36"/>
      <c r="AD1094" s="36"/>
      <c r="AE1094" s="36"/>
      <c r="AF1094" s="53" t="s">
        <v>68</v>
      </c>
      <c r="AG1094" s="42"/>
      <c r="AH1094" s="42"/>
      <c r="AI1094" s="43"/>
      <c r="AJ1094" s="43"/>
      <c r="AK1094" s="43"/>
      <c r="AL1094" s="43"/>
      <c r="AM1094" s="43"/>
      <c r="AN1094" s="42"/>
      <c r="AO1094" s="42"/>
      <c r="AP1094" s="42"/>
      <c r="AQ1094" s="43"/>
      <c r="AR1094" s="42"/>
      <c r="AS1094" s="42"/>
    </row>
    <row r="1095" spans="1:45" ht="15" customHeight="1">
      <c r="A1095" s="21" t="s">
        <v>260</v>
      </c>
      <c r="B1095" s="21" t="s">
        <v>46</v>
      </c>
      <c r="C1095" s="21" t="s">
        <v>188</v>
      </c>
      <c r="D1095" s="21" t="s">
        <v>48</v>
      </c>
      <c r="E1095" s="80" t="s">
        <v>1313</v>
      </c>
      <c r="F1095" s="21" t="s">
        <v>953</v>
      </c>
      <c r="G1095" s="101" t="s">
        <v>77</v>
      </c>
      <c r="H1095" s="25" t="s">
        <v>1344</v>
      </c>
      <c r="I1095" s="102" t="s">
        <v>78</v>
      </c>
      <c r="J1095" s="101" t="s">
        <v>1345</v>
      </c>
      <c r="K1095" s="115"/>
      <c r="L1095" s="48" t="s">
        <v>956</v>
      </c>
      <c r="M1095" s="155">
        <v>44335</v>
      </c>
      <c r="N1095" s="155" t="s">
        <v>182</v>
      </c>
      <c r="O1095" s="68">
        <v>5950</v>
      </c>
      <c r="P1095" s="61">
        <v>2</v>
      </c>
      <c r="Q1095" s="51">
        <f t="shared" si="27"/>
        <v>11900</v>
      </c>
      <c r="R1095" s="31">
        <v>202310</v>
      </c>
      <c r="S1095" s="117" t="s">
        <v>1404</v>
      </c>
      <c r="T1095" s="33"/>
      <c r="U1095" s="117"/>
      <c r="V1095" s="118"/>
      <c r="W1095" s="67"/>
      <c r="X1095" s="67"/>
      <c r="Y1095" s="36">
        <v>43358</v>
      </c>
      <c r="Z1095" s="36">
        <v>45549</v>
      </c>
      <c r="AA1095" s="36"/>
      <c r="AB1095" s="36"/>
      <c r="AC1095" s="36"/>
      <c r="AD1095" s="36"/>
      <c r="AE1095" s="36"/>
      <c r="AF1095" s="53" t="s">
        <v>68</v>
      </c>
      <c r="AG1095" s="42"/>
      <c r="AH1095" s="42"/>
      <c r="AI1095" s="43"/>
      <c r="AJ1095" s="43"/>
      <c r="AK1095" s="43"/>
      <c r="AL1095" s="43"/>
      <c r="AM1095" s="43"/>
      <c r="AN1095" s="42"/>
      <c r="AO1095" s="42"/>
      <c r="AP1095" s="42"/>
      <c r="AQ1095" s="43"/>
      <c r="AR1095" s="42"/>
      <c r="AS1095" s="42"/>
    </row>
    <row r="1096" spans="1:45" ht="15" customHeight="1">
      <c r="A1096" s="21" t="s">
        <v>260</v>
      </c>
      <c r="B1096" s="21" t="s">
        <v>46</v>
      </c>
      <c r="C1096" s="21" t="s">
        <v>188</v>
      </c>
      <c r="D1096" s="21" t="s">
        <v>48</v>
      </c>
      <c r="E1096" s="80" t="s">
        <v>1313</v>
      </c>
      <c r="F1096" s="21" t="s">
        <v>953</v>
      </c>
      <c r="G1096" s="101" t="s">
        <v>77</v>
      </c>
      <c r="H1096" s="25" t="s">
        <v>1344</v>
      </c>
      <c r="I1096" s="102" t="s">
        <v>78</v>
      </c>
      <c r="J1096" s="101" t="s">
        <v>1345</v>
      </c>
      <c r="K1096" s="115"/>
      <c r="L1096" s="48" t="s">
        <v>956</v>
      </c>
      <c r="M1096" s="155">
        <v>44861</v>
      </c>
      <c r="N1096" s="155" t="s">
        <v>182</v>
      </c>
      <c r="O1096" s="68">
        <v>5900</v>
      </c>
      <c r="P1096" s="61">
        <v>-2</v>
      </c>
      <c r="Q1096" s="51">
        <f t="shared" si="27"/>
        <v>-11800</v>
      </c>
      <c r="R1096" s="31">
        <v>202310</v>
      </c>
      <c r="S1096" s="117" t="s">
        <v>1405</v>
      </c>
      <c r="T1096" s="33"/>
      <c r="U1096" s="117"/>
      <c r="V1096" s="118"/>
      <c r="W1096" s="67"/>
      <c r="X1096" s="67"/>
      <c r="Y1096" s="36">
        <v>43358</v>
      </c>
      <c r="Z1096" s="36">
        <v>45549</v>
      </c>
      <c r="AA1096" s="36"/>
      <c r="AB1096" s="36"/>
      <c r="AC1096" s="36"/>
      <c r="AD1096" s="36"/>
      <c r="AE1096" s="36"/>
      <c r="AF1096" s="53" t="s">
        <v>68</v>
      </c>
      <c r="AG1096" s="42"/>
      <c r="AH1096" s="42"/>
      <c r="AI1096" s="43"/>
      <c r="AJ1096" s="43"/>
      <c r="AK1096" s="43"/>
      <c r="AL1096" s="43"/>
      <c r="AM1096" s="43"/>
      <c r="AN1096" s="42"/>
      <c r="AO1096" s="42"/>
      <c r="AP1096" s="42"/>
      <c r="AQ1096" s="43"/>
      <c r="AR1096" s="42"/>
      <c r="AS1096" s="42"/>
    </row>
    <row r="1097" spans="1:45" ht="15" customHeight="1">
      <c r="A1097" s="21" t="s">
        <v>260</v>
      </c>
      <c r="B1097" s="21" t="s">
        <v>46</v>
      </c>
      <c r="C1097" s="21" t="s">
        <v>188</v>
      </c>
      <c r="D1097" s="21" t="s">
        <v>48</v>
      </c>
      <c r="E1097" s="80" t="s">
        <v>1313</v>
      </c>
      <c r="F1097" s="21" t="s">
        <v>953</v>
      </c>
      <c r="G1097" s="101" t="s">
        <v>77</v>
      </c>
      <c r="H1097" s="25" t="s">
        <v>1344</v>
      </c>
      <c r="I1097" s="102" t="s">
        <v>78</v>
      </c>
      <c r="J1097" s="101" t="s">
        <v>1345</v>
      </c>
      <c r="K1097" s="115"/>
      <c r="L1097" s="48" t="s">
        <v>956</v>
      </c>
      <c r="M1097" s="155">
        <v>44869</v>
      </c>
      <c r="N1097" s="155" t="s">
        <v>177</v>
      </c>
      <c r="O1097" s="68">
        <v>5950</v>
      </c>
      <c r="P1097" s="61">
        <v>-2</v>
      </c>
      <c r="Q1097" s="51">
        <f t="shared" si="27"/>
        <v>-11900</v>
      </c>
      <c r="R1097" s="31">
        <v>202310</v>
      </c>
      <c r="S1097" s="117" t="s">
        <v>1406</v>
      </c>
      <c r="T1097" s="33"/>
      <c r="U1097" s="117"/>
      <c r="V1097" s="118"/>
      <c r="W1097" s="67"/>
      <c r="X1097" s="67"/>
      <c r="Y1097" s="36">
        <v>43358</v>
      </c>
      <c r="Z1097" s="36">
        <v>45549</v>
      </c>
      <c r="AA1097" s="36"/>
      <c r="AB1097" s="36"/>
      <c r="AC1097" s="36"/>
      <c r="AD1097" s="36"/>
      <c r="AE1097" s="36"/>
      <c r="AF1097" s="53" t="s">
        <v>68</v>
      </c>
      <c r="AG1097" s="42"/>
      <c r="AH1097" s="42"/>
      <c r="AI1097" s="43"/>
      <c r="AJ1097" s="43"/>
      <c r="AK1097" s="43"/>
      <c r="AL1097" s="43"/>
      <c r="AM1097" s="43"/>
      <c r="AN1097" s="42"/>
      <c r="AO1097" s="42"/>
      <c r="AP1097" s="42"/>
      <c r="AQ1097" s="43"/>
      <c r="AR1097" s="42"/>
      <c r="AS1097" s="42"/>
    </row>
    <row r="1098" spans="1:45" ht="15" customHeight="1">
      <c r="A1098" s="21" t="s">
        <v>260</v>
      </c>
      <c r="B1098" s="21" t="s">
        <v>46</v>
      </c>
      <c r="C1098" s="21" t="s">
        <v>188</v>
      </c>
      <c r="D1098" s="21" t="s">
        <v>48</v>
      </c>
      <c r="E1098" s="80" t="s">
        <v>1313</v>
      </c>
      <c r="F1098" s="21" t="s">
        <v>953</v>
      </c>
      <c r="G1098" s="101" t="s">
        <v>77</v>
      </c>
      <c r="H1098" s="25" t="s">
        <v>1344</v>
      </c>
      <c r="I1098" s="102" t="s">
        <v>366</v>
      </c>
      <c r="J1098" s="65" t="s">
        <v>1338</v>
      </c>
      <c r="K1098" s="104"/>
      <c r="L1098" s="48" t="s">
        <v>956</v>
      </c>
      <c r="M1098" s="27"/>
      <c r="N1098" s="105"/>
      <c r="O1098" s="106">
        <v>300</v>
      </c>
      <c r="P1098" s="106">
        <v>7000</v>
      </c>
      <c r="Q1098" s="51">
        <f t="shared" si="27"/>
        <v>2100000</v>
      </c>
      <c r="R1098" s="31">
        <v>202310</v>
      </c>
      <c r="S1098" s="107" t="s">
        <v>1407</v>
      </c>
      <c r="T1098" s="33" t="s">
        <v>1408</v>
      </c>
      <c r="U1098" s="32"/>
      <c r="V1098" s="67"/>
      <c r="W1098" s="67"/>
      <c r="X1098" s="67"/>
      <c r="Y1098" s="36">
        <v>43358</v>
      </c>
      <c r="Z1098" s="36">
        <v>45549</v>
      </c>
      <c r="AA1098" s="36"/>
      <c r="AB1098" s="36"/>
      <c r="AC1098" s="36"/>
      <c r="AD1098" s="36"/>
      <c r="AE1098" s="36"/>
      <c r="AF1098" s="53" t="s">
        <v>68</v>
      </c>
      <c r="AG1098" s="42"/>
      <c r="AH1098" s="42"/>
      <c r="AI1098" s="43"/>
      <c r="AJ1098" s="43"/>
      <c r="AK1098" s="43"/>
      <c r="AL1098" s="43"/>
      <c r="AM1098" s="43"/>
      <c r="AN1098" s="42"/>
      <c r="AO1098" s="42"/>
      <c r="AP1098" s="42"/>
      <c r="AQ1098" s="43"/>
      <c r="AR1098" s="42"/>
      <c r="AS1098" s="42"/>
    </row>
    <row r="1099" spans="1:45" ht="15" customHeight="1">
      <c r="A1099" s="21" t="s">
        <v>260</v>
      </c>
      <c r="B1099" s="21" t="s">
        <v>46</v>
      </c>
      <c r="C1099" s="21" t="s">
        <v>188</v>
      </c>
      <c r="D1099" s="21" t="s">
        <v>48</v>
      </c>
      <c r="E1099" s="80" t="s">
        <v>1313</v>
      </c>
      <c r="F1099" s="21" t="s">
        <v>953</v>
      </c>
      <c r="G1099" s="26" t="s">
        <v>62</v>
      </c>
      <c r="H1099" s="160" t="s">
        <v>1409</v>
      </c>
      <c r="I1099" s="26" t="s">
        <v>64</v>
      </c>
      <c r="J1099" s="101" t="s">
        <v>1410</v>
      </c>
      <c r="K1099" s="115"/>
      <c r="L1099" s="48"/>
      <c r="M1099" s="155">
        <v>44335</v>
      </c>
      <c r="N1099" s="155" t="s">
        <v>66</v>
      </c>
      <c r="O1099" s="61">
        <v>10800</v>
      </c>
      <c r="P1099" s="51">
        <v>1</v>
      </c>
      <c r="Q1099" s="51">
        <f t="shared" si="27"/>
        <v>10800</v>
      </c>
      <c r="R1099" s="31">
        <v>202310</v>
      </c>
      <c r="S1099" s="117" t="s">
        <v>1411</v>
      </c>
      <c r="T1099" s="33"/>
      <c r="U1099" s="117"/>
      <c r="V1099" s="118"/>
      <c r="W1099" s="67"/>
      <c r="X1099" s="67"/>
      <c r="Y1099" s="36">
        <v>44335</v>
      </c>
      <c r="Z1099" s="36">
        <v>45443</v>
      </c>
      <c r="AA1099" s="36"/>
      <c r="AB1099" s="36"/>
      <c r="AC1099" s="36"/>
      <c r="AD1099" s="36"/>
      <c r="AE1099" s="36"/>
      <c r="AF1099" s="53" t="s">
        <v>68</v>
      </c>
      <c r="AG1099" s="42"/>
      <c r="AH1099" s="42"/>
      <c r="AI1099" s="43"/>
      <c r="AJ1099" s="43"/>
      <c r="AK1099" s="43"/>
      <c r="AL1099" s="43"/>
      <c r="AM1099" s="43"/>
      <c r="AN1099" s="42"/>
      <c r="AO1099" s="42"/>
      <c r="AP1099" s="42"/>
      <c r="AQ1099" s="43"/>
      <c r="AR1099" s="42"/>
      <c r="AS1099" s="42"/>
    </row>
    <row r="1100" spans="1:45" ht="15" customHeight="1">
      <c r="A1100" s="21" t="s">
        <v>260</v>
      </c>
      <c r="B1100" s="21" t="s">
        <v>46</v>
      </c>
      <c r="C1100" s="21" t="s">
        <v>188</v>
      </c>
      <c r="D1100" s="21" t="s">
        <v>48</v>
      </c>
      <c r="E1100" s="80" t="s">
        <v>1313</v>
      </c>
      <c r="F1100" s="21" t="s">
        <v>953</v>
      </c>
      <c r="G1100" s="26" t="s">
        <v>62</v>
      </c>
      <c r="H1100" s="160" t="s">
        <v>1409</v>
      </c>
      <c r="I1100" s="26" t="s">
        <v>64</v>
      </c>
      <c r="J1100" s="101" t="s">
        <v>1412</v>
      </c>
      <c r="K1100" s="115"/>
      <c r="L1100" s="48"/>
      <c r="M1100" s="155">
        <v>44335</v>
      </c>
      <c r="N1100" s="155" t="s">
        <v>66</v>
      </c>
      <c r="O1100" s="61">
        <v>6400</v>
      </c>
      <c r="P1100" s="51">
        <v>1</v>
      </c>
      <c r="Q1100" s="51">
        <f t="shared" si="27"/>
        <v>6400</v>
      </c>
      <c r="R1100" s="31">
        <v>202310</v>
      </c>
      <c r="S1100" s="117" t="s">
        <v>1413</v>
      </c>
      <c r="T1100" s="33"/>
      <c r="U1100" s="117"/>
      <c r="V1100" s="118"/>
      <c r="W1100" s="67"/>
      <c r="X1100" s="67"/>
      <c r="Y1100" s="36">
        <v>44335</v>
      </c>
      <c r="Z1100" s="36">
        <v>45443</v>
      </c>
      <c r="AA1100" s="36"/>
      <c r="AB1100" s="36"/>
      <c r="AC1100" s="36"/>
      <c r="AD1100" s="36"/>
      <c r="AE1100" s="36"/>
      <c r="AF1100" s="53" t="s">
        <v>68</v>
      </c>
      <c r="AG1100" s="42"/>
      <c r="AH1100" s="42"/>
      <c r="AI1100" s="43"/>
      <c r="AJ1100" s="43"/>
      <c r="AK1100" s="43"/>
      <c r="AL1100" s="43"/>
      <c r="AM1100" s="43"/>
      <c r="AN1100" s="42"/>
      <c r="AO1100" s="42"/>
      <c r="AP1100" s="42"/>
      <c r="AQ1100" s="43"/>
      <c r="AR1100" s="42"/>
      <c r="AS1100" s="42"/>
    </row>
    <row r="1101" spans="1:45" ht="15" customHeight="1">
      <c r="A1101" s="21" t="s">
        <v>260</v>
      </c>
      <c r="B1101" s="21" t="s">
        <v>46</v>
      </c>
      <c r="C1101" s="21" t="s">
        <v>188</v>
      </c>
      <c r="D1101" s="21" t="s">
        <v>48</v>
      </c>
      <c r="E1101" s="80" t="s">
        <v>1313</v>
      </c>
      <c r="F1101" s="21" t="s">
        <v>953</v>
      </c>
      <c r="G1101" s="26" t="s">
        <v>62</v>
      </c>
      <c r="H1101" s="160" t="s">
        <v>1409</v>
      </c>
      <c r="I1101" s="26" t="s">
        <v>64</v>
      </c>
      <c r="J1101" s="101" t="s">
        <v>1414</v>
      </c>
      <c r="K1101" s="115"/>
      <c r="L1101" s="48"/>
      <c r="M1101" s="155">
        <v>44335</v>
      </c>
      <c r="N1101" s="155" t="s">
        <v>66</v>
      </c>
      <c r="O1101" s="61">
        <v>20000</v>
      </c>
      <c r="P1101" s="51">
        <v>1</v>
      </c>
      <c r="Q1101" s="51">
        <f t="shared" ref="Q1101:Q1175" si="28">ROUND(O1101*P1101,2)</f>
        <v>20000</v>
      </c>
      <c r="R1101" s="31">
        <v>202310</v>
      </c>
      <c r="S1101" s="117" t="s">
        <v>1415</v>
      </c>
      <c r="T1101" s="33"/>
      <c r="U1101" s="117"/>
      <c r="V1101" s="118"/>
      <c r="W1101" s="67"/>
      <c r="X1101" s="67"/>
      <c r="Y1101" s="36">
        <v>44335</v>
      </c>
      <c r="Z1101" s="36">
        <v>45443</v>
      </c>
      <c r="AA1101" s="36"/>
      <c r="AB1101" s="36"/>
      <c r="AC1101" s="36"/>
      <c r="AD1101" s="36"/>
      <c r="AE1101" s="36"/>
      <c r="AF1101" s="53" t="s">
        <v>68</v>
      </c>
      <c r="AG1101" s="42"/>
      <c r="AH1101" s="42"/>
      <c r="AI1101" s="43"/>
      <c r="AJ1101" s="43"/>
      <c r="AK1101" s="43"/>
      <c r="AL1101" s="43"/>
      <c r="AM1101" s="43"/>
      <c r="AN1101" s="42"/>
      <c r="AO1101" s="42"/>
      <c r="AP1101" s="42"/>
      <c r="AQ1101" s="43"/>
      <c r="AR1101" s="42"/>
      <c r="AS1101" s="42"/>
    </row>
    <row r="1102" spans="1:45" ht="15" customHeight="1">
      <c r="A1102" s="21" t="s">
        <v>260</v>
      </c>
      <c r="B1102" s="21" t="s">
        <v>46</v>
      </c>
      <c r="C1102" s="21" t="s">
        <v>188</v>
      </c>
      <c r="D1102" s="21" t="s">
        <v>48</v>
      </c>
      <c r="E1102" s="80" t="s">
        <v>1313</v>
      </c>
      <c r="F1102" s="21" t="s">
        <v>953</v>
      </c>
      <c r="G1102" s="26" t="s">
        <v>62</v>
      </c>
      <c r="H1102" s="160" t="s">
        <v>1409</v>
      </c>
      <c r="I1102" s="26" t="s">
        <v>64</v>
      </c>
      <c r="J1102" s="101" t="s">
        <v>1414</v>
      </c>
      <c r="K1102" s="115"/>
      <c r="L1102" s="48"/>
      <c r="M1102" s="155">
        <v>44335</v>
      </c>
      <c r="N1102" s="155" t="s">
        <v>66</v>
      </c>
      <c r="O1102" s="61">
        <v>18800</v>
      </c>
      <c r="P1102" s="51">
        <v>1</v>
      </c>
      <c r="Q1102" s="51">
        <f t="shared" si="28"/>
        <v>18800</v>
      </c>
      <c r="R1102" s="31">
        <v>202310</v>
      </c>
      <c r="S1102" s="117" t="s">
        <v>1416</v>
      </c>
      <c r="T1102" s="33"/>
      <c r="U1102" s="117"/>
      <c r="V1102" s="118"/>
      <c r="W1102" s="67"/>
      <c r="X1102" s="67"/>
      <c r="Y1102" s="36">
        <v>44335</v>
      </c>
      <c r="Z1102" s="36">
        <v>45443</v>
      </c>
      <c r="AA1102" s="36"/>
      <c r="AB1102" s="36"/>
      <c r="AC1102" s="36"/>
      <c r="AD1102" s="36"/>
      <c r="AE1102" s="36"/>
      <c r="AF1102" s="53" t="s">
        <v>68</v>
      </c>
      <c r="AG1102" s="42"/>
      <c r="AH1102" s="42"/>
      <c r="AI1102" s="43"/>
      <c r="AJ1102" s="43"/>
      <c r="AK1102" s="43"/>
      <c r="AL1102" s="43"/>
      <c r="AM1102" s="43"/>
      <c r="AN1102" s="42"/>
      <c r="AO1102" s="42"/>
      <c r="AP1102" s="42"/>
      <c r="AQ1102" s="43"/>
      <c r="AR1102" s="42"/>
      <c r="AS1102" s="42"/>
    </row>
    <row r="1103" spans="1:45" ht="15" customHeight="1">
      <c r="A1103" s="21" t="s">
        <v>260</v>
      </c>
      <c r="B1103" s="21" t="s">
        <v>46</v>
      </c>
      <c r="C1103" s="21" t="s">
        <v>188</v>
      </c>
      <c r="D1103" s="21" t="s">
        <v>48</v>
      </c>
      <c r="E1103" s="80" t="s">
        <v>1313</v>
      </c>
      <c r="F1103" s="21" t="s">
        <v>953</v>
      </c>
      <c r="G1103" s="101" t="s">
        <v>77</v>
      </c>
      <c r="H1103" s="133" t="s">
        <v>1417</v>
      </c>
      <c r="I1103" s="102" t="s">
        <v>78</v>
      </c>
      <c r="J1103" s="101" t="s">
        <v>1418</v>
      </c>
      <c r="K1103" s="115"/>
      <c r="L1103" s="48" t="s">
        <v>1419</v>
      </c>
      <c r="M1103" s="116" t="s">
        <v>340</v>
      </c>
      <c r="N1103" s="116" t="s">
        <v>177</v>
      </c>
      <c r="O1103" s="68">
        <v>4450</v>
      </c>
      <c r="P1103" s="68">
        <v>480</v>
      </c>
      <c r="Q1103" s="51">
        <f t="shared" si="28"/>
        <v>2136000</v>
      </c>
      <c r="R1103" s="31">
        <v>202310</v>
      </c>
      <c r="S1103" s="117"/>
      <c r="T1103" s="33"/>
      <c r="U1103" s="118"/>
      <c r="V1103" s="118"/>
      <c r="W1103" s="67"/>
      <c r="X1103" s="67"/>
      <c r="Y1103" s="36"/>
      <c r="Z1103" s="36"/>
      <c r="AA1103" s="36"/>
      <c r="AB1103" s="36"/>
      <c r="AC1103" s="36"/>
      <c r="AD1103" s="36"/>
      <c r="AE1103" s="36"/>
      <c r="AF1103" s="53" t="s">
        <v>68</v>
      </c>
      <c r="AG1103" s="42"/>
      <c r="AH1103" s="42"/>
      <c r="AI1103" s="43"/>
      <c r="AJ1103" s="43"/>
      <c r="AK1103" s="43"/>
      <c r="AL1103" s="43"/>
      <c r="AM1103" s="43"/>
      <c r="AN1103" s="42"/>
      <c r="AO1103" s="42"/>
      <c r="AP1103" s="42"/>
      <c r="AQ1103" s="43"/>
      <c r="AR1103" s="42"/>
      <c r="AS1103" s="42" t="s">
        <v>1420</v>
      </c>
    </row>
    <row r="1104" spans="1:45" ht="15" customHeight="1">
      <c r="A1104" s="21" t="s">
        <v>260</v>
      </c>
      <c r="B1104" s="21" t="s">
        <v>46</v>
      </c>
      <c r="C1104" s="21" t="s">
        <v>188</v>
      </c>
      <c r="D1104" s="21" t="s">
        <v>48</v>
      </c>
      <c r="E1104" s="80" t="s">
        <v>1313</v>
      </c>
      <c r="F1104" s="21" t="s">
        <v>953</v>
      </c>
      <c r="G1104" s="101" t="s">
        <v>77</v>
      </c>
      <c r="H1104" s="133" t="s">
        <v>1417</v>
      </c>
      <c r="I1104" s="102" t="s">
        <v>78</v>
      </c>
      <c r="J1104" s="101" t="s">
        <v>1418</v>
      </c>
      <c r="K1104" s="115"/>
      <c r="L1104" s="48" t="s">
        <v>1419</v>
      </c>
      <c r="M1104" s="116">
        <v>43224</v>
      </c>
      <c r="N1104" s="116" t="s">
        <v>177</v>
      </c>
      <c r="O1104" s="68">
        <v>4450</v>
      </c>
      <c r="P1104" s="68">
        <v>4</v>
      </c>
      <c r="Q1104" s="51">
        <f t="shared" si="28"/>
        <v>17800</v>
      </c>
      <c r="R1104" s="31">
        <v>202310</v>
      </c>
      <c r="S1104" s="117" t="s">
        <v>1421</v>
      </c>
      <c r="T1104" s="33"/>
      <c r="U1104" s="118"/>
      <c r="V1104" s="118"/>
      <c r="W1104" s="67"/>
      <c r="X1104" s="67"/>
      <c r="Y1104" s="36"/>
      <c r="Z1104" s="36"/>
      <c r="AA1104" s="36"/>
      <c r="AB1104" s="36"/>
      <c r="AC1104" s="36"/>
      <c r="AD1104" s="36"/>
      <c r="AE1104" s="36"/>
      <c r="AF1104" s="53" t="s">
        <v>68</v>
      </c>
      <c r="AG1104" s="42"/>
      <c r="AH1104" s="42"/>
      <c r="AI1104" s="43"/>
      <c r="AJ1104" s="43"/>
      <c r="AK1104" s="43"/>
      <c r="AL1104" s="43"/>
      <c r="AM1104" s="43"/>
      <c r="AN1104" s="42"/>
      <c r="AO1104" s="42"/>
      <c r="AP1104" s="42"/>
      <c r="AQ1104" s="43"/>
      <c r="AR1104" s="42"/>
      <c r="AS1104" s="42" t="s">
        <v>1420</v>
      </c>
    </row>
    <row r="1105" spans="1:45" ht="15" customHeight="1">
      <c r="A1105" s="21" t="s">
        <v>260</v>
      </c>
      <c r="B1105" s="21" t="s">
        <v>46</v>
      </c>
      <c r="C1105" s="21" t="s">
        <v>188</v>
      </c>
      <c r="D1105" s="21" t="s">
        <v>48</v>
      </c>
      <c r="E1105" s="80" t="s">
        <v>1313</v>
      </c>
      <c r="F1105" s="21" t="s">
        <v>953</v>
      </c>
      <c r="G1105" s="101" t="s">
        <v>77</v>
      </c>
      <c r="H1105" s="133" t="s">
        <v>1417</v>
      </c>
      <c r="I1105" s="102" t="s">
        <v>78</v>
      </c>
      <c r="J1105" s="101" t="s">
        <v>1418</v>
      </c>
      <c r="K1105" s="115"/>
      <c r="L1105" s="48" t="s">
        <v>1419</v>
      </c>
      <c r="M1105" s="116">
        <v>43262</v>
      </c>
      <c r="N1105" s="116" t="s">
        <v>177</v>
      </c>
      <c r="O1105" s="68">
        <v>4450</v>
      </c>
      <c r="P1105" s="68">
        <v>1</v>
      </c>
      <c r="Q1105" s="51">
        <f t="shared" si="28"/>
        <v>4450</v>
      </c>
      <c r="R1105" s="31">
        <v>202310</v>
      </c>
      <c r="S1105" s="117" t="s">
        <v>1422</v>
      </c>
      <c r="T1105" s="33"/>
      <c r="U1105" s="118"/>
      <c r="V1105" s="118"/>
      <c r="W1105" s="67"/>
      <c r="X1105" s="67"/>
      <c r="Y1105" s="36"/>
      <c r="Z1105" s="36"/>
      <c r="AA1105" s="36"/>
      <c r="AB1105" s="36"/>
      <c r="AC1105" s="36"/>
      <c r="AD1105" s="36"/>
      <c r="AE1105" s="36"/>
      <c r="AF1105" s="53" t="s">
        <v>68</v>
      </c>
      <c r="AG1105" s="42"/>
      <c r="AH1105" s="42"/>
      <c r="AI1105" s="43"/>
      <c r="AJ1105" s="43"/>
      <c r="AK1105" s="43"/>
      <c r="AL1105" s="43"/>
      <c r="AM1105" s="43"/>
      <c r="AN1105" s="42"/>
      <c r="AO1105" s="42"/>
      <c r="AP1105" s="42"/>
      <c r="AQ1105" s="43"/>
      <c r="AR1105" s="42"/>
      <c r="AS1105" s="42" t="s">
        <v>1420</v>
      </c>
    </row>
    <row r="1106" spans="1:45" ht="15" customHeight="1">
      <c r="A1106" s="21" t="s">
        <v>260</v>
      </c>
      <c r="B1106" s="21" t="s">
        <v>46</v>
      </c>
      <c r="C1106" s="21" t="s">
        <v>188</v>
      </c>
      <c r="D1106" s="21" t="s">
        <v>48</v>
      </c>
      <c r="E1106" s="80" t="s">
        <v>1313</v>
      </c>
      <c r="F1106" s="21" t="s">
        <v>953</v>
      </c>
      <c r="G1106" s="101" t="s">
        <v>77</v>
      </c>
      <c r="H1106" s="133" t="s">
        <v>1417</v>
      </c>
      <c r="I1106" s="102" t="s">
        <v>78</v>
      </c>
      <c r="J1106" s="101" t="s">
        <v>1418</v>
      </c>
      <c r="K1106" s="115"/>
      <c r="L1106" s="48" t="s">
        <v>1419</v>
      </c>
      <c r="M1106" s="116">
        <v>44136</v>
      </c>
      <c r="N1106" s="116" t="s">
        <v>343</v>
      </c>
      <c r="O1106" s="68">
        <v>4450</v>
      </c>
      <c r="P1106" s="68">
        <v>1</v>
      </c>
      <c r="Q1106" s="51">
        <f t="shared" si="28"/>
        <v>4450</v>
      </c>
      <c r="R1106" s="31">
        <v>202310</v>
      </c>
      <c r="S1106" s="117" t="s">
        <v>1423</v>
      </c>
      <c r="T1106" s="33"/>
      <c r="U1106" s="118"/>
      <c r="V1106" s="118"/>
      <c r="W1106" s="67"/>
      <c r="X1106" s="67"/>
      <c r="Y1106" s="36"/>
      <c r="Z1106" s="36"/>
      <c r="AA1106" s="36"/>
      <c r="AB1106" s="36"/>
      <c r="AC1106" s="36"/>
      <c r="AD1106" s="36"/>
      <c r="AE1106" s="36"/>
      <c r="AF1106" s="53" t="s">
        <v>68</v>
      </c>
      <c r="AG1106" s="42"/>
      <c r="AH1106" s="42"/>
      <c r="AI1106" s="43"/>
      <c r="AJ1106" s="43"/>
      <c r="AK1106" s="43"/>
      <c r="AL1106" s="43"/>
      <c r="AM1106" s="43"/>
      <c r="AN1106" s="42"/>
      <c r="AO1106" s="42"/>
      <c r="AP1106" s="42"/>
      <c r="AQ1106" s="43"/>
      <c r="AR1106" s="42"/>
      <c r="AS1106" s="42" t="s">
        <v>1420</v>
      </c>
    </row>
    <row r="1107" spans="1:45" ht="15" customHeight="1">
      <c r="A1107" s="21" t="s">
        <v>260</v>
      </c>
      <c r="B1107" s="21" t="s">
        <v>46</v>
      </c>
      <c r="C1107" s="21" t="s">
        <v>188</v>
      </c>
      <c r="D1107" s="21" t="s">
        <v>48</v>
      </c>
      <c r="E1107" s="80" t="s">
        <v>1313</v>
      </c>
      <c r="F1107" s="21" t="s">
        <v>953</v>
      </c>
      <c r="G1107" s="101" t="s">
        <v>77</v>
      </c>
      <c r="H1107" s="133" t="s">
        <v>1417</v>
      </c>
      <c r="I1107" s="102" t="s">
        <v>78</v>
      </c>
      <c r="J1107" s="101" t="s">
        <v>1418</v>
      </c>
      <c r="K1107" s="115"/>
      <c r="L1107" s="48" t="s">
        <v>1419</v>
      </c>
      <c r="M1107" s="116">
        <v>44136</v>
      </c>
      <c r="N1107" s="116" t="s">
        <v>356</v>
      </c>
      <c r="O1107" s="68">
        <v>4450</v>
      </c>
      <c r="P1107" s="68">
        <v>6</v>
      </c>
      <c r="Q1107" s="51">
        <f t="shared" si="28"/>
        <v>26700</v>
      </c>
      <c r="R1107" s="31">
        <v>202310</v>
      </c>
      <c r="S1107" s="117" t="s">
        <v>1424</v>
      </c>
      <c r="T1107" s="33"/>
      <c r="U1107" s="118"/>
      <c r="V1107" s="118"/>
      <c r="W1107" s="67"/>
      <c r="X1107" s="67"/>
      <c r="Y1107" s="36"/>
      <c r="Z1107" s="36"/>
      <c r="AA1107" s="36"/>
      <c r="AB1107" s="36"/>
      <c r="AC1107" s="36"/>
      <c r="AD1107" s="36"/>
      <c r="AE1107" s="36"/>
      <c r="AF1107" s="53" t="s">
        <v>68</v>
      </c>
      <c r="AG1107" s="42"/>
      <c r="AH1107" s="42"/>
      <c r="AI1107" s="43"/>
      <c r="AJ1107" s="43"/>
      <c r="AK1107" s="43"/>
      <c r="AL1107" s="43"/>
      <c r="AM1107" s="43"/>
      <c r="AN1107" s="42"/>
      <c r="AO1107" s="42"/>
      <c r="AP1107" s="42"/>
      <c r="AQ1107" s="43"/>
      <c r="AR1107" s="42"/>
      <c r="AS1107" s="42" t="s">
        <v>1420</v>
      </c>
    </row>
    <row r="1108" spans="1:45" ht="15" customHeight="1">
      <c r="A1108" s="21" t="s">
        <v>260</v>
      </c>
      <c r="B1108" s="21" t="s">
        <v>46</v>
      </c>
      <c r="C1108" s="21" t="s">
        <v>188</v>
      </c>
      <c r="D1108" s="21" t="s">
        <v>48</v>
      </c>
      <c r="E1108" s="80" t="s">
        <v>1313</v>
      </c>
      <c r="F1108" s="21" t="s">
        <v>953</v>
      </c>
      <c r="G1108" s="101" t="s">
        <v>77</v>
      </c>
      <c r="H1108" s="133" t="s">
        <v>1417</v>
      </c>
      <c r="I1108" s="102" t="s">
        <v>78</v>
      </c>
      <c r="J1108" s="101" t="s">
        <v>1418</v>
      </c>
      <c r="K1108" s="115"/>
      <c r="L1108" s="48" t="s">
        <v>1419</v>
      </c>
      <c r="M1108" s="116">
        <v>44136</v>
      </c>
      <c r="N1108" s="116" t="s">
        <v>1425</v>
      </c>
      <c r="O1108" s="68">
        <v>4450</v>
      </c>
      <c r="P1108" s="68">
        <v>2</v>
      </c>
      <c r="Q1108" s="51">
        <f t="shared" si="28"/>
        <v>8900</v>
      </c>
      <c r="R1108" s="31">
        <v>202310</v>
      </c>
      <c r="S1108" s="117" t="s">
        <v>1426</v>
      </c>
      <c r="T1108" s="33"/>
      <c r="U1108" s="118"/>
      <c r="V1108" s="118"/>
      <c r="W1108" s="67"/>
      <c r="X1108" s="67"/>
      <c r="Y1108" s="36"/>
      <c r="Z1108" s="36"/>
      <c r="AA1108" s="36"/>
      <c r="AB1108" s="36"/>
      <c r="AC1108" s="36"/>
      <c r="AD1108" s="36"/>
      <c r="AE1108" s="36"/>
      <c r="AF1108" s="53" t="s">
        <v>68</v>
      </c>
      <c r="AG1108" s="42"/>
      <c r="AH1108" s="42"/>
      <c r="AI1108" s="43"/>
      <c r="AJ1108" s="43"/>
      <c r="AK1108" s="43"/>
      <c r="AL1108" s="43"/>
      <c r="AM1108" s="43"/>
      <c r="AN1108" s="42"/>
      <c r="AO1108" s="42"/>
      <c r="AP1108" s="42"/>
      <c r="AQ1108" s="43"/>
      <c r="AR1108" s="42"/>
      <c r="AS1108" s="42" t="s">
        <v>1420</v>
      </c>
    </row>
    <row r="1109" spans="1:45" ht="15" customHeight="1">
      <c r="A1109" s="21" t="s">
        <v>260</v>
      </c>
      <c r="B1109" s="21" t="s">
        <v>46</v>
      </c>
      <c r="C1109" s="21" t="s">
        <v>188</v>
      </c>
      <c r="D1109" s="21" t="s">
        <v>48</v>
      </c>
      <c r="E1109" s="80" t="s">
        <v>1313</v>
      </c>
      <c r="F1109" s="21" t="s">
        <v>953</v>
      </c>
      <c r="G1109" s="26" t="s">
        <v>77</v>
      </c>
      <c r="H1109" s="133" t="s">
        <v>1417</v>
      </c>
      <c r="I1109" s="102" t="s">
        <v>78</v>
      </c>
      <c r="J1109" s="101" t="s">
        <v>1418</v>
      </c>
      <c r="K1109" s="115"/>
      <c r="L1109" s="48" t="s">
        <v>1419</v>
      </c>
      <c r="M1109" s="116">
        <v>43224</v>
      </c>
      <c r="N1109" s="116" t="s">
        <v>90</v>
      </c>
      <c r="O1109" s="68">
        <v>2950</v>
      </c>
      <c r="P1109" s="68">
        <v>5</v>
      </c>
      <c r="Q1109" s="51">
        <f t="shared" si="28"/>
        <v>14750</v>
      </c>
      <c r="R1109" s="31">
        <v>202310</v>
      </c>
      <c r="S1109" s="117" t="s">
        <v>1427</v>
      </c>
      <c r="T1109" s="33"/>
      <c r="U1109" s="118"/>
      <c r="V1109" s="118"/>
      <c r="W1109" s="67"/>
      <c r="X1109" s="67"/>
      <c r="Y1109" s="36"/>
      <c r="Z1109" s="36"/>
      <c r="AA1109" s="36"/>
      <c r="AB1109" s="36"/>
      <c r="AC1109" s="36"/>
      <c r="AD1109" s="36"/>
      <c r="AE1109" s="36"/>
      <c r="AF1109" s="53" t="s">
        <v>68</v>
      </c>
      <c r="AG1109" s="42"/>
      <c r="AH1109" s="42"/>
      <c r="AI1109" s="43"/>
      <c r="AJ1109" s="43"/>
      <c r="AK1109" s="43"/>
      <c r="AL1109" s="43"/>
      <c r="AM1109" s="43"/>
      <c r="AN1109" s="42"/>
      <c r="AO1109" s="42"/>
      <c r="AP1109" s="42"/>
      <c r="AQ1109" s="43"/>
      <c r="AR1109" s="42"/>
      <c r="AS1109" s="42" t="s">
        <v>1420</v>
      </c>
    </row>
    <row r="1110" spans="1:45" ht="15" customHeight="1">
      <c r="A1110" s="21" t="s">
        <v>260</v>
      </c>
      <c r="B1110" s="21" t="s">
        <v>46</v>
      </c>
      <c r="C1110" s="21" t="s">
        <v>188</v>
      </c>
      <c r="D1110" s="21" t="s">
        <v>48</v>
      </c>
      <c r="E1110" s="80" t="s">
        <v>1313</v>
      </c>
      <c r="F1110" s="21" t="s">
        <v>953</v>
      </c>
      <c r="G1110" s="26" t="s">
        <v>77</v>
      </c>
      <c r="H1110" s="133" t="s">
        <v>1417</v>
      </c>
      <c r="I1110" s="102" t="s">
        <v>78</v>
      </c>
      <c r="J1110" s="101" t="s">
        <v>1418</v>
      </c>
      <c r="K1110" s="115"/>
      <c r="L1110" s="48" t="s">
        <v>1419</v>
      </c>
      <c r="M1110" s="116">
        <v>43928</v>
      </c>
      <c r="N1110" s="116" t="s">
        <v>90</v>
      </c>
      <c r="O1110" s="68">
        <v>2950</v>
      </c>
      <c r="P1110" s="68">
        <v>-2</v>
      </c>
      <c r="Q1110" s="51">
        <f t="shared" si="28"/>
        <v>-5900</v>
      </c>
      <c r="R1110" s="31">
        <v>202310</v>
      </c>
      <c r="S1110" s="117" t="s">
        <v>1428</v>
      </c>
      <c r="T1110" s="33"/>
      <c r="U1110" s="118"/>
      <c r="V1110" s="118"/>
      <c r="W1110" s="67"/>
      <c r="X1110" s="67"/>
      <c r="Y1110" s="36"/>
      <c r="Z1110" s="36"/>
      <c r="AA1110" s="36"/>
      <c r="AB1110" s="36"/>
      <c r="AC1110" s="36"/>
      <c r="AD1110" s="36"/>
      <c r="AE1110" s="36"/>
      <c r="AF1110" s="53" t="s">
        <v>68</v>
      </c>
      <c r="AG1110" s="42"/>
      <c r="AH1110" s="42"/>
      <c r="AI1110" s="43"/>
      <c r="AJ1110" s="43"/>
      <c r="AK1110" s="43"/>
      <c r="AL1110" s="43"/>
      <c r="AM1110" s="43"/>
      <c r="AN1110" s="42"/>
      <c r="AO1110" s="42"/>
      <c r="AP1110" s="42"/>
      <c r="AQ1110" s="43"/>
      <c r="AR1110" s="42"/>
      <c r="AS1110" s="42" t="s">
        <v>1420</v>
      </c>
    </row>
    <row r="1111" spans="1:45" ht="15" customHeight="1">
      <c r="A1111" s="21" t="s">
        <v>260</v>
      </c>
      <c r="B1111" s="21" t="s">
        <v>46</v>
      </c>
      <c r="C1111" s="21" t="s">
        <v>188</v>
      </c>
      <c r="D1111" s="21" t="s">
        <v>48</v>
      </c>
      <c r="E1111" s="80" t="s">
        <v>1313</v>
      </c>
      <c r="F1111" s="21" t="s">
        <v>953</v>
      </c>
      <c r="G1111" s="26" t="s">
        <v>77</v>
      </c>
      <c r="H1111" s="133" t="s">
        <v>1417</v>
      </c>
      <c r="I1111" s="102" t="s">
        <v>78</v>
      </c>
      <c r="J1111" s="101" t="s">
        <v>1418</v>
      </c>
      <c r="K1111" s="115"/>
      <c r="L1111" s="48" t="s">
        <v>1419</v>
      </c>
      <c r="M1111" s="116">
        <v>44136</v>
      </c>
      <c r="N1111" s="116"/>
      <c r="O1111" s="68">
        <v>2950</v>
      </c>
      <c r="P1111" s="68">
        <v>6</v>
      </c>
      <c r="Q1111" s="51">
        <f t="shared" si="28"/>
        <v>17700</v>
      </c>
      <c r="R1111" s="31">
        <v>202310</v>
      </c>
      <c r="S1111" s="117" t="s">
        <v>1424</v>
      </c>
      <c r="T1111" s="33"/>
      <c r="U1111" s="118"/>
      <c r="V1111" s="118"/>
      <c r="W1111" s="67"/>
      <c r="X1111" s="67"/>
      <c r="Y1111" s="36"/>
      <c r="Z1111" s="36"/>
      <c r="AA1111" s="36"/>
      <c r="AB1111" s="36"/>
      <c r="AC1111" s="36"/>
      <c r="AD1111" s="36"/>
      <c r="AE1111" s="36"/>
      <c r="AF1111" s="53" t="s">
        <v>68</v>
      </c>
      <c r="AG1111" s="42"/>
      <c r="AH1111" s="42"/>
      <c r="AI1111" s="43"/>
      <c r="AJ1111" s="43"/>
      <c r="AK1111" s="43"/>
      <c r="AL1111" s="43"/>
      <c r="AM1111" s="43"/>
      <c r="AN1111" s="42"/>
      <c r="AO1111" s="42"/>
      <c r="AP1111" s="42"/>
      <c r="AQ1111" s="43"/>
      <c r="AR1111" s="42"/>
      <c r="AS1111" s="42" t="s">
        <v>1420</v>
      </c>
    </row>
    <row r="1112" spans="1:45" ht="15" customHeight="1">
      <c r="A1112" s="21" t="s">
        <v>260</v>
      </c>
      <c r="B1112" s="21" t="s">
        <v>46</v>
      </c>
      <c r="C1112" s="21" t="s">
        <v>188</v>
      </c>
      <c r="D1112" s="21" t="s">
        <v>48</v>
      </c>
      <c r="E1112" s="80" t="s">
        <v>1313</v>
      </c>
      <c r="F1112" s="21" t="s">
        <v>953</v>
      </c>
      <c r="G1112" s="26" t="s">
        <v>77</v>
      </c>
      <c r="H1112" s="133" t="s">
        <v>1417</v>
      </c>
      <c r="I1112" s="102" t="s">
        <v>78</v>
      </c>
      <c r="J1112" s="101" t="s">
        <v>1418</v>
      </c>
      <c r="K1112" s="115"/>
      <c r="L1112" s="48" t="s">
        <v>1419</v>
      </c>
      <c r="M1112" s="116" t="s">
        <v>340</v>
      </c>
      <c r="N1112" s="116" t="s">
        <v>90</v>
      </c>
      <c r="O1112" s="68">
        <v>2950</v>
      </c>
      <c r="P1112" s="68">
        <v>1180</v>
      </c>
      <c r="Q1112" s="51">
        <f t="shared" si="28"/>
        <v>3481000</v>
      </c>
      <c r="R1112" s="31">
        <v>202310</v>
      </c>
      <c r="S1112" s="117" t="s">
        <v>1429</v>
      </c>
      <c r="T1112" s="33"/>
      <c r="U1112" s="118"/>
      <c r="V1112" s="118"/>
      <c r="W1112" s="67"/>
      <c r="X1112" s="67"/>
      <c r="Y1112" s="36"/>
      <c r="Z1112" s="36"/>
      <c r="AA1112" s="36"/>
      <c r="AB1112" s="36"/>
      <c r="AC1112" s="36"/>
      <c r="AD1112" s="36"/>
      <c r="AE1112" s="36"/>
      <c r="AF1112" s="53" t="s">
        <v>68</v>
      </c>
      <c r="AG1112" s="42"/>
      <c r="AH1112" s="42"/>
      <c r="AI1112" s="43"/>
      <c r="AJ1112" s="43"/>
      <c r="AK1112" s="43"/>
      <c r="AL1112" s="43"/>
      <c r="AM1112" s="43"/>
      <c r="AN1112" s="42"/>
      <c r="AO1112" s="42"/>
      <c r="AP1112" s="42"/>
      <c r="AQ1112" s="43"/>
      <c r="AR1112" s="42"/>
      <c r="AS1112" s="42" t="s">
        <v>1420</v>
      </c>
    </row>
    <row r="1113" spans="1:45" ht="15" customHeight="1">
      <c r="A1113" s="21" t="s">
        <v>260</v>
      </c>
      <c r="B1113" s="21" t="s">
        <v>46</v>
      </c>
      <c r="C1113" s="21" t="s">
        <v>188</v>
      </c>
      <c r="D1113" s="21" t="s">
        <v>48</v>
      </c>
      <c r="E1113" s="80" t="s">
        <v>1313</v>
      </c>
      <c r="F1113" s="21" t="s">
        <v>953</v>
      </c>
      <c r="G1113" s="26" t="s">
        <v>77</v>
      </c>
      <c r="H1113" s="133" t="s">
        <v>1417</v>
      </c>
      <c r="I1113" s="102" t="s">
        <v>78</v>
      </c>
      <c r="J1113" s="101" t="s">
        <v>1418</v>
      </c>
      <c r="K1113" s="115"/>
      <c r="L1113" s="48" t="s">
        <v>1419</v>
      </c>
      <c r="M1113" s="116"/>
      <c r="N1113" s="116" t="s">
        <v>382</v>
      </c>
      <c r="O1113" s="68">
        <v>0</v>
      </c>
      <c r="P1113" s="68">
        <v>8</v>
      </c>
      <c r="Q1113" s="51">
        <f t="shared" si="28"/>
        <v>0</v>
      </c>
      <c r="R1113" s="31">
        <v>202310</v>
      </c>
      <c r="S1113" s="117" t="s">
        <v>1429</v>
      </c>
      <c r="T1113" s="33"/>
      <c r="U1113" s="118"/>
      <c r="V1113" s="118"/>
      <c r="W1113" s="67"/>
      <c r="X1113" s="67"/>
      <c r="Y1113" s="36"/>
      <c r="Z1113" s="36"/>
      <c r="AA1113" s="36"/>
      <c r="AB1113" s="36"/>
      <c r="AC1113" s="36"/>
      <c r="AD1113" s="36"/>
      <c r="AE1113" s="36"/>
      <c r="AF1113" s="53" t="s">
        <v>68</v>
      </c>
      <c r="AG1113" s="42"/>
      <c r="AH1113" s="42"/>
      <c r="AI1113" s="43"/>
      <c r="AJ1113" s="43"/>
      <c r="AK1113" s="43"/>
      <c r="AL1113" s="43"/>
      <c r="AM1113" s="43"/>
      <c r="AN1113" s="42"/>
      <c r="AO1113" s="42"/>
      <c r="AP1113" s="42"/>
      <c r="AQ1113" s="43"/>
      <c r="AR1113" s="42"/>
      <c r="AS1113" s="42" t="s">
        <v>1420</v>
      </c>
    </row>
    <row r="1114" spans="1:45" ht="15" customHeight="1">
      <c r="A1114" s="21" t="s">
        <v>260</v>
      </c>
      <c r="B1114" s="21" t="s">
        <v>46</v>
      </c>
      <c r="C1114" s="21" t="s">
        <v>188</v>
      </c>
      <c r="D1114" s="21" t="s">
        <v>48</v>
      </c>
      <c r="E1114" s="80" t="s">
        <v>1313</v>
      </c>
      <c r="F1114" s="21" t="s">
        <v>953</v>
      </c>
      <c r="G1114" s="26" t="s">
        <v>77</v>
      </c>
      <c r="H1114" s="133" t="s">
        <v>1417</v>
      </c>
      <c r="I1114" s="102" t="s">
        <v>78</v>
      </c>
      <c r="J1114" s="101" t="s">
        <v>1418</v>
      </c>
      <c r="K1114" s="115"/>
      <c r="L1114" s="48" t="s">
        <v>1419</v>
      </c>
      <c r="M1114" s="116">
        <v>44334</v>
      </c>
      <c r="N1114" s="116" t="s">
        <v>177</v>
      </c>
      <c r="O1114" s="68">
        <v>4450</v>
      </c>
      <c r="P1114" s="68">
        <v>1</v>
      </c>
      <c r="Q1114" s="51">
        <f t="shared" si="28"/>
        <v>4450</v>
      </c>
      <c r="R1114" s="31">
        <v>202310</v>
      </c>
      <c r="S1114" s="117" t="s">
        <v>1430</v>
      </c>
      <c r="T1114" s="33"/>
      <c r="U1114" s="118"/>
      <c r="V1114" s="118"/>
      <c r="W1114" s="67"/>
      <c r="X1114" s="67"/>
      <c r="Y1114" s="36"/>
      <c r="Z1114" s="36"/>
      <c r="AA1114" s="36"/>
      <c r="AB1114" s="36"/>
      <c r="AC1114" s="36"/>
      <c r="AD1114" s="36"/>
      <c r="AE1114" s="36"/>
      <c r="AF1114" s="53" t="s">
        <v>68</v>
      </c>
      <c r="AG1114" s="42"/>
      <c r="AH1114" s="42"/>
      <c r="AI1114" s="43"/>
      <c r="AJ1114" s="43"/>
      <c r="AK1114" s="43"/>
      <c r="AL1114" s="43"/>
      <c r="AM1114" s="43"/>
      <c r="AN1114" s="42"/>
      <c r="AO1114" s="42"/>
      <c r="AP1114" s="42"/>
      <c r="AQ1114" s="43"/>
      <c r="AR1114" s="42"/>
      <c r="AS1114" s="42" t="s">
        <v>1420</v>
      </c>
    </row>
    <row r="1115" spans="1:45" ht="15" customHeight="1">
      <c r="A1115" s="21" t="s">
        <v>260</v>
      </c>
      <c r="B1115" s="21" t="s">
        <v>46</v>
      </c>
      <c r="C1115" s="21" t="s">
        <v>188</v>
      </c>
      <c r="D1115" s="21" t="s">
        <v>48</v>
      </c>
      <c r="E1115" s="80" t="s">
        <v>1313</v>
      </c>
      <c r="F1115" s="21" t="s">
        <v>953</v>
      </c>
      <c r="G1115" s="26" t="s">
        <v>77</v>
      </c>
      <c r="H1115" s="133" t="s">
        <v>1417</v>
      </c>
      <c r="I1115" s="102" t="s">
        <v>78</v>
      </c>
      <c r="J1115" s="101" t="s">
        <v>1418</v>
      </c>
      <c r="K1115" s="115"/>
      <c r="L1115" s="48" t="s">
        <v>1419</v>
      </c>
      <c r="M1115" s="116">
        <v>44334</v>
      </c>
      <c r="N1115" s="116" t="s">
        <v>1425</v>
      </c>
      <c r="O1115" s="68">
        <v>4450</v>
      </c>
      <c r="P1115" s="68">
        <v>1</v>
      </c>
      <c r="Q1115" s="51">
        <f t="shared" si="28"/>
        <v>4450</v>
      </c>
      <c r="R1115" s="31">
        <v>202310</v>
      </c>
      <c r="S1115" s="117" t="s">
        <v>1431</v>
      </c>
      <c r="T1115" s="33"/>
      <c r="U1115" s="118"/>
      <c r="V1115" s="118"/>
      <c r="W1115" s="67"/>
      <c r="X1115" s="67"/>
      <c r="Y1115" s="36"/>
      <c r="Z1115" s="36"/>
      <c r="AA1115" s="36"/>
      <c r="AB1115" s="36"/>
      <c r="AC1115" s="36"/>
      <c r="AD1115" s="36"/>
      <c r="AE1115" s="36"/>
      <c r="AF1115" s="53" t="s">
        <v>68</v>
      </c>
      <c r="AG1115" s="42"/>
      <c r="AH1115" s="42"/>
      <c r="AI1115" s="43"/>
      <c r="AJ1115" s="43"/>
      <c r="AK1115" s="43"/>
      <c r="AL1115" s="43"/>
      <c r="AM1115" s="43"/>
      <c r="AN1115" s="42"/>
      <c r="AO1115" s="42"/>
      <c r="AP1115" s="42"/>
      <c r="AQ1115" s="43"/>
      <c r="AR1115" s="42"/>
      <c r="AS1115" s="42" t="s">
        <v>1420</v>
      </c>
    </row>
    <row r="1116" spans="1:45" ht="15" customHeight="1">
      <c r="A1116" s="21" t="s">
        <v>260</v>
      </c>
      <c r="B1116" s="21" t="s">
        <v>46</v>
      </c>
      <c r="C1116" s="21" t="s">
        <v>188</v>
      </c>
      <c r="D1116" s="21" t="s">
        <v>48</v>
      </c>
      <c r="E1116" s="80" t="s">
        <v>1313</v>
      </c>
      <c r="F1116" s="21" t="s">
        <v>953</v>
      </c>
      <c r="G1116" s="26" t="s">
        <v>77</v>
      </c>
      <c r="H1116" s="133" t="s">
        <v>1417</v>
      </c>
      <c r="I1116" s="102" t="s">
        <v>78</v>
      </c>
      <c r="J1116" s="101" t="s">
        <v>1418</v>
      </c>
      <c r="K1116" s="115"/>
      <c r="L1116" s="48" t="s">
        <v>1419</v>
      </c>
      <c r="M1116" s="116">
        <v>44477</v>
      </c>
      <c r="N1116" s="116" t="s">
        <v>1432</v>
      </c>
      <c r="O1116" s="68">
        <v>4450</v>
      </c>
      <c r="P1116" s="68">
        <v>1</v>
      </c>
      <c r="Q1116" s="51">
        <f t="shared" si="28"/>
        <v>4450</v>
      </c>
      <c r="R1116" s="31">
        <v>202310</v>
      </c>
      <c r="S1116" s="117" t="s">
        <v>1433</v>
      </c>
      <c r="T1116" s="33"/>
      <c r="U1116" s="118"/>
      <c r="V1116" s="118"/>
      <c r="W1116" s="67"/>
      <c r="X1116" s="67"/>
      <c r="Y1116" s="36"/>
      <c r="Z1116" s="36"/>
      <c r="AA1116" s="36"/>
      <c r="AB1116" s="36"/>
      <c r="AC1116" s="36"/>
      <c r="AD1116" s="36"/>
      <c r="AE1116" s="36"/>
      <c r="AF1116" s="53" t="s">
        <v>68</v>
      </c>
      <c r="AG1116" s="42"/>
      <c r="AH1116" s="42"/>
      <c r="AI1116" s="43"/>
      <c r="AJ1116" s="43"/>
      <c r="AK1116" s="43"/>
      <c r="AL1116" s="43"/>
      <c r="AM1116" s="43"/>
      <c r="AN1116" s="42"/>
      <c r="AO1116" s="42"/>
      <c r="AP1116" s="42"/>
      <c r="AQ1116" s="43"/>
      <c r="AR1116" s="42"/>
      <c r="AS1116" s="42" t="s">
        <v>1420</v>
      </c>
    </row>
    <row r="1117" spans="1:45" ht="15" customHeight="1">
      <c r="A1117" s="21" t="s">
        <v>260</v>
      </c>
      <c r="B1117" s="21" t="s">
        <v>46</v>
      </c>
      <c r="C1117" s="21" t="s">
        <v>188</v>
      </c>
      <c r="D1117" s="21" t="s">
        <v>48</v>
      </c>
      <c r="E1117" s="80" t="s">
        <v>1313</v>
      </c>
      <c r="F1117" s="21" t="s">
        <v>953</v>
      </c>
      <c r="G1117" s="26" t="s">
        <v>77</v>
      </c>
      <c r="H1117" s="133" t="s">
        <v>1417</v>
      </c>
      <c r="I1117" s="102" t="s">
        <v>78</v>
      </c>
      <c r="J1117" s="101" t="s">
        <v>1418</v>
      </c>
      <c r="K1117" s="115"/>
      <c r="L1117" s="48" t="s">
        <v>1419</v>
      </c>
      <c r="M1117" s="116">
        <v>44671</v>
      </c>
      <c r="N1117" s="116" t="s">
        <v>343</v>
      </c>
      <c r="O1117" s="68">
        <v>4450</v>
      </c>
      <c r="P1117" s="68">
        <v>2</v>
      </c>
      <c r="Q1117" s="51">
        <f t="shared" si="28"/>
        <v>8900</v>
      </c>
      <c r="R1117" s="31">
        <v>202310</v>
      </c>
      <c r="S1117" s="117" t="s">
        <v>1434</v>
      </c>
      <c r="T1117" s="33"/>
      <c r="U1117" s="118"/>
      <c r="V1117" s="118"/>
      <c r="W1117" s="67"/>
      <c r="X1117" s="67"/>
      <c r="Y1117" s="36"/>
      <c r="Z1117" s="36"/>
      <c r="AA1117" s="36"/>
      <c r="AB1117" s="36"/>
      <c r="AC1117" s="36"/>
      <c r="AD1117" s="36"/>
      <c r="AE1117" s="36"/>
      <c r="AF1117" s="53" t="s">
        <v>68</v>
      </c>
      <c r="AG1117" s="42"/>
      <c r="AH1117" s="42"/>
      <c r="AI1117" s="43"/>
      <c r="AJ1117" s="43"/>
      <c r="AK1117" s="43"/>
      <c r="AL1117" s="43"/>
      <c r="AM1117" s="43"/>
      <c r="AN1117" s="42"/>
      <c r="AO1117" s="42"/>
      <c r="AP1117" s="42"/>
      <c r="AQ1117" s="43"/>
      <c r="AR1117" s="42"/>
      <c r="AS1117" s="42" t="s">
        <v>1420</v>
      </c>
    </row>
    <row r="1118" spans="1:45" ht="15" customHeight="1">
      <c r="A1118" s="21" t="s">
        <v>260</v>
      </c>
      <c r="B1118" s="21" t="s">
        <v>46</v>
      </c>
      <c r="C1118" s="21" t="s">
        <v>188</v>
      </c>
      <c r="D1118" s="21" t="s">
        <v>48</v>
      </c>
      <c r="E1118" s="80" t="s">
        <v>1313</v>
      </c>
      <c r="F1118" s="21" t="s">
        <v>953</v>
      </c>
      <c r="G1118" s="26" t="s">
        <v>77</v>
      </c>
      <c r="H1118" s="133" t="s">
        <v>1417</v>
      </c>
      <c r="I1118" s="102" t="s">
        <v>78</v>
      </c>
      <c r="J1118" s="101" t="s">
        <v>1418</v>
      </c>
      <c r="K1118" s="115"/>
      <c r="L1118" s="48" t="s">
        <v>1419</v>
      </c>
      <c r="M1118" s="116">
        <v>44673</v>
      </c>
      <c r="N1118" s="116" t="s">
        <v>343</v>
      </c>
      <c r="O1118" s="68">
        <v>4450</v>
      </c>
      <c r="P1118" s="68">
        <v>-2</v>
      </c>
      <c r="Q1118" s="51">
        <f t="shared" si="28"/>
        <v>-8900</v>
      </c>
      <c r="R1118" s="31">
        <v>202310</v>
      </c>
      <c r="S1118" s="117" t="s">
        <v>1434</v>
      </c>
      <c r="T1118" s="33"/>
      <c r="U1118" s="118"/>
      <c r="V1118" s="118"/>
      <c r="W1118" s="67"/>
      <c r="X1118" s="67"/>
      <c r="Y1118" s="36"/>
      <c r="Z1118" s="36"/>
      <c r="AA1118" s="36"/>
      <c r="AB1118" s="36"/>
      <c r="AC1118" s="36"/>
      <c r="AD1118" s="36"/>
      <c r="AE1118" s="36"/>
      <c r="AF1118" s="53" t="s">
        <v>68</v>
      </c>
      <c r="AG1118" s="42"/>
      <c r="AH1118" s="42"/>
      <c r="AI1118" s="43"/>
      <c r="AJ1118" s="43"/>
      <c r="AK1118" s="43"/>
      <c r="AL1118" s="43"/>
      <c r="AM1118" s="43"/>
      <c r="AN1118" s="42"/>
      <c r="AO1118" s="42"/>
      <c r="AP1118" s="42"/>
      <c r="AQ1118" s="43"/>
      <c r="AR1118" s="42"/>
      <c r="AS1118" s="42" t="s">
        <v>1420</v>
      </c>
    </row>
    <row r="1119" spans="1:45" ht="15" customHeight="1">
      <c r="A1119" s="21" t="s">
        <v>260</v>
      </c>
      <c r="B1119" s="21" t="s">
        <v>46</v>
      </c>
      <c r="C1119" s="21" t="s">
        <v>188</v>
      </c>
      <c r="D1119" s="21" t="s">
        <v>48</v>
      </c>
      <c r="E1119" s="80" t="s">
        <v>1313</v>
      </c>
      <c r="F1119" s="21" t="s">
        <v>953</v>
      </c>
      <c r="G1119" s="26" t="s">
        <v>77</v>
      </c>
      <c r="H1119" s="133" t="s">
        <v>1417</v>
      </c>
      <c r="I1119" s="102" t="s">
        <v>78</v>
      </c>
      <c r="J1119" s="101" t="s">
        <v>1418</v>
      </c>
      <c r="K1119" s="115"/>
      <c r="L1119" s="48" t="s">
        <v>1419</v>
      </c>
      <c r="M1119" s="116">
        <v>44700</v>
      </c>
      <c r="N1119" s="116" t="s">
        <v>1432</v>
      </c>
      <c r="O1119" s="68">
        <v>4450</v>
      </c>
      <c r="P1119" s="68">
        <v>1</v>
      </c>
      <c r="Q1119" s="51">
        <f t="shared" si="28"/>
        <v>4450</v>
      </c>
      <c r="R1119" s="31">
        <v>202310</v>
      </c>
      <c r="S1119" s="117" t="s">
        <v>1435</v>
      </c>
      <c r="T1119" s="33"/>
      <c r="U1119" s="118"/>
      <c r="V1119" s="118"/>
      <c r="W1119" s="67"/>
      <c r="X1119" s="67"/>
      <c r="Y1119" s="36"/>
      <c r="Z1119" s="36"/>
      <c r="AA1119" s="36"/>
      <c r="AB1119" s="36"/>
      <c r="AC1119" s="36"/>
      <c r="AD1119" s="36"/>
      <c r="AE1119" s="36"/>
      <c r="AF1119" s="53" t="s">
        <v>68</v>
      </c>
      <c r="AG1119" s="42"/>
      <c r="AH1119" s="42"/>
      <c r="AI1119" s="43"/>
      <c r="AJ1119" s="43"/>
      <c r="AK1119" s="43"/>
      <c r="AL1119" s="43"/>
      <c r="AM1119" s="43"/>
      <c r="AN1119" s="42"/>
      <c r="AO1119" s="42"/>
      <c r="AP1119" s="42"/>
      <c r="AQ1119" s="43"/>
      <c r="AR1119" s="42"/>
      <c r="AS1119" s="42" t="s">
        <v>1420</v>
      </c>
    </row>
    <row r="1120" spans="1:45" ht="15" customHeight="1">
      <c r="A1120" s="21" t="s">
        <v>260</v>
      </c>
      <c r="B1120" s="21" t="s">
        <v>46</v>
      </c>
      <c r="C1120" s="21" t="s">
        <v>188</v>
      </c>
      <c r="D1120" s="21" t="s">
        <v>48</v>
      </c>
      <c r="E1120" s="80" t="s">
        <v>1313</v>
      </c>
      <c r="F1120" s="21" t="s">
        <v>953</v>
      </c>
      <c r="G1120" s="26" t="s">
        <v>77</v>
      </c>
      <c r="H1120" s="133" t="s">
        <v>1417</v>
      </c>
      <c r="I1120" s="102" t="s">
        <v>78</v>
      </c>
      <c r="J1120" s="101" t="s">
        <v>1418</v>
      </c>
      <c r="K1120" s="115"/>
      <c r="L1120" s="48" t="s">
        <v>1419</v>
      </c>
      <c r="M1120" s="116">
        <v>44694</v>
      </c>
      <c r="N1120" s="116" t="s">
        <v>177</v>
      </c>
      <c r="O1120" s="68">
        <v>4450</v>
      </c>
      <c r="P1120" s="68">
        <v>1</v>
      </c>
      <c r="Q1120" s="51">
        <f t="shared" si="28"/>
        <v>4450</v>
      </c>
      <c r="R1120" s="31">
        <v>202310</v>
      </c>
      <c r="S1120" s="117" t="s">
        <v>1436</v>
      </c>
      <c r="T1120" s="33"/>
      <c r="U1120" s="118"/>
      <c r="V1120" s="118"/>
      <c r="W1120" s="67"/>
      <c r="X1120" s="67"/>
      <c r="Y1120" s="36"/>
      <c r="Z1120" s="36"/>
      <c r="AA1120" s="36"/>
      <c r="AB1120" s="36"/>
      <c r="AC1120" s="36"/>
      <c r="AD1120" s="36"/>
      <c r="AE1120" s="36"/>
      <c r="AF1120" s="53" t="s">
        <v>68</v>
      </c>
      <c r="AG1120" s="42"/>
      <c r="AH1120" s="42"/>
      <c r="AI1120" s="43"/>
      <c r="AJ1120" s="43"/>
      <c r="AK1120" s="43"/>
      <c r="AL1120" s="43"/>
      <c r="AM1120" s="43"/>
      <c r="AN1120" s="42"/>
      <c r="AO1120" s="42"/>
      <c r="AP1120" s="42"/>
      <c r="AQ1120" s="43"/>
      <c r="AR1120" s="42"/>
      <c r="AS1120" s="42" t="s">
        <v>1420</v>
      </c>
    </row>
    <row r="1121" spans="1:45" ht="15" customHeight="1">
      <c r="A1121" s="21" t="s">
        <v>260</v>
      </c>
      <c r="B1121" s="21" t="s">
        <v>46</v>
      </c>
      <c r="C1121" s="21" t="s">
        <v>188</v>
      </c>
      <c r="D1121" s="21" t="s">
        <v>48</v>
      </c>
      <c r="E1121" s="80" t="s">
        <v>1313</v>
      </c>
      <c r="F1121" s="21" t="s">
        <v>953</v>
      </c>
      <c r="G1121" s="26" t="s">
        <v>77</v>
      </c>
      <c r="H1121" s="133" t="s">
        <v>1417</v>
      </c>
      <c r="I1121" s="102" t="s">
        <v>78</v>
      </c>
      <c r="J1121" s="101" t="s">
        <v>1418</v>
      </c>
      <c r="K1121" s="115"/>
      <c r="L1121" s="48" t="s">
        <v>1419</v>
      </c>
      <c r="M1121" s="116">
        <v>44701</v>
      </c>
      <c r="N1121" s="116" t="s">
        <v>177</v>
      </c>
      <c r="O1121" s="68">
        <v>4450</v>
      </c>
      <c r="P1121" s="68">
        <v>1</v>
      </c>
      <c r="Q1121" s="51">
        <f t="shared" si="28"/>
        <v>4450</v>
      </c>
      <c r="R1121" s="31">
        <v>202310</v>
      </c>
      <c r="S1121" s="117" t="s">
        <v>1437</v>
      </c>
      <c r="T1121" s="33"/>
      <c r="U1121" s="118"/>
      <c r="V1121" s="118"/>
      <c r="W1121" s="67"/>
      <c r="X1121" s="67"/>
      <c r="Y1121" s="36"/>
      <c r="Z1121" s="36"/>
      <c r="AA1121" s="36"/>
      <c r="AB1121" s="36"/>
      <c r="AC1121" s="36"/>
      <c r="AD1121" s="36"/>
      <c r="AE1121" s="36"/>
      <c r="AF1121" s="53" t="s">
        <v>68</v>
      </c>
      <c r="AG1121" s="42"/>
      <c r="AH1121" s="42"/>
      <c r="AI1121" s="43"/>
      <c r="AJ1121" s="43"/>
      <c r="AK1121" s="43"/>
      <c r="AL1121" s="43"/>
      <c r="AM1121" s="43"/>
      <c r="AN1121" s="42"/>
      <c r="AO1121" s="42"/>
      <c r="AP1121" s="42"/>
      <c r="AQ1121" s="43"/>
      <c r="AR1121" s="42"/>
      <c r="AS1121" s="42" t="s">
        <v>1420</v>
      </c>
    </row>
    <row r="1122" spans="1:45" ht="15" customHeight="1">
      <c r="A1122" s="21" t="s">
        <v>260</v>
      </c>
      <c r="B1122" s="21" t="s">
        <v>46</v>
      </c>
      <c r="C1122" s="21" t="s">
        <v>188</v>
      </c>
      <c r="D1122" s="21" t="s">
        <v>48</v>
      </c>
      <c r="E1122" s="80" t="s">
        <v>1313</v>
      </c>
      <c r="F1122" s="21" t="s">
        <v>953</v>
      </c>
      <c r="G1122" s="26" t="s">
        <v>77</v>
      </c>
      <c r="H1122" s="133" t="s">
        <v>1417</v>
      </c>
      <c r="I1122" s="102" t="s">
        <v>78</v>
      </c>
      <c r="J1122" s="101" t="s">
        <v>1418</v>
      </c>
      <c r="K1122" s="115"/>
      <c r="L1122" s="48" t="s">
        <v>1419</v>
      </c>
      <c r="M1122" s="116">
        <v>45184</v>
      </c>
      <c r="N1122" s="116" t="s">
        <v>90</v>
      </c>
      <c r="O1122" s="68">
        <v>2950</v>
      </c>
      <c r="P1122" s="68">
        <v>-30</v>
      </c>
      <c r="Q1122" s="51">
        <f t="shared" si="28"/>
        <v>-88500</v>
      </c>
      <c r="R1122" s="31">
        <v>202310</v>
      </c>
      <c r="S1122" s="117" t="s">
        <v>1438</v>
      </c>
      <c r="T1122" s="33"/>
      <c r="U1122" s="118"/>
      <c r="V1122" s="118"/>
      <c r="W1122" s="67"/>
      <c r="X1122" s="67"/>
      <c r="Y1122" s="36"/>
      <c r="Z1122" s="36"/>
      <c r="AA1122" s="36"/>
      <c r="AB1122" s="36"/>
      <c r="AC1122" s="36"/>
      <c r="AD1122" s="36"/>
      <c r="AE1122" s="36"/>
      <c r="AF1122" s="53" t="s">
        <v>68</v>
      </c>
      <c r="AG1122" s="42"/>
      <c r="AH1122" s="42"/>
      <c r="AI1122" s="43"/>
      <c r="AJ1122" s="43"/>
      <c r="AK1122" s="43"/>
      <c r="AL1122" s="43"/>
      <c r="AM1122" s="43"/>
      <c r="AN1122" s="42"/>
      <c r="AO1122" s="42"/>
      <c r="AP1122" s="42"/>
      <c r="AQ1122" s="43"/>
      <c r="AR1122" s="42"/>
      <c r="AS1122" s="42" t="s">
        <v>1420</v>
      </c>
    </row>
    <row r="1123" spans="1:45" ht="15" customHeight="1">
      <c r="A1123" s="21" t="s">
        <v>260</v>
      </c>
      <c r="B1123" s="21" t="s">
        <v>46</v>
      </c>
      <c r="C1123" s="21" t="s">
        <v>188</v>
      </c>
      <c r="D1123" s="21" t="s">
        <v>48</v>
      </c>
      <c r="E1123" s="80" t="s">
        <v>1313</v>
      </c>
      <c r="F1123" s="21" t="s">
        <v>953</v>
      </c>
      <c r="G1123" s="26" t="s">
        <v>77</v>
      </c>
      <c r="H1123" s="133" t="s">
        <v>1417</v>
      </c>
      <c r="I1123" s="102" t="s">
        <v>78</v>
      </c>
      <c r="J1123" s="101" t="s">
        <v>1418</v>
      </c>
      <c r="K1123" s="115"/>
      <c r="L1123" s="48" t="s">
        <v>1419</v>
      </c>
      <c r="M1123" s="116">
        <v>45191</v>
      </c>
      <c r="N1123" s="116" t="s">
        <v>90</v>
      </c>
      <c r="O1123" s="68">
        <v>2950</v>
      </c>
      <c r="P1123" s="68">
        <v>-28</v>
      </c>
      <c r="Q1123" s="51">
        <f t="shared" si="28"/>
        <v>-82600</v>
      </c>
      <c r="R1123" s="31">
        <v>202310</v>
      </c>
      <c r="S1123" s="117" t="s">
        <v>1439</v>
      </c>
      <c r="T1123" s="33"/>
      <c r="U1123" s="118"/>
      <c r="V1123" s="118"/>
      <c r="W1123" s="67"/>
      <c r="X1123" s="67"/>
      <c r="Y1123" s="36"/>
      <c r="Z1123" s="36"/>
      <c r="AA1123" s="36"/>
      <c r="AB1123" s="36"/>
      <c r="AC1123" s="36"/>
      <c r="AD1123" s="36"/>
      <c r="AE1123" s="36"/>
      <c r="AF1123" s="53" t="s">
        <v>68</v>
      </c>
      <c r="AG1123" s="42"/>
      <c r="AH1123" s="42"/>
      <c r="AI1123" s="43"/>
      <c r="AJ1123" s="43"/>
      <c r="AK1123" s="43"/>
      <c r="AL1123" s="43"/>
      <c r="AM1123" s="43"/>
      <c r="AN1123" s="42"/>
      <c r="AO1123" s="42"/>
      <c r="AP1123" s="42"/>
      <c r="AQ1123" s="43"/>
      <c r="AR1123" s="42"/>
      <c r="AS1123" s="42" t="s">
        <v>1420</v>
      </c>
    </row>
    <row r="1124" spans="1:45" ht="15" customHeight="1">
      <c r="A1124" s="21" t="s">
        <v>260</v>
      </c>
      <c r="B1124" s="21" t="s">
        <v>46</v>
      </c>
      <c r="C1124" s="21" t="s">
        <v>188</v>
      </c>
      <c r="D1124" s="21" t="s">
        <v>48</v>
      </c>
      <c r="E1124" s="80" t="s">
        <v>1313</v>
      </c>
      <c r="F1124" s="21" t="s">
        <v>953</v>
      </c>
      <c r="G1124" s="26" t="s">
        <v>77</v>
      </c>
      <c r="H1124" s="133" t="s">
        <v>1417</v>
      </c>
      <c r="I1124" s="102" t="s">
        <v>78</v>
      </c>
      <c r="J1124" s="101" t="s">
        <v>1418</v>
      </c>
      <c r="K1124" s="115"/>
      <c r="L1124" s="48" t="s">
        <v>1419</v>
      </c>
      <c r="M1124" s="116">
        <v>45184</v>
      </c>
      <c r="N1124" s="116" t="s">
        <v>177</v>
      </c>
      <c r="O1124" s="68">
        <v>4450</v>
      </c>
      <c r="P1124" s="68">
        <v>-1</v>
      </c>
      <c r="Q1124" s="51">
        <f t="shared" si="28"/>
        <v>-4450</v>
      </c>
      <c r="R1124" s="31">
        <v>202310</v>
      </c>
      <c r="S1124" s="117" t="s">
        <v>1440</v>
      </c>
      <c r="T1124" s="33"/>
      <c r="U1124" s="118"/>
      <c r="V1124" s="118"/>
      <c r="W1124" s="67"/>
      <c r="X1124" s="67"/>
      <c r="Y1124" s="36"/>
      <c r="Z1124" s="36"/>
      <c r="AA1124" s="36"/>
      <c r="AB1124" s="36"/>
      <c r="AC1124" s="36"/>
      <c r="AD1124" s="36"/>
      <c r="AE1124" s="36"/>
      <c r="AF1124" s="53" t="s">
        <v>68</v>
      </c>
      <c r="AG1124" s="42"/>
      <c r="AH1124" s="42"/>
      <c r="AI1124" s="43"/>
      <c r="AJ1124" s="43"/>
      <c r="AK1124" s="43"/>
      <c r="AL1124" s="43"/>
      <c r="AM1124" s="43"/>
      <c r="AN1124" s="42"/>
      <c r="AO1124" s="42"/>
      <c r="AP1124" s="42"/>
      <c r="AQ1124" s="43"/>
      <c r="AR1124" s="42"/>
      <c r="AS1124" s="42" t="s">
        <v>1420</v>
      </c>
    </row>
    <row r="1125" spans="1:45" ht="15" customHeight="1">
      <c r="A1125" s="21" t="s">
        <v>260</v>
      </c>
      <c r="B1125" s="21" t="s">
        <v>46</v>
      </c>
      <c r="C1125" s="21" t="s">
        <v>188</v>
      </c>
      <c r="D1125" s="21" t="s">
        <v>48</v>
      </c>
      <c r="E1125" s="80" t="s">
        <v>1313</v>
      </c>
      <c r="F1125" s="21" t="s">
        <v>953</v>
      </c>
      <c r="G1125" s="26" t="s">
        <v>77</v>
      </c>
      <c r="H1125" s="133" t="s">
        <v>1417</v>
      </c>
      <c r="I1125" s="102" t="s">
        <v>78</v>
      </c>
      <c r="J1125" s="101" t="s">
        <v>1418</v>
      </c>
      <c r="K1125" s="115"/>
      <c r="L1125" s="48" t="s">
        <v>1419</v>
      </c>
      <c r="M1125" s="116">
        <v>45191</v>
      </c>
      <c r="N1125" s="116" t="s">
        <v>177</v>
      </c>
      <c r="O1125" s="68">
        <v>4450</v>
      </c>
      <c r="P1125" s="68">
        <v>-1</v>
      </c>
      <c r="Q1125" s="51">
        <f t="shared" si="28"/>
        <v>-4450</v>
      </c>
      <c r="R1125" s="31">
        <v>202310</v>
      </c>
      <c r="S1125" s="117" t="s">
        <v>1441</v>
      </c>
      <c r="T1125" s="33"/>
      <c r="U1125" s="118"/>
      <c r="V1125" s="118"/>
      <c r="W1125" s="67"/>
      <c r="X1125" s="67"/>
      <c r="Y1125" s="36"/>
      <c r="Z1125" s="36"/>
      <c r="AA1125" s="36"/>
      <c r="AB1125" s="36"/>
      <c r="AC1125" s="36"/>
      <c r="AD1125" s="36"/>
      <c r="AE1125" s="36"/>
      <c r="AF1125" s="53" t="s">
        <v>68</v>
      </c>
      <c r="AG1125" s="42"/>
      <c r="AH1125" s="42"/>
      <c r="AI1125" s="43"/>
      <c r="AJ1125" s="43"/>
      <c r="AK1125" s="43"/>
      <c r="AL1125" s="43"/>
      <c r="AM1125" s="43"/>
      <c r="AN1125" s="42"/>
      <c r="AO1125" s="42"/>
      <c r="AP1125" s="42"/>
      <c r="AQ1125" s="43"/>
      <c r="AR1125" s="42"/>
      <c r="AS1125" s="42" t="s">
        <v>1420</v>
      </c>
    </row>
    <row r="1126" spans="1:45" ht="15" customHeight="1">
      <c r="A1126" s="21" t="s">
        <v>260</v>
      </c>
      <c r="B1126" s="21" t="s">
        <v>46</v>
      </c>
      <c r="C1126" s="21" t="s">
        <v>188</v>
      </c>
      <c r="D1126" s="21" t="s">
        <v>48</v>
      </c>
      <c r="E1126" s="80" t="s">
        <v>1313</v>
      </c>
      <c r="F1126" s="21" t="s">
        <v>953</v>
      </c>
      <c r="G1126" s="26" t="s">
        <v>77</v>
      </c>
      <c r="H1126" s="133" t="s">
        <v>1417</v>
      </c>
      <c r="I1126" s="102" t="s">
        <v>78</v>
      </c>
      <c r="J1126" s="101" t="s">
        <v>1418</v>
      </c>
      <c r="K1126" s="115"/>
      <c r="L1126" s="48" t="s">
        <v>1419</v>
      </c>
      <c r="M1126" s="116">
        <v>45198</v>
      </c>
      <c r="N1126" s="116" t="s">
        <v>90</v>
      </c>
      <c r="O1126" s="68">
        <v>2950</v>
      </c>
      <c r="P1126" s="68">
        <v>-372</v>
      </c>
      <c r="Q1126" s="51">
        <f t="shared" si="28"/>
        <v>-1097400</v>
      </c>
      <c r="R1126" s="31">
        <v>202310</v>
      </c>
      <c r="S1126" s="117" t="s">
        <v>1442</v>
      </c>
      <c r="T1126" s="33"/>
      <c r="U1126" s="118"/>
      <c r="V1126" s="118"/>
      <c r="W1126" s="67"/>
      <c r="X1126" s="67"/>
      <c r="Y1126" s="36"/>
      <c r="Z1126" s="36"/>
      <c r="AA1126" s="36"/>
      <c r="AB1126" s="36"/>
      <c r="AC1126" s="36"/>
      <c r="AD1126" s="36"/>
      <c r="AE1126" s="36"/>
      <c r="AF1126" s="53" t="s">
        <v>68</v>
      </c>
      <c r="AG1126" s="42"/>
      <c r="AH1126" s="42"/>
      <c r="AI1126" s="43"/>
      <c r="AJ1126" s="43"/>
      <c r="AK1126" s="43"/>
      <c r="AL1126" s="43"/>
      <c r="AM1126" s="43"/>
      <c r="AN1126" s="42"/>
      <c r="AO1126" s="42"/>
      <c r="AP1126" s="42"/>
      <c r="AQ1126" s="43"/>
      <c r="AR1126" s="42"/>
      <c r="AS1126" s="42" t="s">
        <v>1420</v>
      </c>
    </row>
    <row r="1127" spans="1:45" ht="15" customHeight="1">
      <c r="A1127" s="21" t="s">
        <v>260</v>
      </c>
      <c r="B1127" s="21" t="s">
        <v>46</v>
      </c>
      <c r="C1127" s="21" t="s">
        <v>188</v>
      </c>
      <c r="D1127" s="21" t="s">
        <v>48</v>
      </c>
      <c r="E1127" s="80" t="s">
        <v>1313</v>
      </c>
      <c r="F1127" s="21" t="s">
        <v>953</v>
      </c>
      <c r="G1127" s="26" t="s">
        <v>77</v>
      </c>
      <c r="H1127" s="133" t="s">
        <v>1417</v>
      </c>
      <c r="I1127" s="102" t="s">
        <v>78</v>
      </c>
      <c r="J1127" s="101" t="s">
        <v>1418</v>
      </c>
      <c r="K1127" s="115"/>
      <c r="L1127" s="48" t="s">
        <v>1419</v>
      </c>
      <c r="M1127" s="116">
        <v>45198</v>
      </c>
      <c r="N1127" s="116" t="s">
        <v>177</v>
      </c>
      <c r="O1127" s="68">
        <v>4450</v>
      </c>
      <c r="P1127" s="68">
        <v>-314</v>
      </c>
      <c r="Q1127" s="51">
        <f t="shared" si="28"/>
        <v>-1397300</v>
      </c>
      <c r="R1127" s="31">
        <v>202310</v>
      </c>
      <c r="S1127" s="117" t="s">
        <v>1443</v>
      </c>
      <c r="T1127" s="33"/>
      <c r="U1127" s="118"/>
      <c r="V1127" s="118"/>
      <c r="W1127" s="67"/>
      <c r="X1127" s="67"/>
      <c r="Y1127" s="36"/>
      <c r="Z1127" s="36"/>
      <c r="AA1127" s="36"/>
      <c r="AB1127" s="36"/>
      <c r="AC1127" s="36"/>
      <c r="AD1127" s="36"/>
      <c r="AE1127" s="36"/>
      <c r="AF1127" s="53" t="s">
        <v>68</v>
      </c>
      <c r="AG1127" s="42"/>
      <c r="AH1127" s="42"/>
      <c r="AI1127" s="43"/>
      <c r="AJ1127" s="43"/>
      <c r="AK1127" s="43"/>
      <c r="AL1127" s="43"/>
      <c r="AM1127" s="43"/>
      <c r="AN1127" s="42"/>
      <c r="AO1127" s="42"/>
      <c r="AP1127" s="42"/>
      <c r="AQ1127" s="43"/>
      <c r="AR1127" s="42"/>
      <c r="AS1127" s="42" t="s">
        <v>1420</v>
      </c>
    </row>
    <row r="1128" spans="1:45" ht="15" customHeight="1">
      <c r="A1128" s="21" t="s">
        <v>260</v>
      </c>
      <c r="B1128" s="21" t="s">
        <v>46</v>
      </c>
      <c r="C1128" s="21" t="s">
        <v>188</v>
      </c>
      <c r="D1128" s="21" t="s">
        <v>48</v>
      </c>
      <c r="E1128" s="80" t="s">
        <v>1313</v>
      </c>
      <c r="F1128" s="21" t="s">
        <v>953</v>
      </c>
      <c r="G1128" s="26" t="s">
        <v>77</v>
      </c>
      <c r="H1128" s="133" t="s">
        <v>1417</v>
      </c>
      <c r="I1128" s="102" t="s">
        <v>78</v>
      </c>
      <c r="J1128" s="101" t="s">
        <v>1418</v>
      </c>
      <c r="K1128" s="115"/>
      <c r="L1128" s="48" t="s">
        <v>1419</v>
      </c>
      <c r="M1128" s="116">
        <v>45208</v>
      </c>
      <c r="N1128" s="116" t="s">
        <v>90</v>
      </c>
      <c r="O1128" s="68">
        <v>2950</v>
      </c>
      <c r="P1128" s="68">
        <v>-117</v>
      </c>
      <c r="Q1128" s="51">
        <f>ROUND(O1128*P1128*22/31,2)</f>
        <v>-244945.16</v>
      </c>
      <c r="R1128" s="31">
        <v>202310</v>
      </c>
      <c r="S1128" s="117" t="s">
        <v>1444</v>
      </c>
      <c r="T1128" s="33"/>
      <c r="U1128" s="118"/>
      <c r="V1128" s="118"/>
      <c r="W1128" s="67"/>
      <c r="X1128" s="67"/>
      <c r="Y1128" s="36"/>
      <c r="Z1128" s="36"/>
      <c r="AA1128" s="36"/>
      <c r="AB1128" s="36"/>
      <c r="AC1128" s="36"/>
      <c r="AD1128" s="36"/>
      <c r="AE1128" s="36"/>
      <c r="AF1128" s="53" t="s">
        <v>68</v>
      </c>
      <c r="AG1128" s="42"/>
      <c r="AH1128" s="42"/>
      <c r="AI1128" s="43"/>
      <c r="AJ1128" s="43"/>
      <c r="AK1128" s="43"/>
      <c r="AL1128" s="43"/>
      <c r="AM1128" s="43"/>
      <c r="AN1128" s="42"/>
      <c r="AO1128" s="42"/>
      <c r="AP1128" s="42"/>
      <c r="AQ1128" s="43"/>
      <c r="AR1128" s="42"/>
      <c r="AS1128" s="42" t="s">
        <v>1420</v>
      </c>
    </row>
    <row r="1129" spans="1:45" ht="15" customHeight="1">
      <c r="A1129" s="21" t="s">
        <v>260</v>
      </c>
      <c r="B1129" s="21" t="s">
        <v>46</v>
      </c>
      <c r="C1129" s="21" t="s">
        <v>188</v>
      </c>
      <c r="D1129" s="21" t="s">
        <v>48</v>
      </c>
      <c r="E1129" s="80" t="s">
        <v>1313</v>
      </c>
      <c r="F1129" s="21" t="s">
        <v>953</v>
      </c>
      <c r="G1129" s="26" t="s">
        <v>77</v>
      </c>
      <c r="H1129" s="133" t="s">
        <v>1417</v>
      </c>
      <c r="I1129" s="102" t="s">
        <v>78</v>
      </c>
      <c r="J1129" s="101" t="s">
        <v>1418</v>
      </c>
      <c r="K1129" s="115"/>
      <c r="L1129" s="48" t="s">
        <v>1419</v>
      </c>
      <c r="M1129" s="116">
        <v>45212</v>
      </c>
      <c r="N1129" s="116" t="s">
        <v>90</v>
      </c>
      <c r="O1129" s="68">
        <v>2950</v>
      </c>
      <c r="P1129" s="68">
        <v>-18</v>
      </c>
      <c r="Q1129" s="51">
        <f>ROUND(O1129*P1129*18/31,2)</f>
        <v>-30832.26</v>
      </c>
      <c r="R1129" s="31">
        <v>202310</v>
      </c>
      <c r="S1129" s="117" t="s">
        <v>1445</v>
      </c>
      <c r="T1129" s="33"/>
      <c r="U1129" s="118"/>
      <c r="V1129" s="118"/>
      <c r="W1129" s="67"/>
      <c r="X1129" s="67"/>
      <c r="Y1129" s="36"/>
      <c r="Z1129" s="36"/>
      <c r="AA1129" s="36"/>
      <c r="AB1129" s="36"/>
      <c r="AC1129" s="36"/>
      <c r="AD1129" s="36"/>
      <c r="AE1129" s="36"/>
      <c r="AF1129" s="53" t="s">
        <v>68</v>
      </c>
      <c r="AG1129" s="42"/>
      <c r="AH1129" s="42"/>
      <c r="AI1129" s="43"/>
      <c r="AJ1129" s="43"/>
      <c r="AK1129" s="43"/>
      <c r="AL1129" s="43"/>
      <c r="AM1129" s="43"/>
      <c r="AN1129" s="42"/>
      <c r="AO1129" s="42"/>
      <c r="AP1129" s="42"/>
      <c r="AQ1129" s="43"/>
      <c r="AR1129" s="42"/>
      <c r="AS1129" s="42" t="s">
        <v>1420</v>
      </c>
    </row>
    <row r="1130" spans="1:45" ht="15" customHeight="1">
      <c r="A1130" s="21" t="s">
        <v>260</v>
      </c>
      <c r="B1130" s="21" t="s">
        <v>46</v>
      </c>
      <c r="C1130" s="21" t="s">
        <v>188</v>
      </c>
      <c r="D1130" s="21" t="s">
        <v>48</v>
      </c>
      <c r="E1130" s="80" t="s">
        <v>1313</v>
      </c>
      <c r="F1130" s="21" t="s">
        <v>953</v>
      </c>
      <c r="G1130" s="26" t="s">
        <v>77</v>
      </c>
      <c r="H1130" s="133" t="s">
        <v>1417</v>
      </c>
      <c r="I1130" s="102" t="s">
        <v>78</v>
      </c>
      <c r="J1130" s="101" t="s">
        <v>1418</v>
      </c>
      <c r="K1130" s="115"/>
      <c r="L1130" s="48" t="s">
        <v>1419</v>
      </c>
      <c r="M1130" s="116">
        <v>45216</v>
      </c>
      <c r="N1130" s="116" t="s">
        <v>90</v>
      </c>
      <c r="O1130" s="68">
        <v>2950</v>
      </c>
      <c r="P1130" s="68">
        <v>-182</v>
      </c>
      <c r="Q1130" s="51">
        <f>ROUND(O1130*P1130*14/31,2)</f>
        <v>-242470.97</v>
      </c>
      <c r="R1130" s="31">
        <v>202310</v>
      </c>
      <c r="S1130" s="117" t="s">
        <v>1446</v>
      </c>
      <c r="T1130" s="33"/>
      <c r="U1130" s="118"/>
      <c r="V1130" s="118"/>
      <c r="W1130" s="67"/>
      <c r="X1130" s="67"/>
      <c r="Y1130" s="36"/>
      <c r="Z1130" s="36"/>
      <c r="AA1130" s="36"/>
      <c r="AB1130" s="36"/>
      <c r="AC1130" s="36"/>
      <c r="AD1130" s="36"/>
      <c r="AE1130" s="36"/>
      <c r="AF1130" s="53" t="s">
        <v>68</v>
      </c>
      <c r="AG1130" s="42"/>
      <c r="AH1130" s="42"/>
      <c r="AI1130" s="43"/>
      <c r="AJ1130" s="43"/>
      <c r="AK1130" s="43"/>
      <c r="AL1130" s="43"/>
      <c r="AM1130" s="43"/>
      <c r="AN1130" s="42"/>
      <c r="AO1130" s="42"/>
      <c r="AP1130" s="42"/>
      <c r="AQ1130" s="43"/>
      <c r="AR1130" s="42"/>
      <c r="AS1130" s="42" t="s">
        <v>1420</v>
      </c>
    </row>
    <row r="1131" spans="1:45" ht="15" customHeight="1">
      <c r="A1131" s="21" t="s">
        <v>260</v>
      </c>
      <c r="B1131" s="21" t="s">
        <v>46</v>
      </c>
      <c r="C1131" s="21" t="s">
        <v>188</v>
      </c>
      <c r="D1131" s="21" t="s">
        <v>48</v>
      </c>
      <c r="E1131" s="80" t="s">
        <v>1313</v>
      </c>
      <c r="F1131" s="21" t="s">
        <v>953</v>
      </c>
      <c r="G1131" s="26" t="s">
        <v>77</v>
      </c>
      <c r="H1131" s="133" t="s">
        <v>1417</v>
      </c>
      <c r="I1131" s="102" t="s">
        <v>78</v>
      </c>
      <c r="J1131" s="101" t="s">
        <v>1418</v>
      </c>
      <c r="K1131" s="115"/>
      <c r="L1131" s="48" t="s">
        <v>1419</v>
      </c>
      <c r="M1131" s="116">
        <v>45208</v>
      </c>
      <c r="N1131" s="116" t="s">
        <v>177</v>
      </c>
      <c r="O1131" s="68">
        <v>4450</v>
      </c>
      <c r="P1131" s="68">
        <v>-46</v>
      </c>
      <c r="Q1131" s="51">
        <f>ROUND(O1131*P1131*22/31,2)</f>
        <v>-145270.97</v>
      </c>
      <c r="R1131" s="31">
        <v>202310</v>
      </c>
      <c r="S1131" s="117" t="s">
        <v>1447</v>
      </c>
      <c r="T1131" s="33"/>
      <c r="U1131" s="118"/>
      <c r="V1131" s="118"/>
      <c r="W1131" s="67"/>
      <c r="X1131" s="67"/>
      <c r="Y1131" s="36"/>
      <c r="Z1131" s="36"/>
      <c r="AA1131" s="36"/>
      <c r="AB1131" s="36"/>
      <c r="AC1131" s="36"/>
      <c r="AD1131" s="36"/>
      <c r="AE1131" s="36"/>
      <c r="AF1131" s="53" t="s">
        <v>68</v>
      </c>
      <c r="AG1131" s="42"/>
      <c r="AH1131" s="42"/>
      <c r="AI1131" s="43"/>
      <c r="AJ1131" s="43"/>
      <c r="AK1131" s="43"/>
      <c r="AL1131" s="43"/>
      <c r="AM1131" s="43"/>
      <c r="AN1131" s="42"/>
      <c r="AO1131" s="42"/>
      <c r="AP1131" s="42"/>
      <c r="AQ1131" s="43"/>
      <c r="AR1131" s="42"/>
      <c r="AS1131" s="42" t="s">
        <v>1420</v>
      </c>
    </row>
    <row r="1132" spans="1:45" ht="15" customHeight="1">
      <c r="A1132" s="21" t="s">
        <v>260</v>
      </c>
      <c r="B1132" s="21" t="s">
        <v>46</v>
      </c>
      <c r="C1132" s="21" t="s">
        <v>188</v>
      </c>
      <c r="D1132" s="21" t="s">
        <v>48</v>
      </c>
      <c r="E1132" s="80" t="s">
        <v>1313</v>
      </c>
      <c r="F1132" s="21" t="s">
        <v>953</v>
      </c>
      <c r="G1132" s="26" t="s">
        <v>77</v>
      </c>
      <c r="H1132" s="133" t="s">
        <v>1417</v>
      </c>
      <c r="I1132" s="102" t="s">
        <v>78</v>
      </c>
      <c r="J1132" s="101" t="s">
        <v>1418</v>
      </c>
      <c r="K1132" s="115"/>
      <c r="L1132" s="48" t="s">
        <v>1419</v>
      </c>
      <c r="M1132" s="116">
        <v>45212</v>
      </c>
      <c r="N1132" s="116" t="s">
        <v>177</v>
      </c>
      <c r="O1132" s="68">
        <v>4450</v>
      </c>
      <c r="P1132" s="68">
        <v>-37</v>
      </c>
      <c r="Q1132" s="51">
        <f>ROUND(O1132*P1132*18/31,2)</f>
        <v>-95603.23</v>
      </c>
      <c r="R1132" s="31">
        <v>202310</v>
      </c>
      <c r="S1132" s="117" t="s">
        <v>1448</v>
      </c>
      <c r="T1132" s="33"/>
      <c r="U1132" s="118"/>
      <c r="V1132" s="118"/>
      <c r="W1132" s="67"/>
      <c r="X1132" s="67"/>
      <c r="Y1132" s="36"/>
      <c r="Z1132" s="36"/>
      <c r="AA1132" s="36"/>
      <c r="AB1132" s="36"/>
      <c r="AC1132" s="36"/>
      <c r="AD1132" s="36"/>
      <c r="AE1132" s="36"/>
      <c r="AF1132" s="53" t="s">
        <v>68</v>
      </c>
      <c r="AG1132" s="42"/>
      <c r="AH1132" s="42"/>
      <c r="AI1132" s="43"/>
      <c r="AJ1132" s="43"/>
      <c r="AK1132" s="43"/>
      <c r="AL1132" s="43"/>
      <c r="AM1132" s="43"/>
      <c r="AN1132" s="42"/>
      <c r="AO1132" s="42"/>
      <c r="AP1132" s="42"/>
      <c r="AQ1132" s="43"/>
      <c r="AR1132" s="42"/>
      <c r="AS1132" s="42" t="s">
        <v>1420</v>
      </c>
    </row>
    <row r="1133" spans="1:45" ht="15" customHeight="1">
      <c r="A1133" s="21" t="s">
        <v>260</v>
      </c>
      <c r="B1133" s="21" t="s">
        <v>46</v>
      </c>
      <c r="C1133" s="21" t="s">
        <v>188</v>
      </c>
      <c r="D1133" s="21" t="s">
        <v>48</v>
      </c>
      <c r="E1133" s="80" t="s">
        <v>1313</v>
      </c>
      <c r="F1133" s="21" t="s">
        <v>953</v>
      </c>
      <c r="G1133" s="26" t="s">
        <v>77</v>
      </c>
      <c r="H1133" s="133" t="s">
        <v>1417</v>
      </c>
      <c r="I1133" s="102" t="s">
        <v>78</v>
      </c>
      <c r="J1133" s="101" t="s">
        <v>1418</v>
      </c>
      <c r="K1133" s="115"/>
      <c r="L1133" s="48" t="s">
        <v>1419</v>
      </c>
      <c r="M1133" s="116">
        <v>45216</v>
      </c>
      <c r="N1133" s="116" t="s">
        <v>177</v>
      </c>
      <c r="O1133" s="68">
        <v>4450</v>
      </c>
      <c r="P1133" s="68">
        <v>-65</v>
      </c>
      <c r="Q1133" s="51">
        <f>ROUND(O1133*P1133*14/31,2)</f>
        <v>-130629.03</v>
      </c>
      <c r="R1133" s="31">
        <v>202310</v>
      </c>
      <c r="S1133" s="117" t="s">
        <v>1449</v>
      </c>
      <c r="T1133" s="33"/>
      <c r="U1133" s="118"/>
      <c r="V1133" s="118"/>
      <c r="W1133" s="67"/>
      <c r="X1133" s="67"/>
      <c r="Y1133" s="36"/>
      <c r="Z1133" s="36"/>
      <c r="AA1133" s="36"/>
      <c r="AB1133" s="36"/>
      <c r="AC1133" s="36"/>
      <c r="AD1133" s="36"/>
      <c r="AE1133" s="36"/>
      <c r="AF1133" s="53" t="s">
        <v>68</v>
      </c>
      <c r="AG1133" s="42"/>
      <c r="AH1133" s="42"/>
      <c r="AI1133" s="43"/>
      <c r="AJ1133" s="43"/>
      <c r="AK1133" s="43"/>
      <c r="AL1133" s="43"/>
      <c r="AM1133" s="43"/>
      <c r="AN1133" s="42"/>
      <c r="AO1133" s="42"/>
      <c r="AP1133" s="42"/>
      <c r="AQ1133" s="43"/>
      <c r="AR1133" s="42"/>
      <c r="AS1133" s="42" t="s">
        <v>1420</v>
      </c>
    </row>
    <row r="1134" spans="1:45" ht="15" customHeight="1">
      <c r="A1134" s="21" t="s">
        <v>260</v>
      </c>
      <c r="B1134" s="21" t="s">
        <v>46</v>
      </c>
      <c r="C1134" s="21" t="s">
        <v>188</v>
      </c>
      <c r="D1134" s="21" t="s">
        <v>48</v>
      </c>
      <c r="E1134" s="80" t="s">
        <v>1313</v>
      </c>
      <c r="F1134" s="21" t="s">
        <v>953</v>
      </c>
      <c r="G1134" s="26" t="s">
        <v>62</v>
      </c>
      <c r="H1134" s="160" t="s">
        <v>1450</v>
      </c>
      <c r="I1134" s="26" t="s">
        <v>64</v>
      </c>
      <c r="J1134" s="101" t="s">
        <v>1451</v>
      </c>
      <c r="K1134" s="115"/>
      <c r="L1134" s="48"/>
      <c r="M1134" s="155">
        <v>44697</v>
      </c>
      <c r="N1134" s="155" t="s">
        <v>66</v>
      </c>
      <c r="O1134" s="61">
        <v>400</v>
      </c>
      <c r="P1134" s="51">
        <v>49.2</v>
      </c>
      <c r="Q1134" s="51">
        <f t="shared" si="28"/>
        <v>19680</v>
      </c>
      <c r="R1134" s="31">
        <v>202310</v>
      </c>
      <c r="S1134" s="117" t="s">
        <v>1452</v>
      </c>
      <c r="T1134" s="33"/>
      <c r="U1134" s="117"/>
      <c r="V1134" s="118"/>
      <c r="W1134" s="67"/>
      <c r="X1134" s="67"/>
      <c r="Y1134" s="36">
        <v>44697</v>
      </c>
      <c r="Z1134" s="36">
        <v>45565</v>
      </c>
      <c r="AA1134" s="36"/>
      <c r="AB1134" s="36"/>
      <c r="AC1134" s="36"/>
      <c r="AD1134" s="36"/>
      <c r="AE1134" s="36"/>
      <c r="AF1134" s="53" t="s">
        <v>68</v>
      </c>
      <c r="AG1134" s="42"/>
      <c r="AH1134" s="42"/>
      <c r="AI1134" s="43"/>
      <c r="AJ1134" s="43"/>
      <c r="AK1134" s="43"/>
      <c r="AL1134" s="43"/>
      <c r="AM1134" s="43"/>
      <c r="AN1134" s="42"/>
      <c r="AO1134" s="42"/>
      <c r="AP1134" s="42"/>
      <c r="AQ1134" s="43"/>
      <c r="AR1134" s="42"/>
      <c r="AS1134" s="42"/>
    </row>
    <row r="1135" spans="1:45" ht="15" customHeight="1">
      <c r="A1135" s="21" t="s">
        <v>260</v>
      </c>
      <c r="B1135" s="21" t="s">
        <v>46</v>
      </c>
      <c r="C1135" s="21" t="s">
        <v>188</v>
      </c>
      <c r="D1135" s="21" t="s">
        <v>48</v>
      </c>
      <c r="E1135" s="80" t="s">
        <v>1313</v>
      </c>
      <c r="F1135" s="21" t="s">
        <v>953</v>
      </c>
      <c r="G1135" s="26" t="s">
        <v>62</v>
      </c>
      <c r="H1135" s="160" t="s">
        <v>1450</v>
      </c>
      <c r="I1135" s="26" t="s">
        <v>64</v>
      </c>
      <c r="J1135" s="101" t="s">
        <v>1451</v>
      </c>
      <c r="K1135" s="115"/>
      <c r="L1135" s="48"/>
      <c r="M1135" s="155">
        <v>44697</v>
      </c>
      <c r="N1135" s="155" t="s">
        <v>66</v>
      </c>
      <c r="O1135" s="61">
        <v>400</v>
      </c>
      <c r="P1135" s="51">
        <v>41</v>
      </c>
      <c r="Q1135" s="51">
        <f t="shared" si="28"/>
        <v>16400</v>
      </c>
      <c r="R1135" s="31">
        <v>202310</v>
      </c>
      <c r="S1135" s="117" t="s">
        <v>1453</v>
      </c>
      <c r="T1135" s="33"/>
      <c r="U1135" s="117"/>
      <c r="V1135" s="118"/>
      <c r="W1135" s="67"/>
      <c r="X1135" s="67"/>
      <c r="Y1135" s="36">
        <v>44697</v>
      </c>
      <c r="Z1135" s="36">
        <v>45565</v>
      </c>
      <c r="AA1135" s="36"/>
      <c r="AB1135" s="36"/>
      <c r="AC1135" s="36"/>
      <c r="AD1135" s="36"/>
      <c r="AE1135" s="36"/>
      <c r="AF1135" s="53" t="s">
        <v>68</v>
      </c>
      <c r="AG1135" s="42"/>
      <c r="AH1135" s="42"/>
      <c r="AI1135" s="43"/>
      <c r="AJ1135" s="43"/>
      <c r="AK1135" s="43"/>
      <c r="AL1135" s="43"/>
      <c r="AM1135" s="43"/>
      <c r="AN1135" s="42"/>
      <c r="AO1135" s="42"/>
      <c r="AP1135" s="42"/>
      <c r="AQ1135" s="43"/>
      <c r="AR1135" s="42"/>
      <c r="AS1135" s="42"/>
    </row>
    <row r="1136" spans="1:45" ht="15" customHeight="1">
      <c r="A1136" s="21" t="s">
        <v>260</v>
      </c>
      <c r="B1136" s="21" t="s">
        <v>46</v>
      </c>
      <c r="C1136" s="21" t="s">
        <v>188</v>
      </c>
      <c r="D1136" s="21" t="s">
        <v>48</v>
      </c>
      <c r="E1136" s="80" t="s">
        <v>1313</v>
      </c>
      <c r="F1136" s="21" t="s">
        <v>953</v>
      </c>
      <c r="G1136" s="26" t="s">
        <v>62</v>
      </c>
      <c r="H1136" s="160" t="s">
        <v>1450</v>
      </c>
      <c r="I1136" s="26" t="s">
        <v>64</v>
      </c>
      <c r="J1136" s="101" t="s">
        <v>1454</v>
      </c>
      <c r="K1136" s="115"/>
      <c r="L1136" s="48"/>
      <c r="M1136" s="155">
        <v>44707</v>
      </c>
      <c r="N1136" s="155" t="s">
        <v>66</v>
      </c>
      <c r="O1136" s="61">
        <v>400</v>
      </c>
      <c r="P1136" s="51">
        <v>74.5</v>
      </c>
      <c r="Q1136" s="51">
        <f t="shared" si="28"/>
        <v>29800</v>
      </c>
      <c r="R1136" s="31">
        <v>202310</v>
      </c>
      <c r="S1136" s="117" t="s">
        <v>1454</v>
      </c>
      <c r="T1136" s="33"/>
      <c r="U1136" s="117"/>
      <c r="V1136" s="118"/>
      <c r="W1136" s="67"/>
      <c r="X1136" s="67"/>
      <c r="Y1136" s="36">
        <v>44697</v>
      </c>
      <c r="Z1136" s="36">
        <v>45565</v>
      </c>
      <c r="AA1136" s="36"/>
      <c r="AB1136" s="36"/>
      <c r="AC1136" s="36"/>
      <c r="AD1136" s="36"/>
      <c r="AE1136" s="36"/>
      <c r="AF1136" s="53" t="s">
        <v>68</v>
      </c>
      <c r="AG1136" s="42"/>
      <c r="AH1136" s="42"/>
      <c r="AI1136" s="43"/>
      <c r="AJ1136" s="43"/>
      <c r="AK1136" s="43"/>
      <c r="AL1136" s="43"/>
      <c r="AM1136" s="43"/>
      <c r="AN1136" s="42"/>
      <c r="AO1136" s="42"/>
      <c r="AP1136" s="42"/>
      <c r="AQ1136" s="43"/>
      <c r="AR1136" s="42"/>
      <c r="AS1136" s="42"/>
    </row>
    <row r="1137" spans="1:45" ht="15" customHeight="1">
      <c r="A1137" s="21" t="s">
        <v>260</v>
      </c>
      <c r="B1137" s="21" t="s">
        <v>46</v>
      </c>
      <c r="C1137" s="21" t="s">
        <v>188</v>
      </c>
      <c r="D1137" s="21" t="s">
        <v>48</v>
      </c>
      <c r="E1137" s="80" t="s">
        <v>1313</v>
      </c>
      <c r="F1137" s="21" t="s">
        <v>953</v>
      </c>
      <c r="G1137" s="26" t="s">
        <v>62</v>
      </c>
      <c r="H1137" s="160" t="s">
        <v>1450</v>
      </c>
      <c r="I1137" s="26" t="s">
        <v>64</v>
      </c>
      <c r="J1137" s="101" t="s">
        <v>1454</v>
      </c>
      <c r="K1137" s="115"/>
      <c r="L1137" s="48"/>
      <c r="M1137" s="155">
        <v>44707</v>
      </c>
      <c r="N1137" s="155" t="s">
        <v>66</v>
      </c>
      <c r="O1137" s="61">
        <v>400</v>
      </c>
      <c r="P1137" s="51">
        <v>93.8</v>
      </c>
      <c r="Q1137" s="51">
        <f t="shared" si="28"/>
        <v>37520</v>
      </c>
      <c r="R1137" s="31">
        <v>202310</v>
      </c>
      <c r="S1137" s="117" t="s">
        <v>1454</v>
      </c>
      <c r="T1137" s="33"/>
      <c r="U1137" s="117"/>
      <c r="V1137" s="118"/>
      <c r="W1137" s="67"/>
      <c r="X1137" s="67"/>
      <c r="Y1137" s="36">
        <v>44697</v>
      </c>
      <c r="Z1137" s="36">
        <v>45565</v>
      </c>
      <c r="AA1137" s="36"/>
      <c r="AB1137" s="36"/>
      <c r="AC1137" s="36"/>
      <c r="AD1137" s="36"/>
      <c r="AE1137" s="36"/>
      <c r="AF1137" s="53" t="s">
        <v>68</v>
      </c>
      <c r="AG1137" s="42"/>
      <c r="AH1137" s="42"/>
      <c r="AI1137" s="43"/>
      <c r="AJ1137" s="43"/>
      <c r="AK1137" s="43"/>
      <c r="AL1137" s="43"/>
      <c r="AM1137" s="43"/>
      <c r="AN1137" s="42"/>
      <c r="AO1137" s="42"/>
      <c r="AP1137" s="42"/>
      <c r="AQ1137" s="43"/>
      <c r="AR1137" s="42"/>
      <c r="AS1137" s="42"/>
    </row>
    <row r="1138" spans="1:45" ht="15" customHeight="1">
      <c r="A1138" s="21" t="s">
        <v>260</v>
      </c>
      <c r="B1138" s="21" t="s">
        <v>46</v>
      </c>
      <c r="C1138" s="21" t="s">
        <v>188</v>
      </c>
      <c r="D1138" s="21" t="s">
        <v>48</v>
      </c>
      <c r="E1138" s="80" t="s">
        <v>1313</v>
      </c>
      <c r="F1138" s="21" t="s">
        <v>953</v>
      </c>
      <c r="G1138" s="101" t="s">
        <v>77</v>
      </c>
      <c r="H1138" s="25" t="s">
        <v>1455</v>
      </c>
      <c r="I1138" s="102" t="s">
        <v>78</v>
      </c>
      <c r="J1138" s="101" t="s">
        <v>1456</v>
      </c>
      <c r="K1138" s="115"/>
      <c r="L1138" s="48" t="s">
        <v>364</v>
      </c>
      <c r="M1138" s="116" t="s">
        <v>340</v>
      </c>
      <c r="N1138" s="116" t="s">
        <v>177</v>
      </c>
      <c r="O1138" s="68">
        <v>4169</v>
      </c>
      <c r="P1138" s="68">
        <v>1800</v>
      </c>
      <c r="Q1138" s="51">
        <f t="shared" si="28"/>
        <v>7504200</v>
      </c>
      <c r="R1138" s="31">
        <v>202310</v>
      </c>
      <c r="S1138" s="117"/>
      <c r="T1138" s="33"/>
      <c r="U1138" s="25"/>
      <c r="V1138" s="118"/>
      <c r="W1138" s="67"/>
      <c r="X1138" s="67"/>
      <c r="Y1138" s="36"/>
      <c r="Z1138" s="36"/>
      <c r="AA1138" s="36"/>
      <c r="AB1138" s="36"/>
      <c r="AC1138" s="36"/>
      <c r="AD1138" s="36"/>
      <c r="AE1138" s="36"/>
      <c r="AF1138" s="53" t="s">
        <v>68</v>
      </c>
      <c r="AG1138" s="42"/>
      <c r="AH1138" s="42"/>
      <c r="AI1138" s="43"/>
      <c r="AJ1138" s="43"/>
      <c r="AK1138" s="43"/>
      <c r="AL1138" s="43"/>
      <c r="AM1138" s="43"/>
      <c r="AN1138" s="42"/>
      <c r="AO1138" s="42"/>
      <c r="AP1138" s="42"/>
      <c r="AQ1138" s="43"/>
      <c r="AR1138" s="42"/>
      <c r="AS1138" s="42"/>
    </row>
    <row r="1139" spans="1:45" ht="15" customHeight="1">
      <c r="A1139" s="21" t="s">
        <v>260</v>
      </c>
      <c r="B1139" s="21" t="s">
        <v>46</v>
      </c>
      <c r="C1139" s="21" t="s">
        <v>188</v>
      </c>
      <c r="D1139" s="21" t="s">
        <v>48</v>
      </c>
      <c r="E1139" s="80" t="s">
        <v>1313</v>
      </c>
      <c r="F1139" s="21" t="s">
        <v>953</v>
      </c>
      <c r="G1139" s="101" t="s">
        <v>77</v>
      </c>
      <c r="H1139" s="25" t="s">
        <v>1455</v>
      </c>
      <c r="I1139" s="102" t="s">
        <v>78</v>
      </c>
      <c r="J1139" s="101" t="s">
        <v>1456</v>
      </c>
      <c r="K1139" s="115"/>
      <c r="L1139" s="48" t="s">
        <v>364</v>
      </c>
      <c r="M1139" s="116">
        <v>44658</v>
      </c>
      <c r="N1139" s="116" t="s">
        <v>177</v>
      </c>
      <c r="O1139" s="68">
        <v>4169</v>
      </c>
      <c r="P1139" s="68">
        <v>-2</v>
      </c>
      <c r="Q1139" s="51">
        <f t="shared" si="28"/>
        <v>-8338</v>
      </c>
      <c r="R1139" s="31">
        <v>202310</v>
      </c>
      <c r="S1139" s="117" t="s">
        <v>1457</v>
      </c>
      <c r="T1139" s="33"/>
      <c r="U1139" s="25"/>
      <c r="V1139" s="118"/>
      <c r="W1139" s="67"/>
      <c r="X1139" s="67"/>
      <c r="Y1139" s="36"/>
      <c r="Z1139" s="36"/>
      <c r="AA1139" s="36"/>
      <c r="AB1139" s="36"/>
      <c r="AC1139" s="36"/>
      <c r="AD1139" s="36"/>
      <c r="AE1139" s="36"/>
      <c r="AF1139" s="53" t="s">
        <v>68</v>
      </c>
      <c r="AG1139" s="42"/>
      <c r="AH1139" s="42"/>
      <c r="AI1139" s="43"/>
      <c r="AJ1139" s="43"/>
      <c r="AK1139" s="43"/>
      <c r="AL1139" s="43"/>
      <c r="AM1139" s="43"/>
      <c r="AN1139" s="42"/>
      <c r="AO1139" s="42"/>
      <c r="AP1139" s="42"/>
      <c r="AQ1139" s="43"/>
      <c r="AR1139" s="42"/>
      <c r="AS1139" s="42"/>
    </row>
    <row r="1140" spans="1:45" ht="15" customHeight="1">
      <c r="A1140" s="21" t="s">
        <v>260</v>
      </c>
      <c r="B1140" s="21" t="s">
        <v>46</v>
      </c>
      <c r="C1140" s="21" t="s">
        <v>188</v>
      </c>
      <c r="D1140" s="21" t="s">
        <v>48</v>
      </c>
      <c r="E1140" s="80" t="s">
        <v>1313</v>
      </c>
      <c r="F1140" s="21" t="s">
        <v>953</v>
      </c>
      <c r="G1140" s="101" t="s">
        <v>77</v>
      </c>
      <c r="H1140" s="25" t="s">
        <v>1455</v>
      </c>
      <c r="I1140" s="102" t="s">
        <v>78</v>
      </c>
      <c r="J1140" s="101" t="s">
        <v>1456</v>
      </c>
      <c r="K1140" s="115"/>
      <c r="L1140" s="48" t="s">
        <v>364</v>
      </c>
      <c r="M1140" s="116">
        <v>44865</v>
      </c>
      <c r="N1140" s="116" t="s">
        <v>177</v>
      </c>
      <c r="O1140" s="68">
        <v>4169</v>
      </c>
      <c r="P1140" s="68">
        <v>-10</v>
      </c>
      <c r="Q1140" s="51">
        <f t="shared" si="28"/>
        <v>-41690</v>
      </c>
      <c r="R1140" s="31">
        <v>202310</v>
      </c>
      <c r="S1140" s="117" t="s">
        <v>1458</v>
      </c>
      <c r="T1140" s="33"/>
      <c r="U1140" s="25"/>
      <c r="V1140" s="118"/>
      <c r="W1140" s="67"/>
      <c r="X1140" s="67"/>
      <c r="Y1140" s="36"/>
      <c r="Z1140" s="36"/>
      <c r="AA1140" s="36"/>
      <c r="AB1140" s="36"/>
      <c r="AC1140" s="36"/>
      <c r="AD1140" s="36"/>
      <c r="AE1140" s="36"/>
      <c r="AF1140" s="53" t="s">
        <v>68</v>
      </c>
      <c r="AG1140" s="42"/>
      <c r="AH1140" s="42"/>
      <c r="AI1140" s="43"/>
      <c r="AJ1140" s="43"/>
      <c r="AK1140" s="43"/>
      <c r="AL1140" s="43"/>
      <c r="AM1140" s="43"/>
      <c r="AN1140" s="42"/>
      <c r="AO1140" s="42"/>
      <c r="AP1140" s="42"/>
      <c r="AQ1140" s="43"/>
      <c r="AR1140" s="42"/>
      <c r="AS1140" s="42"/>
    </row>
    <row r="1141" spans="1:45" ht="15" customHeight="1">
      <c r="A1141" s="21" t="s">
        <v>260</v>
      </c>
      <c r="B1141" s="21" t="s">
        <v>46</v>
      </c>
      <c r="C1141" s="21" t="s">
        <v>188</v>
      </c>
      <c r="D1141" s="21" t="s">
        <v>48</v>
      </c>
      <c r="E1141" s="80" t="s">
        <v>1313</v>
      </c>
      <c r="F1141" s="21" t="s">
        <v>953</v>
      </c>
      <c r="G1141" s="101" t="s">
        <v>77</v>
      </c>
      <c r="H1141" s="25" t="s">
        <v>1455</v>
      </c>
      <c r="I1141" s="102" t="s">
        <v>78</v>
      </c>
      <c r="J1141" s="101" t="s">
        <v>1456</v>
      </c>
      <c r="K1141" s="115"/>
      <c r="L1141" s="48" t="s">
        <v>364</v>
      </c>
      <c r="M1141" s="116">
        <v>44875</v>
      </c>
      <c r="N1141" s="116" t="s">
        <v>177</v>
      </c>
      <c r="O1141" s="68">
        <v>4169</v>
      </c>
      <c r="P1141" s="68">
        <v>-59</v>
      </c>
      <c r="Q1141" s="51">
        <f t="shared" si="28"/>
        <v>-245971</v>
      </c>
      <c r="R1141" s="31">
        <v>202310</v>
      </c>
      <c r="S1141" s="117" t="s">
        <v>1459</v>
      </c>
      <c r="T1141" s="33"/>
      <c r="U1141" s="25"/>
      <c r="V1141" s="118"/>
      <c r="W1141" s="67"/>
      <c r="X1141" s="67"/>
      <c r="Y1141" s="36"/>
      <c r="Z1141" s="36"/>
      <c r="AA1141" s="36"/>
      <c r="AB1141" s="36"/>
      <c r="AC1141" s="36"/>
      <c r="AD1141" s="36"/>
      <c r="AE1141" s="36"/>
      <c r="AF1141" s="53" t="s">
        <v>68</v>
      </c>
      <c r="AG1141" s="42"/>
      <c r="AH1141" s="42"/>
      <c r="AI1141" s="43"/>
      <c r="AJ1141" s="43"/>
      <c r="AK1141" s="43"/>
      <c r="AL1141" s="43"/>
      <c r="AM1141" s="43"/>
      <c r="AN1141" s="42"/>
      <c r="AO1141" s="42"/>
      <c r="AP1141" s="42"/>
      <c r="AQ1141" s="43"/>
      <c r="AR1141" s="42"/>
      <c r="AS1141" s="42"/>
    </row>
    <row r="1142" spans="1:45" ht="15" customHeight="1">
      <c r="A1142" s="21" t="s">
        <v>260</v>
      </c>
      <c r="B1142" s="21" t="s">
        <v>46</v>
      </c>
      <c r="C1142" s="21" t="s">
        <v>188</v>
      </c>
      <c r="D1142" s="21" t="s">
        <v>48</v>
      </c>
      <c r="E1142" s="80" t="s">
        <v>1313</v>
      </c>
      <c r="F1142" s="21" t="s">
        <v>953</v>
      </c>
      <c r="G1142" s="101" t="s">
        <v>77</v>
      </c>
      <c r="H1142" s="25" t="s">
        <v>1455</v>
      </c>
      <c r="I1142" s="102" t="s">
        <v>78</v>
      </c>
      <c r="J1142" s="101" t="s">
        <v>1456</v>
      </c>
      <c r="K1142" s="115"/>
      <c r="L1142" s="48" t="s">
        <v>364</v>
      </c>
      <c r="M1142" s="116">
        <v>44880</v>
      </c>
      <c r="N1142" s="116" t="s">
        <v>177</v>
      </c>
      <c r="O1142" s="68">
        <v>4169</v>
      </c>
      <c r="P1142" s="68">
        <v>-24</v>
      </c>
      <c r="Q1142" s="51">
        <f t="shared" si="28"/>
        <v>-100056</v>
      </c>
      <c r="R1142" s="31">
        <v>202310</v>
      </c>
      <c r="S1142" s="117" t="s">
        <v>1460</v>
      </c>
      <c r="T1142" s="33"/>
      <c r="U1142" s="25"/>
      <c r="V1142" s="118"/>
      <c r="W1142" s="67"/>
      <c r="X1142" s="67"/>
      <c r="Y1142" s="36"/>
      <c r="Z1142" s="36"/>
      <c r="AA1142" s="36"/>
      <c r="AB1142" s="36"/>
      <c r="AC1142" s="36"/>
      <c r="AD1142" s="36"/>
      <c r="AE1142" s="36"/>
      <c r="AF1142" s="53" t="s">
        <v>68</v>
      </c>
      <c r="AG1142" s="42"/>
      <c r="AH1142" s="42"/>
      <c r="AI1142" s="43"/>
      <c r="AJ1142" s="43"/>
      <c r="AK1142" s="43"/>
      <c r="AL1142" s="43"/>
      <c r="AM1142" s="43"/>
      <c r="AN1142" s="42"/>
      <c r="AO1142" s="42"/>
      <c r="AP1142" s="42"/>
      <c r="AQ1142" s="43"/>
      <c r="AR1142" s="42"/>
      <c r="AS1142" s="42"/>
    </row>
    <row r="1143" spans="1:45" ht="15" customHeight="1">
      <c r="A1143" s="21" t="s">
        <v>260</v>
      </c>
      <c r="B1143" s="21" t="s">
        <v>46</v>
      </c>
      <c r="C1143" s="21" t="s">
        <v>188</v>
      </c>
      <c r="D1143" s="21" t="s">
        <v>48</v>
      </c>
      <c r="E1143" s="80" t="s">
        <v>1313</v>
      </c>
      <c r="F1143" s="21" t="s">
        <v>953</v>
      </c>
      <c r="G1143" s="101" t="s">
        <v>77</v>
      </c>
      <c r="H1143" s="25" t="s">
        <v>1455</v>
      </c>
      <c r="I1143" s="102" t="s">
        <v>78</v>
      </c>
      <c r="J1143" s="101" t="s">
        <v>1456</v>
      </c>
      <c r="K1143" s="115"/>
      <c r="L1143" s="48" t="s">
        <v>364</v>
      </c>
      <c r="M1143" s="116">
        <v>45054</v>
      </c>
      <c r="N1143" s="116" t="s">
        <v>177</v>
      </c>
      <c r="O1143" s="68">
        <v>4169</v>
      </c>
      <c r="P1143" s="68">
        <v>24</v>
      </c>
      <c r="Q1143" s="51">
        <f t="shared" si="28"/>
        <v>100056</v>
      </c>
      <c r="R1143" s="31">
        <v>202310</v>
      </c>
      <c r="S1143" s="117" t="s">
        <v>1460</v>
      </c>
      <c r="T1143" s="33"/>
      <c r="U1143" s="25"/>
      <c r="V1143" s="118"/>
      <c r="W1143" s="67"/>
      <c r="X1143" s="67"/>
      <c r="Y1143" s="36"/>
      <c r="Z1143" s="36"/>
      <c r="AA1143" s="36"/>
      <c r="AB1143" s="36"/>
      <c r="AC1143" s="36"/>
      <c r="AD1143" s="36"/>
      <c r="AE1143" s="36"/>
      <c r="AF1143" s="53" t="s">
        <v>68</v>
      </c>
      <c r="AG1143" s="42"/>
      <c r="AH1143" s="42"/>
      <c r="AI1143" s="43"/>
      <c r="AJ1143" s="43"/>
      <c r="AK1143" s="43"/>
      <c r="AL1143" s="43"/>
      <c r="AM1143" s="43"/>
      <c r="AN1143" s="42"/>
      <c r="AO1143" s="42"/>
      <c r="AP1143" s="42"/>
      <c r="AQ1143" s="43"/>
      <c r="AR1143" s="42"/>
      <c r="AS1143" s="42"/>
    </row>
    <row r="1144" spans="1:45" ht="15" customHeight="1">
      <c r="A1144" s="21" t="s">
        <v>260</v>
      </c>
      <c r="B1144" s="21" t="s">
        <v>46</v>
      </c>
      <c r="C1144" s="21" t="s">
        <v>188</v>
      </c>
      <c r="D1144" s="21" t="s">
        <v>48</v>
      </c>
      <c r="E1144" s="80" t="s">
        <v>1313</v>
      </c>
      <c r="F1144" s="21" t="s">
        <v>953</v>
      </c>
      <c r="G1144" s="101" t="s">
        <v>77</v>
      </c>
      <c r="H1144" s="25" t="s">
        <v>1455</v>
      </c>
      <c r="I1144" s="102" t="s">
        <v>78</v>
      </c>
      <c r="J1144" s="101" t="s">
        <v>1456</v>
      </c>
      <c r="K1144" s="115"/>
      <c r="L1144" s="48" t="s">
        <v>364</v>
      </c>
      <c r="M1144" s="116">
        <v>45082</v>
      </c>
      <c r="N1144" s="116" t="s">
        <v>177</v>
      </c>
      <c r="O1144" s="68">
        <v>4169</v>
      </c>
      <c r="P1144" s="68">
        <v>-26</v>
      </c>
      <c r="Q1144" s="51">
        <f t="shared" si="28"/>
        <v>-108394</v>
      </c>
      <c r="R1144" s="31">
        <v>202310</v>
      </c>
      <c r="S1144" s="117" t="s">
        <v>1461</v>
      </c>
      <c r="T1144" s="33"/>
      <c r="U1144" s="25"/>
      <c r="V1144" s="118"/>
      <c r="W1144" s="67"/>
      <c r="X1144" s="67"/>
      <c r="Y1144" s="36"/>
      <c r="Z1144" s="36"/>
      <c r="AA1144" s="36"/>
      <c r="AB1144" s="36"/>
      <c r="AC1144" s="36"/>
      <c r="AD1144" s="36"/>
      <c r="AE1144" s="36"/>
      <c r="AF1144" s="53" t="s">
        <v>68</v>
      </c>
      <c r="AG1144" s="42"/>
      <c r="AH1144" s="42"/>
      <c r="AI1144" s="43"/>
      <c r="AJ1144" s="43"/>
      <c r="AK1144" s="43"/>
      <c r="AL1144" s="43"/>
      <c r="AM1144" s="43"/>
      <c r="AN1144" s="42"/>
      <c r="AO1144" s="42"/>
      <c r="AP1144" s="42"/>
      <c r="AQ1144" s="43"/>
      <c r="AR1144" s="42"/>
      <c r="AS1144" s="42"/>
    </row>
    <row r="1145" spans="1:45" ht="15" customHeight="1">
      <c r="A1145" s="21" t="s">
        <v>260</v>
      </c>
      <c r="B1145" s="21" t="s">
        <v>46</v>
      </c>
      <c r="C1145" s="21" t="s">
        <v>188</v>
      </c>
      <c r="D1145" s="21" t="s">
        <v>48</v>
      </c>
      <c r="E1145" s="80" t="s">
        <v>1313</v>
      </c>
      <c r="F1145" s="21" t="s">
        <v>953</v>
      </c>
      <c r="G1145" s="101" t="s">
        <v>77</v>
      </c>
      <c r="H1145" s="25" t="s">
        <v>1455</v>
      </c>
      <c r="I1145" s="102" t="s">
        <v>78</v>
      </c>
      <c r="J1145" s="101" t="s">
        <v>1456</v>
      </c>
      <c r="K1145" s="115"/>
      <c r="L1145" s="48" t="s">
        <v>364</v>
      </c>
      <c r="M1145" s="116">
        <v>45199</v>
      </c>
      <c r="N1145" s="116" t="s">
        <v>177</v>
      </c>
      <c r="O1145" s="68">
        <v>4169</v>
      </c>
      <c r="P1145" s="119">
        <v>-1526</v>
      </c>
      <c r="Q1145" s="51">
        <f t="shared" si="28"/>
        <v>-6361894</v>
      </c>
      <c r="R1145" s="31">
        <v>202310</v>
      </c>
      <c r="S1145" s="117" t="s">
        <v>1462</v>
      </c>
      <c r="T1145" s="33"/>
      <c r="U1145" s="25" t="s">
        <v>606</v>
      </c>
      <c r="V1145" s="118"/>
      <c r="W1145" s="67"/>
      <c r="X1145" s="67"/>
      <c r="Y1145" s="36"/>
      <c r="Z1145" s="36"/>
      <c r="AA1145" s="36"/>
      <c r="AB1145" s="36"/>
      <c r="AC1145" s="36"/>
      <c r="AD1145" s="36"/>
      <c r="AE1145" s="36"/>
      <c r="AF1145" s="53" t="s">
        <v>68</v>
      </c>
      <c r="AG1145" s="42"/>
      <c r="AH1145" s="42"/>
      <c r="AI1145" s="43"/>
      <c r="AJ1145" s="43"/>
      <c r="AK1145" s="43"/>
      <c r="AL1145" s="43"/>
      <c r="AM1145" s="43"/>
      <c r="AN1145" s="42"/>
      <c r="AO1145" s="42"/>
      <c r="AP1145" s="42"/>
      <c r="AQ1145" s="43"/>
      <c r="AR1145" s="42"/>
      <c r="AS1145" s="42"/>
    </row>
    <row r="1146" spans="1:45" ht="15" customHeight="1">
      <c r="A1146" s="21" t="s">
        <v>260</v>
      </c>
      <c r="B1146" s="21" t="s">
        <v>46</v>
      </c>
      <c r="C1146" s="21" t="s">
        <v>188</v>
      </c>
      <c r="D1146" s="21" t="s">
        <v>48</v>
      </c>
      <c r="E1146" s="80" t="s">
        <v>1313</v>
      </c>
      <c r="F1146" s="21" t="s">
        <v>953</v>
      </c>
      <c r="G1146" s="101" t="s">
        <v>77</v>
      </c>
      <c r="H1146" s="25" t="s">
        <v>1455</v>
      </c>
      <c r="I1146" s="102" t="s">
        <v>78</v>
      </c>
      <c r="J1146" s="101" t="s">
        <v>1456</v>
      </c>
      <c r="K1146" s="115"/>
      <c r="L1146" s="48" t="s">
        <v>364</v>
      </c>
      <c r="M1146" s="116">
        <v>45199</v>
      </c>
      <c r="N1146" s="116" t="s">
        <v>177</v>
      </c>
      <c r="O1146" s="68">
        <v>4169</v>
      </c>
      <c r="P1146" s="119">
        <v>-99</v>
      </c>
      <c r="Q1146" s="51">
        <f t="shared" si="28"/>
        <v>-412731</v>
      </c>
      <c r="R1146" s="31">
        <v>202310</v>
      </c>
      <c r="S1146" s="117" t="s">
        <v>1463</v>
      </c>
      <c r="T1146" s="33"/>
      <c r="U1146" s="25" t="s">
        <v>606</v>
      </c>
      <c r="V1146" s="118"/>
      <c r="W1146" s="67"/>
      <c r="X1146" s="67"/>
      <c r="Y1146" s="36"/>
      <c r="Z1146" s="36"/>
      <c r="AA1146" s="36"/>
      <c r="AB1146" s="36"/>
      <c r="AC1146" s="36"/>
      <c r="AD1146" s="36"/>
      <c r="AE1146" s="36"/>
      <c r="AF1146" s="53" t="s">
        <v>68</v>
      </c>
      <c r="AG1146" s="42"/>
      <c r="AH1146" s="42"/>
      <c r="AI1146" s="43"/>
      <c r="AJ1146" s="43"/>
      <c r="AK1146" s="43"/>
      <c r="AL1146" s="43"/>
      <c r="AM1146" s="43"/>
      <c r="AN1146" s="42"/>
      <c r="AO1146" s="42"/>
      <c r="AP1146" s="42"/>
      <c r="AQ1146" s="43"/>
      <c r="AR1146" s="42"/>
      <c r="AS1146" s="42"/>
    </row>
    <row r="1147" spans="1:45" ht="15" customHeight="1">
      <c r="A1147" s="21" t="s">
        <v>260</v>
      </c>
      <c r="B1147" s="21" t="s">
        <v>46</v>
      </c>
      <c r="C1147" s="21" t="s">
        <v>188</v>
      </c>
      <c r="D1147" s="21" t="s">
        <v>48</v>
      </c>
      <c r="E1147" s="80" t="s">
        <v>1313</v>
      </c>
      <c r="F1147" s="21" t="s">
        <v>953</v>
      </c>
      <c r="G1147" s="101" t="s">
        <v>77</v>
      </c>
      <c r="H1147" s="25" t="s">
        <v>1455</v>
      </c>
      <c r="I1147" s="102" t="s">
        <v>78</v>
      </c>
      <c r="J1147" s="101" t="s">
        <v>1456</v>
      </c>
      <c r="K1147" s="115"/>
      <c r="L1147" s="48" t="s">
        <v>364</v>
      </c>
      <c r="M1147" s="116">
        <v>45199</v>
      </c>
      <c r="N1147" s="116" t="s">
        <v>177</v>
      </c>
      <c r="O1147" s="68">
        <v>4169</v>
      </c>
      <c r="P1147" s="119">
        <v>-5</v>
      </c>
      <c r="Q1147" s="51">
        <f t="shared" si="28"/>
        <v>-20845</v>
      </c>
      <c r="R1147" s="31">
        <v>202310</v>
      </c>
      <c r="S1147" s="117" t="s">
        <v>1464</v>
      </c>
      <c r="T1147" s="33"/>
      <c r="U1147" s="25" t="s">
        <v>606</v>
      </c>
      <c r="V1147" s="118"/>
      <c r="W1147" s="67"/>
      <c r="X1147" s="67"/>
      <c r="Y1147" s="36"/>
      <c r="Z1147" s="36"/>
      <c r="AA1147" s="36"/>
      <c r="AB1147" s="36"/>
      <c r="AC1147" s="36"/>
      <c r="AD1147" s="36"/>
      <c r="AE1147" s="36"/>
      <c r="AF1147" s="53" t="s">
        <v>68</v>
      </c>
      <c r="AG1147" s="42"/>
      <c r="AH1147" s="42"/>
      <c r="AI1147" s="43"/>
      <c r="AJ1147" s="43"/>
      <c r="AK1147" s="43"/>
      <c r="AL1147" s="43"/>
      <c r="AM1147" s="43"/>
      <c r="AN1147" s="42"/>
      <c r="AO1147" s="42"/>
      <c r="AP1147" s="42"/>
      <c r="AQ1147" s="43"/>
      <c r="AR1147" s="42"/>
      <c r="AS1147" s="42"/>
    </row>
    <row r="1148" spans="1:45" ht="15" customHeight="1">
      <c r="A1148" s="21" t="s">
        <v>260</v>
      </c>
      <c r="B1148" s="21" t="s">
        <v>46</v>
      </c>
      <c r="C1148" s="21" t="s">
        <v>188</v>
      </c>
      <c r="D1148" s="21" t="s">
        <v>48</v>
      </c>
      <c r="E1148" s="80" t="s">
        <v>1313</v>
      </c>
      <c r="F1148" s="21" t="s">
        <v>953</v>
      </c>
      <c r="G1148" s="101" t="s">
        <v>77</v>
      </c>
      <c r="H1148" s="25" t="s">
        <v>1455</v>
      </c>
      <c r="I1148" s="102" t="s">
        <v>78</v>
      </c>
      <c r="J1148" s="101" t="s">
        <v>1456</v>
      </c>
      <c r="K1148" s="115"/>
      <c r="L1148" s="48" t="s">
        <v>364</v>
      </c>
      <c r="M1148" s="116">
        <v>45199</v>
      </c>
      <c r="N1148" s="116" t="s">
        <v>177</v>
      </c>
      <c r="O1148" s="68">
        <v>4169</v>
      </c>
      <c r="P1148" s="119">
        <v>-14</v>
      </c>
      <c r="Q1148" s="51">
        <f t="shared" si="28"/>
        <v>-58366</v>
      </c>
      <c r="R1148" s="31">
        <v>202310</v>
      </c>
      <c r="S1148" s="117" t="s">
        <v>1465</v>
      </c>
      <c r="T1148" s="33"/>
      <c r="U1148" s="25" t="s">
        <v>606</v>
      </c>
      <c r="V1148" s="118"/>
      <c r="W1148" s="67"/>
      <c r="X1148" s="67"/>
      <c r="Y1148" s="36"/>
      <c r="Z1148" s="36"/>
      <c r="AA1148" s="36"/>
      <c r="AB1148" s="36"/>
      <c r="AC1148" s="36"/>
      <c r="AD1148" s="36"/>
      <c r="AE1148" s="36"/>
      <c r="AF1148" s="53" t="s">
        <v>68</v>
      </c>
      <c r="AG1148" s="42"/>
      <c r="AH1148" s="42"/>
      <c r="AI1148" s="43"/>
      <c r="AJ1148" s="43"/>
      <c r="AK1148" s="43"/>
      <c r="AL1148" s="43"/>
      <c r="AM1148" s="43"/>
      <c r="AN1148" s="42"/>
      <c r="AO1148" s="42"/>
      <c r="AP1148" s="42"/>
      <c r="AQ1148" s="43"/>
      <c r="AR1148" s="42"/>
      <c r="AS1148" s="42"/>
    </row>
    <row r="1149" spans="1:45" ht="15" customHeight="1">
      <c r="A1149" s="21" t="s">
        <v>260</v>
      </c>
      <c r="B1149" s="21" t="s">
        <v>46</v>
      </c>
      <c r="C1149" s="21" t="s">
        <v>188</v>
      </c>
      <c r="D1149" s="21" t="s">
        <v>48</v>
      </c>
      <c r="E1149" s="80" t="s">
        <v>1313</v>
      </c>
      <c r="F1149" s="21" t="s">
        <v>953</v>
      </c>
      <c r="G1149" s="101" t="s">
        <v>77</v>
      </c>
      <c r="H1149" s="25" t="s">
        <v>1455</v>
      </c>
      <c r="I1149" s="102" t="s">
        <v>78</v>
      </c>
      <c r="J1149" s="101" t="s">
        <v>1456</v>
      </c>
      <c r="K1149" s="115"/>
      <c r="L1149" s="48" t="s">
        <v>364</v>
      </c>
      <c r="M1149" s="116">
        <v>45199</v>
      </c>
      <c r="N1149" s="116" t="s">
        <v>177</v>
      </c>
      <c r="O1149" s="68">
        <v>4169</v>
      </c>
      <c r="P1149" s="119">
        <v>-7</v>
      </c>
      <c r="Q1149" s="51">
        <f t="shared" si="28"/>
        <v>-29183</v>
      </c>
      <c r="R1149" s="31">
        <v>202310</v>
      </c>
      <c r="S1149" s="117" t="s">
        <v>1466</v>
      </c>
      <c r="T1149" s="33"/>
      <c r="U1149" s="25" t="s">
        <v>606</v>
      </c>
      <c r="V1149" s="118"/>
      <c r="W1149" s="67"/>
      <c r="X1149" s="67"/>
      <c r="Y1149" s="36"/>
      <c r="Z1149" s="36"/>
      <c r="AA1149" s="36"/>
      <c r="AB1149" s="36"/>
      <c r="AC1149" s="36"/>
      <c r="AD1149" s="36"/>
      <c r="AE1149" s="36"/>
      <c r="AF1149" s="53" t="s">
        <v>68</v>
      </c>
      <c r="AG1149" s="42"/>
      <c r="AH1149" s="42"/>
      <c r="AI1149" s="43"/>
      <c r="AJ1149" s="43"/>
      <c r="AK1149" s="43"/>
      <c r="AL1149" s="43"/>
      <c r="AM1149" s="43"/>
      <c r="AN1149" s="42"/>
      <c r="AO1149" s="42"/>
      <c r="AP1149" s="42"/>
      <c r="AQ1149" s="43"/>
      <c r="AR1149" s="42"/>
      <c r="AS1149" s="42"/>
    </row>
    <row r="1150" spans="1:45" ht="15" customHeight="1">
      <c r="A1150" s="21" t="s">
        <v>260</v>
      </c>
      <c r="B1150" s="21" t="s">
        <v>46</v>
      </c>
      <c r="C1150" s="21" t="s">
        <v>188</v>
      </c>
      <c r="D1150" s="21" t="s">
        <v>48</v>
      </c>
      <c r="E1150" s="80" t="s">
        <v>1313</v>
      </c>
      <c r="F1150" s="21" t="s">
        <v>953</v>
      </c>
      <c r="G1150" s="101" t="s">
        <v>77</v>
      </c>
      <c r="H1150" s="25" t="s">
        <v>1455</v>
      </c>
      <c r="I1150" s="102" t="s">
        <v>78</v>
      </c>
      <c r="J1150" s="101" t="s">
        <v>1456</v>
      </c>
      <c r="K1150" s="115"/>
      <c r="L1150" s="48" t="s">
        <v>364</v>
      </c>
      <c r="M1150" s="116">
        <v>45199</v>
      </c>
      <c r="N1150" s="116" t="s">
        <v>177</v>
      </c>
      <c r="O1150" s="68">
        <v>4169</v>
      </c>
      <c r="P1150" s="119">
        <v>-8</v>
      </c>
      <c r="Q1150" s="51">
        <f t="shared" si="28"/>
        <v>-33352</v>
      </c>
      <c r="R1150" s="31">
        <v>202310</v>
      </c>
      <c r="S1150" s="117" t="s">
        <v>1467</v>
      </c>
      <c r="T1150" s="33"/>
      <c r="U1150" s="25" t="s">
        <v>606</v>
      </c>
      <c r="V1150" s="118"/>
      <c r="W1150" s="67"/>
      <c r="X1150" s="67"/>
      <c r="Y1150" s="36"/>
      <c r="Z1150" s="36"/>
      <c r="AA1150" s="36"/>
      <c r="AB1150" s="36"/>
      <c r="AC1150" s="36"/>
      <c r="AD1150" s="36"/>
      <c r="AE1150" s="36"/>
      <c r="AF1150" s="53" t="s">
        <v>68</v>
      </c>
      <c r="AG1150" s="42"/>
      <c r="AH1150" s="42"/>
      <c r="AI1150" s="43"/>
      <c r="AJ1150" s="43"/>
      <c r="AK1150" s="43"/>
      <c r="AL1150" s="43"/>
      <c r="AM1150" s="43"/>
      <c r="AN1150" s="42"/>
      <c r="AO1150" s="42"/>
      <c r="AP1150" s="42"/>
      <c r="AQ1150" s="43"/>
      <c r="AR1150" s="42"/>
      <c r="AS1150" s="42"/>
    </row>
    <row r="1151" spans="1:45" ht="15" customHeight="1">
      <c r="A1151" s="21" t="s">
        <v>260</v>
      </c>
      <c r="B1151" s="21" t="s">
        <v>46</v>
      </c>
      <c r="C1151" s="21" t="s">
        <v>188</v>
      </c>
      <c r="D1151" s="21" t="s">
        <v>48</v>
      </c>
      <c r="E1151" s="80" t="s">
        <v>1313</v>
      </c>
      <c r="F1151" s="21" t="s">
        <v>953</v>
      </c>
      <c r="G1151" s="101" t="s">
        <v>77</v>
      </c>
      <c r="H1151" s="25" t="s">
        <v>1455</v>
      </c>
      <c r="I1151" s="102" t="s">
        <v>78</v>
      </c>
      <c r="J1151" s="101" t="s">
        <v>1456</v>
      </c>
      <c r="K1151" s="115"/>
      <c r="L1151" s="48" t="s">
        <v>364</v>
      </c>
      <c r="M1151" s="116">
        <v>45199</v>
      </c>
      <c r="N1151" s="116" t="s">
        <v>177</v>
      </c>
      <c r="O1151" s="68">
        <v>4169</v>
      </c>
      <c r="P1151" s="119">
        <v>-5</v>
      </c>
      <c r="Q1151" s="51">
        <f t="shared" si="28"/>
        <v>-20845</v>
      </c>
      <c r="R1151" s="31">
        <v>202310</v>
      </c>
      <c r="S1151" s="117" t="s">
        <v>1468</v>
      </c>
      <c r="T1151" s="33"/>
      <c r="U1151" s="25" t="s">
        <v>606</v>
      </c>
      <c r="V1151" s="118"/>
      <c r="W1151" s="67"/>
      <c r="X1151" s="67"/>
      <c r="Y1151" s="36"/>
      <c r="Z1151" s="36"/>
      <c r="AA1151" s="36"/>
      <c r="AB1151" s="36"/>
      <c r="AC1151" s="36"/>
      <c r="AD1151" s="36"/>
      <c r="AE1151" s="36"/>
      <c r="AF1151" s="53" t="s">
        <v>68</v>
      </c>
      <c r="AG1151" s="42"/>
      <c r="AH1151" s="42"/>
      <c r="AI1151" s="43"/>
      <c r="AJ1151" s="43"/>
      <c r="AK1151" s="43"/>
      <c r="AL1151" s="43"/>
      <c r="AM1151" s="43"/>
      <c r="AN1151" s="42"/>
      <c r="AO1151" s="42"/>
      <c r="AP1151" s="42"/>
      <c r="AQ1151" s="43"/>
      <c r="AR1151" s="42"/>
      <c r="AS1151" s="42"/>
    </row>
    <row r="1152" spans="1:45" ht="15" customHeight="1">
      <c r="A1152" s="21" t="s">
        <v>260</v>
      </c>
      <c r="B1152" s="21" t="s">
        <v>46</v>
      </c>
      <c r="C1152" s="21" t="s">
        <v>188</v>
      </c>
      <c r="D1152" s="21" t="s">
        <v>48</v>
      </c>
      <c r="E1152" s="80" t="s">
        <v>1313</v>
      </c>
      <c r="F1152" s="21" t="s">
        <v>953</v>
      </c>
      <c r="G1152" s="101" t="s">
        <v>77</v>
      </c>
      <c r="H1152" s="25" t="s">
        <v>1455</v>
      </c>
      <c r="I1152" s="102" t="s">
        <v>366</v>
      </c>
      <c r="J1152" s="65" t="s">
        <v>1456</v>
      </c>
      <c r="K1152" s="104"/>
      <c r="L1152" s="48" t="s">
        <v>364</v>
      </c>
      <c r="M1152" s="27"/>
      <c r="N1152" s="105"/>
      <c r="O1152" s="106">
        <v>300</v>
      </c>
      <c r="P1152" s="106">
        <v>0</v>
      </c>
      <c r="Q1152" s="51">
        <f t="shared" si="28"/>
        <v>0</v>
      </c>
      <c r="R1152" s="31">
        <v>202310</v>
      </c>
      <c r="S1152" s="107" t="s">
        <v>1469</v>
      </c>
      <c r="T1152" s="162" t="s">
        <v>1470</v>
      </c>
      <c r="U1152" s="25"/>
      <c r="V1152" s="67"/>
      <c r="W1152" s="67"/>
      <c r="X1152" s="67"/>
      <c r="Y1152" s="36"/>
      <c r="Z1152" s="36"/>
      <c r="AA1152" s="36"/>
      <c r="AB1152" s="36"/>
      <c r="AC1152" s="36"/>
      <c r="AD1152" s="36"/>
      <c r="AE1152" s="36"/>
      <c r="AF1152" s="53" t="s">
        <v>68</v>
      </c>
      <c r="AG1152" s="42"/>
      <c r="AH1152" s="42"/>
      <c r="AI1152" s="43"/>
      <c r="AJ1152" s="43"/>
      <c r="AK1152" s="43"/>
      <c r="AL1152" s="43"/>
      <c r="AM1152" s="43"/>
      <c r="AN1152" s="42"/>
      <c r="AO1152" s="42"/>
      <c r="AP1152" s="42"/>
      <c r="AQ1152" s="43"/>
      <c r="AR1152" s="42"/>
      <c r="AS1152" s="42"/>
    </row>
    <row r="1153" spans="1:45" ht="15" customHeight="1">
      <c r="A1153" s="21" t="s">
        <v>260</v>
      </c>
      <c r="B1153" s="21" t="s">
        <v>46</v>
      </c>
      <c r="C1153" s="21" t="s">
        <v>188</v>
      </c>
      <c r="D1153" s="21" t="s">
        <v>48</v>
      </c>
      <c r="E1153" s="80" t="s">
        <v>1313</v>
      </c>
      <c r="F1153" s="21" t="s">
        <v>953</v>
      </c>
      <c r="G1153" s="26" t="s">
        <v>62</v>
      </c>
      <c r="H1153" s="160" t="s">
        <v>1471</v>
      </c>
      <c r="I1153" s="26" t="s">
        <v>64</v>
      </c>
      <c r="J1153" s="101" t="s">
        <v>1472</v>
      </c>
      <c r="K1153" s="115"/>
      <c r="L1153" s="48"/>
      <c r="M1153" s="155">
        <v>43101</v>
      </c>
      <c r="N1153" s="155"/>
      <c r="O1153" s="61">
        <v>400</v>
      </c>
      <c r="P1153" s="61">
        <v>72.3</v>
      </c>
      <c r="Q1153" s="51">
        <f t="shared" si="28"/>
        <v>28920</v>
      </c>
      <c r="R1153" s="31">
        <v>202310</v>
      </c>
      <c r="S1153" s="117" t="s">
        <v>1473</v>
      </c>
      <c r="T1153" s="33"/>
      <c r="U1153" s="117"/>
      <c r="V1153" s="118"/>
      <c r="W1153" s="67"/>
      <c r="X1153" s="67"/>
      <c r="Y1153" s="36">
        <v>43101</v>
      </c>
      <c r="Z1153" s="36">
        <v>45291</v>
      </c>
      <c r="AA1153" s="36"/>
      <c r="AB1153" s="36"/>
      <c r="AC1153" s="36"/>
      <c r="AD1153" s="36"/>
      <c r="AE1153" s="36"/>
      <c r="AF1153" s="53" t="s">
        <v>68</v>
      </c>
      <c r="AG1153" s="42"/>
      <c r="AH1153" s="42"/>
      <c r="AI1153" s="43"/>
      <c r="AJ1153" s="43"/>
      <c r="AK1153" s="43"/>
      <c r="AL1153" s="43"/>
      <c r="AM1153" s="43"/>
      <c r="AN1153" s="42"/>
      <c r="AO1153" s="42"/>
      <c r="AP1153" s="42"/>
      <c r="AQ1153" s="43"/>
      <c r="AR1153" s="42"/>
      <c r="AS1153" s="42"/>
    </row>
    <row r="1154" spans="1:45" ht="15" customHeight="1">
      <c r="A1154" s="21" t="s">
        <v>260</v>
      </c>
      <c r="B1154" s="21" t="s">
        <v>46</v>
      </c>
      <c r="C1154" s="21" t="s">
        <v>188</v>
      </c>
      <c r="D1154" s="21" t="s">
        <v>48</v>
      </c>
      <c r="E1154" s="80" t="s">
        <v>1313</v>
      </c>
      <c r="F1154" s="21" t="s">
        <v>953</v>
      </c>
      <c r="G1154" s="26" t="s">
        <v>62</v>
      </c>
      <c r="H1154" s="160" t="s">
        <v>1471</v>
      </c>
      <c r="I1154" s="26" t="s">
        <v>64</v>
      </c>
      <c r="J1154" s="101" t="s">
        <v>1472</v>
      </c>
      <c r="K1154" s="115"/>
      <c r="L1154" s="48"/>
      <c r="M1154" s="155">
        <v>43101</v>
      </c>
      <c r="N1154" s="155"/>
      <c r="O1154" s="61">
        <v>400</v>
      </c>
      <c r="P1154" s="61">
        <v>49.1</v>
      </c>
      <c r="Q1154" s="51">
        <f t="shared" si="28"/>
        <v>19640</v>
      </c>
      <c r="R1154" s="31">
        <v>202310</v>
      </c>
      <c r="S1154" s="117" t="s">
        <v>1474</v>
      </c>
      <c r="T1154" s="33"/>
      <c r="U1154" s="117"/>
      <c r="V1154" s="118"/>
      <c r="W1154" s="67"/>
      <c r="X1154" s="67"/>
      <c r="Y1154" s="36">
        <v>43101</v>
      </c>
      <c r="Z1154" s="36">
        <v>45291</v>
      </c>
      <c r="AA1154" s="36"/>
      <c r="AB1154" s="36"/>
      <c r="AC1154" s="36"/>
      <c r="AD1154" s="36"/>
      <c r="AE1154" s="36"/>
      <c r="AF1154" s="53" t="s">
        <v>68</v>
      </c>
      <c r="AG1154" s="42"/>
      <c r="AH1154" s="42"/>
      <c r="AI1154" s="43"/>
      <c r="AJ1154" s="43"/>
      <c r="AK1154" s="43"/>
      <c r="AL1154" s="43"/>
      <c r="AM1154" s="43"/>
      <c r="AN1154" s="42"/>
      <c r="AO1154" s="42"/>
      <c r="AP1154" s="42"/>
      <c r="AQ1154" s="43"/>
      <c r="AR1154" s="42"/>
      <c r="AS1154" s="42"/>
    </row>
    <row r="1155" spans="1:45" ht="15" customHeight="1">
      <c r="A1155" s="21" t="s">
        <v>260</v>
      </c>
      <c r="B1155" s="21" t="s">
        <v>46</v>
      </c>
      <c r="C1155" s="21" t="s">
        <v>188</v>
      </c>
      <c r="D1155" s="21" t="s">
        <v>48</v>
      </c>
      <c r="E1155" s="80" t="s">
        <v>1313</v>
      </c>
      <c r="F1155" s="21" t="s">
        <v>953</v>
      </c>
      <c r="G1155" s="26" t="s">
        <v>62</v>
      </c>
      <c r="H1155" s="160" t="s">
        <v>1471</v>
      </c>
      <c r="I1155" s="26" t="s">
        <v>64</v>
      </c>
      <c r="J1155" s="101" t="s">
        <v>1472</v>
      </c>
      <c r="K1155" s="115"/>
      <c r="L1155" s="48"/>
      <c r="M1155" s="155">
        <v>43101</v>
      </c>
      <c r="N1155" s="155"/>
      <c r="O1155" s="61">
        <v>400</v>
      </c>
      <c r="P1155" s="61">
        <v>47.8</v>
      </c>
      <c r="Q1155" s="51">
        <f t="shared" si="28"/>
        <v>19120</v>
      </c>
      <c r="R1155" s="31">
        <v>202310</v>
      </c>
      <c r="S1155" s="117" t="s">
        <v>1475</v>
      </c>
      <c r="T1155" s="33"/>
      <c r="U1155" s="117"/>
      <c r="V1155" s="118"/>
      <c r="W1155" s="67"/>
      <c r="X1155" s="67"/>
      <c r="Y1155" s="36">
        <v>43101</v>
      </c>
      <c r="Z1155" s="36">
        <v>45291</v>
      </c>
      <c r="AA1155" s="36"/>
      <c r="AB1155" s="36"/>
      <c r="AC1155" s="36"/>
      <c r="AD1155" s="36"/>
      <c r="AE1155" s="36"/>
      <c r="AF1155" s="53" t="s">
        <v>68</v>
      </c>
      <c r="AG1155" s="42"/>
      <c r="AH1155" s="42"/>
      <c r="AI1155" s="43"/>
      <c r="AJ1155" s="43"/>
      <c r="AK1155" s="43"/>
      <c r="AL1155" s="43"/>
      <c r="AM1155" s="43"/>
      <c r="AN1155" s="42"/>
      <c r="AO1155" s="42"/>
      <c r="AP1155" s="42"/>
      <c r="AQ1155" s="43"/>
      <c r="AR1155" s="42"/>
      <c r="AS1155" s="42"/>
    </row>
    <row r="1156" spans="1:45" ht="15" customHeight="1">
      <c r="A1156" s="21" t="s">
        <v>260</v>
      </c>
      <c r="B1156" s="21" t="s">
        <v>46</v>
      </c>
      <c r="C1156" s="21" t="s">
        <v>188</v>
      </c>
      <c r="D1156" s="21" t="s">
        <v>48</v>
      </c>
      <c r="E1156" s="80" t="s">
        <v>1313</v>
      </c>
      <c r="F1156" s="21" t="s">
        <v>953</v>
      </c>
      <c r="G1156" s="101" t="s">
        <v>114</v>
      </c>
      <c r="H1156" s="160" t="s">
        <v>1476</v>
      </c>
      <c r="I1156" s="101" t="s">
        <v>114</v>
      </c>
      <c r="J1156" s="101" t="s">
        <v>1477</v>
      </c>
      <c r="K1156" s="115"/>
      <c r="L1156" s="48"/>
      <c r="M1156" s="155"/>
      <c r="N1156" s="116" t="s">
        <v>142</v>
      </c>
      <c r="O1156" s="61">
        <v>5800</v>
      </c>
      <c r="P1156" s="51">
        <v>1</v>
      </c>
      <c r="Q1156" s="51">
        <f t="shared" si="28"/>
        <v>5800</v>
      </c>
      <c r="R1156" s="31">
        <v>202310</v>
      </c>
      <c r="S1156" s="117" t="s">
        <v>1478</v>
      </c>
      <c r="T1156" s="33"/>
      <c r="U1156" s="117"/>
      <c r="V1156" s="118"/>
      <c r="W1156" s="67"/>
      <c r="X1156" s="67"/>
      <c r="Y1156" s="36">
        <v>44617</v>
      </c>
      <c r="Z1156" s="36">
        <v>45382</v>
      </c>
      <c r="AA1156" s="36"/>
      <c r="AB1156" s="36"/>
      <c r="AC1156" s="36"/>
      <c r="AD1156" s="36"/>
      <c r="AE1156" s="36"/>
      <c r="AF1156" s="53" t="s">
        <v>68</v>
      </c>
      <c r="AG1156" s="42"/>
      <c r="AH1156" s="42"/>
      <c r="AI1156" s="43"/>
      <c r="AJ1156" s="43"/>
      <c r="AK1156" s="43"/>
      <c r="AL1156" s="43"/>
      <c r="AM1156" s="43"/>
      <c r="AN1156" s="42"/>
      <c r="AO1156" s="42"/>
      <c r="AP1156" s="42"/>
      <c r="AQ1156" s="43"/>
      <c r="AR1156" s="42"/>
      <c r="AS1156" s="42"/>
    </row>
    <row r="1157" spans="1:45" ht="15" customHeight="1">
      <c r="A1157" s="21" t="s">
        <v>260</v>
      </c>
      <c r="B1157" s="21" t="s">
        <v>46</v>
      </c>
      <c r="C1157" s="21" t="s">
        <v>188</v>
      </c>
      <c r="D1157" s="21" t="s">
        <v>48</v>
      </c>
      <c r="E1157" s="80" t="s">
        <v>1313</v>
      </c>
      <c r="F1157" s="21" t="s">
        <v>953</v>
      </c>
      <c r="G1157" s="101" t="s">
        <v>114</v>
      </c>
      <c r="H1157" s="160" t="s">
        <v>1476</v>
      </c>
      <c r="I1157" s="101" t="s">
        <v>114</v>
      </c>
      <c r="J1157" s="101" t="s">
        <v>1479</v>
      </c>
      <c r="K1157" s="115"/>
      <c r="L1157" s="48"/>
      <c r="M1157" s="155"/>
      <c r="N1157" s="116" t="s">
        <v>142</v>
      </c>
      <c r="O1157" s="61">
        <v>5800</v>
      </c>
      <c r="P1157" s="51">
        <v>1</v>
      </c>
      <c r="Q1157" s="51">
        <f t="shared" si="28"/>
        <v>5800</v>
      </c>
      <c r="R1157" s="31">
        <v>202310</v>
      </c>
      <c r="S1157" s="117" t="s">
        <v>1480</v>
      </c>
      <c r="T1157" s="33"/>
      <c r="U1157" s="117"/>
      <c r="V1157" s="118"/>
      <c r="W1157" s="67"/>
      <c r="X1157" s="67"/>
      <c r="Y1157" s="36">
        <v>44617</v>
      </c>
      <c r="Z1157" s="36">
        <v>45382</v>
      </c>
      <c r="AA1157" s="36"/>
      <c r="AB1157" s="36"/>
      <c r="AC1157" s="36"/>
      <c r="AD1157" s="36"/>
      <c r="AE1157" s="36"/>
      <c r="AF1157" s="53" t="s">
        <v>68</v>
      </c>
      <c r="AG1157" s="42"/>
      <c r="AH1157" s="42"/>
      <c r="AI1157" s="43"/>
      <c r="AJ1157" s="43"/>
      <c r="AK1157" s="43"/>
      <c r="AL1157" s="43"/>
      <c r="AM1157" s="43"/>
      <c r="AN1157" s="42"/>
      <c r="AO1157" s="42"/>
      <c r="AP1157" s="42"/>
      <c r="AQ1157" s="43"/>
      <c r="AR1157" s="42"/>
      <c r="AS1157" s="42"/>
    </row>
    <row r="1158" spans="1:45" ht="15" customHeight="1">
      <c r="A1158" s="21" t="s">
        <v>260</v>
      </c>
      <c r="B1158" s="21" t="s">
        <v>46</v>
      </c>
      <c r="C1158" s="21" t="s">
        <v>188</v>
      </c>
      <c r="D1158" s="21" t="s">
        <v>48</v>
      </c>
      <c r="E1158" s="80" t="s">
        <v>1313</v>
      </c>
      <c r="F1158" s="21" t="s">
        <v>953</v>
      </c>
      <c r="G1158" s="101" t="s">
        <v>114</v>
      </c>
      <c r="H1158" s="160" t="s">
        <v>1476</v>
      </c>
      <c r="I1158" s="26" t="s">
        <v>114</v>
      </c>
      <c r="J1158" s="101" t="s">
        <v>1481</v>
      </c>
      <c r="K1158" s="115"/>
      <c r="L1158" s="48"/>
      <c r="M1158" s="116"/>
      <c r="N1158" s="116" t="s">
        <v>142</v>
      </c>
      <c r="O1158" s="61">
        <v>5800</v>
      </c>
      <c r="P1158" s="30">
        <v>1</v>
      </c>
      <c r="Q1158" s="51">
        <f t="shared" si="28"/>
        <v>5800</v>
      </c>
      <c r="R1158" s="31">
        <v>202310</v>
      </c>
      <c r="S1158" s="117" t="s">
        <v>1482</v>
      </c>
      <c r="T1158" s="33"/>
      <c r="U1158" s="117"/>
      <c r="V1158" s="118"/>
      <c r="W1158" s="67"/>
      <c r="X1158" s="67"/>
      <c r="Y1158" s="36">
        <v>44617</v>
      </c>
      <c r="Z1158" s="36">
        <v>45382</v>
      </c>
      <c r="AA1158" s="36"/>
      <c r="AB1158" s="36"/>
      <c r="AC1158" s="36"/>
      <c r="AD1158" s="36"/>
      <c r="AE1158" s="36"/>
      <c r="AF1158" s="53" t="s">
        <v>68</v>
      </c>
      <c r="AG1158" s="42"/>
      <c r="AH1158" s="42"/>
      <c r="AI1158" s="43"/>
      <c r="AJ1158" s="43"/>
      <c r="AK1158" s="43"/>
      <c r="AL1158" s="43"/>
      <c r="AM1158" s="43"/>
      <c r="AN1158" s="42"/>
      <c r="AO1158" s="42"/>
      <c r="AP1158" s="42"/>
      <c r="AQ1158" s="43"/>
      <c r="AR1158" s="42"/>
      <c r="AS1158" s="42"/>
    </row>
    <row r="1159" spans="1:45" ht="15" customHeight="1">
      <c r="A1159" s="21" t="s">
        <v>260</v>
      </c>
      <c r="B1159" s="21" t="s">
        <v>46</v>
      </c>
      <c r="C1159" s="21" t="s">
        <v>188</v>
      </c>
      <c r="D1159" s="21" t="s">
        <v>48</v>
      </c>
      <c r="E1159" s="80" t="s">
        <v>1313</v>
      </c>
      <c r="F1159" s="21" t="s">
        <v>953</v>
      </c>
      <c r="G1159" s="101" t="s">
        <v>114</v>
      </c>
      <c r="H1159" s="160" t="s">
        <v>1476</v>
      </c>
      <c r="I1159" s="101" t="s">
        <v>114</v>
      </c>
      <c r="J1159" s="101" t="s">
        <v>1483</v>
      </c>
      <c r="K1159" s="115"/>
      <c r="L1159" s="48"/>
      <c r="M1159" s="155"/>
      <c r="N1159" s="116" t="s">
        <v>142</v>
      </c>
      <c r="O1159" s="61">
        <v>5800</v>
      </c>
      <c r="P1159" s="51">
        <v>1</v>
      </c>
      <c r="Q1159" s="51">
        <f t="shared" si="28"/>
        <v>5800</v>
      </c>
      <c r="R1159" s="31">
        <v>202310</v>
      </c>
      <c r="S1159" s="117" t="s">
        <v>1484</v>
      </c>
      <c r="T1159" s="33"/>
      <c r="U1159" s="117"/>
      <c r="V1159" s="118"/>
      <c r="W1159" s="67"/>
      <c r="X1159" s="67"/>
      <c r="Y1159" s="36">
        <v>44617</v>
      </c>
      <c r="Z1159" s="36">
        <v>45382</v>
      </c>
      <c r="AA1159" s="36"/>
      <c r="AB1159" s="36"/>
      <c r="AC1159" s="36"/>
      <c r="AD1159" s="36"/>
      <c r="AE1159" s="36"/>
      <c r="AF1159" s="53" t="s">
        <v>68</v>
      </c>
      <c r="AG1159" s="42"/>
      <c r="AH1159" s="42"/>
      <c r="AI1159" s="43"/>
      <c r="AJ1159" s="43"/>
      <c r="AK1159" s="43"/>
      <c r="AL1159" s="43"/>
      <c r="AM1159" s="43"/>
      <c r="AN1159" s="42"/>
      <c r="AO1159" s="42"/>
      <c r="AP1159" s="42"/>
      <c r="AQ1159" s="43"/>
      <c r="AR1159" s="42"/>
      <c r="AS1159" s="42"/>
    </row>
    <row r="1160" spans="1:45" ht="15" customHeight="1">
      <c r="A1160" s="21" t="s">
        <v>260</v>
      </c>
      <c r="B1160" s="21" t="s">
        <v>46</v>
      </c>
      <c r="C1160" s="21" t="s">
        <v>188</v>
      </c>
      <c r="D1160" s="21" t="s">
        <v>48</v>
      </c>
      <c r="E1160" s="80" t="s">
        <v>1313</v>
      </c>
      <c r="F1160" s="21" t="s">
        <v>953</v>
      </c>
      <c r="G1160" s="101" t="s">
        <v>114</v>
      </c>
      <c r="H1160" s="160" t="s">
        <v>1476</v>
      </c>
      <c r="I1160" s="102" t="s">
        <v>114</v>
      </c>
      <c r="J1160" s="101" t="s">
        <v>1485</v>
      </c>
      <c r="K1160" s="115"/>
      <c r="L1160" s="48"/>
      <c r="M1160" s="116">
        <v>43516</v>
      </c>
      <c r="N1160" s="116" t="s">
        <v>142</v>
      </c>
      <c r="O1160" s="61">
        <v>5800</v>
      </c>
      <c r="P1160" s="30">
        <v>1</v>
      </c>
      <c r="Q1160" s="51">
        <f t="shared" si="28"/>
        <v>5800</v>
      </c>
      <c r="R1160" s="31">
        <v>202310</v>
      </c>
      <c r="S1160" s="117" t="s">
        <v>1486</v>
      </c>
      <c r="T1160" s="33"/>
      <c r="U1160" s="117"/>
      <c r="V1160" s="118"/>
      <c r="W1160" s="67"/>
      <c r="X1160" s="67"/>
      <c r="Y1160" s="36">
        <v>44617</v>
      </c>
      <c r="Z1160" s="36">
        <v>45382</v>
      </c>
      <c r="AA1160" s="36"/>
      <c r="AB1160" s="36"/>
      <c r="AC1160" s="36"/>
      <c r="AD1160" s="36"/>
      <c r="AE1160" s="36"/>
      <c r="AF1160" s="53" t="s">
        <v>68</v>
      </c>
      <c r="AG1160" s="42"/>
      <c r="AH1160" s="42"/>
      <c r="AI1160" s="43"/>
      <c r="AJ1160" s="43"/>
      <c r="AK1160" s="43"/>
      <c r="AL1160" s="43"/>
      <c r="AM1160" s="43"/>
      <c r="AN1160" s="42"/>
      <c r="AO1160" s="42"/>
      <c r="AP1160" s="42"/>
      <c r="AQ1160" s="43"/>
      <c r="AR1160" s="42"/>
      <c r="AS1160" s="42"/>
    </row>
    <row r="1161" spans="1:45" ht="15" customHeight="1">
      <c r="A1161" s="21" t="s">
        <v>260</v>
      </c>
      <c r="B1161" s="21" t="s">
        <v>46</v>
      </c>
      <c r="C1161" s="21" t="s">
        <v>188</v>
      </c>
      <c r="D1161" s="21" t="s">
        <v>48</v>
      </c>
      <c r="E1161" s="80" t="s">
        <v>1313</v>
      </c>
      <c r="F1161" s="21" t="s">
        <v>953</v>
      </c>
      <c r="G1161" s="101" t="s">
        <v>114</v>
      </c>
      <c r="H1161" s="160" t="s">
        <v>1476</v>
      </c>
      <c r="I1161" s="102" t="s">
        <v>114</v>
      </c>
      <c r="J1161" s="101"/>
      <c r="K1161" s="115"/>
      <c r="L1161" s="48"/>
      <c r="M1161" s="116">
        <v>45169</v>
      </c>
      <c r="N1161" s="116" t="s">
        <v>142</v>
      </c>
      <c r="O1161" s="61">
        <v>5800</v>
      </c>
      <c r="P1161" s="30">
        <v>-5</v>
      </c>
      <c r="Q1161" s="51">
        <f t="shared" si="28"/>
        <v>-29000</v>
      </c>
      <c r="R1161" s="31">
        <v>202310</v>
      </c>
      <c r="S1161" s="163" t="s">
        <v>1487</v>
      </c>
      <c r="T1161" s="33"/>
      <c r="U1161" s="117"/>
      <c r="V1161" s="118"/>
      <c r="W1161" s="67"/>
      <c r="X1161" s="67"/>
      <c r="Y1161" s="36">
        <v>44617</v>
      </c>
      <c r="Z1161" s="36">
        <v>45382</v>
      </c>
      <c r="AA1161" s="36"/>
      <c r="AB1161" s="36"/>
      <c r="AC1161" s="36"/>
      <c r="AD1161" s="36"/>
      <c r="AE1161" s="36"/>
      <c r="AF1161" s="53" t="s">
        <v>68</v>
      </c>
      <c r="AG1161" s="42"/>
      <c r="AH1161" s="42"/>
      <c r="AI1161" s="43"/>
      <c r="AJ1161" s="43"/>
      <c r="AK1161" s="43"/>
      <c r="AL1161" s="43"/>
      <c r="AM1161" s="43"/>
      <c r="AN1161" s="42"/>
      <c r="AO1161" s="42"/>
      <c r="AP1161" s="42"/>
      <c r="AQ1161" s="43"/>
      <c r="AR1161" s="42"/>
      <c r="AS1161" s="42"/>
    </row>
    <row r="1162" spans="1:45" ht="15" customHeight="1">
      <c r="A1162" s="56" t="s">
        <v>260</v>
      </c>
      <c r="B1162" s="21" t="s">
        <v>46</v>
      </c>
      <c r="C1162" s="57" t="s">
        <v>814</v>
      </c>
      <c r="D1162" s="22" t="s">
        <v>48</v>
      </c>
      <c r="E1162" s="58" t="s">
        <v>1488</v>
      </c>
      <c r="F1162" s="56" t="s">
        <v>1489</v>
      </c>
      <c r="G1162" s="26" t="s">
        <v>77</v>
      </c>
      <c r="H1162" s="25" t="s">
        <v>1490</v>
      </c>
      <c r="I1162" s="26" t="s">
        <v>479</v>
      </c>
      <c r="J1162" s="56" t="s">
        <v>1491</v>
      </c>
      <c r="K1162" s="59" t="s">
        <v>1489</v>
      </c>
      <c r="L1162" s="48" t="s">
        <v>1492</v>
      </c>
      <c r="M1162" s="49" t="s">
        <v>340</v>
      </c>
      <c r="N1162" s="49" t="s">
        <v>1310</v>
      </c>
      <c r="O1162" s="60">
        <v>0</v>
      </c>
      <c r="P1162" s="61">
        <v>11</v>
      </c>
      <c r="Q1162" s="51">
        <f t="shared" si="28"/>
        <v>0</v>
      </c>
      <c r="R1162" s="31">
        <v>202310</v>
      </c>
      <c r="S1162" s="62" t="s">
        <v>1493</v>
      </c>
      <c r="T1162" s="33"/>
      <c r="U1162" s="58"/>
      <c r="V1162" s="58"/>
      <c r="W1162" s="63"/>
      <c r="X1162" s="63"/>
      <c r="Y1162" s="36"/>
      <c r="Z1162" s="36"/>
      <c r="AA1162" s="36"/>
      <c r="AB1162" s="36"/>
      <c r="AC1162" s="36"/>
      <c r="AD1162" s="36"/>
      <c r="AE1162" s="36"/>
      <c r="AF1162" s="40" t="s">
        <v>503</v>
      </c>
      <c r="AG1162" s="42"/>
      <c r="AH1162" s="42"/>
      <c r="AI1162" s="43"/>
      <c r="AJ1162" s="43"/>
      <c r="AK1162" s="43"/>
      <c r="AL1162" s="43"/>
      <c r="AM1162" s="43"/>
      <c r="AN1162" s="42"/>
      <c r="AO1162" s="42"/>
      <c r="AP1162" s="42"/>
      <c r="AQ1162" s="43"/>
      <c r="AR1162" s="42"/>
      <c r="AS1162" s="42"/>
    </row>
    <row r="1163" spans="1:45" ht="15" customHeight="1">
      <c r="A1163" s="56" t="s">
        <v>260</v>
      </c>
      <c r="B1163" s="21" t="s">
        <v>46</v>
      </c>
      <c r="C1163" s="57" t="s">
        <v>814</v>
      </c>
      <c r="D1163" s="22" t="s">
        <v>48</v>
      </c>
      <c r="E1163" s="58" t="s">
        <v>1488</v>
      </c>
      <c r="F1163" s="56" t="s">
        <v>1489</v>
      </c>
      <c r="G1163" s="26" t="s">
        <v>77</v>
      </c>
      <c r="H1163" s="25" t="s">
        <v>1490</v>
      </c>
      <c r="I1163" s="26" t="s">
        <v>479</v>
      </c>
      <c r="J1163" s="56" t="s">
        <v>1491</v>
      </c>
      <c r="K1163" s="59" t="s">
        <v>1489</v>
      </c>
      <c r="L1163" s="48" t="s">
        <v>1492</v>
      </c>
      <c r="M1163" s="49">
        <v>44012</v>
      </c>
      <c r="N1163" s="49" t="s">
        <v>1310</v>
      </c>
      <c r="O1163" s="60">
        <v>0</v>
      </c>
      <c r="P1163" s="61">
        <v>-11</v>
      </c>
      <c r="Q1163" s="51">
        <f t="shared" si="28"/>
        <v>0</v>
      </c>
      <c r="R1163" s="31">
        <v>202310</v>
      </c>
      <c r="S1163" s="62" t="s">
        <v>1494</v>
      </c>
      <c r="T1163" s="33"/>
      <c r="U1163" s="58"/>
      <c r="V1163" s="58"/>
      <c r="W1163" s="63"/>
      <c r="X1163" s="63"/>
      <c r="Y1163" s="36"/>
      <c r="Z1163" s="36"/>
      <c r="AA1163" s="36"/>
      <c r="AB1163" s="36"/>
      <c r="AC1163" s="36"/>
      <c r="AD1163" s="36"/>
      <c r="AE1163" s="36"/>
      <c r="AF1163" s="40" t="s">
        <v>503</v>
      </c>
      <c r="AG1163" s="42"/>
      <c r="AH1163" s="42"/>
      <c r="AI1163" s="43"/>
      <c r="AJ1163" s="43"/>
      <c r="AK1163" s="43"/>
      <c r="AL1163" s="43"/>
      <c r="AM1163" s="43"/>
      <c r="AN1163" s="42"/>
      <c r="AO1163" s="42"/>
      <c r="AP1163" s="42"/>
      <c r="AQ1163" s="43"/>
      <c r="AR1163" s="42"/>
      <c r="AS1163" s="42"/>
    </row>
    <row r="1164" spans="1:45" ht="15" customHeight="1">
      <c r="A1164" s="56" t="s">
        <v>260</v>
      </c>
      <c r="B1164" s="21" t="s">
        <v>46</v>
      </c>
      <c r="C1164" s="57" t="s">
        <v>814</v>
      </c>
      <c r="D1164" s="22" t="s">
        <v>48</v>
      </c>
      <c r="E1164" s="58" t="s">
        <v>1488</v>
      </c>
      <c r="F1164" s="56" t="s">
        <v>1489</v>
      </c>
      <c r="G1164" s="26" t="s">
        <v>165</v>
      </c>
      <c r="H1164" s="25" t="s">
        <v>1495</v>
      </c>
      <c r="I1164" s="26" t="s">
        <v>859</v>
      </c>
      <c r="J1164" s="56" t="s">
        <v>1496</v>
      </c>
      <c r="K1164" s="59" t="s">
        <v>1496</v>
      </c>
      <c r="L1164" s="48" t="s">
        <v>1497</v>
      </c>
      <c r="M1164" s="49"/>
      <c r="N1164" s="49" t="s">
        <v>168</v>
      </c>
      <c r="O1164" s="60">
        <v>0</v>
      </c>
      <c r="P1164" s="61">
        <v>780</v>
      </c>
      <c r="Q1164" s="51">
        <f t="shared" si="28"/>
        <v>0</v>
      </c>
      <c r="R1164" s="31">
        <v>202310</v>
      </c>
      <c r="S1164" s="164" t="s">
        <v>1498</v>
      </c>
      <c r="T1164" s="33"/>
      <c r="U1164" s="58"/>
      <c r="V1164" s="58"/>
      <c r="W1164" s="63"/>
      <c r="X1164" s="63"/>
      <c r="Y1164" s="36">
        <v>45017</v>
      </c>
      <c r="Z1164" s="36">
        <v>45382</v>
      </c>
      <c r="AA1164" s="36"/>
      <c r="AB1164" s="36"/>
      <c r="AC1164" s="36"/>
      <c r="AD1164" s="36"/>
      <c r="AE1164" s="36"/>
      <c r="AF1164" s="40" t="s">
        <v>853</v>
      </c>
      <c r="AG1164" s="42"/>
      <c r="AH1164" s="42"/>
      <c r="AI1164" s="43"/>
      <c r="AJ1164" s="43"/>
      <c r="AK1164" s="43"/>
      <c r="AL1164" s="43"/>
      <c r="AM1164" s="43"/>
      <c r="AN1164" s="42"/>
      <c r="AO1164" s="42"/>
      <c r="AP1164" s="42"/>
      <c r="AQ1164" s="43"/>
      <c r="AR1164" s="42"/>
      <c r="AS1164" s="42"/>
    </row>
    <row r="1165" spans="1:45" ht="15" customHeight="1">
      <c r="A1165" s="56" t="s">
        <v>260</v>
      </c>
      <c r="B1165" s="21" t="s">
        <v>46</v>
      </c>
      <c r="C1165" s="57" t="s">
        <v>814</v>
      </c>
      <c r="D1165" s="22" t="s">
        <v>48</v>
      </c>
      <c r="E1165" s="58" t="s">
        <v>1488</v>
      </c>
      <c r="F1165" s="56" t="s">
        <v>1489</v>
      </c>
      <c r="G1165" s="26" t="s">
        <v>165</v>
      </c>
      <c r="H1165" s="25" t="s">
        <v>1495</v>
      </c>
      <c r="I1165" s="26" t="s">
        <v>491</v>
      </c>
      <c r="J1165" s="56" t="s">
        <v>1499</v>
      </c>
      <c r="K1165" s="59" t="s">
        <v>1499</v>
      </c>
      <c r="L1165" s="48"/>
      <c r="M1165" s="49">
        <v>43811</v>
      </c>
      <c r="N1165" s="49" t="s">
        <v>168</v>
      </c>
      <c r="O1165" s="60">
        <v>0</v>
      </c>
      <c r="P1165" s="61">
        <v>128</v>
      </c>
      <c r="Q1165" s="51">
        <f t="shared" si="28"/>
        <v>0</v>
      </c>
      <c r="R1165" s="31">
        <v>202310</v>
      </c>
      <c r="S1165" s="58" t="s">
        <v>1500</v>
      </c>
      <c r="T1165" s="33"/>
      <c r="U1165" s="58"/>
      <c r="V1165" s="58"/>
      <c r="W1165" s="63"/>
      <c r="X1165" s="63"/>
      <c r="Y1165" s="36">
        <v>45017</v>
      </c>
      <c r="Z1165" s="36">
        <v>45382</v>
      </c>
      <c r="AA1165" s="36"/>
      <c r="AB1165" s="36"/>
      <c r="AC1165" s="36"/>
      <c r="AD1165" s="36"/>
      <c r="AE1165" s="36"/>
      <c r="AF1165" s="40" t="s">
        <v>484</v>
      </c>
      <c r="AG1165" s="42"/>
      <c r="AH1165" s="42"/>
      <c r="AI1165" s="43"/>
      <c r="AJ1165" s="43"/>
      <c r="AK1165" s="43"/>
      <c r="AL1165" s="43"/>
      <c r="AM1165" s="43"/>
      <c r="AN1165" s="42"/>
      <c r="AO1165" s="42"/>
      <c r="AP1165" s="42"/>
      <c r="AQ1165" s="43"/>
      <c r="AR1165" s="42"/>
      <c r="AS1165" s="42"/>
    </row>
    <row r="1166" spans="1:45" ht="15" customHeight="1">
      <c r="A1166" s="56" t="s">
        <v>260</v>
      </c>
      <c r="B1166" s="21" t="s">
        <v>46</v>
      </c>
      <c r="C1166" s="57" t="s">
        <v>814</v>
      </c>
      <c r="D1166" s="22" t="s">
        <v>48</v>
      </c>
      <c r="E1166" s="58" t="s">
        <v>1488</v>
      </c>
      <c r="F1166" s="56" t="s">
        <v>1489</v>
      </c>
      <c r="G1166" s="26" t="s">
        <v>165</v>
      </c>
      <c r="H1166" s="25" t="s">
        <v>1501</v>
      </c>
      <c r="I1166" s="26" t="s">
        <v>491</v>
      </c>
      <c r="J1166" s="56" t="s">
        <v>1502</v>
      </c>
      <c r="K1166" s="59" t="s">
        <v>1502</v>
      </c>
      <c r="L1166" s="48"/>
      <c r="M1166" s="49">
        <v>44090</v>
      </c>
      <c r="N1166" s="49" t="s">
        <v>168</v>
      </c>
      <c r="O1166" s="60">
        <v>0</v>
      </c>
      <c r="P1166" s="61">
        <v>288</v>
      </c>
      <c r="Q1166" s="51">
        <f t="shared" si="28"/>
        <v>0</v>
      </c>
      <c r="R1166" s="31">
        <v>202310</v>
      </c>
      <c r="S1166" s="62" t="s">
        <v>1503</v>
      </c>
      <c r="T1166" s="33"/>
      <c r="U1166" s="58"/>
      <c r="V1166" s="58"/>
      <c r="W1166" s="63"/>
      <c r="X1166" s="63"/>
      <c r="Y1166" s="36"/>
      <c r="Z1166" s="36"/>
      <c r="AA1166" s="36"/>
      <c r="AB1166" s="36"/>
      <c r="AC1166" s="36"/>
      <c r="AD1166" s="36"/>
      <c r="AE1166" s="36"/>
      <c r="AF1166" s="40" t="s">
        <v>503</v>
      </c>
      <c r="AG1166" s="42"/>
      <c r="AH1166" s="42"/>
      <c r="AI1166" s="43"/>
      <c r="AJ1166" s="43"/>
      <c r="AK1166" s="43"/>
      <c r="AL1166" s="43"/>
      <c r="AM1166" s="43"/>
      <c r="AN1166" s="42"/>
      <c r="AO1166" s="42"/>
      <c r="AP1166" s="42"/>
      <c r="AQ1166" s="43"/>
      <c r="AR1166" s="42"/>
      <c r="AS1166" s="42"/>
    </row>
    <row r="1167" spans="1:45" ht="15" customHeight="1">
      <c r="A1167" s="56" t="s">
        <v>260</v>
      </c>
      <c r="B1167" s="21" t="s">
        <v>46</v>
      </c>
      <c r="C1167" s="57" t="s">
        <v>814</v>
      </c>
      <c r="D1167" s="22" t="s">
        <v>48</v>
      </c>
      <c r="E1167" s="58" t="s">
        <v>1488</v>
      </c>
      <c r="F1167" s="56" t="s">
        <v>1489</v>
      </c>
      <c r="G1167" s="26" t="s">
        <v>165</v>
      </c>
      <c r="H1167" s="25" t="s">
        <v>1501</v>
      </c>
      <c r="I1167" s="26" t="s">
        <v>491</v>
      </c>
      <c r="J1167" s="56" t="s">
        <v>1502</v>
      </c>
      <c r="K1167" s="59" t="s">
        <v>1502</v>
      </c>
      <c r="L1167" s="48"/>
      <c r="M1167" s="49">
        <v>44742</v>
      </c>
      <c r="N1167" s="49" t="s">
        <v>168</v>
      </c>
      <c r="O1167" s="60">
        <v>0</v>
      </c>
      <c r="P1167" s="61">
        <v>-288</v>
      </c>
      <c r="Q1167" s="51">
        <f t="shared" si="28"/>
        <v>0</v>
      </c>
      <c r="R1167" s="31">
        <v>202310</v>
      </c>
      <c r="S1167" s="62" t="s">
        <v>1504</v>
      </c>
      <c r="T1167" s="33"/>
      <c r="U1167" s="58"/>
      <c r="V1167" s="58"/>
      <c r="W1167" s="63"/>
      <c r="X1167" s="63"/>
      <c r="Y1167" s="36"/>
      <c r="Z1167" s="36"/>
      <c r="AA1167" s="36"/>
      <c r="AB1167" s="36"/>
      <c r="AC1167" s="36"/>
      <c r="AD1167" s="36"/>
      <c r="AE1167" s="36"/>
      <c r="AF1167" s="40" t="s">
        <v>503</v>
      </c>
      <c r="AG1167" s="42"/>
      <c r="AH1167" s="42"/>
      <c r="AI1167" s="43"/>
      <c r="AJ1167" s="43"/>
      <c r="AK1167" s="43"/>
      <c r="AL1167" s="43"/>
      <c r="AM1167" s="43"/>
      <c r="AN1167" s="42"/>
      <c r="AO1167" s="42"/>
      <c r="AP1167" s="42"/>
      <c r="AQ1167" s="43"/>
      <c r="AR1167" s="42"/>
      <c r="AS1167" s="42"/>
    </row>
    <row r="1168" spans="1:45" ht="15" customHeight="1">
      <c r="A1168" s="56" t="s">
        <v>260</v>
      </c>
      <c r="B1168" s="21" t="s">
        <v>46</v>
      </c>
      <c r="C1168" s="57" t="s">
        <v>814</v>
      </c>
      <c r="D1168" s="22" t="s">
        <v>48</v>
      </c>
      <c r="E1168" s="58" t="s">
        <v>1488</v>
      </c>
      <c r="F1168" s="56" t="s">
        <v>1489</v>
      </c>
      <c r="G1168" s="26" t="s">
        <v>165</v>
      </c>
      <c r="H1168" s="25" t="s">
        <v>1495</v>
      </c>
      <c r="I1168" s="26" t="s">
        <v>491</v>
      </c>
      <c r="J1168" s="56" t="s">
        <v>1505</v>
      </c>
      <c r="K1168" s="59" t="s">
        <v>1506</v>
      </c>
      <c r="L1168" s="48"/>
      <c r="M1168" s="49">
        <v>44090</v>
      </c>
      <c r="N1168" s="49" t="s">
        <v>168</v>
      </c>
      <c r="O1168" s="60">
        <v>0</v>
      </c>
      <c r="P1168" s="61">
        <v>544</v>
      </c>
      <c r="Q1168" s="51">
        <f t="shared" si="28"/>
        <v>0</v>
      </c>
      <c r="R1168" s="31">
        <v>202310</v>
      </c>
      <c r="S1168" s="62" t="s">
        <v>1507</v>
      </c>
      <c r="T1168" s="33"/>
      <c r="U1168" s="58"/>
      <c r="V1168" s="58"/>
      <c r="W1168" s="63"/>
      <c r="X1168" s="63"/>
      <c r="Y1168" s="36">
        <v>45017</v>
      </c>
      <c r="Z1168" s="36">
        <v>45382</v>
      </c>
      <c r="AA1168" s="36"/>
      <c r="AB1168" s="36"/>
      <c r="AC1168" s="36"/>
      <c r="AD1168" s="36"/>
      <c r="AE1168" s="36"/>
      <c r="AF1168" s="40" t="s">
        <v>503</v>
      </c>
      <c r="AG1168" s="42"/>
      <c r="AH1168" s="42"/>
      <c r="AI1168" s="43"/>
      <c r="AJ1168" s="43"/>
      <c r="AK1168" s="43"/>
      <c r="AL1168" s="43"/>
      <c r="AM1168" s="43"/>
      <c r="AN1168" s="42"/>
      <c r="AO1168" s="42"/>
      <c r="AP1168" s="42"/>
      <c r="AQ1168" s="43"/>
      <c r="AR1168" s="42"/>
      <c r="AS1168" s="42"/>
    </row>
    <row r="1169" spans="1:45" ht="15" customHeight="1">
      <c r="A1169" s="56" t="s">
        <v>260</v>
      </c>
      <c r="B1169" s="21" t="s">
        <v>46</v>
      </c>
      <c r="C1169" s="57" t="s">
        <v>814</v>
      </c>
      <c r="D1169" s="22" t="s">
        <v>48</v>
      </c>
      <c r="E1169" s="58" t="s">
        <v>1488</v>
      </c>
      <c r="F1169" s="56" t="s">
        <v>1489</v>
      </c>
      <c r="G1169" s="26" t="s">
        <v>165</v>
      </c>
      <c r="H1169" s="25" t="s">
        <v>1495</v>
      </c>
      <c r="I1169" s="26" t="s">
        <v>491</v>
      </c>
      <c r="J1169" s="56" t="s">
        <v>1499</v>
      </c>
      <c r="K1169" s="59" t="s">
        <v>1499</v>
      </c>
      <c r="L1169" s="48"/>
      <c r="M1169" s="49"/>
      <c r="N1169" s="49" t="s">
        <v>168</v>
      </c>
      <c r="O1169" s="60">
        <v>0</v>
      </c>
      <c r="P1169" s="61">
        <v>1280</v>
      </c>
      <c r="Q1169" s="51">
        <f t="shared" si="28"/>
        <v>0</v>
      </c>
      <c r="R1169" s="31">
        <v>202310</v>
      </c>
      <c r="S1169" s="62" t="s">
        <v>1508</v>
      </c>
      <c r="T1169" s="33"/>
      <c r="U1169" s="58"/>
      <c r="V1169" s="58"/>
      <c r="W1169" s="63"/>
      <c r="X1169" s="63"/>
      <c r="Y1169" s="36">
        <v>45017</v>
      </c>
      <c r="Z1169" s="36">
        <v>45382</v>
      </c>
      <c r="AA1169" s="36"/>
      <c r="AB1169" s="36"/>
      <c r="AC1169" s="36"/>
      <c r="AD1169" s="36"/>
      <c r="AE1169" s="36"/>
      <c r="AF1169" s="40" t="s">
        <v>484</v>
      </c>
      <c r="AG1169" s="42"/>
      <c r="AH1169" s="42"/>
      <c r="AI1169" s="43"/>
      <c r="AJ1169" s="43"/>
      <c r="AK1169" s="43"/>
      <c r="AL1169" s="43"/>
      <c r="AM1169" s="43"/>
      <c r="AN1169" s="42"/>
      <c r="AO1169" s="42"/>
      <c r="AP1169" s="42"/>
      <c r="AQ1169" s="43"/>
      <c r="AR1169" s="42"/>
      <c r="AS1169" s="42"/>
    </row>
    <row r="1170" spans="1:45" ht="15" customHeight="1">
      <c r="A1170" s="56" t="s">
        <v>260</v>
      </c>
      <c r="B1170" s="21" t="s">
        <v>46</v>
      </c>
      <c r="C1170" s="57" t="s">
        <v>814</v>
      </c>
      <c r="D1170" s="22" t="s">
        <v>48</v>
      </c>
      <c r="E1170" s="58" t="s">
        <v>1488</v>
      </c>
      <c r="F1170" s="56" t="s">
        <v>1489</v>
      </c>
      <c r="G1170" s="26" t="s">
        <v>165</v>
      </c>
      <c r="H1170" s="25" t="s">
        <v>1495</v>
      </c>
      <c r="I1170" s="26" t="s">
        <v>491</v>
      </c>
      <c r="J1170" s="56" t="s">
        <v>1499</v>
      </c>
      <c r="K1170" s="59" t="s">
        <v>1499</v>
      </c>
      <c r="L1170" s="48"/>
      <c r="M1170" s="49"/>
      <c r="N1170" s="49" t="s">
        <v>168</v>
      </c>
      <c r="O1170" s="60">
        <v>0</v>
      </c>
      <c r="P1170" s="61">
        <v>176</v>
      </c>
      <c r="Q1170" s="51">
        <f t="shared" si="28"/>
        <v>0</v>
      </c>
      <c r="R1170" s="31">
        <v>202310</v>
      </c>
      <c r="S1170" s="62" t="s">
        <v>1509</v>
      </c>
      <c r="T1170" s="33"/>
      <c r="U1170" s="58"/>
      <c r="V1170" s="58"/>
      <c r="W1170" s="63"/>
      <c r="X1170" s="63"/>
      <c r="Y1170" s="36">
        <v>45017</v>
      </c>
      <c r="Z1170" s="36">
        <v>45382</v>
      </c>
      <c r="AA1170" s="36"/>
      <c r="AB1170" s="36"/>
      <c r="AC1170" s="36"/>
      <c r="AD1170" s="36"/>
      <c r="AE1170" s="36"/>
      <c r="AF1170" s="40" t="s">
        <v>484</v>
      </c>
      <c r="AG1170" s="42"/>
      <c r="AH1170" s="42"/>
      <c r="AI1170" s="43"/>
      <c r="AJ1170" s="43"/>
      <c r="AK1170" s="43"/>
      <c r="AL1170" s="43"/>
      <c r="AM1170" s="43"/>
      <c r="AN1170" s="42"/>
      <c r="AO1170" s="42"/>
      <c r="AP1170" s="42"/>
      <c r="AQ1170" s="43"/>
      <c r="AR1170" s="42"/>
      <c r="AS1170" s="42"/>
    </row>
    <row r="1171" spans="1:45" ht="15" customHeight="1">
      <c r="A1171" s="56" t="s">
        <v>260</v>
      </c>
      <c r="B1171" s="21" t="s">
        <v>46</v>
      </c>
      <c r="C1171" s="57" t="s">
        <v>814</v>
      </c>
      <c r="D1171" s="22" t="s">
        <v>48</v>
      </c>
      <c r="E1171" s="58" t="s">
        <v>1488</v>
      </c>
      <c r="F1171" s="56" t="s">
        <v>1489</v>
      </c>
      <c r="G1171" s="26" t="s">
        <v>165</v>
      </c>
      <c r="H1171" s="25" t="s">
        <v>1495</v>
      </c>
      <c r="I1171" s="26" t="s">
        <v>491</v>
      </c>
      <c r="J1171" s="56" t="s">
        <v>1499</v>
      </c>
      <c r="K1171" s="59" t="s">
        <v>1499</v>
      </c>
      <c r="L1171" s="48"/>
      <c r="M1171" s="49">
        <v>44773</v>
      </c>
      <c r="N1171" s="49" t="s">
        <v>168</v>
      </c>
      <c r="O1171" s="60">
        <v>0</v>
      </c>
      <c r="P1171" s="61">
        <v>-768</v>
      </c>
      <c r="Q1171" s="51">
        <f t="shared" si="28"/>
        <v>0</v>
      </c>
      <c r="R1171" s="31">
        <v>202310</v>
      </c>
      <c r="S1171" s="62" t="s">
        <v>1510</v>
      </c>
      <c r="T1171" s="33"/>
      <c r="U1171" s="58"/>
      <c r="V1171" s="58"/>
      <c r="W1171" s="63"/>
      <c r="X1171" s="63"/>
      <c r="Y1171" s="36">
        <v>45017</v>
      </c>
      <c r="Z1171" s="36">
        <v>45382</v>
      </c>
      <c r="AA1171" s="36"/>
      <c r="AB1171" s="36"/>
      <c r="AC1171" s="36"/>
      <c r="AD1171" s="36"/>
      <c r="AE1171" s="36"/>
      <c r="AF1171" s="40" t="s">
        <v>484</v>
      </c>
      <c r="AG1171" s="42"/>
      <c r="AH1171" s="42"/>
      <c r="AI1171" s="43"/>
      <c r="AJ1171" s="43"/>
      <c r="AK1171" s="43"/>
      <c r="AL1171" s="43"/>
      <c r="AM1171" s="43"/>
      <c r="AN1171" s="42"/>
      <c r="AO1171" s="42"/>
      <c r="AP1171" s="42"/>
      <c r="AQ1171" s="43"/>
      <c r="AR1171" s="42"/>
      <c r="AS1171" s="42"/>
    </row>
    <row r="1172" spans="1:45" ht="15" customHeight="1">
      <c r="A1172" s="56" t="s">
        <v>260</v>
      </c>
      <c r="B1172" s="21" t="s">
        <v>46</v>
      </c>
      <c r="C1172" s="57" t="s">
        <v>814</v>
      </c>
      <c r="D1172" s="22" t="s">
        <v>48</v>
      </c>
      <c r="E1172" s="58" t="s">
        <v>1488</v>
      </c>
      <c r="F1172" s="56" t="s">
        <v>1489</v>
      </c>
      <c r="G1172" s="26" t="s">
        <v>165</v>
      </c>
      <c r="H1172" s="25" t="s">
        <v>1495</v>
      </c>
      <c r="I1172" s="26" t="s">
        <v>491</v>
      </c>
      <c r="J1172" s="56" t="s">
        <v>1499</v>
      </c>
      <c r="K1172" s="59" t="s">
        <v>1499</v>
      </c>
      <c r="L1172" s="48"/>
      <c r="M1172" s="49"/>
      <c r="N1172" s="49" t="s">
        <v>656</v>
      </c>
      <c r="O1172" s="60">
        <v>0</v>
      </c>
      <c r="P1172" s="61">
        <v>0</v>
      </c>
      <c r="Q1172" s="51">
        <f t="shared" si="28"/>
        <v>0</v>
      </c>
      <c r="R1172" s="31">
        <v>202310</v>
      </c>
      <c r="S1172" s="62" t="s">
        <v>1511</v>
      </c>
      <c r="T1172" s="33"/>
      <c r="U1172" s="58"/>
      <c r="V1172" s="58"/>
      <c r="W1172" s="63"/>
      <c r="X1172" s="63"/>
      <c r="Y1172" s="36">
        <v>45017</v>
      </c>
      <c r="Z1172" s="36">
        <v>45382</v>
      </c>
      <c r="AA1172" s="36"/>
      <c r="AB1172" s="36"/>
      <c r="AC1172" s="36"/>
      <c r="AD1172" s="36"/>
      <c r="AE1172" s="36"/>
      <c r="AF1172" s="40" t="s">
        <v>484</v>
      </c>
      <c r="AG1172" s="42"/>
      <c r="AH1172" s="42"/>
      <c r="AI1172" s="43"/>
      <c r="AJ1172" s="43"/>
      <c r="AK1172" s="43"/>
      <c r="AL1172" s="43"/>
      <c r="AM1172" s="43"/>
      <c r="AN1172" s="42"/>
      <c r="AO1172" s="42"/>
      <c r="AP1172" s="42"/>
      <c r="AQ1172" s="43"/>
      <c r="AR1172" s="42"/>
      <c r="AS1172" s="42"/>
    </row>
    <row r="1173" spans="1:45" ht="15" customHeight="1">
      <c r="A1173" s="56" t="s">
        <v>260</v>
      </c>
      <c r="B1173" s="21" t="s">
        <v>46</v>
      </c>
      <c r="C1173" s="57" t="s">
        <v>814</v>
      </c>
      <c r="D1173" s="22" t="s">
        <v>48</v>
      </c>
      <c r="E1173" s="58" t="s">
        <v>1488</v>
      </c>
      <c r="F1173" s="56" t="s">
        <v>1489</v>
      </c>
      <c r="G1173" s="26" t="s">
        <v>77</v>
      </c>
      <c r="H1173" s="25" t="s">
        <v>1495</v>
      </c>
      <c r="I1173" s="26" t="s">
        <v>479</v>
      </c>
      <c r="J1173" s="56" t="s">
        <v>1499</v>
      </c>
      <c r="K1173" s="59" t="s">
        <v>1499</v>
      </c>
      <c r="L1173" s="48" t="s">
        <v>1512</v>
      </c>
      <c r="M1173" s="49">
        <v>44545</v>
      </c>
      <c r="N1173" s="49" t="s">
        <v>1310</v>
      </c>
      <c r="O1173" s="60">
        <v>4700</v>
      </c>
      <c r="P1173" s="61">
        <v>1</v>
      </c>
      <c r="Q1173" s="51">
        <f t="shared" si="28"/>
        <v>4700</v>
      </c>
      <c r="R1173" s="31">
        <v>202310</v>
      </c>
      <c r="S1173" s="62" t="s">
        <v>1513</v>
      </c>
      <c r="T1173" s="33"/>
      <c r="U1173" s="58"/>
      <c r="V1173" s="58"/>
      <c r="W1173" s="63"/>
      <c r="X1173" s="63"/>
      <c r="Y1173" s="36">
        <v>45017</v>
      </c>
      <c r="Z1173" s="36">
        <v>45382</v>
      </c>
      <c r="AA1173" s="36"/>
      <c r="AB1173" s="36"/>
      <c r="AC1173" s="36"/>
      <c r="AD1173" s="36"/>
      <c r="AE1173" s="36"/>
      <c r="AF1173" s="40" t="s">
        <v>484</v>
      </c>
      <c r="AG1173" s="42"/>
      <c r="AH1173" s="42"/>
      <c r="AI1173" s="43"/>
      <c r="AJ1173" s="43"/>
      <c r="AK1173" s="43"/>
      <c r="AL1173" s="43"/>
      <c r="AM1173" s="43"/>
      <c r="AN1173" s="42"/>
      <c r="AO1173" s="42"/>
      <c r="AP1173" s="42"/>
      <c r="AQ1173" s="43"/>
      <c r="AR1173" s="42"/>
      <c r="AS1173" s="42"/>
    </row>
    <row r="1174" spans="1:45" ht="15" customHeight="1">
      <c r="A1174" s="56" t="s">
        <v>260</v>
      </c>
      <c r="B1174" s="21" t="s">
        <v>46</v>
      </c>
      <c r="C1174" s="57" t="s">
        <v>814</v>
      </c>
      <c r="D1174" s="22" t="s">
        <v>48</v>
      </c>
      <c r="E1174" s="58" t="s">
        <v>1488</v>
      </c>
      <c r="F1174" s="56" t="s">
        <v>1489</v>
      </c>
      <c r="G1174" s="26" t="s">
        <v>77</v>
      </c>
      <c r="H1174" s="25" t="s">
        <v>1495</v>
      </c>
      <c r="I1174" s="26" t="s">
        <v>479</v>
      </c>
      <c r="J1174" s="56" t="s">
        <v>1499</v>
      </c>
      <c r="K1174" s="59" t="s">
        <v>1499</v>
      </c>
      <c r="L1174" s="48" t="s">
        <v>1512</v>
      </c>
      <c r="M1174" s="49">
        <v>44576</v>
      </c>
      <c r="N1174" s="49" t="s">
        <v>1310</v>
      </c>
      <c r="O1174" s="60">
        <v>4700</v>
      </c>
      <c r="P1174" s="61">
        <v>1</v>
      </c>
      <c r="Q1174" s="51">
        <f t="shared" si="28"/>
        <v>4700</v>
      </c>
      <c r="R1174" s="31">
        <v>202310</v>
      </c>
      <c r="S1174" s="62" t="s">
        <v>1514</v>
      </c>
      <c r="T1174" s="33"/>
      <c r="U1174" s="58"/>
      <c r="V1174" s="58"/>
      <c r="W1174" s="63"/>
      <c r="X1174" s="63"/>
      <c r="Y1174" s="36">
        <v>45017</v>
      </c>
      <c r="Z1174" s="36">
        <v>45382</v>
      </c>
      <c r="AA1174" s="36"/>
      <c r="AB1174" s="36"/>
      <c r="AC1174" s="36"/>
      <c r="AD1174" s="36"/>
      <c r="AE1174" s="36"/>
      <c r="AF1174" s="40" t="s">
        <v>484</v>
      </c>
      <c r="AG1174" s="42"/>
      <c r="AH1174" s="42"/>
      <c r="AI1174" s="43"/>
      <c r="AJ1174" s="43"/>
      <c r="AK1174" s="43"/>
      <c r="AL1174" s="43"/>
      <c r="AM1174" s="43"/>
      <c r="AN1174" s="42"/>
      <c r="AO1174" s="42"/>
      <c r="AP1174" s="42"/>
      <c r="AQ1174" s="43"/>
      <c r="AR1174" s="42"/>
      <c r="AS1174" s="42"/>
    </row>
    <row r="1175" spans="1:45" ht="15" customHeight="1">
      <c r="A1175" s="56" t="s">
        <v>260</v>
      </c>
      <c r="B1175" s="21" t="s">
        <v>46</v>
      </c>
      <c r="C1175" s="57" t="s">
        <v>814</v>
      </c>
      <c r="D1175" s="22" t="s">
        <v>48</v>
      </c>
      <c r="E1175" s="58" t="s">
        <v>1488</v>
      </c>
      <c r="F1175" s="56" t="s">
        <v>1489</v>
      </c>
      <c r="G1175" s="26" t="s">
        <v>77</v>
      </c>
      <c r="H1175" s="25" t="s">
        <v>1495</v>
      </c>
      <c r="I1175" s="26" t="s">
        <v>849</v>
      </c>
      <c r="J1175" s="56" t="s">
        <v>1491</v>
      </c>
      <c r="K1175" s="59" t="s">
        <v>1496</v>
      </c>
      <c r="L1175" s="48" t="s">
        <v>1497</v>
      </c>
      <c r="M1175" s="49">
        <v>45040</v>
      </c>
      <c r="N1175" s="49" t="s">
        <v>1310</v>
      </c>
      <c r="O1175" s="60">
        <v>4700</v>
      </c>
      <c r="P1175" s="61">
        <v>-2</v>
      </c>
      <c r="Q1175" s="51">
        <f t="shared" si="28"/>
        <v>-9400</v>
      </c>
      <c r="R1175" s="31">
        <v>202310</v>
      </c>
      <c r="S1175" s="62" t="s">
        <v>1515</v>
      </c>
      <c r="T1175" s="33"/>
      <c r="U1175" s="58"/>
      <c r="V1175" s="58"/>
      <c r="W1175" s="63"/>
      <c r="X1175" s="63"/>
      <c r="Y1175" s="36">
        <v>45017</v>
      </c>
      <c r="Z1175" s="36">
        <v>45382</v>
      </c>
      <c r="AA1175" s="36"/>
      <c r="AB1175" s="36"/>
      <c r="AC1175" s="36"/>
      <c r="AD1175" s="36"/>
      <c r="AE1175" s="36"/>
      <c r="AF1175" s="40" t="s">
        <v>853</v>
      </c>
      <c r="AG1175" s="42"/>
      <c r="AH1175" s="42"/>
      <c r="AI1175" s="43"/>
      <c r="AJ1175" s="43"/>
      <c r="AK1175" s="43"/>
      <c r="AL1175" s="43"/>
      <c r="AM1175" s="43"/>
      <c r="AN1175" s="42"/>
      <c r="AO1175" s="42"/>
      <c r="AP1175" s="42"/>
      <c r="AQ1175" s="43"/>
      <c r="AR1175" s="42"/>
      <c r="AS1175" s="42"/>
    </row>
    <row r="1176" spans="1:45" ht="15" customHeight="1">
      <c r="A1176" s="56" t="s">
        <v>260</v>
      </c>
      <c r="B1176" s="21" t="s">
        <v>46</v>
      </c>
      <c r="C1176" s="57" t="s">
        <v>814</v>
      </c>
      <c r="D1176" s="22" t="s">
        <v>48</v>
      </c>
      <c r="E1176" s="58" t="s">
        <v>1488</v>
      </c>
      <c r="F1176" s="56" t="s">
        <v>1489</v>
      </c>
      <c r="G1176" s="26" t="s">
        <v>77</v>
      </c>
      <c r="H1176" s="25" t="s">
        <v>1516</v>
      </c>
      <c r="I1176" s="26" t="s">
        <v>479</v>
      </c>
      <c r="J1176" s="56" t="s">
        <v>1491</v>
      </c>
      <c r="K1176" s="59" t="s">
        <v>1502</v>
      </c>
      <c r="L1176" s="48" t="s">
        <v>1512</v>
      </c>
      <c r="M1176" s="49" t="s">
        <v>340</v>
      </c>
      <c r="N1176" s="49" t="s">
        <v>1310</v>
      </c>
      <c r="O1176" s="60">
        <v>0</v>
      </c>
      <c r="P1176" s="61">
        <v>4</v>
      </c>
      <c r="Q1176" s="51">
        <f t="shared" ref="Q1176:Q1253" si="29">ROUND(O1176*P1176,2)</f>
        <v>0</v>
      </c>
      <c r="R1176" s="31">
        <v>202310</v>
      </c>
      <c r="S1176" s="62" t="s">
        <v>1517</v>
      </c>
      <c r="T1176" s="33"/>
      <c r="U1176" s="58"/>
      <c r="V1176" s="58"/>
      <c r="W1176" s="63"/>
      <c r="X1176" s="63"/>
      <c r="Y1176" s="36"/>
      <c r="Z1176" s="36"/>
      <c r="AA1176" s="36"/>
      <c r="AB1176" s="36"/>
      <c r="AC1176" s="36"/>
      <c r="AD1176" s="36"/>
      <c r="AE1176" s="36"/>
      <c r="AF1176" s="40" t="s">
        <v>503</v>
      </c>
      <c r="AG1176" s="42"/>
      <c r="AH1176" s="42"/>
      <c r="AI1176" s="43"/>
      <c r="AJ1176" s="43"/>
      <c r="AK1176" s="43"/>
      <c r="AL1176" s="43"/>
      <c r="AM1176" s="43"/>
      <c r="AN1176" s="42"/>
      <c r="AO1176" s="42"/>
      <c r="AP1176" s="42"/>
      <c r="AQ1176" s="43"/>
      <c r="AR1176" s="42"/>
      <c r="AS1176" s="42"/>
    </row>
    <row r="1177" spans="1:45" ht="15" customHeight="1">
      <c r="A1177" s="56" t="s">
        <v>260</v>
      </c>
      <c r="B1177" s="21" t="s">
        <v>46</v>
      </c>
      <c r="C1177" s="57" t="s">
        <v>814</v>
      </c>
      <c r="D1177" s="22" t="s">
        <v>48</v>
      </c>
      <c r="E1177" s="58" t="s">
        <v>1488</v>
      </c>
      <c r="F1177" s="56" t="s">
        <v>1489</v>
      </c>
      <c r="G1177" s="26" t="s">
        <v>77</v>
      </c>
      <c r="H1177" s="25" t="s">
        <v>1495</v>
      </c>
      <c r="I1177" s="26" t="s">
        <v>479</v>
      </c>
      <c r="J1177" s="56" t="s">
        <v>1491</v>
      </c>
      <c r="K1177" s="59" t="s">
        <v>1499</v>
      </c>
      <c r="L1177" s="48" t="s">
        <v>1512</v>
      </c>
      <c r="M1177" s="49" t="s">
        <v>340</v>
      </c>
      <c r="N1177" s="49" t="s">
        <v>1310</v>
      </c>
      <c r="O1177" s="60">
        <v>0</v>
      </c>
      <c r="P1177" s="61">
        <v>8</v>
      </c>
      <c r="Q1177" s="51">
        <f t="shared" si="29"/>
        <v>0</v>
      </c>
      <c r="R1177" s="31">
        <v>202310</v>
      </c>
      <c r="S1177" s="62" t="s">
        <v>1518</v>
      </c>
      <c r="T1177" s="33"/>
      <c r="U1177" s="58"/>
      <c r="V1177" s="58"/>
      <c r="W1177" s="63"/>
      <c r="X1177" s="63"/>
      <c r="Y1177" s="36">
        <v>45017</v>
      </c>
      <c r="Z1177" s="36">
        <v>45382</v>
      </c>
      <c r="AA1177" s="36"/>
      <c r="AB1177" s="36"/>
      <c r="AC1177" s="36"/>
      <c r="AD1177" s="36"/>
      <c r="AE1177" s="36"/>
      <c r="AF1177" s="40" t="s">
        <v>484</v>
      </c>
      <c r="AG1177" s="42"/>
      <c r="AH1177" s="42"/>
      <c r="AI1177" s="43"/>
      <c r="AJ1177" s="43"/>
      <c r="AK1177" s="43"/>
      <c r="AL1177" s="43"/>
      <c r="AM1177" s="43"/>
      <c r="AN1177" s="42"/>
      <c r="AO1177" s="42"/>
      <c r="AP1177" s="42"/>
      <c r="AQ1177" s="43"/>
      <c r="AR1177" s="42"/>
      <c r="AS1177" s="42"/>
    </row>
    <row r="1178" spans="1:45" ht="15" customHeight="1">
      <c r="A1178" s="56" t="s">
        <v>260</v>
      </c>
      <c r="B1178" s="21" t="s">
        <v>46</v>
      </c>
      <c r="C1178" s="57" t="s">
        <v>814</v>
      </c>
      <c r="D1178" s="22" t="s">
        <v>48</v>
      </c>
      <c r="E1178" s="58" t="s">
        <v>1488</v>
      </c>
      <c r="F1178" s="56" t="s">
        <v>1489</v>
      </c>
      <c r="G1178" s="26" t="s">
        <v>77</v>
      </c>
      <c r="H1178" s="25" t="s">
        <v>1516</v>
      </c>
      <c r="I1178" s="26" t="s">
        <v>479</v>
      </c>
      <c r="J1178" s="56" t="s">
        <v>1491</v>
      </c>
      <c r="K1178" s="59" t="s">
        <v>1502</v>
      </c>
      <c r="L1178" s="48" t="s">
        <v>1512</v>
      </c>
      <c r="M1178" s="49">
        <v>44012</v>
      </c>
      <c r="N1178" s="49" t="s">
        <v>1310</v>
      </c>
      <c r="O1178" s="60">
        <v>0</v>
      </c>
      <c r="P1178" s="61">
        <v>-4</v>
      </c>
      <c r="Q1178" s="51">
        <f t="shared" si="29"/>
        <v>0</v>
      </c>
      <c r="R1178" s="31">
        <v>202310</v>
      </c>
      <c r="S1178" s="62" t="s">
        <v>1519</v>
      </c>
      <c r="T1178" s="33"/>
      <c r="U1178" s="58"/>
      <c r="V1178" s="58"/>
      <c r="W1178" s="63"/>
      <c r="X1178" s="63"/>
      <c r="Y1178" s="36"/>
      <c r="Z1178" s="36"/>
      <c r="AA1178" s="36"/>
      <c r="AB1178" s="36"/>
      <c r="AC1178" s="36"/>
      <c r="AD1178" s="36"/>
      <c r="AE1178" s="36"/>
      <c r="AF1178" s="40" t="s">
        <v>503</v>
      </c>
      <c r="AG1178" s="42"/>
      <c r="AH1178" s="42"/>
      <c r="AI1178" s="43"/>
      <c r="AJ1178" s="43"/>
      <c r="AK1178" s="43"/>
      <c r="AL1178" s="43"/>
      <c r="AM1178" s="43"/>
      <c r="AN1178" s="42"/>
      <c r="AO1178" s="42"/>
      <c r="AP1178" s="42"/>
      <c r="AQ1178" s="43"/>
      <c r="AR1178" s="42"/>
      <c r="AS1178" s="42"/>
    </row>
    <row r="1179" spans="1:45" ht="15" customHeight="1">
      <c r="A1179" s="56" t="s">
        <v>260</v>
      </c>
      <c r="B1179" s="21" t="s">
        <v>46</v>
      </c>
      <c r="C1179" s="57" t="s">
        <v>814</v>
      </c>
      <c r="D1179" s="22" t="s">
        <v>48</v>
      </c>
      <c r="E1179" s="58" t="s">
        <v>1488</v>
      </c>
      <c r="F1179" s="56" t="s">
        <v>1489</v>
      </c>
      <c r="G1179" s="26" t="s">
        <v>77</v>
      </c>
      <c r="H1179" s="25" t="s">
        <v>1516</v>
      </c>
      <c r="I1179" s="26" t="s">
        <v>479</v>
      </c>
      <c r="J1179" s="56" t="s">
        <v>1491</v>
      </c>
      <c r="K1179" s="59" t="s">
        <v>1502</v>
      </c>
      <c r="L1179" s="48" t="s">
        <v>1512</v>
      </c>
      <c r="M1179" s="49">
        <v>44090</v>
      </c>
      <c r="N1179" s="49" t="s">
        <v>1310</v>
      </c>
      <c r="O1179" s="60">
        <v>0</v>
      </c>
      <c r="P1179" s="61">
        <v>4</v>
      </c>
      <c r="Q1179" s="51">
        <f t="shared" si="29"/>
        <v>0</v>
      </c>
      <c r="R1179" s="31">
        <v>202310</v>
      </c>
      <c r="S1179" s="62" t="s">
        <v>1520</v>
      </c>
      <c r="T1179" s="33"/>
      <c r="U1179" s="58"/>
      <c r="V1179" s="58"/>
      <c r="W1179" s="63"/>
      <c r="X1179" s="63"/>
      <c r="Y1179" s="36"/>
      <c r="Z1179" s="36"/>
      <c r="AA1179" s="36"/>
      <c r="AB1179" s="36"/>
      <c r="AC1179" s="36"/>
      <c r="AD1179" s="36"/>
      <c r="AE1179" s="36"/>
      <c r="AF1179" s="40" t="s">
        <v>503</v>
      </c>
      <c r="AG1179" s="42"/>
      <c r="AH1179" s="42"/>
      <c r="AI1179" s="43"/>
      <c r="AJ1179" s="43"/>
      <c r="AK1179" s="43"/>
      <c r="AL1179" s="43"/>
      <c r="AM1179" s="43"/>
      <c r="AN1179" s="42"/>
      <c r="AO1179" s="42"/>
      <c r="AP1179" s="42"/>
      <c r="AQ1179" s="43"/>
      <c r="AR1179" s="42"/>
      <c r="AS1179" s="42"/>
    </row>
    <row r="1180" spans="1:45" ht="15" customHeight="1">
      <c r="A1180" s="56" t="s">
        <v>260</v>
      </c>
      <c r="B1180" s="21" t="s">
        <v>46</v>
      </c>
      <c r="C1180" s="57" t="s">
        <v>814</v>
      </c>
      <c r="D1180" s="22" t="s">
        <v>48</v>
      </c>
      <c r="E1180" s="58" t="s">
        <v>1488</v>
      </c>
      <c r="F1180" s="56" t="s">
        <v>1489</v>
      </c>
      <c r="G1180" s="26" t="s">
        <v>77</v>
      </c>
      <c r="H1180" s="25" t="s">
        <v>1516</v>
      </c>
      <c r="I1180" s="26" t="s">
        <v>479</v>
      </c>
      <c r="J1180" s="56" t="s">
        <v>1491</v>
      </c>
      <c r="K1180" s="59" t="s">
        <v>1502</v>
      </c>
      <c r="L1180" s="48" t="s">
        <v>1512</v>
      </c>
      <c r="M1180" s="49">
        <v>44742</v>
      </c>
      <c r="N1180" s="49" t="s">
        <v>1310</v>
      </c>
      <c r="O1180" s="60">
        <v>0</v>
      </c>
      <c r="P1180" s="61">
        <v>-4</v>
      </c>
      <c r="Q1180" s="51">
        <f t="shared" si="29"/>
        <v>0</v>
      </c>
      <c r="R1180" s="31">
        <v>202310</v>
      </c>
      <c r="S1180" s="62" t="s">
        <v>1521</v>
      </c>
      <c r="T1180" s="33"/>
      <c r="U1180" s="58"/>
      <c r="V1180" s="58"/>
      <c r="W1180" s="63"/>
      <c r="X1180" s="63"/>
      <c r="Y1180" s="36"/>
      <c r="Z1180" s="36"/>
      <c r="AA1180" s="36"/>
      <c r="AB1180" s="36"/>
      <c r="AC1180" s="36"/>
      <c r="AD1180" s="36"/>
      <c r="AE1180" s="36"/>
      <c r="AF1180" s="40" t="s">
        <v>503</v>
      </c>
      <c r="AG1180" s="42"/>
      <c r="AH1180" s="42"/>
      <c r="AI1180" s="43"/>
      <c r="AJ1180" s="43"/>
      <c r="AK1180" s="43"/>
      <c r="AL1180" s="43"/>
      <c r="AM1180" s="43"/>
      <c r="AN1180" s="42"/>
      <c r="AO1180" s="42"/>
      <c r="AP1180" s="42"/>
      <c r="AQ1180" s="43"/>
      <c r="AR1180" s="42"/>
      <c r="AS1180" s="42"/>
    </row>
    <row r="1181" spans="1:45" ht="15" customHeight="1">
      <c r="A1181" s="56" t="s">
        <v>260</v>
      </c>
      <c r="B1181" s="21" t="s">
        <v>46</v>
      </c>
      <c r="C1181" s="57" t="s">
        <v>814</v>
      </c>
      <c r="D1181" s="22" t="s">
        <v>48</v>
      </c>
      <c r="E1181" s="58" t="s">
        <v>1488</v>
      </c>
      <c r="F1181" s="56" t="s">
        <v>1489</v>
      </c>
      <c r="G1181" s="26" t="s">
        <v>77</v>
      </c>
      <c r="H1181" s="25" t="s">
        <v>1495</v>
      </c>
      <c r="I1181" s="26" t="s">
        <v>479</v>
      </c>
      <c r="J1181" s="56" t="s">
        <v>1491</v>
      </c>
      <c r="K1181" s="59" t="s">
        <v>1506</v>
      </c>
      <c r="L1181" s="48" t="s">
        <v>1492</v>
      </c>
      <c r="M1181" s="49">
        <v>44090</v>
      </c>
      <c r="N1181" s="49" t="s">
        <v>1310</v>
      </c>
      <c r="O1181" s="60">
        <v>0</v>
      </c>
      <c r="P1181" s="61">
        <v>8</v>
      </c>
      <c r="Q1181" s="51">
        <f t="shared" si="29"/>
        <v>0</v>
      </c>
      <c r="R1181" s="31">
        <v>202310</v>
      </c>
      <c r="S1181" s="62" t="s">
        <v>1522</v>
      </c>
      <c r="T1181" s="33"/>
      <c r="U1181" s="58"/>
      <c r="V1181" s="58"/>
      <c r="W1181" s="63"/>
      <c r="X1181" s="63"/>
      <c r="Y1181" s="36">
        <v>45017</v>
      </c>
      <c r="Z1181" s="36">
        <v>45382</v>
      </c>
      <c r="AA1181" s="36"/>
      <c r="AB1181" s="36"/>
      <c r="AC1181" s="36"/>
      <c r="AD1181" s="36"/>
      <c r="AE1181" s="36"/>
      <c r="AF1181" s="40" t="s">
        <v>503</v>
      </c>
      <c r="AG1181" s="42"/>
      <c r="AH1181" s="42"/>
      <c r="AI1181" s="43"/>
      <c r="AJ1181" s="43"/>
      <c r="AK1181" s="43"/>
      <c r="AL1181" s="43"/>
      <c r="AM1181" s="43"/>
      <c r="AN1181" s="42"/>
      <c r="AO1181" s="42"/>
      <c r="AP1181" s="42"/>
      <c r="AQ1181" s="43"/>
      <c r="AR1181" s="42"/>
      <c r="AS1181" s="42"/>
    </row>
    <row r="1182" spans="1:45" ht="15" customHeight="1">
      <c r="A1182" s="56" t="s">
        <v>260</v>
      </c>
      <c r="B1182" s="21" t="s">
        <v>46</v>
      </c>
      <c r="C1182" s="57" t="s">
        <v>814</v>
      </c>
      <c r="D1182" s="22" t="s">
        <v>48</v>
      </c>
      <c r="E1182" s="58" t="s">
        <v>1488</v>
      </c>
      <c r="F1182" s="56" t="s">
        <v>1489</v>
      </c>
      <c r="G1182" s="26" t="s">
        <v>77</v>
      </c>
      <c r="H1182" s="25" t="s">
        <v>1495</v>
      </c>
      <c r="I1182" s="26" t="s">
        <v>479</v>
      </c>
      <c r="J1182" s="56" t="s">
        <v>1491</v>
      </c>
      <c r="K1182" s="59" t="s">
        <v>1506</v>
      </c>
      <c r="L1182" s="48" t="s">
        <v>1497</v>
      </c>
      <c r="M1182" s="49">
        <v>44090</v>
      </c>
      <c r="N1182" s="49" t="s">
        <v>1310</v>
      </c>
      <c r="O1182" s="60">
        <v>4700</v>
      </c>
      <c r="P1182" s="61">
        <v>3</v>
      </c>
      <c r="Q1182" s="51">
        <f t="shared" si="29"/>
        <v>14100</v>
      </c>
      <c r="R1182" s="31">
        <v>202310</v>
      </c>
      <c r="S1182" s="62" t="s">
        <v>1523</v>
      </c>
      <c r="T1182" s="33"/>
      <c r="U1182" s="58"/>
      <c r="V1182" s="58"/>
      <c r="W1182" s="63"/>
      <c r="X1182" s="63"/>
      <c r="Y1182" s="36">
        <v>45017</v>
      </c>
      <c r="Z1182" s="36">
        <v>45382</v>
      </c>
      <c r="AA1182" s="36"/>
      <c r="AB1182" s="36"/>
      <c r="AC1182" s="36"/>
      <c r="AD1182" s="36"/>
      <c r="AE1182" s="36"/>
      <c r="AF1182" s="40" t="s">
        <v>503</v>
      </c>
      <c r="AG1182" s="42"/>
      <c r="AH1182" s="42"/>
      <c r="AI1182" s="43"/>
      <c r="AJ1182" s="43"/>
      <c r="AK1182" s="43"/>
      <c r="AL1182" s="43"/>
      <c r="AM1182" s="43"/>
      <c r="AN1182" s="42"/>
      <c r="AO1182" s="42"/>
      <c r="AP1182" s="42"/>
      <c r="AQ1182" s="43"/>
      <c r="AR1182" s="42"/>
      <c r="AS1182" s="42"/>
    </row>
    <row r="1183" spans="1:45" ht="15" customHeight="1">
      <c r="A1183" s="56" t="s">
        <v>260</v>
      </c>
      <c r="B1183" s="21" t="s">
        <v>46</v>
      </c>
      <c r="C1183" s="57" t="s">
        <v>814</v>
      </c>
      <c r="D1183" s="22" t="s">
        <v>48</v>
      </c>
      <c r="E1183" s="58" t="s">
        <v>1488</v>
      </c>
      <c r="F1183" s="56" t="s">
        <v>1489</v>
      </c>
      <c r="G1183" s="26" t="s">
        <v>77</v>
      </c>
      <c r="H1183" s="25" t="s">
        <v>1495</v>
      </c>
      <c r="I1183" s="26" t="s">
        <v>479</v>
      </c>
      <c r="J1183" s="56" t="s">
        <v>1491</v>
      </c>
      <c r="K1183" s="59" t="s">
        <v>1499</v>
      </c>
      <c r="L1183" s="48" t="s">
        <v>1512</v>
      </c>
      <c r="M1183" s="49">
        <v>44347</v>
      </c>
      <c r="N1183" s="49" t="s">
        <v>1310</v>
      </c>
      <c r="O1183" s="60">
        <v>4700</v>
      </c>
      <c r="P1183" s="61">
        <v>-3</v>
      </c>
      <c r="Q1183" s="51">
        <f t="shared" si="29"/>
        <v>-14100</v>
      </c>
      <c r="R1183" s="31">
        <v>202310</v>
      </c>
      <c r="S1183" s="62" t="s">
        <v>1524</v>
      </c>
      <c r="T1183" s="33"/>
      <c r="U1183" s="58"/>
      <c r="V1183" s="58"/>
      <c r="W1183" s="63"/>
      <c r="X1183" s="63"/>
      <c r="Y1183" s="36">
        <v>45017</v>
      </c>
      <c r="Z1183" s="36">
        <v>45382</v>
      </c>
      <c r="AA1183" s="36"/>
      <c r="AB1183" s="36"/>
      <c r="AC1183" s="36"/>
      <c r="AD1183" s="36"/>
      <c r="AE1183" s="36"/>
      <c r="AF1183" s="40" t="s">
        <v>484</v>
      </c>
      <c r="AG1183" s="42"/>
      <c r="AH1183" s="42"/>
      <c r="AI1183" s="43"/>
      <c r="AJ1183" s="43"/>
      <c r="AK1183" s="43"/>
      <c r="AL1183" s="43"/>
      <c r="AM1183" s="43"/>
      <c r="AN1183" s="42"/>
      <c r="AO1183" s="42"/>
      <c r="AP1183" s="42"/>
      <c r="AQ1183" s="43"/>
      <c r="AR1183" s="42"/>
      <c r="AS1183" s="42"/>
    </row>
    <row r="1184" spans="1:45" ht="15" customHeight="1">
      <c r="A1184" s="56" t="s">
        <v>260</v>
      </c>
      <c r="B1184" s="21" t="s">
        <v>46</v>
      </c>
      <c r="C1184" s="57" t="s">
        <v>814</v>
      </c>
      <c r="D1184" s="22" t="s">
        <v>48</v>
      </c>
      <c r="E1184" s="58" t="s">
        <v>1488</v>
      </c>
      <c r="F1184" s="56" t="s">
        <v>1489</v>
      </c>
      <c r="G1184" s="26" t="s">
        <v>77</v>
      </c>
      <c r="H1184" s="25" t="s">
        <v>1495</v>
      </c>
      <c r="I1184" s="26" t="s">
        <v>479</v>
      </c>
      <c r="J1184" s="56" t="s">
        <v>1491</v>
      </c>
      <c r="K1184" s="59" t="s">
        <v>1499</v>
      </c>
      <c r="L1184" s="48" t="s">
        <v>1512</v>
      </c>
      <c r="M1184" s="49">
        <v>43811</v>
      </c>
      <c r="N1184" s="49" t="s">
        <v>1310</v>
      </c>
      <c r="O1184" s="60">
        <v>0</v>
      </c>
      <c r="P1184" s="61">
        <v>2</v>
      </c>
      <c r="Q1184" s="51">
        <f t="shared" si="29"/>
        <v>0</v>
      </c>
      <c r="R1184" s="31">
        <v>202310</v>
      </c>
      <c r="S1184" s="62" t="s">
        <v>1525</v>
      </c>
      <c r="T1184" s="33"/>
      <c r="U1184" s="58"/>
      <c r="V1184" s="58"/>
      <c r="W1184" s="63"/>
      <c r="X1184" s="63"/>
      <c r="Y1184" s="36">
        <v>45017</v>
      </c>
      <c r="Z1184" s="36">
        <v>45382</v>
      </c>
      <c r="AA1184" s="36"/>
      <c r="AB1184" s="36"/>
      <c r="AC1184" s="36"/>
      <c r="AD1184" s="36"/>
      <c r="AE1184" s="36"/>
      <c r="AF1184" s="40" t="s">
        <v>484</v>
      </c>
      <c r="AG1184" s="42"/>
      <c r="AH1184" s="42"/>
      <c r="AI1184" s="43"/>
      <c r="AJ1184" s="43"/>
      <c r="AK1184" s="43"/>
      <c r="AL1184" s="43"/>
      <c r="AM1184" s="43"/>
      <c r="AN1184" s="42"/>
      <c r="AO1184" s="42"/>
      <c r="AP1184" s="42"/>
      <c r="AQ1184" s="43"/>
      <c r="AR1184" s="42"/>
      <c r="AS1184" s="42"/>
    </row>
    <row r="1185" spans="1:45" ht="15" customHeight="1">
      <c r="A1185" s="56" t="s">
        <v>260</v>
      </c>
      <c r="B1185" s="21" t="s">
        <v>46</v>
      </c>
      <c r="C1185" s="57" t="s">
        <v>814</v>
      </c>
      <c r="D1185" s="22" t="s">
        <v>48</v>
      </c>
      <c r="E1185" s="58" t="s">
        <v>1488</v>
      </c>
      <c r="F1185" s="56" t="s">
        <v>1489</v>
      </c>
      <c r="G1185" s="26" t="s">
        <v>77</v>
      </c>
      <c r="H1185" s="25" t="s">
        <v>1495</v>
      </c>
      <c r="I1185" s="26" t="s">
        <v>479</v>
      </c>
      <c r="J1185" s="56" t="s">
        <v>1491</v>
      </c>
      <c r="K1185" s="59" t="s">
        <v>1506</v>
      </c>
      <c r="L1185" s="48" t="s">
        <v>1512</v>
      </c>
      <c r="M1185" s="49">
        <v>44439</v>
      </c>
      <c r="N1185" s="49" t="s">
        <v>1310</v>
      </c>
      <c r="O1185" s="60">
        <v>0</v>
      </c>
      <c r="P1185" s="61">
        <v>-3</v>
      </c>
      <c r="Q1185" s="51">
        <f t="shared" si="29"/>
        <v>0</v>
      </c>
      <c r="R1185" s="31">
        <v>202310</v>
      </c>
      <c r="S1185" s="62" t="s">
        <v>1526</v>
      </c>
      <c r="T1185" s="33"/>
      <c r="U1185" s="58"/>
      <c r="V1185" s="58"/>
      <c r="W1185" s="63"/>
      <c r="X1185" s="63"/>
      <c r="Y1185" s="36">
        <v>45017</v>
      </c>
      <c r="Z1185" s="36">
        <v>45382</v>
      </c>
      <c r="AA1185" s="36"/>
      <c r="AB1185" s="36"/>
      <c r="AC1185" s="36"/>
      <c r="AD1185" s="36"/>
      <c r="AE1185" s="36"/>
      <c r="AF1185" s="40" t="s">
        <v>503</v>
      </c>
      <c r="AG1185" s="42"/>
      <c r="AH1185" s="42"/>
      <c r="AI1185" s="43"/>
      <c r="AJ1185" s="43"/>
      <c r="AK1185" s="43"/>
      <c r="AL1185" s="43"/>
      <c r="AM1185" s="43"/>
      <c r="AN1185" s="42"/>
      <c r="AO1185" s="42"/>
      <c r="AP1185" s="42"/>
      <c r="AQ1185" s="43"/>
      <c r="AR1185" s="42"/>
      <c r="AS1185" s="42"/>
    </row>
    <row r="1186" spans="1:45" ht="15" customHeight="1">
      <c r="A1186" s="56" t="s">
        <v>260</v>
      </c>
      <c r="B1186" s="21" t="s">
        <v>46</v>
      </c>
      <c r="C1186" s="57" t="s">
        <v>814</v>
      </c>
      <c r="D1186" s="22" t="s">
        <v>48</v>
      </c>
      <c r="E1186" s="58" t="s">
        <v>1488</v>
      </c>
      <c r="F1186" s="56" t="s">
        <v>1489</v>
      </c>
      <c r="G1186" s="26" t="s">
        <v>77</v>
      </c>
      <c r="H1186" s="25" t="s">
        <v>1495</v>
      </c>
      <c r="I1186" s="26" t="s">
        <v>479</v>
      </c>
      <c r="J1186" s="56" t="s">
        <v>1491</v>
      </c>
      <c r="K1186" s="59" t="s">
        <v>1506</v>
      </c>
      <c r="L1186" s="48" t="s">
        <v>1512</v>
      </c>
      <c r="M1186" s="49">
        <v>44439</v>
      </c>
      <c r="N1186" s="49" t="s">
        <v>1310</v>
      </c>
      <c r="O1186" s="60">
        <v>4700</v>
      </c>
      <c r="P1186" s="61">
        <v>-5</v>
      </c>
      <c r="Q1186" s="51">
        <f t="shared" si="29"/>
        <v>-23500</v>
      </c>
      <c r="R1186" s="31">
        <v>202310</v>
      </c>
      <c r="S1186" s="62" t="s">
        <v>1527</v>
      </c>
      <c r="T1186" s="33"/>
      <c r="U1186" s="58"/>
      <c r="V1186" s="58"/>
      <c r="W1186" s="63"/>
      <c r="X1186" s="63"/>
      <c r="Y1186" s="36">
        <v>45017</v>
      </c>
      <c r="Z1186" s="36">
        <v>45382</v>
      </c>
      <c r="AA1186" s="36"/>
      <c r="AB1186" s="36"/>
      <c r="AC1186" s="36"/>
      <c r="AD1186" s="36"/>
      <c r="AE1186" s="36"/>
      <c r="AF1186" s="40" t="s">
        <v>503</v>
      </c>
      <c r="AG1186" s="42"/>
      <c r="AH1186" s="42"/>
      <c r="AI1186" s="43"/>
      <c r="AJ1186" s="43"/>
      <c r="AK1186" s="43"/>
      <c r="AL1186" s="43"/>
      <c r="AM1186" s="43"/>
      <c r="AN1186" s="42"/>
      <c r="AO1186" s="42"/>
      <c r="AP1186" s="42"/>
      <c r="AQ1186" s="43"/>
      <c r="AR1186" s="42"/>
      <c r="AS1186" s="42"/>
    </row>
    <row r="1187" spans="1:45" ht="15" customHeight="1">
      <c r="A1187" s="56" t="s">
        <v>260</v>
      </c>
      <c r="B1187" s="21" t="s">
        <v>46</v>
      </c>
      <c r="C1187" s="57" t="s">
        <v>814</v>
      </c>
      <c r="D1187" s="22" t="s">
        <v>48</v>
      </c>
      <c r="E1187" s="58" t="s">
        <v>1488</v>
      </c>
      <c r="F1187" s="56" t="s">
        <v>1489</v>
      </c>
      <c r="G1187" s="26" t="s">
        <v>77</v>
      </c>
      <c r="H1187" s="25" t="s">
        <v>1495</v>
      </c>
      <c r="I1187" s="26" t="s">
        <v>479</v>
      </c>
      <c r="J1187" s="56" t="s">
        <v>1491</v>
      </c>
      <c r="K1187" s="59" t="s">
        <v>1506</v>
      </c>
      <c r="L1187" s="48" t="s">
        <v>1512</v>
      </c>
      <c r="M1187" s="49">
        <v>44774</v>
      </c>
      <c r="N1187" s="49" t="s">
        <v>1310</v>
      </c>
      <c r="O1187" s="60">
        <v>4700</v>
      </c>
      <c r="P1187" s="61">
        <v>2</v>
      </c>
      <c r="Q1187" s="51">
        <f t="shared" si="29"/>
        <v>9400</v>
      </c>
      <c r="R1187" s="31">
        <v>202310</v>
      </c>
      <c r="S1187" s="62" t="s">
        <v>1528</v>
      </c>
      <c r="T1187" s="33"/>
      <c r="U1187" s="58"/>
      <c r="V1187" s="58"/>
      <c r="W1187" s="63"/>
      <c r="X1187" s="63"/>
      <c r="Y1187" s="36">
        <v>45017</v>
      </c>
      <c r="Z1187" s="36">
        <v>45382</v>
      </c>
      <c r="AA1187" s="36"/>
      <c r="AB1187" s="36"/>
      <c r="AC1187" s="36"/>
      <c r="AD1187" s="36"/>
      <c r="AE1187" s="36"/>
      <c r="AF1187" s="40" t="s">
        <v>503</v>
      </c>
      <c r="AG1187" s="42"/>
      <c r="AH1187" s="42"/>
      <c r="AI1187" s="43"/>
      <c r="AJ1187" s="43"/>
      <c r="AK1187" s="43"/>
      <c r="AL1187" s="43"/>
      <c r="AM1187" s="43"/>
      <c r="AN1187" s="42"/>
      <c r="AO1187" s="42"/>
      <c r="AP1187" s="42"/>
      <c r="AQ1187" s="43"/>
      <c r="AR1187" s="42"/>
      <c r="AS1187" s="42"/>
    </row>
    <row r="1188" spans="1:45" s="100" customFormat="1" ht="15" customHeight="1">
      <c r="A1188" s="165" t="s">
        <v>260</v>
      </c>
      <c r="B1188" s="123" t="s">
        <v>46</v>
      </c>
      <c r="C1188" s="166" t="s">
        <v>814</v>
      </c>
      <c r="D1188" s="83" t="s">
        <v>48</v>
      </c>
      <c r="E1188" s="167" t="s">
        <v>1488</v>
      </c>
      <c r="F1188" s="165" t="s">
        <v>1489</v>
      </c>
      <c r="G1188" s="85" t="s">
        <v>77</v>
      </c>
      <c r="H1188" s="168" t="s">
        <v>1495</v>
      </c>
      <c r="I1188" s="85" t="s">
        <v>479</v>
      </c>
      <c r="J1188" s="165" t="s">
        <v>1491</v>
      </c>
      <c r="K1188" s="169" t="s">
        <v>1506</v>
      </c>
      <c r="L1188" s="89" t="s">
        <v>1512</v>
      </c>
      <c r="M1188" s="90">
        <v>45170</v>
      </c>
      <c r="N1188" s="90" t="s">
        <v>1310</v>
      </c>
      <c r="O1188" s="170">
        <v>4700</v>
      </c>
      <c r="P1188" s="113">
        <v>1</v>
      </c>
      <c r="Q1188" s="92">
        <f t="shared" si="29"/>
        <v>4700</v>
      </c>
      <c r="R1188" s="93">
        <v>202310</v>
      </c>
      <c r="S1188" s="171" t="s">
        <v>1529</v>
      </c>
      <c r="T1188" s="172"/>
      <c r="U1188" s="167" t="s">
        <v>1530</v>
      </c>
      <c r="V1188" s="167"/>
      <c r="W1188" s="173"/>
      <c r="X1188" s="173"/>
      <c r="Y1188" s="97">
        <v>45017</v>
      </c>
      <c r="Z1188" s="97">
        <v>45382</v>
      </c>
      <c r="AA1188" s="97"/>
      <c r="AB1188" s="97"/>
      <c r="AC1188" s="97"/>
      <c r="AD1188" s="97"/>
      <c r="AE1188" s="97"/>
      <c r="AF1188" s="174" t="s">
        <v>503</v>
      </c>
      <c r="AG1188" s="96"/>
      <c r="AH1188" s="96"/>
      <c r="AI1188" s="99"/>
      <c r="AJ1188" s="99"/>
      <c r="AK1188" s="99"/>
      <c r="AL1188" s="99"/>
      <c r="AM1188" s="99"/>
      <c r="AN1188" s="96"/>
      <c r="AO1188" s="96"/>
      <c r="AP1188" s="96"/>
      <c r="AQ1188" s="99"/>
      <c r="AR1188" s="96"/>
      <c r="AS1188" s="96"/>
    </row>
    <row r="1189" spans="1:45" ht="15" customHeight="1">
      <c r="A1189" s="56" t="s">
        <v>260</v>
      </c>
      <c r="B1189" s="21" t="s">
        <v>46</v>
      </c>
      <c r="C1189" s="57" t="s">
        <v>814</v>
      </c>
      <c r="D1189" s="22" t="s">
        <v>48</v>
      </c>
      <c r="E1189" s="58" t="s">
        <v>1488</v>
      </c>
      <c r="F1189" s="56" t="s">
        <v>1489</v>
      </c>
      <c r="G1189" s="26" t="s">
        <v>77</v>
      </c>
      <c r="H1189" s="25" t="s">
        <v>1495</v>
      </c>
      <c r="I1189" s="26" t="s">
        <v>849</v>
      </c>
      <c r="J1189" s="56" t="s">
        <v>1491</v>
      </c>
      <c r="K1189" s="59" t="s">
        <v>1496</v>
      </c>
      <c r="L1189" s="48" t="s">
        <v>1497</v>
      </c>
      <c r="M1189" s="49"/>
      <c r="N1189" s="49" t="s">
        <v>1310</v>
      </c>
      <c r="O1189" s="60">
        <v>4700</v>
      </c>
      <c r="P1189" s="61">
        <v>6</v>
      </c>
      <c r="Q1189" s="51">
        <f t="shared" si="29"/>
        <v>28200</v>
      </c>
      <c r="R1189" s="31">
        <v>202310</v>
      </c>
      <c r="S1189" s="62" t="s">
        <v>1531</v>
      </c>
      <c r="T1189" s="33"/>
      <c r="U1189" s="58"/>
      <c r="V1189" s="58"/>
      <c r="W1189" s="63"/>
      <c r="X1189" s="63"/>
      <c r="Y1189" s="36">
        <v>45017</v>
      </c>
      <c r="Z1189" s="36">
        <v>45382</v>
      </c>
      <c r="AA1189" s="36"/>
      <c r="AB1189" s="36"/>
      <c r="AC1189" s="36"/>
      <c r="AD1189" s="36"/>
      <c r="AE1189" s="36"/>
      <c r="AF1189" s="40" t="s">
        <v>853</v>
      </c>
      <c r="AG1189" s="42"/>
      <c r="AH1189" s="42"/>
      <c r="AI1189" s="43"/>
      <c r="AJ1189" s="43"/>
      <c r="AK1189" s="43"/>
      <c r="AL1189" s="43"/>
      <c r="AM1189" s="43"/>
      <c r="AN1189" s="42"/>
      <c r="AO1189" s="42"/>
      <c r="AP1189" s="42"/>
      <c r="AQ1189" s="43"/>
      <c r="AR1189" s="42"/>
      <c r="AS1189" s="42"/>
    </row>
    <row r="1190" spans="1:45" ht="15" customHeight="1">
      <c r="A1190" s="56" t="s">
        <v>260</v>
      </c>
      <c r="B1190" s="21" t="s">
        <v>46</v>
      </c>
      <c r="C1190" s="57" t="s">
        <v>814</v>
      </c>
      <c r="D1190" s="22" t="s">
        <v>48</v>
      </c>
      <c r="E1190" s="58" t="s">
        <v>1488</v>
      </c>
      <c r="F1190" s="56" t="s">
        <v>1489</v>
      </c>
      <c r="G1190" s="26" t="s">
        <v>77</v>
      </c>
      <c r="H1190" s="25" t="s">
        <v>1495</v>
      </c>
      <c r="I1190" s="26" t="s">
        <v>849</v>
      </c>
      <c r="J1190" s="56" t="s">
        <v>1491</v>
      </c>
      <c r="K1190" s="59" t="s">
        <v>1496</v>
      </c>
      <c r="L1190" s="48" t="s">
        <v>1497</v>
      </c>
      <c r="M1190" s="49">
        <v>44645</v>
      </c>
      <c r="N1190" s="49" t="s">
        <v>1310</v>
      </c>
      <c r="O1190" s="60">
        <v>4700</v>
      </c>
      <c r="P1190" s="61">
        <v>-1</v>
      </c>
      <c r="Q1190" s="51">
        <f t="shared" si="29"/>
        <v>-4700</v>
      </c>
      <c r="R1190" s="31">
        <v>202310</v>
      </c>
      <c r="S1190" s="62" t="s">
        <v>1532</v>
      </c>
      <c r="T1190" s="33"/>
      <c r="U1190" s="58"/>
      <c r="V1190" s="58"/>
      <c r="W1190" s="63"/>
      <c r="X1190" s="63"/>
      <c r="Y1190" s="36">
        <v>45017</v>
      </c>
      <c r="Z1190" s="36">
        <v>45382</v>
      </c>
      <c r="AA1190" s="36"/>
      <c r="AB1190" s="36"/>
      <c r="AC1190" s="36"/>
      <c r="AD1190" s="36"/>
      <c r="AE1190" s="36"/>
      <c r="AF1190" s="40" t="s">
        <v>853</v>
      </c>
      <c r="AG1190" s="42"/>
      <c r="AH1190" s="42"/>
      <c r="AI1190" s="43"/>
      <c r="AJ1190" s="43"/>
      <c r="AK1190" s="43"/>
      <c r="AL1190" s="43"/>
      <c r="AM1190" s="43"/>
      <c r="AN1190" s="42"/>
      <c r="AO1190" s="42"/>
      <c r="AP1190" s="42"/>
      <c r="AQ1190" s="43"/>
      <c r="AR1190" s="42"/>
      <c r="AS1190" s="42"/>
    </row>
    <row r="1191" spans="1:45" ht="15" customHeight="1">
      <c r="A1191" s="56" t="s">
        <v>260</v>
      </c>
      <c r="B1191" s="21" t="s">
        <v>46</v>
      </c>
      <c r="C1191" s="57" t="s">
        <v>814</v>
      </c>
      <c r="D1191" s="22" t="s">
        <v>48</v>
      </c>
      <c r="E1191" s="58" t="s">
        <v>1488</v>
      </c>
      <c r="F1191" s="56" t="s">
        <v>1489</v>
      </c>
      <c r="G1191" s="26" t="s">
        <v>77</v>
      </c>
      <c r="H1191" s="25" t="s">
        <v>1495</v>
      </c>
      <c r="I1191" s="26" t="s">
        <v>479</v>
      </c>
      <c r="J1191" s="56" t="s">
        <v>1499</v>
      </c>
      <c r="K1191" s="59" t="s">
        <v>1499</v>
      </c>
      <c r="L1191" s="48" t="s">
        <v>1512</v>
      </c>
      <c r="M1191" s="49">
        <v>44332</v>
      </c>
      <c r="N1191" s="49" t="s">
        <v>1310</v>
      </c>
      <c r="O1191" s="60">
        <v>4700</v>
      </c>
      <c r="P1191" s="61">
        <v>1</v>
      </c>
      <c r="Q1191" s="51">
        <f t="shared" si="29"/>
        <v>4700</v>
      </c>
      <c r="R1191" s="31">
        <v>202310</v>
      </c>
      <c r="S1191" s="62" t="s">
        <v>1533</v>
      </c>
      <c r="T1191" s="33"/>
      <c r="U1191" s="58"/>
      <c r="V1191" s="58"/>
      <c r="W1191" s="63"/>
      <c r="X1191" s="63"/>
      <c r="Y1191" s="36">
        <v>45017</v>
      </c>
      <c r="Z1191" s="36">
        <v>45382</v>
      </c>
      <c r="AA1191" s="36"/>
      <c r="AB1191" s="36"/>
      <c r="AC1191" s="36"/>
      <c r="AD1191" s="36"/>
      <c r="AE1191" s="36"/>
      <c r="AF1191" s="40" t="s">
        <v>484</v>
      </c>
      <c r="AG1191" s="42"/>
      <c r="AH1191" s="42"/>
      <c r="AI1191" s="43"/>
      <c r="AJ1191" s="43"/>
      <c r="AK1191" s="43"/>
      <c r="AL1191" s="43"/>
      <c r="AM1191" s="43"/>
      <c r="AN1191" s="42"/>
      <c r="AO1191" s="42"/>
      <c r="AP1191" s="42"/>
      <c r="AQ1191" s="43"/>
      <c r="AR1191" s="42"/>
      <c r="AS1191" s="42"/>
    </row>
    <row r="1192" spans="1:45" ht="15" customHeight="1">
      <c r="A1192" s="56" t="s">
        <v>260</v>
      </c>
      <c r="B1192" s="21" t="s">
        <v>46</v>
      </c>
      <c r="C1192" s="57" t="s">
        <v>814</v>
      </c>
      <c r="D1192" s="22" t="s">
        <v>48</v>
      </c>
      <c r="E1192" s="58" t="s">
        <v>1488</v>
      </c>
      <c r="F1192" s="56" t="s">
        <v>1489</v>
      </c>
      <c r="G1192" s="26" t="s">
        <v>77</v>
      </c>
      <c r="H1192" s="25" t="s">
        <v>1495</v>
      </c>
      <c r="I1192" s="26" t="s">
        <v>479</v>
      </c>
      <c r="J1192" s="56" t="s">
        <v>1499</v>
      </c>
      <c r="K1192" s="59" t="s">
        <v>1499</v>
      </c>
      <c r="L1192" s="48" t="s">
        <v>1512</v>
      </c>
      <c r="M1192" s="49">
        <v>44470</v>
      </c>
      <c r="N1192" s="49" t="s">
        <v>1310</v>
      </c>
      <c r="O1192" s="60">
        <v>4700</v>
      </c>
      <c r="P1192" s="61">
        <v>5</v>
      </c>
      <c r="Q1192" s="51">
        <f t="shared" si="29"/>
        <v>23500</v>
      </c>
      <c r="R1192" s="31">
        <v>202310</v>
      </c>
      <c r="S1192" s="62" t="s">
        <v>1534</v>
      </c>
      <c r="T1192" s="33"/>
      <c r="U1192" s="58"/>
      <c r="V1192" s="58"/>
      <c r="W1192" s="63"/>
      <c r="X1192" s="63"/>
      <c r="Y1192" s="36">
        <v>45017</v>
      </c>
      <c r="Z1192" s="36">
        <v>45382</v>
      </c>
      <c r="AA1192" s="36"/>
      <c r="AB1192" s="36"/>
      <c r="AC1192" s="36"/>
      <c r="AD1192" s="36"/>
      <c r="AE1192" s="36"/>
      <c r="AF1192" s="40" t="s">
        <v>484</v>
      </c>
      <c r="AG1192" s="42"/>
      <c r="AH1192" s="42"/>
      <c r="AI1192" s="43"/>
      <c r="AJ1192" s="43"/>
      <c r="AK1192" s="43"/>
      <c r="AL1192" s="43"/>
      <c r="AM1192" s="43"/>
      <c r="AN1192" s="42"/>
      <c r="AO1192" s="42"/>
      <c r="AP1192" s="42"/>
      <c r="AQ1192" s="43"/>
      <c r="AR1192" s="42"/>
      <c r="AS1192" s="42"/>
    </row>
    <row r="1193" spans="1:45" ht="15" customHeight="1">
      <c r="A1193" s="56" t="s">
        <v>260</v>
      </c>
      <c r="B1193" s="21" t="s">
        <v>46</v>
      </c>
      <c r="C1193" s="57" t="s">
        <v>814</v>
      </c>
      <c r="D1193" s="22" t="s">
        <v>48</v>
      </c>
      <c r="E1193" s="58" t="s">
        <v>1488</v>
      </c>
      <c r="F1193" s="56" t="s">
        <v>1489</v>
      </c>
      <c r="G1193" s="26" t="s">
        <v>77</v>
      </c>
      <c r="H1193" s="25" t="s">
        <v>1495</v>
      </c>
      <c r="I1193" s="26" t="s">
        <v>479</v>
      </c>
      <c r="J1193" s="56" t="s">
        <v>1499</v>
      </c>
      <c r="K1193" s="59" t="s">
        <v>1499</v>
      </c>
      <c r="L1193" s="48" t="s">
        <v>1512</v>
      </c>
      <c r="M1193" s="49">
        <v>44470</v>
      </c>
      <c r="N1193" s="49" t="s">
        <v>1310</v>
      </c>
      <c r="O1193" s="60">
        <v>0</v>
      </c>
      <c r="P1193" s="61">
        <v>7</v>
      </c>
      <c r="Q1193" s="51">
        <f t="shared" si="29"/>
        <v>0</v>
      </c>
      <c r="R1193" s="31">
        <v>202310</v>
      </c>
      <c r="S1193" s="62" t="s">
        <v>1535</v>
      </c>
      <c r="T1193" s="33"/>
      <c r="U1193" s="58"/>
      <c r="V1193" s="58"/>
      <c r="W1193" s="63"/>
      <c r="X1193" s="63"/>
      <c r="Y1193" s="36">
        <v>45017</v>
      </c>
      <c r="Z1193" s="36">
        <v>45382</v>
      </c>
      <c r="AA1193" s="36"/>
      <c r="AB1193" s="36"/>
      <c r="AC1193" s="36"/>
      <c r="AD1193" s="36"/>
      <c r="AE1193" s="36"/>
      <c r="AF1193" s="40" t="s">
        <v>484</v>
      </c>
      <c r="AG1193" s="42"/>
      <c r="AH1193" s="42"/>
      <c r="AI1193" s="43"/>
      <c r="AJ1193" s="43"/>
      <c r="AK1193" s="43"/>
      <c r="AL1193" s="43"/>
      <c r="AM1193" s="43"/>
      <c r="AN1193" s="42"/>
      <c r="AO1193" s="42"/>
      <c r="AP1193" s="42"/>
      <c r="AQ1193" s="43"/>
      <c r="AR1193" s="42"/>
      <c r="AS1193" s="42"/>
    </row>
    <row r="1194" spans="1:45" ht="15" customHeight="1">
      <c r="A1194" s="56" t="s">
        <v>260</v>
      </c>
      <c r="B1194" s="21" t="s">
        <v>46</v>
      </c>
      <c r="C1194" s="57" t="s">
        <v>814</v>
      </c>
      <c r="D1194" s="22" t="s">
        <v>48</v>
      </c>
      <c r="E1194" s="58" t="s">
        <v>1488</v>
      </c>
      <c r="F1194" s="56" t="s">
        <v>1489</v>
      </c>
      <c r="G1194" s="26" t="s">
        <v>77</v>
      </c>
      <c r="H1194" s="25" t="s">
        <v>1495</v>
      </c>
      <c r="I1194" s="26" t="s">
        <v>479</v>
      </c>
      <c r="J1194" s="56" t="s">
        <v>1499</v>
      </c>
      <c r="K1194" s="59" t="s">
        <v>1499</v>
      </c>
      <c r="L1194" s="48" t="s">
        <v>1512</v>
      </c>
      <c r="M1194" s="49">
        <v>44773</v>
      </c>
      <c r="N1194" s="49" t="s">
        <v>1310</v>
      </c>
      <c r="O1194" s="60">
        <v>4700</v>
      </c>
      <c r="P1194" s="61">
        <v>-5</v>
      </c>
      <c r="Q1194" s="51">
        <f t="shared" si="29"/>
        <v>-23500</v>
      </c>
      <c r="R1194" s="31">
        <v>202310</v>
      </c>
      <c r="S1194" s="62" t="s">
        <v>1536</v>
      </c>
      <c r="T1194" s="33"/>
      <c r="U1194" s="58"/>
      <c r="V1194" s="58"/>
      <c r="W1194" s="63"/>
      <c r="X1194" s="63"/>
      <c r="Y1194" s="36">
        <v>45017</v>
      </c>
      <c r="Z1194" s="36">
        <v>45382</v>
      </c>
      <c r="AA1194" s="36"/>
      <c r="AB1194" s="36"/>
      <c r="AC1194" s="36"/>
      <c r="AD1194" s="36"/>
      <c r="AE1194" s="36"/>
      <c r="AF1194" s="40" t="s">
        <v>484</v>
      </c>
      <c r="AG1194" s="42"/>
      <c r="AH1194" s="42"/>
      <c r="AI1194" s="43"/>
      <c r="AJ1194" s="43"/>
      <c r="AK1194" s="43"/>
      <c r="AL1194" s="43"/>
      <c r="AM1194" s="43"/>
      <c r="AN1194" s="42"/>
      <c r="AO1194" s="42"/>
      <c r="AP1194" s="42"/>
      <c r="AQ1194" s="43"/>
      <c r="AR1194" s="42"/>
      <c r="AS1194" s="42"/>
    </row>
    <row r="1195" spans="1:45" ht="15" customHeight="1">
      <c r="A1195" s="56" t="s">
        <v>260</v>
      </c>
      <c r="B1195" s="21" t="s">
        <v>46</v>
      </c>
      <c r="C1195" s="57" t="s">
        <v>814</v>
      </c>
      <c r="D1195" s="22" t="s">
        <v>48</v>
      </c>
      <c r="E1195" s="58" t="s">
        <v>1488</v>
      </c>
      <c r="F1195" s="56" t="s">
        <v>1489</v>
      </c>
      <c r="G1195" s="26" t="s">
        <v>77</v>
      </c>
      <c r="H1195" s="25" t="s">
        <v>1495</v>
      </c>
      <c r="I1195" s="26" t="s">
        <v>479</v>
      </c>
      <c r="J1195" s="56" t="s">
        <v>1499</v>
      </c>
      <c r="K1195" s="59" t="s">
        <v>1499</v>
      </c>
      <c r="L1195" s="48" t="s">
        <v>1512</v>
      </c>
      <c r="M1195" s="49">
        <v>45184</v>
      </c>
      <c r="N1195" s="49" t="s">
        <v>1310</v>
      </c>
      <c r="O1195" s="60">
        <v>4700</v>
      </c>
      <c r="P1195" s="61">
        <v>-3</v>
      </c>
      <c r="Q1195" s="51">
        <f t="shared" si="29"/>
        <v>-14100</v>
      </c>
      <c r="R1195" s="31">
        <v>202310</v>
      </c>
      <c r="S1195" s="62" t="s">
        <v>1537</v>
      </c>
      <c r="T1195" s="33"/>
      <c r="U1195" s="58"/>
      <c r="V1195" s="58"/>
      <c r="W1195" s="63"/>
      <c r="X1195" s="63"/>
      <c r="Y1195" s="36">
        <v>45017</v>
      </c>
      <c r="Z1195" s="36">
        <v>45382</v>
      </c>
      <c r="AA1195" s="36"/>
      <c r="AB1195" s="36"/>
      <c r="AC1195" s="36"/>
      <c r="AD1195" s="36"/>
      <c r="AE1195" s="36"/>
      <c r="AF1195" s="40" t="s">
        <v>484</v>
      </c>
      <c r="AG1195" s="42"/>
      <c r="AH1195" s="42"/>
      <c r="AI1195" s="43"/>
      <c r="AJ1195" s="43"/>
      <c r="AK1195" s="43"/>
      <c r="AL1195" s="43"/>
      <c r="AM1195" s="43"/>
      <c r="AN1195" s="42"/>
      <c r="AO1195" s="42"/>
      <c r="AP1195" s="42"/>
      <c r="AQ1195" s="43"/>
      <c r="AR1195" s="42"/>
      <c r="AS1195" s="42"/>
    </row>
    <row r="1196" spans="1:45" ht="15" customHeight="1">
      <c r="A1196" s="21" t="s">
        <v>260</v>
      </c>
      <c r="B1196" s="22" t="s">
        <v>46</v>
      </c>
      <c r="C1196" s="21" t="s">
        <v>887</v>
      </c>
      <c r="D1196" s="21" t="s">
        <v>888</v>
      </c>
      <c r="E1196" s="80" t="s">
        <v>1538</v>
      </c>
      <c r="F1196" s="21" t="s">
        <v>1539</v>
      </c>
      <c r="G1196" s="101" t="s">
        <v>114</v>
      </c>
      <c r="H1196" s="133" t="s">
        <v>1540</v>
      </c>
      <c r="I1196" s="65" t="s">
        <v>114</v>
      </c>
      <c r="J1196" s="65" t="s">
        <v>1541</v>
      </c>
      <c r="K1196" s="104"/>
      <c r="L1196" s="48"/>
      <c r="M1196" s="27">
        <v>44085</v>
      </c>
      <c r="N1196" s="105" t="s">
        <v>1542</v>
      </c>
      <c r="O1196" s="147">
        <v>75000</v>
      </c>
      <c r="P1196" s="147">
        <v>2</v>
      </c>
      <c r="Q1196" s="51">
        <f t="shared" si="29"/>
        <v>150000</v>
      </c>
      <c r="R1196" s="31">
        <v>202310</v>
      </c>
      <c r="S1196" s="110" t="s">
        <v>1543</v>
      </c>
      <c r="T1196" s="33"/>
      <c r="U1196" s="54" t="s">
        <v>1544</v>
      </c>
      <c r="V1196" s="54"/>
      <c r="W1196" s="52"/>
      <c r="X1196" s="52"/>
      <c r="Y1196" s="36"/>
      <c r="Z1196" s="36"/>
      <c r="AA1196" s="36"/>
      <c r="AB1196" s="36"/>
      <c r="AC1196" s="36"/>
      <c r="AD1196" s="36"/>
      <c r="AE1196" s="36"/>
      <c r="AF1196" s="53" t="s">
        <v>68</v>
      </c>
      <c r="AG1196" s="42"/>
      <c r="AH1196" s="43"/>
      <c r="AI1196" s="43"/>
      <c r="AJ1196" s="43"/>
      <c r="AK1196" s="43"/>
      <c r="AL1196" s="43"/>
      <c r="AM1196" s="43"/>
      <c r="AN1196" s="42"/>
      <c r="AO1196" s="42"/>
      <c r="AP1196" s="42"/>
      <c r="AQ1196" s="43"/>
      <c r="AR1196" s="42"/>
      <c r="AS1196" s="42"/>
    </row>
    <row r="1197" spans="1:45" ht="15" customHeight="1">
      <c r="A1197" s="21" t="s">
        <v>260</v>
      </c>
      <c r="B1197" s="22" t="s">
        <v>46</v>
      </c>
      <c r="C1197" s="21" t="s">
        <v>887</v>
      </c>
      <c r="D1197" s="21" t="s">
        <v>888</v>
      </c>
      <c r="E1197" s="80" t="s">
        <v>1538</v>
      </c>
      <c r="F1197" s="21" t="s">
        <v>1539</v>
      </c>
      <c r="G1197" s="101" t="s">
        <v>114</v>
      </c>
      <c r="H1197" s="133" t="s">
        <v>1545</v>
      </c>
      <c r="I1197" s="65" t="s">
        <v>114</v>
      </c>
      <c r="J1197" s="65" t="s">
        <v>1546</v>
      </c>
      <c r="K1197" s="104"/>
      <c r="L1197" s="48"/>
      <c r="M1197" s="27">
        <v>43544</v>
      </c>
      <c r="N1197" s="105" t="s">
        <v>1542</v>
      </c>
      <c r="O1197" s="147">
        <v>75000</v>
      </c>
      <c r="P1197" s="147">
        <v>2</v>
      </c>
      <c r="Q1197" s="51">
        <f t="shared" si="29"/>
        <v>150000</v>
      </c>
      <c r="R1197" s="31">
        <v>202310</v>
      </c>
      <c r="S1197" s="110" t="s">
        <v>1547</v>
      </c>
      <c r="T1197" s="33"/>
      <c r="U1197" s="54"/>
      <c r="V1197" s="54"/>
      <c r="W1197" s="52"/>
      <c r="X1197" s="52"/>
      <c r="Y1197" s="36"/>
      <c r="Z1197" s="36"/>
      <c r="AA1197" s="36"/>
      <c r="AB1197" s="36"/>
      <c r="AC1197" s="36"/>
      <c r="AD1197" s="36"/>
      <c r="AE1197" s="36"/>
      <c r="AF1197" s="53" t="s">
        <v>68</v>
      </c>
      <c r="AG1197" s="42"/>
      <c r="AH1197" s="43"/>
      <c r="AI1197" s="43"/>
      <c r="AJ1197" s="43"/>
      <c r="AK1197" s="43"/>
      <c r="AL1197" s="43"/>
      <c r="AM1197" s="43"/>
      <c r="AN1197" s="42"/>
      <c r="AO1197" s="42"/>
      <c r="AP1197" s="42"/>
      <c r="AQ1197" s="43"/>
      <c r="AR1197" s="42"/>
      <c r="AS1197" s="42"/>
    </row>
    <row r="1198" spans="1:45" ht="15" customHeight="1">
      <c r="A1198" s="21" t="s">
        <v>260</v>
      </c>
      <c r="B1198" s="22" t="s">
        <v>46</v>
      </c>
      <c r="C1198" s="21" t="s">
        <v>887</v>
      </c>
      <c r="D1198" s="21" t="s">
        <v>888</v>
      </c>
      <c r="E1198" s="80" t="s">
        <v>1538</v>
      </c>
      <c r="F1198" s="21" t="s">
        <v>1539</v>
      </c>
      <c r="G1198" s="101" t="s">
        <v>62</v>
      </c>
      <c r="H1198" s="25" t="s">
        <v>1548</v>
      </c>
      <c r="I1198" s="65" t="s">
        <v>64</v>
      </c>
      <c r="J1198" s="65" t="s">
        <v>1539</v>
      </c>
      <c r="K1198" s="104"/>
      <c r="L1198" s="48"/>
      <c r="M1198" s="27">
        <v>42575</v>
      </c>
      <c r="N1198" s="105" t="s">
        <v>66</v>
      </c>
      <c r="O1198" s="147">
        <v>1000</v>
      </c>
      <c r="P1198" s="147">
        <v>16</v>
      </c>
      <c r="Q1198" s="51">
        <f t="shared" si="29"/>
        <v>16000</v>
      </c>
      <c r="R1198" s="31">
        <v>202310</v>
      </c>
      <c r="S1198" s="54" t="s">
        <v>1549</v>
      </c>
      <c r="T1198" s="33"/>
      <c r="U1198" s="110"/>
      <c r="V1198" s="54"/>
      <c r="W1198" s="52"/>
      <c r="X1198" s="52"/>
      <c r="Y1198" s="36"/>
      <c r="Z1198" s="36"/>
      <c r="AA1198" s="36"/>
      <c r="AB1198" s="36"/>
      <c r="AC1198" s="36"/>
      <c r="AD1198" s="36"/>
      <c r="AE1198" s="36"/>
      <c r="AF1198" s="53" t="s">
        <v>68</v>
      </c>
      <c r="AG1198" s="42"/>
      <c r="AH1198" s="43"/>
      <c r="AI1198" s="43"/>
      <c r="AJ1198" s="43"/>
      <c r="AK1198" s="43"/>
      <c r="AL1198" s="43"/>
      <c r="AM1198" s="43"/>
      <c r="AN1198" s="42"/>
      <c r="AO1198" s="42"/>
      <c r="AP1198" s="42"/>
      <c r="AQ1198" s="43"/>
      <c r="AR1198" s="42"/>
      <c r="AS1198" s="42"/>
    </row>
    <row r="1199" spans="1:45" ht="15" customHeight="1">
      <c r="A1199" s="21" t="s">
        <v>260</v>
      </c>
      <c r="B1199" s="22" t="s">
        <v>46</v>
      </c>
      <c r="C1199" s="21" t="s">
        <v>887</v>
      </c>
      <c r="D1199" s="21" t="s">
        <v>888</v>
      </c>
      <c r="E1199" s="80" t="s">
        <v>1538</v>
      </c>
      <c r="F1199" s="21" t="s">
        <v>1539</v>
      </c>
      <c r="G1199" s="101" t="s">
        <v>62</v>
      </c>
      <c r="H1199" s="25" t="s">
        <v>1548</v>
      </c>
      <c r="I1199" s="65" t="s">
        <v>64</v>
      </c>
      <c r="J1199" s="65" t="s">
        <v>1539</v>
      </c>
      <c r="K1199" s="104"/>
      <c r="L1199" s="48"/>
      <c r="M1199" s="27">
        <v>43671</v>
      </c>
      <c r="N1199" s="105" t="s">
        <v>66</v>
      </c>
      <c r="O1199" s="147">
        <v>1000</v>
      </c>
      <c r="P1199" s="147">
        <v>12</v>
      </c>
      <c r="Q1199" s="51">
        <f t="shared" si="29"/>
        <v>12000</v>
      </c>
      <c r="R1199" s="31">
        <v>202310</v>
      </c>
      <c r="S1199" s="54" t="s">
        <v>1550</v>
      </c>
      <c r="T1199" s="33"/>
      <c r="U1199" s="110"/>
      <c r="V1199" s="54"/>
      <c r="W1199" s="52"/>
      <c r="X1199" s="52"/>
      <c r="Y1199" s="36"/>
      <c r="Z1199" s="36"/>
      <c r="AA1199" s="36"/>
      <c r="AB1199" s="36"/>
      <c r="AC1199" s="36"/>
      <c r="AD1199" s="36"/>
      <c r="AE1199" s="36"/>
      <c r="AF1199" s="53" t="s">
        <v>68</v>
      </c>
      <c r="AG1199" s="42"/>
      <c r="AH1199" s="43"/>
      <c r="AI1199" s="43"/>
      <c r="AJ1199" s="43"/>
      <c r="AK1199" s="43"/>
      <c r="AL1199" s="43"/>
      <c r="AM1199" s="43"/>
      <c r="AN1199" s="42"/>
      <c r="AO1199" s="42"/>
      <c r="AP1199" s="42"/>
      <c r="AQ1199" s="43"/>
      <c r="AR1199" s="42"/>
      <c r="AS1199" s="42"/>
    </row>
    <row r="1200" spans="1:45" ht="15" customHeight="1">
      <c r="A1200" s="21" t="s">
        <v>260</v>
      </c>
      <c r="B1200" s="22" t="s">
        <v>46</v>
      </c>
      <c r="C1200" s="21" t="s">
        <v>887</v>
      </c>
      <c r="D1200" s="21" t="s">
        <v>888</v>
      </c>
      <c r="E1200" s="80" t="s">
        <v>1538</v>
      </c>
      <c r="F1200" s="21" t="s">
        <v>1539</v>
      </c>
      <c r="G1200" s="101" t="s">
        <v>62</v>
      </c>
      <c r="H1200" s="25" t="s">
        <v>1548</v>
      </c>
      <c r="I1200" s="65" t="s">
        <v>64</v>
      </c>
      <c r="J1200" s="65" t="s">
        <v>1539</v>
      </c>
      <c r="K1200" s="104"/>
      <c r="L1200" s="48"/>
      <c r="M1200" s="27">
        <v>43831</v>
      </c>
      <c r="N1200" s="105" t="s">
        <v>66</v>
      </c>
      <c r="O1200" s="147">
        <v>1000</v>
      </c>
      <c r="P1200" s="147">
        <v>10</v>
      </c>
      <c r="Q1200" s="51">
        <f t="shared" si="29"/>
        <v>10000</v>
      </c>
      <c r="R1200" s="31">
        <v>202310</v>
      </c>
      <c r="S1200" s="54" t="s">
        <v>1551</v>
      </c>
      <c r="T1200" s="33"/>
      <c r="U1200" s="110"/>
      <c r="V1200" s="54"/>
      <c r="W1200" s="52"/>
      <c r="X1200" s="52"/>
      <c r="Y1200" s="36"/>
      <c r="Z1200" s="36"/>
      <c r="AA1200" s="36"/>
      <c r="AB1200" s="36"/>
      <c r="AC1200" s="36"/>
      <c r="AD1200" s="36"/>
      <c r="AE1200" s="36"/>
      <c r="AF1200" s="53" t="s">
        <v>68</v>
      </c>
      <c r="AG1200" s="42"/>
      <c r="AH1200" s="43"/>
      <c r="AI1200" s="43"/>
      <c r="AJ1200" s="43"/>
      <c r="AK1200" s="43"/>
      <c r="AL1200" s="43"/>
      <c r="AM1200" s="43"/>
      <c r="AN1200" s="42"/>
      <c r="AO1200" s="42"/>
      <c r="AP1200" s="42"/>
      <c r="AQ1200" s="43"/>
      <c r="AR1200" s="42"/>
      <c r="AS1200" s="42"/>
    </row>
    <row r="1201" spans="1:45" ht="15" customHeight="1">
      <c r="A1201" s="21" t="s">
        <v>260</v>
      </c>
      <c r="B1201" s="22" t="s">
        <v>46</v>
      </c>
      <c r="C1201" s="21" t="s">
        <v>887</v>
      </c>
      <c r="D1201" s="21" t="s">
        <v>888</v>
      </c>
      <c r="E1201" s="80" t="s">
        <v>1538</v>
      </c>
      <c r="F1201" s="21" t="s">
        <v>1539</v>
      </c>
      <c r="G1201" s="101" t="s">
        <v>62</v>
      </c>
      <c r="H1201" s="25" t="s">
        <v>1548</v>
      </c>
      <c r="I1201" s="65" t="s">
        <v>64</v>
      </c>
      <c r="J1201" s="65" t="s">
        <v>1539</v>
      </c>
      <c r="K1201" s="104"/>
      <c r="L1201" s="48"/>
      <c r="M1201" s="27">
        <v>44440</v>
      </c>
      <c r="N1201" s="105" t="s">
        <v>66</v>
      </c>
      <c r="O1201" s="147">
        <v>1000</v>
      </c>
      <c r="P1201" s="147">
        <v>6</v>
      </c>
      <c r="Q1201" s="51">
        <f t="shared" si="29"/>
        <v>6000</v>
      </c>
      <c r="R1201" s="31">
        <v>202310</v>
      </c>
      <c r="S1201" s="54" t="s">
        <v>1552</v>
      </c>
      <c r="T1201" s="33"/>
      <c r="U1201" s="110"/>
      <c r="V1201" s="54"/>
      <c r="W1201" s="52"/>
      <c r="X1201" s="52"/>
      <c r="Y1201" s="36"/>
      <c r="Z1201" s="36"/>
      <c r="AA1201" s="36"/>
      <c r="AB1201" s="36"/>
      <c r="AC1201" s="36"/>
      <c r="AD1201" s="36"/>
      <c r="AE1201" s="36"/>
      <c r="AF1201" s="53" t="s">
        <v>68</v>
      </c>
      <c r="AG1201" s="42"/>
      <c r="AH1201" s="43"/>
      <c r="AI1201" s="43"/>
      <c r="AJ1201" s="43"/>
      <c r="AK1201" s="43"/>
      <c r="AL1201" s="43"/>
      <c r="AM1201" s="43"/>
      <c r="AN1201" s="42"/>
      <c r="AO1201" s="42"/>
      <c r="AP1201" s="42"/>
      <c r="AQ1201" s="43"/>
      <c r="AR1201" s="42"/>
      <c r="AS1201" s="42"/>
    </row>
    <row r="1202" spans="1:45" ht="15" customHeight="1">
      <c r="A1202" s="21" t="s">
        <v>260</v>
      </c>
      <c r="B1202" s="22" t="s">
        <v>46</v>
      </c>
      <c r="C1202" s="21" t="s">
        <v>887</v>
      </c>
      <c r="D1202" s="21" t="s">
        <v>888</v>
      </c>
      <c r="E1202" s="80" t="s">
        <v>1538</v>
      </c>
      <c r="F1202" s="21" t="s">
        <v>1539</v>
      </c>
      <c r="G1202" s="101" t="s">
        <v>77</v>
      </c>
      <c r="H1202" s="25" t="s">
        <v>1548</v>
      </c>
      <c r="I1202" s="65" t="s">
        <v>849</v>
      </c>
      <c r="J1202" s="65" t="s">
        <v>1539</v>
      </c>
      <c r="K1202" s="104" t="s">
        <v>1553</v>
      </c>
      <c r="L1202" s="48" t="s">
        <v>1554</v>
      </c>
      <c r="M1202" s="27" t="s">
        <v>1555</v>
      </c>
      <c r="N1202" s="105" t="s">
        <v>90</v>
      </c>
      <c r="O1202" s="147">
        <v>4500</v>
      </c>
      <c r="P1202" s="147">
        <v>2</v>
      </c>
      <c r="Q1202" s="51">
        <f t="shared" si="29"/>
        <v>9000</v>
      </c>
      <c r="R1202" s="31">
        <v>202310</v>
      </c>
      <c r="S1202" s="54" t="s">
        <v>1556</v>
      </c>
      <c r="T1202" s="33"/>
      <c r="U1202" s="110"/>
      <c r="V1202" s="54"/>
      <c r="W1202" s="52"/>
      <c r="X1202" s="52"/>
      <c r="Y1202" s="36"/>
      <c r="Z1202" s="36"/>
      <c r="AA1202" s="36"/>
      <c r="AB1202" s="36"/>
      <c r="AC1202" s="36"/>
      <c r="AD1202" s="36"/>
      <c r="AE1202" s="36"/>
      <c r="AF1202" s="53" t="s">
        <v>853</v>
      </c>
      <c r="AG1202" s="42"/>
      <c r="AH1202" s="43"/>
      <c r="AI1202" s="43"/>
      <c r="AJ1202" s="43"/>
      <c r="AK1202" s="43"/>
      <c r="AL1202" s="43"/>
      <c r="AM1202" s="43"/>
      <c r="AN1202" s="42"/>
      <c r="AO1202" s="42"/>
      <c r="AP1202" s="42"/>
      <c r="AQ1202" s="43"/>
      <c r="AR1202" s="42"/>
      <c r="AS1202" s="42"/>
    </row>
    <row r="1203" spans="1:45" ht="15" customHeight="1">
      <c r="A1203" s="21" t="s">
        <v>260</v>
      </c>
      <c r="B1203" s="22" t="s">
        <v>46</v>
      </c>
      <c r="C1203" s="21" t="s">
        <v>887</v>
      </c>
      <c r="D1203" s="21" t="s">
        <v>888</v>
      </c>
      <c r="E1203" s="80" t="s">
        <v>1538</v>
      </c>
      <c r="F1203" s="21" t="s">
        <v>1539</v>
      </c>
      <c r="G1203" s="101" t="s">
        <v>77</v>
      </c>
      <c r="H1203" s="25" t="s">
        <v>1548</v>
      </c>
      <c r="I1203" s="65" t="s">
        <v>849</v>
      </c>
      <c r="J1203" s="65" t="s">
        <v>1539</v>
      </c>
      <c r="K1203" s="104" t="s">
        <v>1553</v>
      </c>
      <c r="L1203" s="48" t="s">
        <v>1554</v>
      </c>
      <c r="M1203" s="27">
        <v>44197</v>
      </c>
      <c r="N1203" s="105" t="s">
        <v>90</v>
      </c>
      <c r="O1203" s="147">
        <v>4500</v>
      </c>
      <c r="P1203" s="147">
        <v>1</v>
      </c>
      <c r="Q1203" s="51">
        <f t="shared" si="29"/>
        <v>4500</v>
      </c>
      <c r="R1203" s="31">
        <v>202310</v>
      </c>
      <c r="S1203" s="110" t="s">
        <v>1557</v>
      </c>
      <c r="T1203" s="33"/>
      <c r="U1203" s="110"/>
      <c r="V1203" s="54"/>
      <c r="W1203" s="52"/>
      <c r="X1203" s="52"/>
      <c r="Y1203" s="36"/>
      <c r="Z1203" s="36"/>
      <c r="AA1203" s="36"/>
      <c r="AB1203" s="36"/>
      <c r="AC1203" s="36"/>
      <c r="AD1203" s="36"/>
      <c r="AE1203" s="36"/>
      <c r="AF1203" s="53" t="s">
        <v>853</v>
      </c>
      <c r="AG1203" s="42"/>
      <c r="AH1203" s="43"/>
      <c r="AI1203" s="43"/>
      <c r="AJ1203" s="43"/>
      <c r="AK1203" s="43"/>
      <c r="AL1203" s="43"/>
      <c r="AM1203" s="43"/>
      <c r="AN1203" s="42"/>
      <c r="AO1203" s="42"/>
      <c r="AP1203" s="42"/>
      <c r="AQ1203" s="43"/>
      <c r="AR1203" s="42"/>
      <c r="AS1203" s="42"/>
    </row>
    <row r="1204" spans="1:45" ht="15" customHeight="1">
      <c r="A1204" s="21" t="s">
        <v>260</v>
      </c>
      <c r="B1204" s="22" t="s">
        <v>46</v>
      </c>
      <c r="C1204" s="21" t="s">
        <v>887</v>
      </c>
      <c r="D1204" s="21" t="s">
        <v>888</v>
      </c>
      <c r="E1204" s="80" t="s">
        <v>1538</v>
      </c>
      <c r="F1204" s="21" t="s">
        <v>1539</v>
      </c>
      <c r="G1204" s="101" t="s">
        <v>77</v>
      </c>
      <c r="H1204" s="25" t="s">
        <v>1548</v>
      </c>
      <c r="I1204" s="65" t="s">
        <v>849</v>
      </c>
      <c r="J1204" s="65" t="s">
        <v>1539</v>
      </c>
      <c r="K1204" s="104" t="s">
        <v>1553</v>
      </c>
      <c r="L1204" s="48" t="s">
        <v>1554</v>
      </c>
      <c r="M1204" s="27" t="s">
        <v>851</v>
      </c>
      <c r="N1204" s="105" t="s">
        <v>90</v>
      </c>
      <c r="O1204" s="147">
        <v>0</v>
      </c>
      <c r="P1204" s="147">
        <v>1</v>
      </c>
      <c r="Q1204" s="51">
        <f t="shared" si="29"/>
        <v>0</v>
      </c>
      <c r="R1204" s="31">
        <v>202310</v>
      </c>
      <c r="S1204" s="54" t="s">
        <v>1558</v>
      </c>
      <c r="T1204" s="33"/>
      <c r="U1204" s="110"/>
      <c r="V1204" s="54"/>
      <c r="W1204" s="52"/>
      <c r="X1204" s="52"/>
      <c r="Y1204" s="36"/>
      <c r="Z1204" s="36"/>
      <c r="AA1204" s="36"/>
      <c r="AB1204" s="36"/>
      <c r="AC1204" s="36"/>
      <c r="AD1204" s="36"/>
      <c r="AE1204" s="36"/>
      <c r="AF1204" s="53" t="s">
        <v>853</v>
      </c>
      <c r="AG1204" s="42"/>
      <c r="AH1204" s="43"/>
      <c r="AI1204" s="43"/>
      <c r="AJ1204" s="43"/>
      <c r="AK1204" s="43"/>
      <c r="AL1204" s="43"/>
      <c r="AM1204" s="43"/>
      <c r="AN1204" s="42"/>
      <c r="AO1204" s="42"/>
      <c r="AP1204" s="42"/>
      <c r="AQ1204" s="43"/>
      <c r="AR1204" s="42"/>
      <c r="AS1204" s="42"/>
    </row>
    <row r="1205" spans="1:45" ht="15" customHeight="1">
      <c r="A1205" s="21" t="s">
        <v>260</v>
      </c>
      <c r="B1205" s="22" t="s">
        <v>46</v>
      </c>
      <c r="C1205" s="21" t="s">
        <v>887</v>
      </c>
      <c r="D1205" s="21" t="s">
        <v>888</v>
      </c>
      <c r="E1205" s="80" t="s">
        <v>1538</v>
      </c>
      <c r="F1205" s="21" t="s">
        <v>1539</v>
      </c>
      <c r="G1205" s="101" t="s">
        <v>77</v>
      </c>
      <c r="H1205" s="25" t="s">
        <v>1548</v>
      </c>
      <c r="I1205" s="65" t="s">
        <v>849</v>
      </c>
      <c r="J1205" s="65" t="s">
        <v>1539</v>
      </c>
      <c r="K1205" s="104" t="s">
        <v>1553</v>
      </c>
      <c r="L1205" s="48" t="s">
        <v>1554</v>
      </c>
      <c r="M1205" s="27">
        <v>45169</v>
      </c>
      <c r="N1205" s="105" t="s">
        <v>90</v>
      </c>
      <c r="O1205" s="106">
        <v>4500</v>
      </c>
      <c r="P1205" s="106">
        <v>-3</v>
      </c>
      <c r="Q1205" s="51">
        <f t="shared" si="29"/>
        <v>-13500</v>
      </c>
      <c r="R1205" s="31">
        <v>202310</v>
      </c>
      <c r="S1205" s="54" t="s">
        <v>1559</v>
      </c>
      <c r="T1205" s="33"/>
      <c r="U1205" s="54"/>
      <c r="V1205" s="54"/>
      <c r="W1205" s="52"/>
      <c r="X1205" s="52"/>
      <c r="Y1205" s="36"/>
      <c r="Z1205" s="36"/>
      <c r="AA1205" s="36"/>
      <c r="AB1205" s="36"/>
      <c r="AC1205" s="36"/>
      <c r="AD1205" s="36"/>
      <c r="AE1205" s="36"/>
      <c r="AF1205" s="53" t="s">
        <v>853</v>
      </c>
      <c r="AG1205" s="42"/>
      <c r="AH1205" s="43"/>
      <c r="AI1205" s="43"/>
      <c r="AJ1205" s="43"/>
      <c r="AK1205" s="43"/>
      <c r="AL1205" s="43"/>
      <c r="AM1205" s="43"/>
      <c r="AN1205" s="42"/>
      <c r="AO1205" s="42"/>
      <c r="AP1205" s="42"/>
      <c r="AQ1205" s="43"/>
      <c r="AR1205" s="42"/>
      <c r="AS1205" s="42"/>
    </row>
    <row r="1206" spans="1:45" ht="15" customHeight="1">
      <c r="A1206" s="21" t="s">
        <v>260</v>
      </c>
      <c r="B1206" s="22" t="s">
        <v>46</v>
      </c>
      <c r="C1206" s="21" t="s">
        <v>887</v>
      </c>
      <c r="D1206" s="21" t="s">
        <v>888</v>
      </c>
      <c r="E1206" s="80" t="s">
        <v>1538</v>
      </c>
      <c r="F1206" s="21" t="s">
        <v>1539</v>
      </c>
      <c r="G1206" s="101" t="s">
        <v>77</v>
      </c>
      <c r="H1206" s="25" t="s">
        <v>1548</v>
      </c>
      <c r="I1206" s="65" t="s">
        <v>849</v>
      </c>
      <c r="J1206" s="65" t="s">
        <v>1539</v>
      </c>
      <c r="K1206" s="104" t="s">
        <v>1553</v>
      </c>
      <c r="L1206" s="48" t="s">
        <v>1554</v>
      </c>
      <c r="M1206" s="27">
        <v>45169</v>
      </c>
      <c r="N1206" s="105" t="s">
        <v>90</v>
      </c>
      <c r="O1206" s="106">
        <v>0</v>
      </c>
      <c r="P1206" s="106">
        <v>-1</v>
      </c>
      <c r="Q1206" s="51">
        <f t="shared" si="29"/>
        <v>0</v>
      </c>
      <c r="R1206" s="31">
        <v>202310</v>
      </c>
      <c r="S1206" s="54" t="s">
        <v>1560</v>
      </c>
      <c r="T1206" s="33"/>
      <c r="U1206" s="54"/>
      <c r="V1206" s="54"/>
      <c r="W1206" s="52"/>
      <c r="X1206" s="52"/>
      <c r="Y1206" s="36"/>
      <c r="Z1206" s="36"/>
      <c r="AA1206" s="36"/>
      <c r="AB1206" s="36"/>
      <c r="AC1206" s="36"/>
      <c r="AD1206" s="36"/>
      <c r="AE1206" s="36"/>
      <c r="AF1206" s="53" t="s">
        <v>853</v>
      </c>
      <c r="AG1206" s="42"/>
      <c r="AH1206" s="43"/>
      <c r="AI1206" s="43"/>
      <c r="AJ1206" s="43"/>
      <c r="AK1206" s="43"/>
      <c r="AL1206" s="43"/>
      <c r="AM1206" s="43"/>
      <c r="AN1206" s="42"/>
      <c r="AO1206" s="42"/>
      <c r="AP1206" s="42"/>
      <c r="AQ1206" s="43"/>
      <c r="AR1206" s="42"/>
      <c r="AS1206" s="42"/>
    </row>
    <row r="1207" spans="1:45" ht="15" customHeight="1">
      <c r="A1207" s="21" t="s">
        <v>260</v>
      </c>
      <c r="B1207" s="22" t="s">
        <v>46</v>
      </c>
      <c r="C1207" s="21" t="s">
        <v>887</v>
      </c>
      <c r="D1207" s="21" t="s">
        <v>888</v>
      </c>
      <c r="E1207" s="80" t="s">
        <v>1538</v>
      </c>
      <c r="F1207" s="21" t="s">
        <v>1539</v>
      </c>
      <c r="G1207" s="101" t="s">
        <v>165</v>
      </c>
      <c r="H1207" s="25" t="s">
        <v>1548</v>
      </c>
      <c r="I1207" s="65" t="s">
        <v>859</v>
      </c>
      <c r="J1207" s="65" t="s">
        <v>1539</v>
      </c>
      <c r="K1207" s="104" t="s">
        <v>1553</v>
      </c>
      <c r="L1207" s="48" t="s">
        <v>1554</v>
      </c>
      <c r="M1207" s="27"/>
      <c r="N1207" s="105"/>
      <c r="O1207" s="147">
        <v>0</v>
      </c>
      <c r="P1207" s="147">
        <v>32</v>
      </c>
      <c r="Q1207" s="51">
        <f t="shared" si="29"/>
        <v>0</v>
      </c>
      <c r="R1207" s="31">
        <v>202310</v>
      </c>
      <c r="S1207" s="54" t="s">
        <v>1561</v>
      </c>
      <c r="T1207" s="33"/>
      <c r="U1207" s="110"/>
      <c r="V1207" s="54"/>
      <c r="W1207" s="52"/>
      <c r="X1207" s="52"/>
      <c r="Y1207" s="36"/>
      <c r="Z1207" s="36"/>
      <c r="AA1207" s="36"/>
      <c r="AB1207" s="36"/>
      <c r="AC1207" s="36"/>
      <c r="AD1207" s="36"/>
      <c r="AE1207" s="36"/>
      <c r="AF1207" s="53" t="s">
        <v>853</v>
      </c>
      <c r="AG1207" s="42"/>
      <c r="AH1207" s="43"/>
      <c r="AI1207" s="43"/>
      <c r="AJ1207" s="43"/>
      <c r="AK1207" s="43"/>
      <c r="AL1207" s="43"/>
      <c r="AM1207" s="43"/>
      <c r="AN1207" s="42"/>
      <c r="AO1207" s="42"/>
      <c r="AP1207" s="42"/>
      <c r="AQ1207" s="43"/>
      <c r="AR1207" s="42"/>
      <c r="AS1207" s="42"/>
    </row>
    <row r="1208" spans="1:45" ht="15" customHeight="1">
      <c r="A1208" s="21" t="s">
        <v>260</v>
      </c>
      <c r="B1208" s="22" t="s">
        <v>46</v>
      </c>
      <c r="C1208" s="21" t="s">
        <v>887</v>
      </c>
      <c r="D1208" s="21" t="s">
        <v>888</v>
      </c>
      <c r="E1208" s="80" t="s">
        <v>1538</v>
      </c>
      <c r="F1208" s="21" t="s">
        <v>1539</v>
      </c>
      <c r="G1208" s="101" t="s">
        <v>165</v>
      </c>
      <c r="H1208" s="25" t="s">
        <v>1548</v>
      </c>
      <c r="I1208" s="65" t="s">
        <v>859</v>
      </c>
      <c r="J1208" s="65" t="s">
        <v>1539</v>
      </c>
      <c r="K1208" s="104" t="s">
        <v>1553</v>
      </c>
      <c r="L1208" s="48" t="s">
        <v>1554</v>
      </c>
      <c r="M1208" s="27"/>
      <c r="N1208" s="105"/>
      <c r="O1208" s="147">
        <v>30</v>
      </c>
      <c r="P1208" s="147">
        <v>736</v>
      </c>
      <c r="Q1208" s="51">
        <f t="shared" si="29"/>
        <v>22080</v>
      </c>
      <c r="R1208" s="31">
        <v>202310</v>
      </c>
      <c r="S1208" s="54" t="s">
        <v>1561</v>
      </c>
      <c r="T1208" s="33"/>
      <c r="U1208" s="110"/>
      <c r="V1208" s="54"/>
      <c r="W1208" s="52"/>
      <c r="X1208" s="52"/>
      <c r="Y1208" s="36"/>
      <c r="Z1208" s="36"/>
      <c r="AA1208" s="36"/>
      <c r="AB1208" s="36"/>
      <c r="AC1208" s="36"/>
      <c r="AD1208" s="36"/>
      <c r="AE1208" s="36"/>
      <c r="AF1208" s="53" t="s">
        <v>853</v>
      </c>
      <c r="AG1208" s="42"/>
      <c r="AH1208" s="43"/>
      <c r="AI1208" s="43"/>
      <c r="AJ1208" s="43"/>
      <c r="AK1208" s="43"/>
      <c r="AL1208" s="43"/>
      <c r="AM1208" s="43"/>
      <c r="AN1208" s="42"/>
      <c r="AO1208" s="42"/>
      <c r="AP1208" s="42"/>
      <c r="AQ1208" s="43"/>
      <c r="AR1208" s="42"/>
      <c r="AS1208" s="42"/>
    </row>
    <row r="1209" spans="1:45" ht="15" customHeight="1">
      <c r="A1209" s="21" t="s">
        <v>260</v>
      </c>
      <c r="B1209" s="22" t="s">
        <v>46</v>
      </c>
      <c r="C1209" s="21" t="s">
        <v>887</v>
      </c>
      <c r="D1209" s="21" t="s">
        <v>888</v>
      </c>
      <c r="E1209" s="80" t="s">
        <v>1538</v>
      </c>
      <c r="F1209" s="21" t="s">
        <v>1539</v>
      </c>
      <c r="G1209" s="101" t="s">
        <v>165</v>
      </c>
      <c r="H1209" s="25" t="s">
        <v>1548</v>
      </c>
      <c r="I1209" s="65" t="s">
        <v>859</v>
      </c>
      <c r="J1209" s="65" t="s">
        <v>1539</v>
      </c>
      <c r="K1209" s="104" t="s">
        <v>1553</v>
      </c>
      <c r="L1209" s="48" t="s">
        <v>1554</v>
      </c>
      <c r="M1209" s="27">
        <v>45046</v>
      </c>
      <c r="N1209" s="105"/>
      <c r="O1209" s="147">
        <v>30</v>
      </c>
      <c r="P1209" s="147">
        <v>-256</v>
      </c>
      <c r="Q1209" s="51">
        <f t="shared" si="29"/>
        <v>-7680</v>
      </c>
      <c r="R1209" s="31">
        <v>202310</v>
      </c>
      <c r="S1209" s="54" t="s">
        <v>1562</v>
      </c>
      <c r="T1209" s="33"/>
      <c r="U1209" s="110"/>
      <c r="V1209" s="54"/>
      <c r="W1209" s="52"/>
      <c r="X1209" s="52"/>
      <c r="Y1209" s="36"/>
      <c r="Z1209" s="36"/>
      <c r="AA1209" s="36"/>
      <c r="AB1209" s="36"/>
      <c r="AC1209" s="36"/>
      <c r="AD1209" s="36"/>
      <c r="AE1209" s="36"/>
      <c r="AF1209" s="53" t="s">
        <v>853</v>
      </c>
      <c r="AG1209" s="42"/>
      <c r="AH1209" s="43"/>
      <c r="AI1209" s="43"/>
      <c r="AJ1209" s="43"/>
      <c r="AK1209" s="43"/>
      <c r="AL1209" s="43"/>
      <c r="AM1209" s="43"/>
      <c r="AN1209" s="42"/>
      <c r="AO1209" s="42"/>
      <c r="AP1209" s="42"/>
      <c r="AQ1209" s="43"/>
      <c r="AR1209" s="42"/>
      <c r="AS1209" s="42"/>
    </row>
    <row r="1210" spans="1:45" ht="15" customHeight="1">
      <c r="A1210" s="21" t="s">
        <v>260</v>
      </c>
      <c r="B1210" s="22" t="s">
        <v>46</v>
      </c>
      <c r="C1210" s="21" t="s">
        <v>887</v>
      </c>
      <c r="D1210" s="21" t="s">
        <v>888</v>
      </c>
      <c r="E1210" s="80" t="s">
        <v>1538</v>
      </c>
      <c r="F1210" s="21" t="s">
        <v>1539</v>
      </c>
      <c r="G1210" s="101" t="s">
        <v>165</v>
      </c>
      <c r="H1210" s="25" t="s">
        <v>1548</v>
      </c>
      <c r="I1210" s="65" t="s">
        <v>859</v>
      </c>
      <c r="J1210" s="65" t="s">
        <v>1539</v>
      </c>
      <c r="K1210" s="104" t="s">
        <v>1553</v>
      </c>
      <c r="L1210" s="48" t="s">
        <v>1554</v>
      </c>
      <c r="M1210" s="27">
        <v>45169</v>
      </c>
      <c r="N1210" s="105"/>
      <c r="O1210" s="147">
        <v>0</v>
      </c>
      <c r="P1210" s="147">
        <v>-32</v>
      </c>
      <c r="Q1210" s="51">
        <f t="shared" si="29"/>
        <v>0</v>
      </c>
      <c r="R1210" s="31">
        <v>202310</v>
      </c>
      <c r="S1210" s="54" t="s">
        <v>1563</v>
      </c>
      <c r="T1210" s="33"/>
      <c r="U1210" s="110"/>
      <c r="V1210" s="54"/>
      <c r="W1210" s="52"/>
      <c r="X1210" s="52"/>
      <c r="Y1210" s="36"/>
      <c r="Z1210" s="36"/>
      <c r="AA1210" s="36"/>
      <c r="AB1210" s="36"/>
      <c r="AC1210" s="36"/>
      <c r="AD1210" s="36"/>
      <c r="AE1210" s="36"/>
      <c r="AF1210" s="53" t="s">
        <v>853</v>
      </c>
      <c r="AG1210" s="42"/>
      <c r="AH1210" s="43"/>
      <c r="AI1210" s="43"/>
      <c r="AJ1210" s="43"/>
      <c r="AK1210" s="43"/>
      <c r="AL1210" s="43"/>
      <c r="AM1210" s="43"/>
      <c r="AN1210" s="42"/>
      <c r="AO1210" s="42"/>
      <c r="AP1210" s="42"/>
      <c r="AQ1210" s="43"/>
      <c r="AR1210" s="42"/>
      <c r="AS1210" s="42"/>
    </row>
    <row r="1211" spans="1:45" ht="15" customHeight="1">
      <c r="A1211" s="21" t="s">
        <v>260</v>
      </c>
      <c r="B1211" s="22" t="s">
        <v>46</v>
      </c>
      <c r="C1211" s="21" t="s">
        <v>887</v>
      </c>
      <c r="D1211" s="21" t="s">
        <v>888</v>
      </c>
      <c r="E1211" s="80" t="s">
        <v>1538</v>
      </c>
      <c r="F1211" s="21" t="s">
        <v>1539</v>
      </c>
      <c r="G1211" s="101" t="s">
        <v>165</v>
      </c>
      <c r="H1211" s="25" t="s">
        <v>1548</v>
      </c>
      <c r="I1211" s="65" t="s">
        <v>859</v>
      </c>
      <c r="J1211" s="65" t="s">
        <v>1539</v>
      </c>
      <c r="K1211" s="104" t="s">
        <v>1553</v>
      </c>
      <c r="L1211" s="48" t="s">
        <v>1554</v>
      </c>
      <c r="M1211" s="27">
        <v>45169</v>
      </c>
      <c r="N1211" s="105"/>
      <c r="O1211" s="147">
        <v>30</v>
      </c>
      <c r="P1211" s="147">
        <v>-480</v>
      </c>
      <c r="Q1211" s="51">
        <f t="shared" si="29"/>
        <v>-14400</v>
      </c>
      <c r="R1211" s="31">
        <v>202310</v>
      </c>
      <c r="S1211" s="54" t="s">
        <v>1564</v>
      </c>
      <c r="T1211" s="33"/>
      <c r="U1211" s="110"/>
      <c r="V1211" s="54"/>
      <c r="W1211" s="52"/>
      <c r="X1211" s="52"/>
      <c r="Y1211" s="36"/>
      <c r="Z1211" s="36"/>
      <c r="AA1211" s="36"/>
      <c r="AB1211" s="36"/>
      <c r="AC1211" s="36"/>
      <c r="AD1211" s="36"/>
      <c r="AE1211" s="36"/>
      <c r="AF1211" s="53" t="s">
        <v>853</v>
      </c>
      <c r="AG1211" s="42"/>
      <c r="AH1211" s="43"/>
      <c r="AI1211" s="43"/>
      <c r="AJ1211" s="43"/>
      <c r="AK1211" s="43"/>
      <c r="AL1211" s="43"/>
      <c r="AM1211" s="43"/>
      <c r="AN1211" s="42"/>
      <c r="AO1211" s="42"/>
      <c r="AP1211" s="42"/>
      <c r="AQ1211" s="43"/>
      <c r="AR1211" s="42"/>
      <c r="AS1211" s="42"/>
    </row>
    <row r="1212" spans="1:45" ht="15" customHeight="1">
      <c r="A1212" s="21" t="s">
        <v>260</v>
      </c>
      <c r="B1212" s="22" t="s">
        <v>46</v>
      </c>
      <c r="C1212" s="21" t="s">
        <v>887</v>
      </c>
      <c r="D1212" s="21" t="s">
        <v>888</v>
      </c>
      <c r="E1212" s="80" t="s">
        <v>1538</v>
      </c>
      <c r="F1212" s="21" t="s">
        <v>1539</v>
      </c>
      <c r="G1212" s="101" t="s">
        <v>77</v>
      </c>
      <c r="H1212" s="25" t="s">
        <v>1548</v>
      </c>
      <c r="I1212" s="65" t="s">
        <v>479</v>
      </c>
      <c r="J1212" s="65" t="s">
        <v>1565</v>
      </c>
      <c r="K1212" s="26" t="s">
        <v>1565</v>
      </c>
      <c r="L1212" s="48" t="s">
        <v>1566</v>
      </c>
      <c r="M1212" s="27">
        <v>43671</v>
      </c>
      <c r="N1212" s="105" t="s">
        <v>90</v>
      </c>
      <c r="O1212" s="147">
        <v>0</v>
      </c>
      <c r="P1212" s="147">
        <v>8</v>
      </c>
      <c r="Q1212" s="51">
        <f t="shared" si="29"/>
        <v>0</v>
      </c>
      <c r="R1212" s="31">
        <v>202310</v>
      </c>
      <c r="S1212" s="54" t="s">
        <v>1567</v>
      </c>
      <c r="T1212" s="33"/>
      <c r="U1212" s="110"/>
      <c r="V1212" s="54"/>
      <c r="W1212" s="52"/>
      <c r="X1212" s="52"/>
      <c r="Y1212" s="36"/>
      <c r="Z1212" s="36"/>
      <c r="AA1212" s="36"/>
      <c r="AB1212" s="36"/>
      <c r="AC1212" s="36"/>
      <c r="AD1212" s="36"/>
      <c r="AE1212" s="36"/>
      <c r="AF1212" s="53" t="s">
        <v>503</v>
      </c>
      <c r="AG1212" s="42"/>
      <c r="AH1212" s="43"/>
      <c r="AI1212" s="43"/>
      <c r="AJ1212" s="43"/>
      <c r="AK1212" s="43"/>
      <c r="AL1212" s="43"/>
      <c r="AM1212" s="43"/>
      <c r="AN1212" s="42"/>
      <c r="AO1212" s="42"/>
      <c r="AP1212" s="42"/>
      <c r="AQ1212" s="43"/>
      <c r="AR1212" s="42"/>
      <c r="AS1212" s="42"/>
    </row>
    <row r="1213" spans="1:45" ht="15" customHeight="1">
      <c r="A1213" s="21" t="s">
        <v>260</v>
      </c>
      <c r="B1213" s="22" t="s">
        <v>46</v>
      </c>
      <c r="C1213" s="21" t="s">
        <v>887</v>
      </c>
      <c r="D1213" s="21" t="s">
        <v>888</v>
      </c>
      <c r="E1213" s="80" t="s">
        <v>1538</v>
      </c>
      <c r="F1213" s="21" t="s">
        <v>1539</v>
      </c>
      <c r="G1213" s="101" t="s">
        <v>77</v>
      </c>
      <c r="H1213" s="25" t="s">
        <v>1548</v>
      </c>
      <c r="I1213" s="65" t="s">
        <v>479</v>
      </c>
      <c r="J1213" s="65" t="s">
        <v>1568</v>
      </c>
      <c r="K1213" s="26" t="s">
        <v>1569</v>
      </c>
      <c r="L1213" s="48" t="s">
        <v>1570</v>
      </c>
      <c r="M1213" s="27"/>
      <c r="N1213" s="105" t="s">
        <v>90</v>
      </c>
      <c r="O1213" s="147"/>
      <c r="P1213" s="147">
        <v>10</v>
      </c>
      <c r="Q1213" s="51">
        <f t="shared" si="29"/>
        <v>0</v>
      </c>
      <c r="R1213" s="31">
        <v>202310</v>
      </c>
      <c r="S1213" s="54" t="s">
        <v>1571</v>
      </c>
      <c r="T1213" s="33"/>
      <c r="U1213" s="110"/>
      <c r="V1213" s="54"/>
      <c r="W1213" s="52"/>
      <c r="X1213" s="52"/>
      <c r="Y1213" s="36"/>
      <c r="Z1213" s="36"/>
      <c r="AA1213" s="36"/>
      <c r="AB1213" s="36"/>
      <c r="AC1213" s="36"/>
      <c r="AD1213" s="36"/>
      <c r="AE1213" s="36"/>
      <c r="AF1213" s="53" t="s">
        <v>484</v>
      </c>
      <c r="AG1213" s="42"/>
      <c r="AH1213" s="43"/>
      <c r="AI1213" s="43"/>
      <c r="AJ1213" s="43"/>
      <c r="AK1213" s="43"/>
      <c r="AL1213" s="43"/>
      <c r="AM1213" s="43"/>
      <c r="AN1213" s="42"/>
      <c r="AO1213" s="42"/>
      <c r="AP1213" s="42"/>
      <c r="AQ1213" s="43"/>
      <c r="AR1213" s="42"/>
      <c r="AS1213" s="42"/>
    </row>
    <row r="1214" spans="1:45" ht="15" customHeight="1">
      <c r="A1214" s="21" t="s">
        <v>260</v>
      </c>
      <c r="B1214" s="22" t="s">
        <v>46</v>
      </c>
      <c r="C1214" s="21" t="s">
        <v>887</v>
      </c>
      <c r="D1214" s="21" t="s">
        <v>888</v>
      </c>
      <c r="E1214" s="80" t="s">
        <v>1538</v>
      </c>
      <c r="F1214" s="21" t="s">
        <v>1539</v>
      </c>
      <c r="G1214" s="101" t="s">
        <v>77</v>
      </c>
      <c r="H1214" s="25" t="s">
        <v>1548</v>
      </c>
      <c r="I1214" s="65" t="s">
        <v>479</v>
      </c>
      <c r="J1214" s="65" t="s">
        <v>1568</v>
      </c>
      <c r="K1214" s="26" t="s">
        <v>1569</v>
      </c>
      <c r="L1214" s="48" t="s">
        <v>1570</v>
      </c>
      <c r="M1214" s="27">
        <v>44377</v>
      </c>
      <c r="N1214" s="105" t="s">
        <v>90</v>
      </c>
      <c r="O1214" s="147"/>
      <c r="P1214" s="147">
        <v>-7</v>
      </c>
      <c r="Q1214" s="51">
        <f t="shared" si="29"/>
        <v>0</v>
      </c>
      <c r="R1214" s="31">
        <v>202310</v>
      </c>
      <c r="S1214" s="54" t="s">
        <v>1572</v>
      </c>
      <c r="T1214" s="33"/>
      <c r="U1214" s="110"/>
      <c r="V1214" s="54"/>
      <c r="W1214" s="52"/>
      <c r="X1214" s="52"/>
      <c r="Y1214" s="36"/>
      <c r="Z1214" s="36"/>
      <c r="AA1214" s="36"/>
      <c r="AB1214" s="36"/>
      <c r="AC1214" s="36"/>
      <c r="AD1214" s="36"/>
      <c r="AE1214" s="36"/>
      <c r="AF1214" s="53" t="s">
        <v>484</v>
      </c>
      <c r="AG1214" s="42"/>
      <c r="AH1214" s="43"/>
      <c r="AI1214" s="43"/>
      <c r="AJ1214" s="43"/>
      <c r="AK1214" s="43"/>
      <c r="AL1214" s="43"/>
      <c r="AM1214" s="43"/>
      <c r="AN1214" s="42"/>
      <c r="AO1214" s="42"/>
      <c r="AP1214" s="42"/>
      <c r="AQ1214" s="43"/>
      <c r="AR1214" s="42"/>
      <c r="AS1214" s="42"/>
    </row>
    <row r="1215" spans="1:45" ht="15" customHeight="1">
      <c r="A1215" s="21" t="s">
        <v>260</v>
      </c>
      <c r="B1215" s="22" t="s">
        <v>46</v>
      </c>
      <c r="C1215" s="21" t="s">
        <v>887</v>
      </c>
      <c r="D1215" s="21" t="s">
        <v>888</v>
      </c>
      <c r="E1215" s="80" t="s">
        <v>1538</v>
      </c>
      <c r="F1215" s="21" t="s">
        <v>1539</v>
      </c>
      <c r="G1215" s="101" t="s">
        <v>165</v>
      </c>
      <c r="H1215" s="25" t="s">
        <v>1548</v>
      </c>
      <c r="I1215" s="65" t="s">
        <v>491</v>
      </c>
      <c r="J1215" s="65" t="s">
        <v>1573</v>
      </c>
      <c r="K1215" s="104" t="s">
        <v>1574</v>
      </c>
      <c r="L1215" s="48" t="s">
        <v>1570</v>
      </c>
      <c r="M1215" s="27" t="s">
        <v>851</v>
      </c>
      <c r="N1215" s="105" t="s">
        <v>168</v>
      </c>
      <c r="O1215" s="147"/>
      <c r="P1215" s="147">
        <v>288</v>
      </c>
      <c r="Q1215" s="51">
        <f t="shared" si="29"/>
        <v>0</v>
      </c>
      <c r="R1215" s="31">
        <v>202310</v>
      </c>
      <c r="S1215" s="54" t="s">
        <v>1575</v>
      </c>
      <c r="T1215" s="33"/>
      <c r="U1215" s="110"/>
      <c r="V1215" s="54"/>
      <c r="W1215" s="52"/>
      <c r="X1215" s="52"/>
      <c r="Y1215" s="36"/>
      <c r="Z1215" s="36"/>
      <c r="AA1215" s="36"/>
      <c r="AB1215" s="36"/>
      <c r="AC1215" s="36"/>
      <c r="AD1215" s="36"/>
      <c r="AE1215" s="36"/>
      <c r="AF1215" s="53" t="s">
        <v>503</v>
      </c>
      <c r="AG1215" s="42"/>
      <c r="AH1215" s="43"/>
      <c r="AI1215" s="43"/>
      <c r="AJ1215" s="43"/>
      <c r="AK1215" s="43"/>
      <c r="AL1215" s="43"/>
      <c r="AM1215" s="43"/>
      <c r="AN1215" s="42"/>
      <c r="AO1215" s="42"/>
      <c r="AP1215" s="42"/>
      <c r="AQ1215" s="43"/>
      <c r="AR1215" s="42"/>
      <c r="AS1215" s="42"/>
    </row>
    <row r="1216" spans="1:45" ht="15" customHeight="1">
      <c r="A1216" s="21" t="s">
        <v>260</v>
      </c>
      <c r="B1216" s="22" t="s">
        <v>46</v>
      </c>
      <c r="C1216" s="21" t="s">
        <v>887</v>
      </c>
      <c r="D1216" s="21" t="s">
        <v>888</v>
      </c>
      <c r="E1216" s="80" t="s">
        <v>1538</v>
      </c>
      <c r="F1216" s="21" t="s">
        <v>1539</v>
      </c>
      <c r="G1216" s="101" t="s">
        <v>165</v>
      </c>
      <c r="H1216" s="25" t="s">
        <v>1548</v>
      </c>
      <c r="I1216" s="65" t="s">
        <v>491</v>
      </c>
      <c r="J1216" s="65" t="s">
        <v>1573</v>
      </c>
      <c r="K1216" s="104" t="s">
        <v>1574</v>
      </c>
      <c r="L1216" s="48" t="s">
        <v>1570</v>
      </c>
      <c r="M1216" s="27">
        <v>44377</v>
      </c>
      <c r="N1216" s="105" t="s">
        <v>168</v>
      </c>
      <c r="O1216" s="147"/>
      <c r="P1216" s="147">
        <v>-288</v>
      </c>
      <c r="Q1216" s="51">
        <f t="shared" si="29"/>
        <v>0</v>
      </c>
      <c r="R1216" s="31">
        <v>202310</v>
      </c>
      <c r="S1216" s="110" t="s">
        <v>1576</v>
      </c>
      <c r="T1216" s="33"/>
      <c r="U1216" s="110"/>
      <c r="V1216" s="54"/>
      <c r="W1216" s="52"/>
      <c r="X1216" s="52"/>
      <c r="Y1216" s="36"/>
      <c r="Z1216" s="36"/>
      <c r="AA1216" s="36"/>
      <c r="AB1216" s="36"/>
      <c r="AC1216" s="36"/>
      <c r="AD1216" s="36"/>
      <c r="AE1216" s="36"/>
      <c r="AF1216" s="53" t="s">
        <v>503</v>
      </c>
      <c r="AG1216" s="42"/>
      <c r="AH1216" s="43"/>
      <c r="AI1216" s="43"/>
      <c r="AJ1216" s="43"/>
      <c r="AK1216" s="43"/>
      <c r="AL1216" s="43"/>
      <c r="AM1216" s="43"/>
      <c r="AN1216" s="42"/>
      <c r="AO1216" s="42"/>
      <c r="AP1216" s="42"/>
      <c r="AQ1216" s="43"/>
      <c r="AR1216" s="42"/>
      <c r="AS1216" s="42"/>
    </row>
    <row r="1217" spans="1:45" ht="15" customHeight="1">
      <c r="A1217" s="21" t="s">
        <v>260</v>
      </c>
      <c r="B1217" s="22" t="s">
        <v>46</v>
      </c>
      <c r="C1217" s="21" t="s">
        <v>887</v>
      </c>
      <c r="D1217" s="21" t="s">
        <v>888</v>
      </c>
      <c r="E1217" s="80" t="s">
        <v>1538</v>
      </c>
      <c r="F1217" s="21" t="s">
        <v>1539</v>
      </c>
      <c r="G1217" s="101" t="s">
        <v>77</v>
      </c>
      <c r="H1217" s="25" t="s">
        <v>1548</v>
      </c>
      <c r="I1217" s="65" t="s">
        <v>479</v>
      </c>
      <c r="J1217" s="65" t="s">
        <v>1568</v>
      </c>
      <c r="K1217" s="26" t="s">
        <v>1569</v>
      </c>
      <c r="L1217" s="48" t="s">
        <v>1570</v>
      </c>
      <c r="M1217" s="27"/>
      <c r="N1217" s="105" t="s">
        <v>90</v>
      </c>
      <c r="O1217" s="147"/>
      <c r="P1217" s="147">
        <v>17</v>
      </c>
      <c r="Q1217" s="51">
        <f t="shared" si="29"/>
        <v>0</v>
      </c>
      <c r="R1217" s="31">
        <v>202310</v>
      </c>
      <c r="S1217" s="54" t="s">
        <v>1577</v>
      </c>
      <c r="T1217" s="33"/>
      <c r="U1217" s="110"/>
      <c r="V1217" s="54"/>
      <c r="W1217" s="52"/>
      <c r="X1217" s="52"/>
      <c r="Y1217" s="36"/>
      <c r="Z1217" s="36"/>
      <c r="AA1217" s="36"/>
      <c r="AB1217" s="36"/>
      <c r="AC1217" s="36"/>
      <c r="AD1217" s="36"/>
      <c r="AE1217" s="36"/>
      <c r="AF1217" s="53" t="s">
        <v>503</v>
      </c>
      <c r="AG1217" s="42"/>
      <c r="AH1217" s="43"/>
      <c r="AI1217" s="43"/>
      <c r="AJ1217" s="43"/>
      <c r="AK1217" s="43"/>
      <c r="AL1217" s="43"/>
      <c r="AM1217" s="43"/>
      <c r="AN1217" s="42"/>
      <c r="AO1217" s="42"/>
      <c r="AP1217" s="42"/>
      <c r="AQ1217" s="43"/>
      <c r="AR1217" s="42"/>
      <c r="AS1217" s="42"/>
    </row>
    <row r="1218" spans="1:45" ht="15" customHeight="1">
      <c r="A1218" s="21" t="s">
        <v>260</v>
      </c>
      <c r="B1218" s="22" t="s">
        <v>46</v>
      </c>
      <c r="C1218" s="21" t="s">
        <v>887</v>
      </c>
      <c r="D1218" s="21" t="s">
        <v>888</v>
      </c>
      <c r="E1218" s="80" t="s">
        <v>1538</v>
      </c>
      <c r="F1218" s="21" t="s">
        <v>1539</v>
      </c>
      <c r="G1218" s="101" t="s">
        <v>165</v>
      </c>
      <c r="H1218" s="25" t="s">
        <v>1548</v>
      </c>
      <c r="I1218" s="65" t="s">
        <v>491</v>
      </c>
      <c r="J1218" s="65" t="s">
        <v>1568</v>
      </c>
      <c r="K1218" s="65" t="s">
        <v>1568</v>
      </c>
      <c r="L1218" s="48" t="s">
        <v>1570</v>
      </c>
      <c r="M1218" s="27" t="s">
        <v>851</v>
      </c>
      <c r="N1218" s="105" t="s">
        <v>168</v>
      </c>
      <c r="O1218" s="147"/>
      <c r="P1218" s="147">
        <v>544</v>
      </c>
      <c r="Q1218" s="51">
        <f t="shared" si="29"/>
        <v>0</v>
      </c>
      <c r="R1218" s="31">
        <v>202310</v>
      </c>
      <c r="S1218" s="54" t="s">
        <v>1578</v>
      </c>
      <c r="T1218" s="33"/>
      <c r="U1218" s="110"/>
      <c r="V1218" s="54"/>
      <c r="W1218" s="52"/>
      <c r="X1218" s="52"/>
      <c r="Y1218" s="36"/>
      <c r="Z1218" s="36"/>
      <c r="AA1218" s="36"/>
      <c r="AB1218" s="36"/>
      <c r="AC1218" s="36"/>
      <c r="AD1218" s="36"/>
      <c r="AE1218" s="36"/>
      <c r="AF1218" s="53" t="s">
        <v>503</v>
      </c>
      <c r="AG1218" s="42"/>
      <c r="AH1218" s="43"/>
      <c r="AI1218" s="43"/>
      <c r="AJ1218" s="43"/>
      <c r="AK1218" s="43"/>
      <c r="AL1218" s="43"/>
      <c r="AM1218" s="43"/>
      <c r="AN1218" s="42"/>
      <c r="AO1218" s="42"/>
      <c r="AP1218" s="42"/>
      <c r="AQ1218" s="43"/>
      <c r="AR1218" s="42"/>
      <c r="AS1218" s="42"/>
    </row>
    <row r="1219" spans="1:45" ht="15" customHeight="1">
      <c r="A1219" s="21" t="s">
        <v>260</v>
      </c>
      <c r="B1219" s="22" t="s">
        <v>46</v>
      </c>
      <c r="C1219" s="21" t="s">
        <v>887</v>
      </c>
      <c r="D1219" s="21" t="s">
        <v>888</v>
      </c>
      <c r="E1219" s="80" t="s">
        <v>1538</v>
      </c>
      <c r="F1219" s="21" t="s">
        <v>1539</v>
      </c>
      <c r="G1219" s="101" t="s">
        <v>165</v>
      </c>
      <c r="H1219" s="25" t="s">
        <v>1548</v>
      </c>
      <c r="I1219" s="65" t="s">
        <v>491</v>
      </c>
      <c r="J1219" s="65" t="s">
        <v>1568</v>
      </c>
      <c r="K1219" s="65" t="s">
        <v>1568</v>
      </c>
      <c r="L1219" s="48" t="s">
        <v>1570</v>
      </c>
      <c r="M1219" s="27">
        <v>44153</v>
      </c>
      <c r="N1219" s="105" t="s">
        <v>168</v>
      </c>
      <c r="O1219" s="147"/>
      <c r="P1219" s="147">
        <v>256</v>
      </c>
      <c r="Q1219" s="51">
        <f t="shared" si="29"/>
        <v>0</v>
      </c>
      <c r="R1219" s="31">
        <v>202310</v>
      </c>
      <c r="S1219" s="54" t="s">
        <v>1579</v>
      </c>
      <c r="T1219" s="33"/>
      <c r="U1219" s="110"/>
      <c r="V1219" s="54"/>
      <c r="W1219" s="52"/>
      <c r="X1219" s="52"/>
      <c r="Y1219" s="36"/>
      <c r="Z1219" s="36"/>
      <c r="AA1219" s="36"/>
      <c r="AB1219" s="36"/>
      <c r="AC1219" s="36"/>
      <c r="AD1219" s="36"/>
      <c r="AE1219" s="36"/>
      <c r="AF1219" s="53" t="s">
        <v>484</v>
      </c>
      <c r="AG1219" s="42"/>
      <c r="AH1219" s="43"/>
      <c r="AI1219" s="43"/>
      <c r="AJ1219" s="43"/>
      <c r="AK1219" s="43"/>
      <c r="AL1219" s="43"/>
      <c r="AM1219" s="43"/>
      <c r="AN1219" s="42"/>
      <c r="AO1219" s="42"/>
      <c r="AP1219" s="42"/>
      <c r="AQ1219" s="43"/>
      <c r="AR1219" s="42"/>
      <c r="AS1219" s="42"/>
    </row>
    <row r="1220" spans="1:45" ht="15" customHeight="1">
      <c r="A1220" s="21" t="s">
        <v>260</v>
      </c>
      <c r="B1220" s="22" t="s">
        <v>46</v>
      </c>
      <c r="C1220" s="21" t="s">
        <v>887</v>
      </c>
      <c r="D1220" s="21" t="s">
        <v>888</v>
      </c>
      <c r="E1220" s="80" t="s">
        <v>1538</v>
      </c>
      <c r="F1220" s="21" t="s">
        <v>1539</v>
      </c>
      <c r="G1220" s="101" t="s">
        <v>77</v>
      </c>
      <c r="H1220" s="25" t="s">
        <v>1548</v>
      </c>
      <c r="I1220" s="65" t="s">
        <v>479</v>
      </c>
      <c r="J1220" s="65" t="s">
        <v>1565</v>
      </c>
      <c r="K1220" s="26" t="s">
        <v>1565</v>
      </c>
      <c r="L1220" s="48" t="s">
        <v>1566</v>
      </c>
      <c r="M1220" s="27">
        <v>44158</v>
      </c>
      <c r="N1220" s="105" t="s">
        <v>90</v>
      </c>
      <c r="O1220" s="147">
        <v>0</v>
      </c>
      <c r="P1220" s="147">
        <v>-3</v>
      </c>
      <c r="Q1220" s="51">
        <f t="shared" si="29"/>
        <v>0</v>
      </c>
      <c r="R1220" s="31">
        <v>202310</v>
      </c>
      <c r="S1220" s="54" t="s">
        <v>1580</v>
      </c>
      <c r="T1220" s="33"/>
      <c r="U1220" s="110"/>
      <c r="V1220" s="54"/>
      <c r="W1220" s="52"/>
      <c r="X1220" s="52"/>
      <c r="Y1220" s="36"/>
      <c r="Z1220" s="36"/>
      <c r="AA1220" s="36"/>
      <c r="AB1220" s="36"/>
      <c r="AC1220" s="36"/>
      <c r="AD1220" s="36"/>
      <c r="AE1220" s="36"/>
      <c r="AF1220" s="53" t="s">
        <v>503</v>
      </c>
      <c r="AG1220" s="42"/>
      <c r="AH1220" s="43"/>
      <c r="AI1220" s="43"/>
      <c r="AJ1220" s="43"/>
      <c r="AK1220" s="43"/>
      <c r="AL1220" s="43"/>
      <c r="AM1220" s="43"/>
      <c r="AN1220" s="42"/>
      <c r="AO1220" s="42"/>
      <c r="AP1220" s="42"/>
      <c r="AQ1220" s="43"/>
      <c r="AR1220" s="42"/>
      <c r="AS1220" s="42"/>
    </row>
    <row r="1221" spans="1:45" ht="15" customHeight="1">
      <c r="A1221" s="21" t="s">
        <v>260</v>
      </c>
      <c r="B1221" s="22" t="s">
        <v>46</v>
      </c>
      <c r="C1221" s="21" t="s">
        <v>887</v>
      </c>
      <c r="D1221" s="21" t="s">
        <v>888</v>
      </c>
      <c r="E1221" s="80" t="s">
        <v>1538</v>
      </c>
      <c r="F1221" s="21" t="s">
        <v>1539</v>
      </c>
      <c r="G1221" s="101" t="s">
        <v>77</v>
      </c>
      <c r="H1221" s="25" t="s">
        <v>1548</v>
      </c>
      <c r="I1221" s="65" t="s">
        <v>479</v>
      </c>
      <c r="J1221" s="65" t="s">
        <v>1565</v>
      </c>
      <c r="K1221" s="26" t="s">
        <v>1565</v>
      </c>
      <c r="L1221" s="48" t="s">
        <v>1566</v>
      </c>
      <c r="M1221" s="27">
        <v>44295</v>
      </c>
      <c r="N1221" s="105" t="s">
        <v>90</v>
      </c>
      <c r="O1221" s="147">
        <v>0</v>
      </c>
      <c r="P1221" s="147">
        <v>2</v>
      </c>
      <c r="Q1221" s="51">
        <f t="shared" si="29"/>
        <v>0</v>
      </c>
      <c r="R1221" s="31">
        <v>202310</v>
      </c>
      <c r="S1221" s="110" t="s">
        <v>1581</v>
      </c>
      <c r="T1221" s="33"/>
      <c r="U1221" s="110"/>
      <c r="V1221" s="54"/>
      <c r="W1221" s="52"/>
      <c r="X1221" s="52"/>
      <c r="Y1221" s="36"/>
      <c r="Z1221" s="36"/>
      <c r="AA1221" s="36"/>
      <c r="AB1221" s="36"/>
      <c r="AC1221" s="36"/>
      <c r="AD1221" s="36"/>
      <c r="AE1221" s="36"/>
      <c r="AF1221" s="53" t="s">
        <v>484</v>
      </c>
      <c r="AG1221" s="42"/>
      <c r="AH1221" s="43"/>
      <c r="AI1221" s="43"/>
      <c r="AJ1221" s="43"/>
      <c r="AK1221" s="43"/>
      <c r="AL1221" s="43"/>
      <c r="AM1221" s="43"/>
      <c r="AN1221" s="42"/>
      <c r="AO1221" s="42"/>
      <c r="AP1221" s="42"/>
      <c r="AQ1221" s="43"/>
      <c r="AR1221" s="42"/>
      <c r="AS1221" s="42"/>
    </row>
    <row r="1222" spans="1:45" ht="15" customHeight="1">
      <c r="A1222" s="21" t="s">
        <v>260</v>
      </c>
      <c r="B1222" s="22" t="s">
        <v>46</v>
      </c>
      <c r="C1222" s="21" t="s">
        <v>887</v>
      </c>
      <c r="D1222" s="21" t="s">
        <v>888</v>
      </c>
      <c r="E1222" s="80" t="s">
        <v>1538</v>
      </c>
      <c r="F1222" s="21" t="s">
        <v>1539</v>
      </c>
      <c r="G1222" s="101" t="s">
        <v>77</v>
      </c>
      <c r="H1222" s="25" t="s">
        <v>1548</v>
      </c>
      <c r="I1222" s="65" t="s">
        <v>479</v>
      </c>
      <c r="J1222" s="65" t="s">
        <v>1565</v>
      </c>
      <c r="K1222" s="26" t="s">
        <v>1565</v>
      </c>
      <c r="L1222" s="48" t="s">
        <v>1566</v>
      </c>
      <c r="M1222" s="27">
        <v>45199</v>
      </c>
      <c r="N1222" s="105" t="s">
        <v>90</v>
      </c>
      <c r="O1222" s="147">
        <v>0</v>
      </c>
      <c r="P1222" s="147">
        <v>-2</v>
      </c>
      <c r="Q1222" s="51">
        <f t="shared" si="29"/>
        <v>0</v>
      </c>
      <c r="R1222" s="31">
        <v>202310</v>
      </c>
      <c r="S1222" s="54" t="s">
        <v>1582</v>
      </c>
      <c r="T1222" s="33"/>
      <c r="U1222" s="110"/>
      <c r="V1222" s="54"/>
      <c r="W1222" s="52"/>
      <c r="X1222" s="52"/>
      <c r="Y1222" s="36"/>
      <c r="Z1222" s="36"/>
      <c r="AA1222" s="36"/>
      <c r="AB1222" s="36"/>
      <c r="AC1222" s="36"/>
      <c r="AD1222" s="36"/>
      <c r="AE1222" s="36"/>
      <c r="AF1222" s="53" t="s">
        <v>484</v>
      </c>
      <c r="AG1222" s="42"/>
      <c r="AH1222" s="43"/>
      <c r="AI1222" s="43"/>
      <c r="AJ1222" s="43"/>
      <c r="AK1222" s="43"/>
      <c r="AL1222" s="43"/>
      <c r="AM1222" s="43"/>
      <c r="AN1222" s="42"/>
      <c r="AO1222" s="42"/>
      <c r="AP1222" s="42"/>
      <c r="AQ1222" s="43"/>
      <c r="AR1222" s="42"/>
      <c r="AS1222" s="42"/>
    </row>
    <row r="1223" spans="1:45" ht="15" customHeight="1">
      <c r="A1223" s="21" t="s">
        <v>260</v>
      </c>
      <c r="B1223" s="22" t="s">
        <v>46</v>
      </c>
      <c r="C1223" s="21" t="s">
        <v>887</v>
      </c>
      <c r="D1223" s="21" t="s">
        <v>888</v>
      </c>
      <c r="E1223" s="80" t="s">
        <v>1538</v>
      </c>
      <c r="F1223" s="21" t="s">
        <v>1539</v>
      </c>
      <c r="G1223" s="101" t="s">
        <v>77</v>
      </c>
      <c r="H1223" s="25" t="s">
        <v>1548</v>
      </c>
      <c r="I1223" s="65" t="s">
        <v>479</v>
      </c>
      <c r="J1223" s="65" t="s">
        <v>1565</v>
      </c>
      <c r="K1223" s="26" t="s">
        <v>1565</v>
      </c>
      <c r="L1223" s="48" t="s">
        <v>1566</v>
      </c>
      <c r="M1223" s="27">
        <v>45169</v>
      </c>
      <c r="N1223" s="105" t="s">
        <v>90</v>
      </c>
      <c r="O1223" s="147">
        <v>0</v>
      </c>
      <c r="P1223" s="147">
        <v>-2</v>
      </c>
      <c r="Q1223" s="51">
        <f t="shared" si="29"/>
        <v>0</v>
      </c>
      <c r="R1223" s="31">
        <v>202310</v>
      </c>
      <c r="S1223" s="54" t="s">
        <v>1583</v>
      </c>
      <c r="T1223" s="33"/>
      <c r="U1223" s="110"/>
      <c r="V1223" s="54"/>
      <c r="W1223" s="52"/>
      <c r="X1223" s="52"/>
      <c r="Y1223" s="36"/>
      <c r="Z1223" s="36"/>
      <c r="AA1223" s="36"/>
      <c r="AB1223" s="36"/>
      <c r="AC1223" s="36"/>
      <c r="AD1223" s="36"/>
      <c r="AE1223" s="36"/>
      <c r="AF1223" s="53" t="s">
        <v>484</v>
      </c>
      <c r="AG1223" s="42"/>
      <c r="AH1223" s="43"/>
      <c r="AI1223" s="43"/>
      <c r="AJ1223" s="43"/>
      <c r="AK1223" s="43"/>
      <c r="AL1223" s="43"/>
      <c r="AM1223" s="43"/>
      <c r="AN1223" s="42"/>
      <c r="AO1223" s="42"/>
      <c r="AP1223" s="42"/>
      <c r="AQ1223" s="43"/>
      <c r="AR1223" s="42"/>
      <c r="AS1223" s="42"/>
    </row>
    <row r="1224" spans="1:45" ht="15" customHeight="1">
      <c r="A1224" s="21" t="s">
        <v>260</v>
      </c>
      <c r="B1224" s="22" t="s">
        <v>46</v>
      </c>
      <c r="C1224" s="21" t="s">
        <v>887</v>
      </c>
      <c r="D1224" s="21" t="s">
        <v>888</v>
      </c>
      <c r="E1224" s="80" t="s">
        <v>1538</v>
      </c>
      <c r="F1224" s="21" t="s">
        <v>1539</v>
      </c>
      <c r="G1224" s="101" t="s">
        <v>165</v>
      </c>
      <c r="H1224" s="25" t="s">
        <v>1548</v>
      </c>
      <c r="I1224" s="65" t="s">
        <v>491</v>
      </c>
      <c r="J1224" s="65" t="s">
        <v>1565</v>
      </c>
      <c r="K1224" s="65" t="s">
        <v>1565</v>
      </c>
      <c r="L1224" s="48" t="s">
        <v>1570</v>
      </c>
      <c r="M1224" s="27" t="s">
        <v>851</v>
      </c>
      <c r="N1224" s="105" t="s">
        <v>168</v>
      </c>
      <c r="O1224" s="147"/>
      <c r="P1224" s="147">
        <v>544</v>
      </c>
      <c r="Q1224" s="51">
        <f t="shared" si="29"/>
        <v>0</v>
      </c>
      <c r="R1224" s="31">
        <v>202310</v>
      </c>
      <c r="S1224" s="54" t="s">
        <v>1584</v>
      </c>
      <c r="T1224" s="33"/>
      <c r="U1224" s="110"/>
      <c r="V1224" s="54"/>
      <c r="W1224" s="52"/>
      <c r="X1224" s="52"/>
      <c r="Y1224" s="36"/>
      <c r="Z1224" s="36"/>
      <c r="AA1224" s="36"/>
      <c r="AB1224" s="36"/>
      <c r="AC1224" s="36"/>
      <c r="AD1224" s="36"/>
      <c r="AE1224" s="36"/>
      <c r="AF1224" s="53" t="s">
        <v>503</v>
      </c>
      <c r="AG1224" s="42"/>
      <c r="AH1224" s="43"/>
      <c r="AI1224" s="43"/>
      <c r="AJ1224" s="43"/>
      <c r="AK1224" s="43"/>
      <c r="AL1224" s="43"/>
      <c r="AM1224" s="43"/>
      <c r="AN1224" s="42"/>
      <c r="AO1224" s="42"/>
      <c r="AP1224" s="42"/>
      <c r="AQ1224" s="43"/>
      <c r="AR1224" s="42"/>
      <c r="AS1224" s="42"/>
    </row>
    <row r="1225" spans="1:45" ht="15" customHeight="1">
      <c r="A1225" s="21" t="s">
        <v>260</v>
      </c>
      <c r="B1225" s="22" t="s">
        <v>46</v>
      </c>
      <c r="C1225" s="21" t="s">
        <v>887</v>
      </c>
      <c r="D1225" s="21" t="s">
        <v>888</v>
      </c>
      <c r="E1225" s="80" t="s">
        <v>1538</v>
      </c>
      <c r="F1225" s="21" t="s">
        <v>1539</v>
      </c>
      <c r="G1225" s="101" t="s">
        <v>165</v>
      </c>
      <c r="H1225" s="25" t="s">
        <v>1548</v>
      </c>
      <c r="I1225" s="65" t="s">
        <v>491</v>
      </c>
      <c r="J1225" s="65" t="s">
        <v>1565</v>
      </c>
      <c r="K1225" s="65" t="s">
        <v>1565</v>
      </c>
      <c r="L1225" s="48" t="s">
        <v>1570</v>
      </c>
      <c r="M1225" s="27">
        <v>44295</v>
      </c>
      <c r="N1225" s="105" t="s">
        <v>168</v>
      </c>
      <c r="O1225" s="147"/>
      <c r="P1225" s="147">
        <v>128</v>
      </c>
      <c r="Q1225" s="51">
        <f t="shared" si="29"/>
        <v>0</v>
      </c>
      <c r="R1225" s="31">
        <v>202310</v>
      </c>
      <c r="S1225" s="54" t="s">
        <v>1585</v>
      </c>
      <c r="T1225" s="33"/>
      <c r="U1225" s="110"/>
      <c r="V1225" s="54"/>
      <c r="W1225" s="52"/>
      <c r="X1225" s="52"/>
      <c r="Y1225" s="36"/>
      <c r="Z1225" s="36"/>
      <c r="AA1225" s="36"/>
      <c r="AB1225" s="36"/>
      <c r="AC1225" s="36"/>
      <c r="AD1225" s="36"/>
      <c r="AE1225" s="36"/>
      <c r="AF1225" s="53" t="s">
        <v>484</v>
      </c>
      <c r="AG1225" s="42"/>
      <c r="AH1225" s="43"/>
      <c r="AI1225" s="43"/>
      <c r="AJ1225" s="43"/>
      <c r="AK1225" s="43"/>
      <c r="AL1225" s="43"/>
      <c r="AM1225" s="43"/>
      <c r="AN1225" s="42"/>
      <c r="AO1225" s="42"/>
      <c r="AP1225" s="42"/>
      <c r="AQ1225" s="43"/>
      <c r="AR1225" s="42"/>
      <c r="AS1225" s="42"/>
    </row>
    <row r="1226" spans="1:45" ht="15" customHeight="1">
      <c r="A1226" s="21" t="s">
        <v>260</v>
      </c>
      <c r="B1226" s="22" t="s">
        <v>46</v>
      </c>
      <c r="C1226" s="21" t="s">
        <v>887</v>
      </c>
      <c r="D1226" s="21" t="s">
        <v>888</v>
      </c>
      <c r="E1226" s="80" t="s">
        <v>1538</v>
      </c>
      <c r="F1226" s="21" t="s">
        <v>1539</v>
      </c>
      <c r="G1226" s="101" t="s">
        <v>165</v>
      </c>
      <c r="H1226" s="25" t="s">
        <v>1548</v>
      </c>
      <c r="I1226" s="65" t="s">
        <v>491</v>
      </c>
      <c r="J1226" s="65" t="s">
        <v>1565</v>
      </c>
      <c r="K1226" s="65" t="s">
        <v>1565</v>
      </c>
      <c r="L1226" s="48" t="s">
        <v>1570</v>
      </c>
      <c r="M1226" s="27">
        <v>44421</v>
      </c>
      <c r="N1226" s="105" t="s">
        <v>168</v>
      </c>
      <c r="O1226" s="147"/>
      <c r="P1226" s="147">
        <v>128</v>
      </c>
      <c r="Q1226" s="51">
        <f t="shared" si="29"/>
        <v>0</v>
      </c>
      <c r="R1226" s="31">
        <v>202310</v>
      </c>
      <c r="S1226" s="54" t="s">
        <v>1586</v>
      </c>
      <c r="T1226" s="33"/>
      <c r="U1226" s="110"/>
      <c r="V1226" s="54"/>
      <c r="W1226" s="52"/>
      <c r="X1226" s="52"/>
      <c r="Y1226" s="36"/>
      <c r="Z1226" s="36"/>
      <c r="AA1226" s="36"/>
      <c r="AB1226" s="36"/>
      <c r="AC1226" s="36"/>
      <c r="AD1226" s="36"/>
      <c r="AE1226" s="36"/>
      <c r="AF1226" s="53" t="s">
        <v>484</v>
      </c>
      <c r="AG1226" s="42"/>
      <c r="AH1226" s="43"/>
      <c r="AI1226" s="43"/>
      <c r="AJ1226" s="43"/>
      <c r="AK1226" s="43"/>
      <c r="AL1226" s="43"/>
      <c r="AM1226" s="43"/>
      <c r="AN1226" s="42"/>
      <c r="AO1226" s="42"/>
      <c r="AP1226" s="42"/>
      <c r="AQ1226" s="43"/>
      <c r="AR1226" s="42"/>
      <c r="AS1226" s="42"/>
    </row>
    <row r="1227" spans="1:45" ht="15" customHeight="1">
      <c r="A1227" s="21" t="s">
        <v>260</v>
      </c>
      <c r="B1227" s="22" t="s">
        <v>46</v>
      </c>
      <c r="C1227" s="21" t="s">
        <v>887</v>
      </c>
      <c r="D1227" s="21" t="s">
        <v>888</v>
      </c>
      <c r="E1227" s="80" t="s">
        <v>1538</v>
      </c>
      <c r="F1227" s="21" t="s">
        <v>1539</v>
      </c>
      <c r="G1227" s="101" t="s">
        <v>165</v>
      </c>
      <c r="H1227" s="25" t="s">
        <v>1548</v>
      </c>
      <c r="I1227" s="65" t="s">
        <v>491</v>
      </c>
      <c r="J1227" s="65" t="s">
        <v>1565</v>
      </c>
      <c r="K1227" s="65" t="s">
        <v>1565</v>
      </c>
      <c r="L1227" s="48" t="s">
        <v>1570</v>
      </c>
      <c r="M1227" s="27">
        <v>45169</v>
      </c>
      <c r="N1227" s="105" t="s">
        <v>168</v>
      </c>
      <c r="O1227" s="147"/>
      <c r="P1227" s="147">
        <v>-384</v>
      </c>
      <c r="Q1227" s="51">
        <f t="shared" si="29"/>
        <v>0</v>
      </c>
      <c r="R1227" s="31">
        <v>202310</v>
      </c>
      <c r="S1227" s="54" t="s">
        <v>1587</v>
      </c>
      <c r="T1227" s="33"/>
      <c r="U1227" s="110"/>
      <c r="V1227" s="54"/>
      <c r="W1227" s="52"/>
      <c r="X1227" s="52"/>
      <c r="Y1227" s="36"/>
      <c r="Z1227" s="36"/>
      <c r="AA1227" s="36"/>
      <c r="AB1227" s="36"/>
      <c r="AC1227" s="36"/>
      <c r="AD1227" s="36"/>
      <c r="AE1227" s="36"/>
      <c r="AF1227" s="53" t="s">
        <v>484</v>
      </c>
      <c r="AG1227" s="42"/>
      <c r="AH1227" s="43"/>
      <c r="AI1227" s="43"/>
      <c r="AJ1227" s="43"/>
      <c r="AK1227" s="43"/>
      <c r="AL1227" s="43"/>
      <c r="AM1227" s="43"/>
      <c r="AN1227" s="42"/>
      <c r="AO1227" s="42"/>
      <c r="AP1227" s="42"/>
      <c r="AQ1227" s="43"/>
      <c r="AR1227" s="42"/>
      <c r="AS1227" s="42"/>
    </row>
    <row r="1228" spans="1:45" ht="15" customHeight="1">
      <c r="A1228" s="21" t="s">
        <v>260</v>
      </c>
      <c r="B1228" s="22" t="s">
        <v>46</v>
      </c>
      <c r="C1228" s="21" t="s">
        <v>887</v>
      </c>
      <c r="D1228" s="21" t="s">
        <v>888</v>
      </c>
      <c r="E1228" s="80" t="s">
        <v>1538</v>
      </c>
      <c r="F1228" s="21" t="s">
        <v>1539</v>
      </c>
      <c r="G1228" s="101" t="s">
        <v>165</v>
      </c>
      <c r="H1228" s="25" t="s">
        <v>1548</v>
      </c>
      <c r="I1228" s="65" t="s">
        <v>491</v>
      </c>
      <c r="J1228" s="65" t="s">
        <v>1565</v>
      </c>
      <c r="K1228" s="65" t="s">
        <v>1565</v>
      </c>
      <c r="L1228" s="48" t="s">
        <v>1570</v>
      </c>
      <c r="M1228" s="27">
        <v>45199</v>
      </c>
      <c r="N1228" s="105" t="s">
        <v>168</v>
      </c>
      <c r="O1228" s="147"/>
      <c r="P1228" s="147">
        <v>-256</v>
      </c>
      <c r="Q1228" s="51">
        <f t="shared" si="29"/>
        <v>0</v>
      </c>
      <c r="R1228" s="31">
        <v>202310</v>
      </c>
      <c r="S1228" s="54" t="s">
        <v>1588</v>
      </c>
      <c r="T1228" s="33"/>
      <c r="U1228" s="110"/>
      <c r="V1228" s="54"/>
      <c r="W1228" s="52"/>
      <c r="X1228" s="52"/>
      <c r="Y1228" s="36"/>
      <c r="Z1228" s="36"/>
      <c r="AA1228" s="36"/>
      <c r="AB1228" s="36"/>
      <c r="AC1228" s="36"/>
      <c r="AD1228" s="36"/>
      <c r="AE1228" s="36"/>
      <c r="AF1228" s="53" t="s">
        <v>484</v>
      </c>
      <c r="AG1228" s="42"/>
      <c r="AH1228" s="43"/>
      <c r="AI1228" s="43"/>
      <c r="AJ1228" s="43"/>
      <c r="AK1228" s="43"/>
      <c r="AL1228" s="43"/>
      <c r="AM1228" s="43"/>
      <c r="AN1228" s="42"/>
      <c r="AO1228" s="42"/>
      <c r="AP1228" s="42"/>
      <c r="AQ1228" s="43"/>
      <c r="AR1228" s="42"/>
      <c r="AS1228" s="42"/>
    </row>
    <row r="1229" spans="1:45" ht="15" customHeight="1">
      <c r="A1229" s="21" t="s">
        <v>260</v>
      </c>
      <c r="B1229" s="22" t="s">
        <v>46</v>
      </c>
      <c r="C1229" s="21" t="s">
        <v>887</v>
      </c>
      <c r="D1229" s="21" t="s">
        <v>888</v>
      </c>
      <c r="E1229" s="80" t="s">
        <v>1538</v>
      </c>
      <c r="F1229" s="21" t="s">
        <v>1539</v>
      </c>
      <c r="G1229" s="101" t="s">
        <v>165</v>
      </c>
      <c r="H1229" s="25" t="s">
        <v>1548</v>
      </c>
      <c r="I1229" s="65" t="s">
        <v>491</v>
      </c>
      <c r="J1229" s="65" t="s">
        <v>1565</v>
      </c>
      <c r="K1229" s="65" t="s">
        <v>1565</v>
      </c>
      <c r="L1229" s="48" t="s">
        <v>1570</v>
      </c>
      <c r="M1229" s="27">
        <v>45200</v>
      </c>
      <c r="N1229" s="105" t="s">
        <v>168</v>
      </c>
      <c r="O1229" s="147"/>
      <c r="P1229" s="147">
        <v>256</v>
      </c>
      <c r="Q1229" s="51">
        <f t="shared" si="29"/>
        <v>0</v>
      </c>
      <c r="R1229" s="31">
        <v>202310</v>
      </c>
      <c r="S1229" s="54" t="s">
        <v>1588</v>
      </c>
      <c r="T1229" s="33"/>
      <c r="U1229" s="110"/>
      <c r="V1229" s="54"/>
      <c r="W1229" s="52"/>
      <c r="X1229" s="52"/>
      <c r="Y1229" s="36"/>
      <c r="Z1229" s="36"/>
      <c r="AA1229" s="36"/>
      <c r="AB1229" s="36"/>
      <c r="AC1229" s="36"/>
      <c r="AD1229" s="36"/>
      <c r="AE1229" s="36"/>
      <c r="AF1229" s="53" t="s">
        <v>1589</v>
      </c>
      <c r="AG1229" s="42"/>
      <c r="AH1229" s="43"/>
      <c r="AI1229" s="43"/>
      <c r="AJ1229" s="43"/>
      <c r="AK1229" s="43"/>
      <c r="AL1229" s="43"/>
      <c r="AM1229" s="43"/>
      <c r="AN1229" s="42"/>
      <c r="AO1229" s="42"/>
      <c r="AP1229" s="42"/>
      <c r="AQ1229" s="43"/>
      <c r="AR1229" s="42"/>
      <c r="AS1229" s="42"/>
    </row>
    <row r="1230" spans="1:45" ht="15" customHeight="1">
      <c r="A1230" s="21" t="s">
        <v>260</v>
      </c>
      <c r="B1230" s="22" t="s">
        <v>46</v>
      </c>
      <c r="C1230" s="21" t="s">
        <v>887</v>
      </c>
      <c r="D1230" s="21" t="s">
        <v>888</v>
      </c>
      <c r="E1230" s="80" t="s">
        <v>1538</v>
      </c>
      <c r="F1230" s="21" t="s">
        <v>1539</v>
      </c>
      <c r="G1230" s="101" t="s">
        <v>165</v>
      </c>
      <c r="H1230" s="25" t="s">
        <v>1548</v>
      </c>
      <c r="I1230" s="65" t="s">
        <v>491</v>
      </c>
      <c r="J1230" s="65" t="s">
        <v>1565</v>
      </c>
      <c r="K1230" s="65" t="s">
        <v>1565</v>
      </c>
      <c r="L1230" s="48" t="s">
        <v>1570</v>
      </c>
      <c r="M1230" s="27">
        <v>45200</v>
      </c>
      <c r="N1230" s="105" t="s">
        <v>656</v>
      </c>
      <c r="O1230" s="147">
        <v>0</v>
      </c>
      <c r="P1230" s="147">
        <v>0</v>
      </c>
      <c r="Q1230" s="51">
        <f t="shared" si="29"/>
        <v>0</v>
      </c>
      <c r="R1230" s="31">
        <v>202310</v>
      </c>
      <c r="S1230" s="54" t="s">
        <v>1590</v>
      </c>
      <c r="T1230" s="33"/>
      <c r="U1230" s="110"/>
      <c r="V1230" s="54"/>
      <c r="W1230" s="52"/>
      <c r="X1230" s="52"/>
      <c r="Y1230" s="36"/>
      <c r="Z1230" s="36"/>
      <c r="AA1230" s="36"/>
      <c r="AB1230" s="36"/>
      <c r="AC1230" s="36"/>
      <c r="AD1230" s="36"/>
      <c r="AE1230" s="36"/>
      <c r="AF1230" s="53" t="s">
        <v>1589</v>
      </c>
      <c r="AG1230" s="42"/>
      <c r="AH1230" s="43"/>
      <c r="AI1230" s="43"/>
      <c r="AJ1230" s="43"/>
      <c r="AK1230" s="43"/>
      <c r="AL1230" s="43"/>
      <c r="AM1230" s="43"/>
      <c r="AN1230" s="42"/>
      <c r="AO1230" s="42"/>
      <c r="AP1230" s="42"/>
      <c r="AQ1230" s="43"/>
      <c r="AR1230" s="42"/>
      <c r="AS1230" s="42"/>
    </row>
    <row r="1231" spans="1:45" ht="15" customHeight="1">
      <c r="A1231" s="21" t="s">
        <v>260</v>
      </c>
      <c r="B1231" s="22" t="s">
        <v>46</v>
      </c>
      <c r="C1231" s="21" t="s">
        <v>887</v>
      </c>
      <c r="D1231" s="21" t="s">
        <v>888</v>
      </c>
      <c r="E1231" s="80" t="s">
        <v>1538</v>
      </c>
      <c r="F1231" s="21" t="s">
        <v>1539</v>
      </c>
      <c r="G1231" s="101" t="s">
        <v>165</v>
      </c>
      <c r="H1231" s="25" t="s">
        <v>1548</v>
      </c>
      <c r="I1231" s="65" t="s">
        <v>167</v>
      </c>
      <c r="J1231" s="65" t="s">
        <v>1591</v>
      </c>
      <c r="K1231" s="65" t="s">
        <v>1591</v>
      </c>
      <c r="L1231" s="48" t="s">
        <v>1592</v>
      </c>
      <c r="M1231" s="27" t="s">
        <v>851</v>
      </c>
      <c r="N1231" s="105" t="s">
        <v>168</v>
      </c>
      <c r="O1231" s="147"/>
      <c r="P1231" s="147">
        <v>768</v>
      </c>
      <c r="Q1231" s="51">
        <f t="shared" si="29"/>
        <v>0</v>
      </c>
      <c r="R1231" s="31">
        <v>202310</v>
      </c>
      <c r="S1231" s="54" t="s">
        <v>1593</v>
      </c>
      <c r="T1231" s="33"/>
      <c r="U1231" s="110"/>
      <c r="V1231" s="54"/>
      <c r="W1231" s="52"/>
      <c r="X1231" s="52"/>
      <c r="Y1231" s="36"/>
      <c r="Z1231" s="36"/>
      <c r="AA1231" s="36"/>
      <c r="AB1231" s="36"/>
      <c r="AC1231" s="36"/>
      <c r="AD1231" s="36"/>
      <c r="AE1231" s="36"/>
      <c r="AF1231" s="53" t="s">
        <v>56</v>
      </c>
      <c r="AG1231" s="42"/>
      <c r="AH1231" s="43"/>
      <c r="AI1231" s="43"/>
      <c r="AJ1231" s="43"/>
      <c r="AK1231" s="43"/>
      <c r="AL1231" s="43"/>
      <c r="AM1231" s="43"/>
      <c r="AN1231" s="42"/>
      <c r="AO1231" s="42"/>
      <c r="AP1231" s="42"/>
      <c r="AQ1231" s="43"/>
      <c r="AR1231" s="42"/>
      <c r="AS1231" s="42"/>
    </row>
    <row r="1232" spans="1:45" ht="15" customHeight="1">
      <c r="A1232" s="22" t="s">
        <v>260</v>
      </c>
      <c r="B1232" s="21" t="s">
        <v>46</v>
      </c>
      <c r="C1232" s="22" t="s">
        <v>47</v>
      </c>
      <c r="D1232" s="22" t="s">
        <v>48</v>
      </c>
      <c r="E1232" s="175" t="s">
        <v>1594</v>
      </c>
      <c r="F1232" s="22" t="s">
        <v>1595</v>
      </c>
      <c r="G1232" s="22" t="s">
        <v>77</v>
      </c>
      <c r="H1232" s="175" t="s">
        <v>1596</v>
      </c>
      <c r="I1232" s="24" t="s">
        <v>849</v>
      </c>
      <c r="J1232" s="20" t="s">
        <v>47</v>
      </c>
      <c r="K1232" s="22" t="s">
        <v>1597</v>
      </c>
      <c r="L1232" s="48" t="s">
        <v>1598</v>
      </c>
      <c r="M1232" s="116">
        <v>43040</v>
      </c>
      <c r="N1232" s="176" t="s">
        <v>504</v>
      </c>
      <c r="O1232" s="177">
        <v>5300</v>
      </c>
      <c r="P1232" s="30">
        <v>10</v>
      </c>
      <c r="Q1232" s="30">
        <f t="shared" si="29"/>
        <v>53000</v>
      </c>
      <c r="R1232" s="31">
        <v>202310</v>
      </c>
      <c r="S1232" s="117" t="s">
        <v>1599</v>
      </c>
      <c r="T1232" s="33"/>
      <c r="U1232" s="117"/>
      <c r="V1232" s="117"/>
      <c r="W1232" s="52"/>
      <c r="X1232" s="52"/>
      <c r="Y1232" s="36">
        <v>44197</v>
      </c>
      <c r="Z1232" s="36">
        <v>44926</v>
      </c>
      <c r="AA1232" s="36"/>
      <c r="AB1232" s="36"/>
      <c r="AC1232" s="36"/>
      <c r="AD1232" s="36"/>
      <c r="AE1232" s="36"/>
      <c r="AF1232" s="40" t="s">
        <v>853</v>
      </c>
      <c r="AG1232" s="42"/>
      <c r="AH1232" s="42"/>
      <c r="AI1232" s="43"/>
      <c r="AJ1232" s="43"/>
      <c r="AK1232" s="43"/>
      <c r="AL1232" s="43"/>
      <c r="AM1232" s="43"/>
      <c r="AN1232" s="42"/>
      <c r="AO1232" s="42"/>
      <c r="AP1232" s="42"/>
      <c r="AQ1232" s="43"/>
      <c r="AR1232" s="42"/>
      <c r="AS1232" s="42"/>
    </row>
    <row r="1233" spans="1:45" ht="15" customHeight="1">
      <c r="A1233" s="22" t="s">
        <v>260</v>
      </c>
      <c r="B1233" s="21" t="s">
        <v>46</v>
      </c>
      <c r="C1233" s="22" t="s">
        <v>47</v>
      </c>
      <c r="D1233" s="22" t="s">
        <v>48</v>
      </c>
      <c r="E1233" s="175" t="s">
        <v>1594</v>
      </c>
      <c r="F1233" s="22" t="s">
        <v>1595</v>
      </c>
      <c r="G1233" s="22" t="s">
        <v>77</v>
      </c>
      <c r="H1233" s="175" t="s">
        <v>1596</v>
      </c>
      <c r="I1233" s="24" t="s">
        <v>849</v>
      </c>
      <c r="J1233" s="20" t="s">
        <v>47</v>
      </c>
      <c r="K1233" s="22" t="s">
        <v>1597</v>
      </c>
      <c r="L1233" s="48" t="s">
        <v>1598</v>
      </c>
      <c r="M1233" s="116">
        <v>43040</v>
      </c>
      <c r="N1233" s="176" t="s">
        <v>504</v>
      </c>
      <c r="O1233" s="177">
        <v>5300</v>
      </c>
      <c r="P1233" s="30">
        <v>6</v>
      </c>
      <c r="Q1233" s="30">
        <f t="shared" si="29"/>
        <v>31800</v>
      </c>
      <c r="R1233" s="31">
        <v>202310</v>
      </c>
      <c r="S1233" s="37" t="s">
        <v>1600</v>
      </c>
      <c r="T1233" s="33"/>
      <c r="U1233" s="37"/>
      <c r="V1233" s="37"/>
      <c r="W1233" s="52"/>
      <c r="X1233" s="52"/>
      <c r="Y1233" s="36">
        <v>44197</v>
      </c>
      <c r="Z1233" s="36">
        <v>44926</v>
      </c>
      <c r="AA1233" s="36"/>
      <c r="AB1233" s="36"/>
      <c r="AC1233" s="36"/>
      <c r="AD1233" s="36"/>
      <c r="AE1233" s="36"/>
      <c r="AF1233" s="40" t="s">
        <v>853</v>
      </c>
      <c r="AG1233" s="42"/>
      <c r="AH1233" s="42"/>
      <c r="AI1233" s="43"/>
      <c r="AJ1233" s="43"/>
      <c r="AK1233" s="43"/>
      <c r="AL1233" s="43"/>
      <c r="AM1233" s="43"/>
      <c r="AN1233" s="42"/>
      <c r="AO1233" s="42"/>
      <c r="AP1233" s="42"/>
      <c r="AQ1233" s="43"/>
      <c r="AR1233" s="42"/>
      <c r="AS1233" s="42"/>
    </row>
    <row r="1234" spans="1:45" ht="15" customHeight="1">
      <c r="A1234" s="22" t="s">
        <v>260</v>
      </c>
      <c r="B1234" s="21" t="s">
        <v>46</v>
      </c>
      <c r="C1234" s="22" t="s">
        <v>47</v>
      </c>
      <c r="D1234" s="22" t="s">
        <v>48</v>
      </c>
      <c r="E1234" s="175" t="s">
        <v>1594</v>
      </c>
      <c r="F1234" s="22" t="s">
        <v>1595</v>
      </c>
      <c r="G1234" s="22" t="s">
        <v>77</v>
      </c>
      <c r="H1234" s="175" t="s">
        <v>1596</v>
      </c>
      <c r="I1234" s="24" t="s">
        <v>849</v>
      </c>
      <c r="J1234" s="20" t="s">
        <v>47</v>
      </c>
      <c r="K1234" s="22" t="s">
        <v>1597</v>
      </c>
      <c r="L1234" s="48" t="s">
        <v>1598</v>
      </c>
      <c r="M1234" s="116">
        <v>43793</v>
      </c>
      <c r="N1234" s="176" t="s">
        <v>504</v>
      </c>
      <c r="O1234" s="177">
        <v>5300</v>
      </c>
      <c r="P1234" s="30">
        <v>-3</v>
      </c>
      <c r="Q1234" s="30">
        <f t="shared" si="29"/>
        <v>-15900</v>
      </c>
      <c r="R1234" s="31">
        <v>202310</v>
      </c>
      <c r="S1234" s="178" t="s">
        <v>1601</v>
      </c>
      <c r="T1234" s="33"/>
      <c r="U1234" s="178"/>
      <c r="V1234" s="178"/>
      <c r="W1234" s="52"/>
      <c r="X1234" s="52"/>
      <c r="Y1234" s="36">
        <v>44197</v>
      </c>
      <c r="Z1234" s="36">
        <v>44926</v>
      </c>
      <c r="AA1234" s="36"/>
      <c r="AB1234" s="36"/>
      <c r="AC1234" s="36"/>
      <c r="AD1234" s="36"/>
      <c r="AE1234" s="36"/>
      <c r="AF1234" s="40" t="s">
        <v>853</v>
      </c>
      <c r="AG1234" s="42"/>
      <c r="AH1234" s="42"/>
      <c r="AI1234" s="43"/>
      <c r="AJ1234" s="43"/>
      <c r="AK1234" s="43"/>
      <c r="AL1234" s="43"/>
      <c r="AM1234" s="43"/>
      <c r="AN1234" s="42"/>
      <c r="AO1234" s="42"/>
      <c r="AP1234" s="42"/>
      <c r="AQ1234" s="43"/>
      <c r="AR1234" s="42"/>
      <c r="AS1234" s="42"/>
    </row>
    <row r="1235" spans="1:45" ht="15" customHeight="1">
      <c r="A1235" s="22" t="s">
        <v>260</v>
      </c>
      <c r="B1235" s="21" t="s">
        <v>46</v>
      </c>
      <c r="C1235" s="22" t="s">
        <v>47</v>
      </c>
      <c r="D1235" s="22" t="s">
        <v>48</v>
      </c>
      <c r="E1235" s="175" t="s">
        <v>1594</v>
      </c>
      <c r="F1235" s="22" t="s">
        <v>1595</v>
      </c>
      <c r="G1235" s="22" t="s">
        <v>77</v>
      </c>
      <c r="H1235" s="175" t="s">
        <v>1596</v>
      </c>
      <c r="I1235" s="24" t="s">
        <v>849</v>
      </c>
      <c r="J1235" s="20" t="s">
        <v>47</v>
      </c>
      <c r="K1235" s="22" t="s">
        <v>1597</v>
      </c>
      <c r="L1235" s="48" t="s">
        <v>1598</v>
      </c>
      <c r="M1235" s="116">
        <v>44773</v>
      </c>
      <c r="N1235" s="176" t="s">
        <v>504</v>
      </c>
      <c r="O1235" s="177">
        <v>5300</v>
      </c>
      <c r="P1235" s="30">
        <v>-13</v>
      </c>
      <c r="Q1235" s="30">
        <f t="shared" si="29"/>
        <v>-68900</v>
      </c>
      <c r="R1235" s="31">
        <v>202310</v>
      </c>
      <c r="S1235" s="178" t="s">
        <v>1602</v>
      </c>
      <c r="T1235" s="33"/>
      <c r="U1235" s="54"/>
      <c r="V1235" s="178"/>
      <c r="W1235" s="52"/>
      <c r="X1235" s="52"/>
      <c r="Y1235" s="36">
        <v>44197</v>
      </c>
      <c r="Z1235" s="36">
        <v>44926</v>
      </c>
      <c r="AA1235" s="36"/>
      <c r="AB1235" s="36"/>
      <c r="AC1235" s="36"/>
      <c r="AD1235" s="36"/>
      <c r="AE1235" s="36"/>
      <c r="AF1235" s="40" t="s">
        <v>853</v>
      </c>
      <c r="AG1235" s="42"/>
      <c r="AH1235" s="42"/>
      <c r="AI1235" s="43"/>
      <c r="AJ1235" s="43"/>
      <c r="AK1235" s="43"/>
      <c r="AL1235" s="43"/>
      <c r="AM1235" s="43"/>
      <c r="AN1235" s="42"/>
      <c r="AO1235" s="42"/>
      <c r="AP1235" s="42"/>
      <c r="AQ1235" s="43"/>
      <c r="AR1235" s="42"/>
      <c r="AS1235" s="42"/>
    </row>
    <row r="1236" spans="1:45" ht="15" customHeight="1">
      <c r="A1236" s="20" t="s">
        <v>260</v>
      </c>
      <c r="B1236" s="21" t="s">
        <v>46</v>
      </c>
      <c r="C1236" s="22" t="s">
        <v>47</v>
      </c>
      <c r="D1236" s="22" t="s">
        <v>48</v>
      </c>
      <c r="E1236" s="23" t="s">
        <v>1594</v>
      </c>
      <c r="F1236" s="20" t="s">
        <v>1603</v>
      </c>
      <c r="G1236" s="26" t="s">
        <v>114</v>
      </c>
      <c r="H1236" s="45" t="s">
        <v>1604</v>
      </c>
      <c r="I1236" s="26" t="s">
        <v>114</v>
      </c>
      <c r="J1236" s="26" t="s">
        <v>1605</v>
      </c>
      <c r="K1236" s="47"/>
      <c r="L1236" s="48"/>
      <c r="M1236" s="49">
        <v>44333</v>
      </c>
      <c r="N1236" s="47" t="s">
        <v>1606</v>
      </c>
      <c r="O1236" s="50">
        <v>4338.6000000000004</v>
      </c>
      <c r="P1236" s="51">
        <v>1</v>
      </c>
      <c r="Q1236" s="51">
        <f t="shared" si="29"/>
        <v>4338.6000000000004</v>
      </c>
      <c r="R1236" s="31">
        <v>202310</v>
      </c>
      <c r="S1236" s="32" t="s">
        <v>1607</v>
      </c>
      <c r="T1236" s="33"/>
      <c r="U1236" s="32"/>
      <c r="V1236" s="32"/>
      <c r="W1236" s="42"/>
      <c r="X1236" s="42"/>
      <c r="Y1236" s="36">
        <v>44317</v>
      </c>
      <c r="Z1236" s="36">
        <v>45443</v>
      </c>
      <c r="AA1236" s="36"/>
      <c r="AB1236" s="36"/>
      <c r="AC1236" s="36"/>
      <c r="AD1236" s="36"/>
      <c r="AE1236" s="36"/>
      <c r="AF1236" s="53" t="s">
        <v>68</v>
      </c>
      <c r="AG1236" s="42"/>
      <c r="AH1236" s="42"/>
      <c r="AI1236" s="43"/>
      <c r="AJ1236" s="43"/>
      <c r="AK1236" s="43"/>
      <c r="AL1236" s="43"/>
      <c r="AM1236" s="43"/>
      <c r="AN1236" s="42"/>
      <c r="AO1236" s="42"/>
      <c r="AP1236" s="42"/>
      <c r="AQ1236" s="43"/>
      <c r="AR1236" s="42"/>
      <c r="AS1236" s="42"/>
    </row>
    <row r="1237" spans="1:45" ht="15" customHeight="1">
      <c r="A1237" s="20" t="s">
        <v>260</v>
      </c>
      <c r="B1237" s="21" t="s">
        <v>46</v>
      </c>
      <c r="C1237" s="22" t="s">
        <v>47</v>
      </c>
      <c r="D1237" s="22" t="s">
        <v>48</v>
      </c>
      <c r="E1237" s="23" t="s">
        <v>1594</v>
      </c>
      <c r="F1237" s="20" t="s">
        <v>1603</v>
      </c>
      <c r="G1237" s="26" t="s">
        <v>114</v>
      </c>
      <c r="H1237" s="45" t="s">
        <v>1604</v>
      </c>
      <c r="I1237" s="26" t="s">
        <v>114</v>
      </c>
      <c r="J1237" s="26" t="s">
        <v>1608</v>
      </c>
      <c r="K1237" s="47"/>
      <c r="L1237" s="48"/>
      <c r="M1237" s="49">
        <v>44436</v>
      </c>
      <c r="N1237" s="47" t="s">
        <v>1609</v>
      </c>
      <c r="O1237" s="50">
        <v>3184.5</v>
      </c>
      <c r="P1237" s="51">
        <v>1</v>
      </c>
      <c r="Q1237" s="30">
        <f t="shared" si="29"/>
        <v>3184.5</v>
      </c>
      <c r="R1237" s="31">
        <v>202310</v>
      </c>
      <c r="S1237" s="32" t="s">
        <v>1610</v>
      </c>
      <c r="T1237" s="33"/>
      <c r="U1237" s="32"/>
      <c r="V1237" s="32"/>
      <c r="W1237" s="42"/>
      <c r="X1237" s="42"/>
      <c r="Y1237" s="36">
        <v>44317</v>
      </c>
      <c r="Z1237" s="36">
        <v>45443</v>
      </c>
      <c r="AA1237" s="36"/>
      <c r="AB1237" s="36"/>
      <c r="AC1237" s="36"/>
      <c r="AD1237" s="36"/>
      <c r="AE1237" s="36"/>
      <c r="AF1237" s="53" t="s">
        <v>68</v>
      </c>
      <c r="AG1237" s="42"/>
      <c r="AH1237" s="42"/>
      <c r="AI1237" s="43"/>
      <c r="AJ1237" s="43"/>
      <c r="AK1237" s="43"/>
      <c r="AL1237" s="43"/>
      <c r="AM1237" s="43"/>
      <c r="AN1237" s="42"/>
      <c r="AO1237" s="42"/>
      <c r="AP1237" s="42"/>
      <c r="AQ1237" s="43"/>
      <c r="AR1237" s="42"/>
      <c r="AS1237" s="42"/>
    </row>
    <row r="1238" spans="1:45" ht="15" customHeight="1">
      <c r="A1238" s="22" t="s">
        <v>260</v>
      </c>
      <c r="B1238" s="21" t="s">
        <v>46</v>
      </c>
      <c r="C1238" s="22" t="s">
        <v>47</v>
      </c>
      <c r="D1238" s="22" t="s">
        <v>48</v>
      </c>
      <c r="E1238" s="175" t="s">
        <v>1594</v>
      </c>
      <c r="F1238" s="22" t="s">
        <v>1595</v>
      </c>
      <c r="G1238" s="22" t="s">
        <v>77</v>
      </c>
      <c r="H1238" s="25" t="s">
        <v>1611</v>
      </c>
      <c r="I1238" s="24" t="s">
        <v>479</v>
      </c>
      <c r="J1238" s="20" t="s">
        <v>1612</v>
      </c>
      <c r="K1238" s="22" t="s">
        <v>1595</v>
      </c>
      <c r="L1238" s="48" t="s">
        <v>1613</v>
      </c>
      <c r="M1238" s="116">
        <v>42915</v>
      </c>
      <c r="N1238" s="179" t="s">
        <v>1614</v>
      </c>
      <c r="O1238" s="177">
        <v>6000</v>
      </c>
      <c r="P1238" s="30">
        <v>4</v>
      </c>
      <c r="Q1238" s="30">
        <f t="shared" si="29"/>
        <v>24000</v>
      </c>
      <c r="R1238" s="31">
        <v>202310</v>
      </c>
      <c r="S1238" s="117" t="s">
        <v>1615</v>
      </c>
      <c r="T1238" s="33"/>
      <c r="U1238" s="32"/>
      <c r="V1238" s="117"/>
      <c r="W1238" s="52"/>
      <c r="X1238" s="52"/>
      <c r="Y1238" s="36"/>
      <c r="Z1238" s="36"/>
      <c r="AA1238" s="36"/>
      <c r="AB1238" s="36"/>
      <c r="AC1238" s="36"/>
      <c r="AD1238" s="36"/>
      <c r="AE1238" s="36"/>
      <c r="AF1238" s="40" t="s">
        <v>503</v>
      </c>
      <c r="AG1238" s="42"/>
      <c r="AH1238" s="42"/>
      <c r="AI1238" s="43"/>
      <c r="AJ1238" s="43"/>
      <c r="AK1238" s="43"/>
      <c r="AL1238" s="43"/>
      <c r="AM1238" s="43"/>
      <c r="AN1238" s="42"/>
      <c r="AO1238" s="42"/>
      <c r="AP1238" s="42"/>
      <c r="AQ1238" s="43"/>
      <c r="AR1238" s="42"/>
      <c r="AS1238" s="42" t="s">
        <v>1616</v>
      </c>
    </row>
    <row r="1239" spans="1:45" ht="15" customHeight="1">
      <c r="A1239" s="22" t="s">
        <v>260</v>
      </c>
      <c r="B1239" s="21" t="s">
        <v>46</v>
      </c>
      <c r="C1239" s="22" t="s">
        <v>47</v>
      </c>
      <c r="D1239" s="22" t="s">
        <v>48</v>
      </c>
      <c r="E1239" s="175" t="s">
        <v>1594</v>
      </c>
      <c r="F1239" s="22" t="s">
        <v>1595</v>
      </c>
      <c r="G1239" s="22" t="s">
        <v>77</v>
      </c>
      <c r="H1239" s="25" t="s">
        <v>1611</v>
      </c>
      <c r="I1239" s="24" t="s">
        <v>849</v>
      </c>
      <c r="J1239" s="20" t="s">
        <v>1612</v>
      </c>
      <c r="K1239" s="22" t="s">
        <v>1595</v>
      </c>
      <c r="L1239" s="48" t="s">
        <v>1613</v>
      </c>
      <c r="M1239" s="116">
        <v>42915</v>
      </c>
      <c r="N1239" s="179" t="s">
        <v>1614</v>
      </c>
      <c r="O1239" s="177">
        <v>6000</v>
      </c>
      <c r="P1239" s="30">
        <v>5</v>
      </c>
      <c r="Q1239" s="30">
        <f t="shared" si="29"/>
        <v>30000</v>
      </c>
      <c r="R1239" s="31">
        <v>202310</v>
      </c>
      <c r="S1239" s="117" t="s">
        <v>1617</v>
      </c>
      <c r="T1239" s="33"/>
      <c r="U1239" s="32"/>
      <c r="V1239" s="117"/>
      <c r="W1239" s="52"/>
      <c r="X1239" s="52"/>
      <c r="Y1239" s="36"/>
      <c r="Z1239" s="36"/>
      <c r="AA1239" s="36"/>
      <c r="AB1239" s="36"/>
      <c r="AC1239" s="36"/>
      <c r="AD1239" s="36"/>
      <c r="AE1239" s="36"/>
      <c r="AF1239" s="40" t="s">
        <v>853</v>
      </c>
      <c r="AG1239" s="42"/>
      <c r="AH1239" s="42"/>
      <c r="AI1239" s="43"/>
      <c r="AJ1239" s="43"/>
      <c r="AK1239" s="43"/>
      <c r="AL1239" s="43"/>
      <c r="AM1239" s="43"/>
      <c r="AN1239" s="42"/>
      <c r="AO1239" s="42"/>
      <c r="AP1239" s="42"/>
      <c r="AQ1239" s="43"/>
      <c r="AR1239" s="42"/>
      <c r="AS1239" s="42" t="s">
        <v>1616</v>
      </c>
    </row>
    <row r="1240" spans="1:45" ht="15" customHeight="1">
      <c r="A1240" s="22" t="s">
        <v>260</v>
      </c>
      <c r="B1240" s="21" t="s">
        <v>46</v>
      </c>
      <c r="C1240" s="22" t="s">
        <v>47</v>
      </c>
      <c r="D1240" s="22" t="s">
        <v>48</v>
      </c>
      <c r="E1240" s="175" t="s">
        <v>1594</v>
      </c>
      <c r="F1240" s="22" t="s">
        <v>1595</v>
      </c>
      <c r="G1240" s="22" t="s">
        <v>77</v>
      </c>
      <c r="H1240" s="25" t="s">
        <v>1611</v>
      </c>
      <c r="I1240" s="24" t="s">
        <v>479</v>
      </c>
      <c r="J1240" s="20" t="s">
        <v>1612</v>
      </c>
      <c r="K1240" s="22" t="s">
        <v>1595</v>
      </c>
      <c r="L1240" s="48" t="s">
        <v>1613</v>
      </c>
      <c r="M1240" s="116">
        <v>43654</v>
      </c>
      <c r="N1240" s="179" t="s">
        <v>1614</v>
      </c>
      <c r="O1240" s="177">
        <v>6000</v>
      </c>
      <c r="P1240" s="30">
        <v>4</v>
      </c>
      <c r="Q1240" s="30">
        <f t="shared" si="29"/>
        <v>24000</v>
      </c>
      <c r="R1240" s="31">
        <v>202310</v>
      </c>
      <c r="S1240" s="117" t="s">
        <v>1618</v>
      </c>
      <c r="T1240" s="33"/>
      <c r="U1240" s="32"/>
      <c r="V1240" s="117"/>
      <c r="W1240" s="52"/>
      <c r="X1240" s="52"/>
      <c r="Y1240" s="36"/>
      <c r="Z1240" s="36"/>
      <c r="AA1240" s="36"/>
      <c r="AB1240" s="36"/>
      <c r="AC1240" s="36"/>
      <c r="AD1240" s="36"/>
      <c r="AE1240" s="36"/>
      <c r="AF1240" s="40" t="s">
        <v>503</v>
      </c>
      <c r="AG1240" s="42"/>
      <c r="AH1240" s="42"/>
      <c r="AI1240" s="43"/>
      <c r="AJ1240" s="43"/>
      <c r="AK1240" s="43"/>
      <c r="AL1240" s="43"/>
      <c r="AM1240" s="43"/>
      <c r="AN1240" s="42"/>
      <c r="AO1240" s="42"/>
      <c r="AP1240" s="42"/>
      <c r="AQ1240" s="43"/>
      <c r="AR1240" s="42"/>
      <c r="AS1240" s="42" t="s">
        <v>1616</v>
      </c>
    </row>
    <row r="1241" spans="1:45" ht="15" customHeight="1">
      <c r="A1241" s="22" t="s">
        <v>260</v>
      </c>
      <c r="B1241" s="21" t="s">
        <v>46</v>
      </c>
      <c r="C1241" s="22" t="s">
        <v>47</v>
      </c>
      <c r="D1241" s="22" t="s">
        <v>48</v>
      </c>
      <c r="E1241" s="175" t="s">
        <v>1594</v>
      </c>
      <c r="F1241" s="22" t="s">
        <v>1595</v>
      </c>
      <c r="G1241" s="22" t="s">
        <v>77</v>
      </c>
      <c r="H1241" s="25" t="s">
        <v>1611</v>
      </c>
      <c r="I1241" s="24" t="s">
        <v>479</v>
      </c>
      <c r="J1241" s="20" t="s">
        <v>1612</v>
      </c>
      <c r="K1241" s="26" t="s">
        <v>1619</v>
      </c>
      <c r="L1241" s="48" t="s">
        <v>1613</v>
      </c>
      <c r="M1241" s="116">
        <v>43654</v>
      </c>
      <c r="N1241" s="179" t="s">
        <v>1614</v>
      </c>
      <c r="O1241" s="177">
        <v>6000</v>
      </c>
      <c r="P1241" s="30">
        <v>6</v>
      </c>
      <c r="Q1241" s="30">
        <f t="shared" si="29"/>
        <v>36000</v>
      </c>
      <c r="R1241" s="31">
        <v>202310</v>
      </c>
      <c r="S1241" s="117" t="s">
        <v>1620</v>
      </c>
      <c r="T1241" s="33"/>
      <c r="U1241" s="32"/>
      <c r="V1241" s="117"/>
      <c r="W1241" s="52"/>
      <c r="X1241" s="52"/>
      <c r="Y1241" s="36"/>
      <c r="Z1241" s="36"/>
      <c r="AA1241" s="36"/>
      <c r="AB1241" s="36"/>
      <c r="AC1241" s="36"/>
      <c r="AD1241" s="36"/>
      <c r="AE1241" s="36"/>
      <c r="AF1241" s="40" t="s">
        <v>503</v>
      </c>
      <c r="AG1241" s="42"/>
      <c r="AH1241" s="42"/>
      <c r="AI1241" s="43"/>
      <c r="AJ1241" s="43"/>
      <c r="AK1241" s="43"/>
      <c r="AL1241" s="43"/>
      <c r="AM1241" s="43"/>
      <c r="AN1241" s="42"/>
      <c r="AO1241" s="42"/>
      <c r="AP1241" s="42"/>
      <c r="AQ1241" s="43"/>
      <c r="AR1241" s="42"/>
      <c r="AS1241" s="42" t="s">
        <v>1616</v>
      </c>
    </row>
    <row r="1242" spans="1:45" ht="15" customHeight="1">
      <c r="A1242" s="22" t="s">
        <v>260</v>
      </c>
      <c r="B1242" s="21" t="s">
        <v>46</v>
      </c>
      <c r="C1242" s="22" t="s">
        <v>47</v>
      </c>
      <c r="D1242" s="22" t="s">
        <v>48</v>
      </c>
      <c r="E1242" s="175" t="s">
        <v>1594</v>
      </c>
      <c r="F1242" s="22" t="s">
        <v>1595</v>
      </c>
      <c r="G1242" s="22" t="s">
        <v>77</v>
      </c>
      <c r="H1242" s="25" t="s">
        <v>1611</v>
      </c>
      <c r="I1242" s="24" t="s">
        <v>479</v>
      </c>
      <c r="J1242" s="20" t="s">
        <v>1612</v>
      </c>
      <c r="K1242" s="26" t="s">
        <v>1619</v>
      </c>
      <c r="L1242" s="48" t="s">
        <v>1613</v>
      </c>
      <c r="M1242" s="116">
        <v>44804</v>
      </c>
      <c r="N1242" s="179" t="s">
        <v>1614</v>
      </c>
      <c r="O1242" s="177">
        <v>6000</v>
      </c>
      <c r="P1242" s="30">
        <v>-4</v>
      </c>
      <c r="Q1242" s="30">
        <f t="shared" si="29"/>
        <v>-24000</v>
      </c>
      <c r="R1242" s="31">
        <v>202310</v>
      </c>
      <c r="S1242" s="117" t="s">
        <v>1621</v>
      </c>
      <c r="T1242" s="33"/>
      <c r="U1242" s="32"/>
      <c r="V1242" s="117"/>
      <c r="W1242" s="52"/>
      <c r="X1242" s="52"/>
      <c r="Y1242" s="36"/>
      <c r="Z1242" s="36"/>
      <c r="AA1242" s="36"/>
      <c r="AB1242" s="36"/>
      <c r="AC1242" s="36"/>
      <c r="AD1242" s="36"/>
      <c r="AE1242" s="36"/>
      <c r="AF1242" s="40" t="s">
        <v>503</v>
      </c>
      <c r="AG1242" s="42"/>
      <c r="AH1242" s="42"/>
      <c r="AI1242" s="43"/>
      <c r="AJ1242" s="43"/>
      <c r="AK1242" s="43"/>
      <c r="AL1242" s="43"/>
      <c r="AM1242" s="43"/>
      <c r="AN1242" s="42"/>
      <c r="AO1242" s="42"/>
      <c r="AP1242" s="42"/>
      <c r="AQ1242" s="43"/>
      <c r="AR1242" s="42"/>
      <c r="AS1242" s="42" t="s">
        <v>1616</v>
      </c>
    </row>
    <row r="1243" spans="1:45" ht="15" customHeight="1">
      <c r="A1243" s="22" t="s">
        <v>260</v>
      </c>
      <c r="B1243" s="21" t="s">
        <v>46</v>
      </c>
      <c r="C1243" s="22" t="s">
        <v>47</v>
      </c>
      <c r="D1243" s="22" t="s">
        <v>48</v>
      </c>
      <c r="E1243" s="175" t="s">
        <v>1594</v>
      </c>
      <c r="F1243" s="22" t="s">
        <v>1595</v>
      </c>
      <c r="G1243" s="22" t="s">
        <v>77</v>
      </c>
      <c r="H1243" s="25" t="s">
        <v>1611</v>
      </c>
      <c r="I1243" s="24" t="s">
        <v>479</v>
      </c>
      <c r="J1243" s="20" t="s">
        <v>1612</v>
      </c>
      <c r="K1243" s="26" t="s">
        <v>1619</v>
      </c>
      <c r="L1243" s="48" t="s">
        <v>1613</v>
      </c>
      <c r="M1243" s="116">
        <v>43952</v>
      </c>
      <c r="N1243" s="179" t="s">
        <v>1614</v>
      </c>
      <c r="O1243" s="177">
        <v>6000</v>
      </c>
      <c r="P1243" s="30">
        <v>2</v>
      </c>
      <c r="Q1243" s="30">
        <f t="shared" si="29"/>
        <v>12000</v>
      </c>
      <c r="R1243" s="31">
        <v>202310</v>
      </c>
      <c r="S1243" s="117" t="s">
        <v>1622</v>
      </c>
      <c r="T1243" s="33"/>
      <c r="U1243" s="32"/>
      <c r="V1243" s="117"/>
      <c r="W1243" s="52"/>
      <c r="X1243" s="52"/>
      <c r="Y1243" s="36"/>
      <c r="Z1243" s="36"/>
      <c r="AA1243" s="36"/>
      <c r="AB1243" s="36"/>
      <c r="AC1243" s="36"/>
      <c r="AD1243" s="36"/>
      <c r="AE1243" s="36"/>
      <c r="AF1243" s="40" t="s">
        <v>484</v>
      </c>
      <c r="AG1243" s="42"/>
      <c r="AH1243" s="42"/>
      <c r="AI1243" s="43"/>
      <c r="AJ1243" s="43"/>
      <c r="AK1243" s="43"/>
      <c r="AL1243" s="43"/>
      <c r="AM1243" s="43"/>
      <c r="AN1243" s="42"/>
      <c r="AO1243" s="42"/>
      <c r="AP1243" s="42"/>
      <c r="AQ1243" s="43"/>
      <c r="AR1243" s="42"/>
      <c r="AS1243" s="42" t="s">
        <v>1616</v>
      </c>
    </row>
    <row r="1244" spans="1:45" ht="15" customHeight="1">
      <c r="A1244" s="22" t="s">
        <v>260</v>
      </c>
      <c r="B1244" s="21" t="s">
        <v>46</v>
      </c>
      <c r="C1244" s="22" t="s">
        <v>47</v>
      </c>
      <c r="D1244" s="22" t="s">
        <v>48</v>
      </c>
      <c r="E1244" s="175" t="s">
        <v>1594</v>
      </c>
      <c r="F1244" s="22" t="s">
        <v>1595</v>
      </c>
      <c r="G1244" s="22" t="s">
        <v>77</v>
      </c>
      <c r="H1244" s="25" t="s">
        <v>1611</v>
      </c>
      <c r="I1244" s="24" t="s">
        <v>479</v>
      </c>
      <c r="J1244" s="20" t="s">
        <v>1612</v>
      </c>
      <c r="K1244" s="26" t="s">
        <v>1619</v>
      </c>
      <c r="L1244" s="48" t="s">
        <v>1613</v>
      </c>
      <c r="M1244" s="116">
        <v>44532</v>
      </c>
      <c r="N1244" s="179" t="s">
        <v>1614</v>
      </c>
      <c r="O1244" s="177">
        <v>6000</v>
      </c>
      <c r="P1244" s="30">
        <v>1</v>
      </c>
      <c r="Q1244" s="51">
        <f t="shared" si="29"/>
        <v>6000</v>
      </c>
      <c r="R1244" s="31">
        <v>202310</v>
      </c>
      <c r="S1244" s="117" t="s">
        <v>1623</v>
      </c>
      <c r="T1244" s="33"/>
      <c r="U1244" s="32"/>
      <c r="V1244" s="117"/>
      <c r="W1244" s="52"/>
      <c r="X1244" s="52"/>
      <c r="Y1244" s="36"/>
      <c r="Z1244" s="36"/>
      <c r="AA1244" s="36"/>
      <c r="AB1244" s="36"/>
      <c r="AC1244" s="36"/>
      <c r="AD1244" s="36"/>
      <c r="AE1244" s="36"/>
      <c r="AF1244" s="40" t="s">
        <v>484</v>
      </c>
      <c r="AG1244" s="42"/>
      <c r="AH1244" s="42"/>
      <c r="AI1244" s="43"/>
      <c r="AJ1244" s="43"/>
      <c r="AK1244" s="43"/>
      <c r="AL1244" s="43"/>
      <c r="AM1244" s="43"/>
      <c r="AN1244" s="42"/>
      <c r="AO1244" s="42"/>
      <c r="AP1244" s="42"/>
      <c r="AQ1244" s="43"/>
      <c r="AR1244" s="42"/>
      <c r="AS1244" s="42" t="s">
        <v>1616</v>
      </c>
    </row>
    <row r="1245" spans="1:45" ht="15" customHeight="1">
      <c r="A1245" s="22" t="s">
        <v>260</v>
      </c>
      <c r="B1245" s="21" t="s">
        <v>46</v>
      </c>
      <c r="C1245" s="22" t="s">
        <v>47</v>
      </c>
      <c r="D1245" s="22" t="s">
        <v>48</v>
      </c>
      <c r="E1245" s="175" t="s">
        <v>1594</v>
      </c>
      <c r="F1245" s="22" t="s">
        <v>1595</v>
      </c>
      <c r="G1245" s="22" t="s">
        <v>77</v>
      </c>
      <c r="H1245" s="25" t="s">
        <v>1611</v>
      </c>
      <c r="I1245" s="24" t="s">
        <v>479</v>
      </c>
      <c r="J1245" s="20" t="s">
        <v>1612</v>
      </c>
      <c r="K1245" s="22" t="s">
        <v>1595</v>
      </c>
      <c r="L1245" s="48" t="s">
        <v>1613</v>
      </c>
      <c r="M1245" s="116">
        <v>44620</v>
      </c>
      <c r="N1245" s="179" t="s">
        <v>1614</v>
      </c>
      <c r="O1245" s="177">
        <v>6000</v>
      </c>
      <c r="P1245" s="30">
        <v>-4</v>
      </c>
      <c r="Q1245" s="51">
        <f t="shared" si="29"/>
        <v>-24000</v>
      </c>
      <c r="R1245" s="31">
        <v>202310</v>
      </c>
      <c r="S1245" s="117" t="s">
        <v>1624</v>
      </c>
      <c r="T1245" s="33"/>
      <c r="U1245" s="32"/>
      <c r="V1245" s="117"/>
      <c r="W1245" s="52"/>
      <c r="X1245" s="52"/>
      <c r="Y1245" s="36"/>
      <c r="Z1245" s="36"/>
      <c r="AA1245" s="36"/>
      <c r="AB1245" s="36"/>
      <c r="AC1245" s="36"/>
      <c r="AD1245" s="36"/>
      <c r="AE1245" s="36"/>
      <c r="AF1245" s="40" t="s">
        <v>503</v>
      </c>
      <c r="AG1245" s="42"/>
      <c r="AH1245" s="42"/>
      <c r="AI1245" s="43"/>
      <c r="AJ1245" s="43"/>
      <c r="AK1245" s="43"/>
      <c r="AL1245" s="43"/>
      <c r="AM1245" s="43"/>
      <c r="AN1245" s="42"/>
      <c r="AO1245" s="42"/>
      <c r="AP1245" s="42"/>
      <c r="AQ1245" s="43"/>
      <c r="AR1245" s="42"/>
      <c r="AS1245" s="42" t="s">
        <v>1616</v>
      </c>
    </row>
    <row r="1246" spans="1:45" ht="15" customHeight="1">
      <c r="A1246" s="22" t="s">
        <v>260</v>
      </c>
      <c r="B1246" s="21" t="s">
        <v>46</v>
      </c>
      <c r="C1246" s="22" t="s">
        <v>47</v>
      </c>
      <c r="D1246" s="22" t="s">
        <v>48</v>
      </c>
      <c r="E1246" s="175" t="s">
        <v>1594</v>
      </c>
      <c r="F1246" s="22" t="s">
        <v>1595</v>
      </c>
      <c r="G1246" s="22" t="s">
        <v>77</v>
      </c>
      <c r="H1246" s="25" t="s">
        <v>1611</v>
      </c>
      <c r="I1246" s="24" t="s">
        <v>479</v>
      </c>
      <c r="J1246" s="20" t="s">
        <v>1612</v>
      </c>
      <c r="K1246" s="22" t="s">
        <v>1595</v>
      </c>
      <c r="L1246" s="48" t="s">
        <v>1613</v>
      </c>
      <c r="M1246" s="116">
        <v>44681</v>
      </c>
      <c r="N1246" s="179" t="s">
        <v>1614</v>
      </c>
      <c r="O1246" s="177">
        <v>6000</v>
      </c>
      <c r="P1246" s="30">
        <v>-3</v>
      </c>
      <c r="Q1246" s="51">
        <f t="shared" si="29"/>
        <v>-18000</v>
      </c>
      <c r="R1246" s="31">
        <v>202310</v>
      </c>
      <c r="S1246" s="117" t="s">
        <v>1625</v>
      </c>
      <c r="T1246" s="33"/>
      <c r="U1246" s="32"/>
      <c r="V1246" s="117"/>
      <c r="W1246" s="52"/>
      <c r="X1246" s="52"/>
      <c r="Y1246" s="36"/>
      <c r="Z1246" s="36"/>
      <c r="AA1246" s="36"/>
      <c r="AB1246" s="36"/>
      <c r="AC1246" s="36"/>
      <c r="AD1246" s="36"/>
      <c r="AE1246" s="36"/>
      <c r="AF1246" s="40" t="s">
        <v>503</v>
      </c>
      <c r="AG1246" s="42"/>
      <c r="AH1246" s="42"/>
      <c r="AI1246" s="43"/>
      <c r="AJ1246" s="43"/>
      <c r="AK1246" s="43"/>
      <c r="AL1246" s="43"/>
      <c r="AM1246" s="43"/>
      <c r="AN1246" s="42"/>
      <c r="AO1246" s="42"/>
      <c r="AP1246" s="42"/>
      <c r="AQ1246" s="43"/>
      <c r="AR1246" s="42"/>
      <c r="AS1246" s="42" t="s">
        <v>1616</v>
      </c>
    </row>
    <row r="1247" spans="1:45" ht="15" customHeight="1">
      <c r="A1247" s="22" t="s">
        <v>260</v>
      </c>
      <c r="B1247" s="21" t="s">
        <v>46</v>
      </c>
      <c r="C1247" s="22" t="s">
        <v>47</v>
      </c>
      <c r="D1247" s="22" t="s">
        <v>48</v>
      </c>
      <c r="E1247" s="175" t="s">
        <v>1594</v>
      </c>
      <c r="F1247" s="22" t="s">
        <v>1595</v>
      </c>
      <c r="G1247" s="22" t="s">
        <v>77</v>
      </c>
      <c r="H1247" s="25" t="s">
        <v>1611</v>
      </c>
      <c r="I1247" s="24" t="s">
        <v>479</v>
      </c>
      <c r="J1247" s="20" t="s">
        <v>1612</v>
      </c>
      <c r="K1247" s="22" t="s">
        <v>1595</v>
      </c>
      <c r="L1247" s="48" t="s">
        <v>1613</v>
      </c>
      <c r="M1247" s="116">
        <v>44773</v>
      </c>
      <c r="N1247" s="179" t="s">
        <v>1614</v>
      </c>
      <c r="O1247" s="177">
        <v>6000</v>
      </c>
      <c r="P1247" s="30">
        <v>-1</v>
      </c>
      <c r="Q1247" s="51">
        <f t="shared" si="29"/>
        <v>-6000</v>
      </c>
      <c r="R1247" s="31">
        <v>202310</v>
      </c>
      <c r="S1247" s="117" t="s">
        <v>1626</v>
      </c>
      <c r="T1247" s="33"/>
      <c r="U1247" s="32"/>
      <c r="V1247" s="117"/>
      <c r="W1247" s="52"/>
      <c r="X1247" s="52"/>
      <c r="Y1247" s="36"/>
      <c r="Z1247" s="36"/>
      <c r="AA1247" s="36"/>
      <c r="AB1247" s="36"/>
      <c r="AC1247" s="36"/>
      <c r="AD1247" s="36"/>
      <c r="AE1247" s="36"/>
      <c r="AF1247" s="40" t="s">
        <v>503</v>
      </c>
      <c r="AG1247" s="42"/>
      <c r="AH1247" s="42"/>
      <c r="AI1247" s="43"/>
      <c r="AJ1247" s="43"/>
      <c r="AK1247" s="43"/>
      <c r="AL1247" s="43"/>
      <c r="AM1247" s="43"/>
      <c r="AN1247" s="42"/>
      <c r="AO1247" s="42"/>
      <c r="AP1247" s="42"/>
      <c r="AQ1247" s="43"/>
      <c r="AR1247" s="42"/>
      <c r="AS1247" s="42" t="s">
        <v>1616</v>
      </c>
    </row>
    <row r="1248" spans="1:45" ht="15" customHeight="1">
      <c r="A1248" s="22" t="s">
        <v>260</v>
      </c>
      <c r="B1248" s="21" t="s">
        <v>46</v>
      </c>
      <c r="C1248" s="22" t="s">
        <v>47</v>
      </c>
      <c r="D1248" s="22" t="s">
        <v>48</v>
      </c>
      <c r="E1248" s="175" t="s">
        <v>1594</v>
      </c>
      <c r="F1248" s="22" t="s">
        <v>1595</v>
      </c>
      <c r="G1248" s="22" t="s">
        <v>165</v>
      </c>
      <c r="H1248" s="25" t="s">
        <v>1611</v>
      </c>
      <c r="I1248" s="176" t="s">
        <v>859</v>
      </c>
      <c r="J1248" s="20" t="s">
        <v>47</v>
      </c>
      <c r="K1248" s="22" t="s">
        <v>1597</v>
      </c>
      <c r="L1248" s="48"/>
      <c r="M1248" s="116">
        <v>43040</v>
      </c>
      <c r="N1248" s="176"/>
      <c r="O1248" s="180">
        <v>50</v>
      </c>
      <c r="P1248" s="30">
        <v>768</v>
      </c>
      <c r="Q1248" s="30">
        <f t="shared" si="29"/>
        <v>38400</v>
      </c>
      <c r="R1248" s="31">
        <v>202310</v>
      </c>
      <c r="S1248" s="117" t="s">
        <v>1627</v>
      </c>
      <c r="T1248" s="33"/>
      <c r="U1248" s="32"/>
      <c r="V1248" s="117"/>
      <c r="W1248" s="52"/>
      <c r="X1248" s="52"/>
      <c r="Y1248" s="36"/>
      <c r="Z1248" s="36"/>
      <c r="AA1248" s="36"/>
      <c r="AB1248" s="36"/>
      <c r="AC1248" s="36"/>
      <c r="AD1248" s="36"/>
      <c r="AE1248" s="36"/>
      <c r="AF1248" s="40" t="s">
        <v>853</v>
      </c>
      <c r="AG1248" s="42"/>
      <c r="AH1248" s="42"/>
      <c r="AI1248" s="43"/>
      <c r="AJ1248" s="43"/>
      <c r="AK1248" s="43"/>
      <c r="AL1248" s="43"/>
      <c r="AM1248" s="43"/>
      <c r="AN1248" s="42"/>
      <c r="AO1248" s="42"/>
      <c r="AP1248" s="42"/>
      <c r="AQ1248" s="43"/>
      <c r="AR1248" s="42"/>
      <c r="AS1248" s="42" t="s">
        <v>1616</v>
      </c>
    </row>
    <row r="1249" spans="1:45" ht="15" customHeight="1">
      <c r="A1249" s="22" t="s">
        <v>260</v>
      </c>
      <c r="B1249" s="21" t="s">
        <v>46</v>
      </c>
      <c r="C1249" s="22" t="s">
        <v>47</v>
      </c>
      <c r="D1249" s="22" t="s">
        <v>48</v>
      </c>
      <c r="E1249" s="175" t="s">
        <v>1594</v>
      </c>
      <c r="F1249" s="22" t="s">
        <v>1595</v>
      </c>
      <c r="G1249" s="22" t="s">
        <v>165</v>
      </c>
      <c r="H1249" s="25" t="s">
        <v>1611</v>
      </c>
      <c r="I1249" s="176" t="s">
        <v>859</v>
      </c>
      <c r="J1249" s="20" t="s">
        <v>47</v>
      </c>
      <c r="K1249" s="22" t="s">
        <v>1597</v>
      </c>
      <c r="L1249" s="48"/>
      <c r="M1249" s="116">
        <v>43040</v>
      </c>
      <c r="N1249" s="176"/>
      <c r="O1249" s="180">
        <v>50</v>
      </c>
      <c r="P1249" s="30">
        <v>512</v>
      </c>
      <c r="Q1249" s="30">
        <f t="shared" si="29"/>
        <v>25600</v>
      </c>
      <c r="R1249" s="31">
        <v>202310</v>
      </c>
      <c r="S1249" s="117" t="s">
        <v>1628</v>
      </c>
      <c r="T1249" s="33"/>
      <c r="U1249" s="32"/>
      <c r="V1249" s="117"/>
      <c r="W1249" s="52"/>
      <c r="X1249" s="52"/>
      <c r="Y1249" s="36"/>
      <c r="Z1249" s="36"/>
      <c r="AA1249" s="36"/>
      <c r="AB1249" s="36"/>
      <c r="AC1249" s="36"/>
      <c r="AD1249" s="36"/>
      <c r="AE1249" s="36"/>
      <c r="AF1249" s="40" t="s">
        <v>853</v>
      </c>
      <c r="AG1249" s="42"/>
      <c r="AH1249" s="42"/>
      <c r="AI1249" s="43"/>
      <c r="AJ1249" s="43"/>
      <c r="AK1249" s="43"/>
      <c r="AL1249" s="43"/>
      <c r="AM1249" s="43"/>
      <c r="AN1249" s="42"/>
      <c r="AO1249" s="42"/>
      <c r="AP1249" s="42"/>
      <c r="AQ1249" s="43"/>
      <c r="AR1249" s="42"/>
      <c r="AS1249" s="42" t="s">
        <v>1616</v>
      </c>
    </row>
    <row r="1250" spans="1:45" ht="15" customHeight="1">
      <c r="A1250" s="22" t="s">
        <v>260</v>
      </c>
      <c r="B1250" s="21" t="s">
        <v>46</v>
      </c>
      <c r="C1250" s="22" t="s">
        <v>47</v>
      </c>
      <c r="D1250" s="22" t="s">
        <v>48</v>
      </c>
      <c r="E1250" s="175" t="s">
        <v>1594</v>
      </c>
      <c r="F1250" s="22" t="s">
        <v>1595</v>
      </c>
      <c r="G1250" s="22" t="s">
        <v>165</v>
      </c>
      <c r="H1250" s="25" t="s">
        <v>1611</v>
      </c>
      <c r="I1250" s="176" t="s">
        <v>859</v>
      </c>
      <c r="J1250" s="20" t="s">
        <v>47</v>
      </c>
      <c r="K1250" s="22" t="s">
        <v>1597</v>
      </c>
      <c r="L1250" s="48"/>
      <c r="M1250" s="116">
        <v>43040</v>
      </c>
      <c r="N1250" s="179"/>
      <c r="O1250" s="180">
        <v>50</v>
      </c>
      <c r="P1250" s="30">
        <v>512</v>
      </c>
      <c r="Q1250" s="30">
        <f t="shared" si="29"/>
        <v>25600</v>
      </c>
      <c r="R1250" s="31">
        <v>202310</v>
      </c>
      <c r="S1250" s="117" t="s">
        <v>1628</v>
      </c>
      <c r="T1250" s="33"/>
      <c r="U1250" s="32"/>
      <c r="V1250" s="117"/>
      <c r="W1250" s="52"/>
      <c r="X1250" s="52"/>
      <c r="Y1250" s="36"/>
      <c r="Z1250" s="36"/>
      <c r="AA1250" s="36"/>
      <c r="AB1250" s="36"/>
      <c r="AC1250" s="36"/>
      <c r="AD1250" s="36"/>
      <c r="AE1250" s="36"/>
      <c r="AF1250" s="40" t="s">
        <v>853</v>
      </c>
      <c r="AG1250" s="42"/>
      <c r="AH1250" s="42"/>
      <c r="AI1250" s="43"/>
      <c r="AJ1250" s="43"/>
      <c r="AK1250" s="43"/>
      <c r="AL1250" s="43"/>
      <c r="AM1250" s="43"/>
      <c r="AN1250" s="42"/>
      <c r="AO1250" s="42"/>
      <c r="AP1250" s="42"/>
      <c r="AQ1250" s="43"/>
      <c r="AR1250" s="42"/>
      <c r="AS1250" s="42" t="s">
        <v>1616</v>
      </c>
    </row>
    <row r="1251" spans="1:45" ht="15" customHeight="1">
      <c r="A1251" s="22" t="s">
        <v>260</v>
      </c>
      <c r="B1251" s="21" t="s">
        <v>46</v>
      </c>
      <c r="C1251" s="22" t="s">
        <v>47</v>
      </c>
      <c r="D1251" s="22" t="s">
        <v>48</v>
      </c>
      <c r="E1251" s="175" t="s">
        <v>1594</v>
      </c>
      <c r="F1251" s="22" t="s">
        <v>1595</v>
      </c>
      <c r="G1251" s="22" t="s">
        <v>165</v>
      </c>
      <c r="H1251" s="25" t="s">
        <v>1611</v>
      </c>
      <c r="I1251" s="176" t="s">
        <v>859</v>
      </c>
      <c r="J1251" s="20" t="s">
        <v>47</v>
      </c>
      <c r="K1251" s="22" t="s">
        <v>1597</v>
      </c>
      <c r="L1251" s="48"/>
      <c r="M1251" s="116">
        <v>44074</v>
      </c>
      <c r="N1251" s="179"/>
      <c r="O1251" s="180">
        <v>50</v>
      </c>
      <c r="P1251" s="30">
        <f>-3*256</f>
        <v>-768</v>
      </c>
      <c r="Q1251" s="30">
        <f t="shared" si="29"/>
        <v>-38400</v>
      </c>
      <c r="R1251" s="31">
        <v>202310</v>
      </c>
      <c r="S1251" s="181" t="s">
        <v>1629</v>
      </c>
      <c r="T1251" s="33"/>
      <c r="U1251" s="32"/>
      <c r="V1251" s="181"/>
      <c r="W1251" s="52"/>
      <c r="X1251" s="52"/>
      <c r="Y1251" s="36"/>
      <c r="Z1251" s="36"/>
      <c r="AA1251" s="36"/>
      <c r="AB1251" s="36"/>
      <c r="AC1251" s="36"/>
      <c r="AD1251" s="36"/>
      <c r="AE1251" s="36"/>
      <c r="AF1251" s="40" t="s">
        <v>853</v>
      </c>
      <c r="AG1251" s="42"/>
      <c r="AH1251" s="42"/>
      <c r="AI1251" s="43"/>
      <c r="AJ1251" s="43"/>
      <c r="AK1251" s="43"/>
      <c r="AL1251" s="43"/>
      <c r="AM1251" s="43"/>
      <c r="AN1251" s="42"/>
      <c r="AO1251" s="42"/>
      <c r="AP1251" s="42"/>
      <c r="AQ1251" s="43"/>
      <c r="AR1251" s="42"/>
      <c r="AS1251" s="42" t="s">
        <v>1616</v>
      </c>
    </row>
    <row r="1252" spans="1:45" ht="15" customHeight="1">
      <c r="A1252" s="22" t="s">
        <v>260</v>
      </c>
      <c r="B1252" s="21" t="s">
        <v>46</v>
      </c>
      <c r="C1252" s="22" t="s">
        <v>47</v>
      </c>
      <c r="D1252" s="22" t="s">
        <v>48</v>
      </c>
      <c r="E1252" s="175" t="s">
        <v>1594</v>
      </c>
      <c r="F1252" s="22" t="s">
        <v>1595</v>
      </c>
      <c r="G1252" s="22" t="s">
        <v>165</v>
      </c>
      <c r="H1252" s="25" t="s">
        <v>1611</v>
      </c>
      <c r="I1252" s="176" t="s">
        <v>491</v>
      </c>
      <c r="J1252" s="20" t="s">
        <v>1612</v>
      </c>
      <c r="K1252" s="22" t="s">
        <v>1619</v>
      </c>
      <c r="L1252" s="48" t="s">
        <v>1613</v>
      </c>
      <c r="M1252" s="116">
        <v>42915</v>
      </c>
      <c r="N1252" s="179"/>
      <c r="O1252" s="180">
        <v>0</v>
      </c>
      <c r="P1252" s="30">
        <v>64</v>
      </c>
      <c r="Q1252" s="30">
        <f t="shared" si="29"/>
        <v>0</v>
      </c>
      <c r="R1252" s="31">
        <v>202310</v>
      </c>
      <c r="S1252" s="181" t="s">
        <v>1630</v>
      </c>
      <c r="T1252" s="33"/>
      <c r="U1252" s="32"/>
      <c r="V1252" s="181"/>
      <c r="W1252" s="52"/>
      <c r="X1252" s="52"/>
      <c r="Y1252" s="36"/>
      <c r="Z1252" s="36"/>
      <c r="AA1252" s="36"/>
      <c r="AB1252" s="36"/>
      <c r="AC1252" s="36"/>
      <c r="AD1252" s="36"/>
      <c r="AE1252" s="36"/>
      <c r="AF1252" s="40" t="s">
        <v>503</v>
      </c>
      <c r="AG1252" s="42"/>
      <c r="AH1252" s="42"/>
      <c r="AI1252" s="43"/>
      <c r="AJ1252" s="43"/>
      <c r="AK1252" s="43"/>
      <c r="AL1252" s="43"/>
      <c r="AM1252" s="43"/>
      <c r="AN1252" s="42"/>
      <c r="AO1252" s="42"/>
      <c r="AP1252" s="42"/>
      <c r="AQ1252" s="43"/>
      <c r="AR1252" s="42"/>
      <c r="AS1252" s="42" t="s">
        <v>1616</v>
      </c>
    </row>
    <row r="1253" spans="1:45" ht="15" customHeight="1">
      <c r="A1253" s="22" t="s">
        <v>260</v>
      </c>
      <c r="B1253" s="21" t="s">
        <v>46</v>
      </c>
      <c r="C1253" s="22" t="s">
        <v>47</v>
      </c>
      <c r="D1253" s="22" t="s">
        <v>48</v>
      </c>
      <c r="E1253" s="175" t="s">
        <v>1594</v>
      </c>
      <c r="F1253" s="22" t="s">
        <v>1595</v>
      </c>
      <c r="G1253" s="22" t="s">
        <v>165</v>
      </c>
      <c r="H1253" s="25" t="s">
        <v>1611</v>
      </c>
      <c r="I1253" s="176" t="s">
        <v>491</v>
      </c>
      <c r="J1253" s="20" t="s">
        <v>1612</v>
      </c>
      <c r="K1253" s="22" t="s">
        <v>1619</v>
      </c>
      <c r="L1253" s="48" t="s">
        <v>1613</v>
      </c>
      <c r="M1253" s="116">
        <v>42915</v>
      </c>
      <c r="N1253" s="179"/>
      <c r="O1253" s="180">
        <v>50</v>
      </c>
      <c r="P1253" s="182">
        <v>128</v>
      </c>
      <c r="Q1253" s="30">
        <f t="shared" si="29"/>
        <v>6400</v>
      </c>
      <c r="R1253" s="31">
        <v>202310</v>
      </c>
      <c r="S1253" s="181" t="s">
        <v>1630</v>
      </c>
      <c r="T1253" s="33"/>
      <c r="U1253" s="32"/>
      <c r="V1253" s="181"/>
      <c r="W1253" s="52"/>
      <c r="X1253" s="52"/>
      <c r="Y1253" s="36"/>
      <c r="Z1253" s="36"/>
      <c r="AA1253" s="36"/>
      <c r="AB1253" s="36"/>
      <c r="AC1253" s="36"/>
      <c r="AD1253" s="36"/>
      <c r="AE1253" s="36"/>
      <c r="AF1253" s="53" t="s">
        <v>68</v>
      </c>
      <c r="AG1253" s="42"/>
      <c r="AH1253" s="42"/>
      <c r="AI1253" s="43"/>
      <c r="AJ1253" s="43"/>
      <c r="AK1253" s="43"/>
      <c r="AL1253" s="43"/>
      <c r="AM1253" s="43"/>
      <c r="AN1253" s="42"/>
      <c r="AO1253" s="42"/>
      <c r="AP1253" s="42"/>
      <c r="AQ1253" s="43"/>
      <c r="AR1253" s="42"/>
      <c r="AS1253" s="42" t="s">
        <v>1616</v>
      </c>
    </row>
    <row r="1254" spans="1:45" ht="15" customHeight="1">
      <c r="A1254" s="22" t="s">
        <v>260</v>
      </c>
      <c r="B1254" s="21" t="s">
        <v>46</v>
      </c>
      <c r="C1254" s="22" t="s">
        <v>47</v>
      </c>
      <c r="D1254" s="22" t="s">
        <v>48</v>
      </c>
      <c r="E1254" s="175" t="s">
        <v>1594</v>
      </c>
      <c r="F1254" s="22" t="s">
        <v>1595</v>
      </c>
      <c r="G1254" s="22" t="s">
        <v>165</v>
      </c>
      <c r="H1254" s="25" t="s">
        <v>1611</v>
      </c>
      <c r="I1254" s="176" t="s">
        <v>491</v>
      </c>
      <c r="J1254" s="20" t="s">
        <v>1612</v>
      </c>
      <c r="K1254" s="22" t="s">
        <v>1619</v>
      </c>
      <c r="L1254" s="48" t="s">
        <v>1613</v>
      </c>
      <c r="M1254" s="116">
        <v>42915</v>
      </c>
      <c r="N1254" s="179"/>
      <c r="O1254" s="180">
        <v>50</v>
      </c>
      <c r="P1254" s="30">
        <v>96</v>
      </c>
      <c r="Q1254" s="30">
        <f t="shared" ref="Q1254:Q1324" si="30">ROUND(O1254*P1254,2)</f>
        <v>4800</v>
      </c>
      <c r="R1254" s="31">
        <v>202310</v>
      </c>
      <c r="S1254" s="181" t="s">
        <v>1631</v>
      </c>
      <c r="T1254" s="33"/>
      <c r="U1254" s="32"/>
      <c r="V1254" s="181"/>
      <c r="W1254" s="52"/>
      <c r="X1254" s="52"/>
      <c r="Y1254" s="36"/>
      <c r="Z1254" s="36"/>
      <c r="AA1254" s="36"/>
      <c r="AB1254" s="36"/>
      <c r="AC1254" s="36"/>
      <c r="AD1254" s="36"/>
      <c r="AE1254" s="36"/>
      <c r="AF1254" s="40" t="s">
        <v>503</v>
      </c>
      <c r="AG1254" s="42"/>
      <c r="AH1254" s="42"/>
      <c r="AI1254" s="43"/>
      <c r="AJ1254" s="43"/>
      <c r="AK1254" s="43"/>
      <c r="AL1254" s="43"/>
      <c r="AM1254" s="43"/>
      <c r="AN1254" s="42"/>
      <c r="AO1254" s="42"/>
      <c r="AP1254" s="42"/>
      <c r="AQ1254" s="43"/>
      <c r="AR1254" s="42"/>
      <c r="AS1254" s="42" t="s">
        <v>1616</v>
      </c>
    </row>
    <row r="1255" spans="1:45" ht="15" customHeight="1">
      <c r="A1255" s="22" t="s">
        <v>260</v>
      </c>
      <c r="B1255" s="21" t="s">
        <v>46</v>
      </c>
      <c r="C1255" s="22" t="s">
        <v>47</v>
      </c>
      <c r="D1255" s="22" t="s">
        <v>48</v>
      </c>
      <c r="E1255" s="175" t="s">
        <v>1594</v>
      </c>
      <c r="F1255" s="22" t="s">
        <v>1595</v>
      </c>
      <c r="G1255" s="22" t="s">
        <v>165</v>
      </c>
      <c r="H1255" s="25" t="s">
        <v>1611</v>
      </c>
      <c r="I1255" s="176" t="s">
        <v>491</v>
      </c>
      <c r="J1255" s="20" t="s">
        <v>1612</v>
      </c>
      <c r="K1255" s="22" t="s">
        <v>1595</v>
      </c>
      <c r="L1255" s="48" t="s">
        <v>1613</v>
      </c>
      <c r="M1255" s="116">
        <v>42915</v>
      </c>
      <c r="N1255" s="179"/>
      <c r="O1255" s="180">
        <v>50</v>
      </c>
      <c r="P1255" s="30">
        <v>544</v>
      </c>
      <c r="Q1255" s="30">
        <f t="shared" si="30"/>
        <v>27200</v>
      </c>
      <c r="R1255" s="31">
        <v>202310</v>
      </c>
      <c r="S1255" s="181" t="s">
        <v>1632</v>
      </c>
      <c r="T1255" s="33"/>
      <c r="U1255" s="32"/>
      <c r="V1255" s="181"/>
      <c r="W1255" s="52"/>
      <c r="X1255" s="52"/>
      <c r="Y1255" s="36"/>
      <c r="Z1255" s="36"/>
      <c r="AA1255" s="36"/>
      <c r="AB1255" s="36"/>
      <c r="AC1255" s="36"/>
      <c r="AD1255" s="36"/>
      <c r="AE1255" s="36"/>
      <c r="AF1255" s="40" t="s">
        <v>503</v>
      </c>
      <c r="AG1255" s="42"/>
      <c r="AH1255" s="42"/>
      <c r="AI1255" s="43"/>
      <c r="AJ1255" s="43"/>
      <c r="AK1255" s="43"/>
      <c r="AL1255" s="43"/>
      <c r="AM1255" s="43"/>
      <c r="AN1255" s="42"/>
      <c r="AO1255" s="42"/>
      <c r="AP1255" s="42"/>
      <c r="AQ1255" s="43"/>
      <c r="AR1255" s="42"/>
      <c r="AS1255" s="42" t="s">
        <v>1616</v>
      </c>
    </row>
    <row r="1256" spans="1:45" ht="15" customHeight="1">
      <c r="A1256" s="22" t="s">
        <v>260</v>
      </c>
      <c r="B1256" s="21" t="s">
        <v>46</v>
      </c>
      <c r="C1256" s="22" t="s">
        <v>47</v>
      </c>
      <c r="D1256" s="22" t="s">
        <v>48</v>
      </c>
      <c r="E1256" s="175" t="s">
        <v>1594</v>
      </c>
      <c r="F1256" s="22" t="s">
        <v>1595</v>
      </c>
      <c r="G1256" s="22" t="s">
        <v>165</v>
      </c>
      <c r="H1256" s="25" t="s">
        <v>1611</v>
      </c>
      <c r="I1256" s="176" t="s">
        <v>491</v>
      </c>
      <c r="J1256" s="20" t="s">
        <v>1612</v>
      </c>
      <c r="K1256" s="22" t="s">
        <v>1595</v>
      </c>
      <c r="L1256" s="48" t="s">
        <v>1613</v>
      </c>
      <c r="M1256" s="116">
        <v>44773</v>
      </c>
      <c r="N1256" s="179"/>
      <c r="O1256" s="180">
        <v>50</v>
      </c>
      <c r="P1256" s="30">
        <v>-544</v>
      </c>
      <c r="Q1256" s="30">
        <f t="shared" si="30"/>
        <v>-27200</v>
      </c>
      <c r="R1256" s="31">
        <v>202310</v>
      </c>
      <c r="S1256" s="181" t="s">
        <v>1633</v>
      </c>
      <c r="T1256" s="33"/>
      <c r="U1256" s="32"/>
      <c r="V1256" s="181"/>
      <c r="W1256" s="52"/>
      <c r="X1256" s="52"/>
      <c r="Y1256" s="36"/>
      <c r="Z1256" s="36"/>
      <c r="AA1256" s="36"/>
      <c r="AB1256" s="36"/>
      <c r="AC1256" s="36"/>
      <c r="AD1256" s="36"/>
      <c r="AE1256" s="36"/>
      <c r="AF1256" s="40" t="s">
        <v>503</v>
      </c>
      <c r="AG1256" s="42"/>
      <c r="AH1256" s="42"/>
      <c r="AI1256" s="43"/>
      <c r="AJ1256" s="43"/>
      <c r="AK1256" s="43"/>
      <c r="AL1256" s="43"/>
      <c r="AM1256" s="43"/>
      <c r="AN1256" s="42"/>
      <c r="AO1256" s="42"/>
      <c r="AP1256" s="42"/>
      <c r="AQ1256" s="43"/>
      <c r="AR1256" s="42"/>
      <c r="AS1256" s="42" t="s">
        <v>1616</v>
      </c>
    </row>
    <row r="1257" spans="1:45" ht="15" customHeight="1">
      <c r="A1257" s="22" t="s">
        <v>260</v>
      </c>
      <c r="B1257" s="21" t="s">
        <v>46</v>
      </c>
      <c r="C1257" s="22" t="s">
        <v>47</v>
      </c>
      <c r="D1257" s="22" t="s">
        <v>48</v>
      </c>
      <c r="E1257" s="175" t="s">
        <v>1594</v>
      </c>
      <c r="F1257" s="22" t="s">
        <v>1595</v>
      </c>
      <c r="G1257" s="22" t="s">
        <v>165</v>
      </c>
      <c r="H1257" s="25" t="s">
        <v>1611</v>
      </c>
      <c r="I1257" s="176" t="s">
        <v>491</v>
      </c>
      <c r="J1257" s="20" t="s">
        <v>1612</v>
      </c>
      <c r="K1257" s="22" t="s">
        <v>1619</v>
      </c>
      <c r="L1257" s="48" t="s">
        <v>1613</v>
      </c>
      <c r="M1257" s="116">
        <v>43952</v>
      </c>
      <c r="N1257" s="179"/>
      <c r="O1257" s="180">
        <v>50</v>
      </c>
      <c r="P1257" s="30">
        <v>128</v>
      </c>
      <c r="Q1257" s="30">
        <f t="shared" si="30"/>
        <v>6400</v>
      </c>
      <c r="R1257" s="31">
        <v>202310</v>
      </c>
      <c r="S1257" s="181" t="s">
        <v>1634</v>
      </c>
      <c r="T1257" s="33"/>
      <c r="U1257" s="32"/>
      <c r="V1257" s="181"/>
      <c r="W1257" s="52"/>
      <c r="X1257" s="52"/>
      <c r="Y1257" s="36"/>
      <c r="Z1257" s="36"/>
      <c r="AA1257" s="36"/>
      <c r="AB1257" s="36"/>
      <c r="AC1257" s="36"/>
      <c r="AD1257" s="36"/>
      <c r="AE1257" s="36"/>
      <c r="AF1257" s="40" t="s">
        <v>484</v>
      </c>
      <c r="AG1257" s="42"/>
      <c r="AH1257" s="42"/>
      <c r="AI1257" s="43"/>
      <c r="AJ1257" s="43"/>
      <c r="AK1257" s="43"/>
      <c r="AL1257" s="43"/>
      <c r="AM1257" s="43"/>
      <c r="AN1257" s="42"/>
      <c r="AO1257" s="42"/>
      <c r="AP1257" s="42"/>
      <c r="AQ1257" s="43"/>
      <c r="AR1257" s="42"/>
      <c r="AS1257" s="42" t="s">
        <v>1616</v>
      </c>
    </row>
    <row r="1258" spans="1:45" ht="15" customHeight="1">
      <c r="A1258" s="22" t="s">
        <v>260</v>
      </c>
      <c r="B1258" s="21" t="s">
        <v>46</v>
      </c>
      <c r="C1258" s="22" t="s">
        <v>47</v>
      </c>
      <c r="D1258" s="22" t="s">
        <v>48</v>
      </c>
      <c r="E1258" s="175" t="s">
        <v>1594</v>
      </c>
      <c r="F1258" s="22" t="s">
        <v>1595</v>
      </c>
      <c r="G1258" s="22" t="s">
        <v>165</v>
      </c>
      <c r="H1258" s="25" t="s">
        <v>1611</v>
      </c>
      <c r="I1258" s="24" t="s">
        <v>491</v>
      </c>
      <c r="J1258" s="20" t="s">
        <v>1612</v>
      </c>
      <c r="K1258" s="26" t="s">
        <v>1619</v>
      </c>
      <c r="L1258" s="48" t="s">
        <v>1613</v>
      </c>
      <c r="M1258" s="116">
        <v>44804</v>
      </c>
      <c r="N1258" s="179"/>
      <c r="O1258" s="177">
        <v>50</v>
      </c>
      <c r="P1258" s="30">
        <v>-128</v>
      </c>
      <c r="Q1258" s="30">
        <f t="shared" si="30"/>
        <v>-6400</v>
      </c>
      <c r="R1258" s="31">
        <v>202310</v>
      </c>
      <c r="S1258" s="117" t="s">
        <v>1635</v>
      </c>
      <c r="T1258" s="33"/>
      <c r="U1258" s="32"/>
      <c r="V1258" s="117"/>
      <c r="W1258" s="52"/>
      <c r="X1258" s="52"/>
      <c r="Y1258" s="36"/>
      <c r="Z1258" s="36"/>
      <c r="AA1258" s="36"/>
      <c r="AB1258" s="36"/>
      <c r="AC1258" s="36"/>
      <c r="AD1258" s="36"/>
      <c r="AE1258" s="36"/>
      <c r="AF1258" s="40" t="s">
        <v>503</v>
      </c>
      <c r="AG1258" s="42"/>
      <c r="AH1258" s="42"/>
      <c r="AI1258" s="43"/>
      <c r="AJ1258" s="43"/>
      <c r="AK1258" s="43"/>
      <c r="AL1258" s="43"/>
      <c r="AM1258" s="43"/>
      <c r="AN1258" s="42"/>
      <c r="AO1258" s="42"/>
      <c r="AP1258" s="42"/>
      <c r="AQ1258" s="43"/>
      <c r="AR1258" s="42"/>
      <c r="AS1258" s="42" t="s">
        <v>1616</v>
      </c>
    </row>
    <row r="1259" spans="1:45" ht="15" customHeight="1">
      <c r="A1259" s="21" t="s">
        <v>260</v>
      </c>
      <c r="B1259" s="21" t="s">
        <v>46</v>
      </c>
      <c r="C1259" s="21" t="s">
        <v>188</v>
      </c>
      <c r="D1259" s="21" t="s">
        <v>48</v>
      </c>
      <c r="E1259" s="80" t="s">
        <v>1636</v>
      </c>
      <c r="F1259" s="21" t="s">
        <v>920</v>
      </c>
      <c r="G1259" s="101" t="s">
        <v>77</v>
      </c>
      <c r="H1259" s="25" t="s">
        <v>1637</v>
      </c>
      <c r="I1259" s="102" t="s">
        <v>78</v>
      </c>
      <c r="J1259" s="65" t="s">
        <v>1638</v>
      </c>
      <c r="K1259" s="104"/>
      <c r="L1259" s="48" t="s">
        <v>923</v>
      </c>
      <c r="M1259" s="156">
        <v>43343</v>
      </c>
      <c r="N1259" s="116" t="s">
        <v>182</v>
      </c>
      <c r="O1259" s="68">
        <v>8186</v>
      </c>
      <c r="P1259" s="68">
        <v>1</v>
      </c>
      <c r="Q1259" s="51">
        <f t="shared" si="30"/>
        <v>8186</v>
      </c>
      <c r="R1259" s="31">
        <v>202310</v>
      </c>
      <c r="S1259" s="183" t="s">
        <v>1639</v>
      </c>
      <c r="T1259" s="33"/>
      <c r="U1259" s="109"/>
      <c r="V1259" s="184"/>
      <c r="W1259" s="67"/>
      <c r="X1259" s="67"/>
      <c r="Y1259" s="36"/>
      <c r="Z1259" s="36"/>
      <c r="AA1259" s="36"/>
      <c r="AB1259" s="36"/>
      <c r="AC1259" s="36"/>
      <c r="AD1259" s="36"/>
      <c r="AE1259" s="36"/>
      <c r="AF1259" s="53" t="s">
        <v>68</v>
      </c>
      <c r="AG1259" s="42"/>
      <c r="AH1259" s="42"/>
      <c r="AI1259" s="43"/>
      <c r="AJ1259" s="43"/>
      <c r="AK1259" s="43"/>
      <c r="AL1259" s="43"/>
      <c r="AM1259" s="43"/>
      <c r="AN1259" s="42"/>
      <c r="AO1259" s="42"/>
      <c r="AP1259" s="42"/>
      <c r="AQ1259" s="43"/>
      <c r="AR1259" s="42"/>
      <c r="AS1259" s="42"/>
    </row>
    <row r="1260" spans="1:45" ht="15" customHeight="1">
      <c r="A1260" s="21" t="s">
        <v>260</v>
      </c>
      <c r="B1260" s="21" t="s">
        <v>46</v>
      </c>
      <c r="C1260" s="21" t="s">
        <v>188</v>
      </c>
      <c r="D1260" s="21" t="s">
        <v>48</v>
      </c>
      <c r="E1260" s="80" t="s">
        <v>1636</v>
      </c>
      <c r="F1260" s="21" t="s">
        <v>920</v>
      </c>
      <c r="G1260" s="101" t="s">
        <v>77</v>
      </c>
      <c r="H1260" s="25" t="s">
        <v>1637</v>
      </c>
      <c r="I1260" s="102" t="s">
        <v>78</v>
      </c>
      <c r="J1260" s="65" t="s">
        <v>1638</v>
      </c>
      <c r="K1260" s="104"/>
      <c r="L1260" s="48" t="s">
        <v>923</v>
      </c>
      <c r="M1260" s="156">
        <v>43346</v>
      </c>
      <c r="N1260" s="116" t="s">
        <v>388</v>
      </c>
      <c r="O1260" s="68">
        <v>10989</v>
      </c>
      <c r="P1260" s="68">
        <v>8</v>
      </c>
      <c r="Q1260" s="51">
        <f t="shared" si="30"/>
        <v>87912</v>
      </c>
      <c r="R1260" s="31">
        <v>202310</v>
      </c>
      <c r="S1260" s="183" t="s">
        <v>1640</v>
      </c>
      <c r="T1260" s="33"/>
      <c r="U1260" s="183"/>
      <c r="V1260" s="184"/>
      <c r="W1260" s="67"/>
      <c r="X1260" s="67"/>
      <c r="Y1260" s="36"/>
      <c r="Z1260" s="36"/>
      <c r="AA1260" s="36"/>
      <c r="AB1260" s="36"/>
      <c r="AC1260" s="36"/>
      <c r="AD1260" s="36"/>
      <c r="AE1260" s="36"/>
      <c r="AF1260" s="53" t="s">
        <v>68</v>
      </c>
      <c r="AG1260" s="42"/>
      <c r="AH1260" s="42"/>
      <c r="AI1260" s="43"/>
      <c r="AJ1260" s="43"/>
      <c r="AK1260" s="43"/>
      <c r="AL1260" s="43"/>
      <c r="AM1260" s="43"/>
      <c r="AN1260" s="42"/>
      <c r="AO1260" s="42"/>
      <c r="AP1260" s="42"/>
      <c r="AQ1260" s="43"/>
      <c r="AR1260" s="42"/>
      <c r="AS1260" s="42"/>
    </row>
    <row r="1261" spans="1:45" ht="15" customHeight="1">
      <c r="A1261" s="21" t="s">
        <v>260</v>
      </c>
      <c r="B1261" s="21" t="s">
        <v>46</v>
      </c>
      <c r="C1261" s="21" t="s">
        <v>188</v>
      </c>
      <c r="D1261" s="21" t="s">
        <v>48</v>
      </c>
      <c r="E1261" s="80" t="s">
        <v>1636</v>
      </c>
      <c r="F1261" s="21" t="s">
        <v>920</v>
      </c>
      <c r="G1261" s="101" t="s">
        <v>77</v>
      </c>
      <c r="H1261" s="25" t="s">
        <v>1637</v>
      </c>
      <c r="I1261" s="102" t="s">
        <v>78</v>
      </c>
      <c r="J1261" s="65" t="s">
        <v>1638</v>
      </c>
      <c r="K1261" s="104"/>
      <c r="L1261" s="48" t="s">
        <v>923</v>
      </c>
      <c r="M1261" s="156">
        <v>43346</v>
      </c>
      <c r="N1261" s="116" t="s">
        <v>177</v>
      </c>
      <c r="O1261" s="68">
        <v>5900</v>
      </c>
      <c r="P1261" s="68">
        <v>8</v>
      </c>
      <c r="Q1261" s="51">
        <f t="shared" si="30"/>
        <v>47200</v>
      </c>
      <c r="R1261" s="31">
        <v>202310</v>
      </c>
      <c r="S1261" s="183" t="s">
        <v>1641</v>
      </c>
      <c r="T1261" s="33"/>
      <c r="U1261" s="183"/>
      <c r="V1261" s="184"/>
      <c r="W1261" s="67"/>
      <c r="X1261" s="67"/>
      <c r="Y1261" s="36"/>
      <c r="Z1261" s="36"/>
      <c r="AA1261" s="36"/>
      <c r="AB1261" s="36"/>
      <c r="AC1261" s="36"/>
      <c r="AD1261" s="36"/>
      <c r="AE1261" s="36"/>
      <c r="AF1261" s="53" t="s">
        <v>68</v>
      </c>
      <c r="AG1261" s="42"/>
      <c r="AH1261" s="42"/>
      <c r="AI1261" s="43"/>
      <c r="AJ1261" s="43"/>
      <c r="AK1261" s="43"/>
      <c r="AL1261" s="43"/>
      <c r="AM1261" s="43"/>
      <c r="AN1261" s="42"/>
      <c r="AO1261" s="42"/>
      <c r="AP1261" s="42"/>
      <c r="AQ1261" s="43"/>
      <c r="AR1261" s="42"/>
      <c r="AS1261" s="42"/>
    </row>
    <row r="1262" spans="1:45" ht="15" customHeight="1">
      <c r="A1262" s="21" t="s">
        <v>260</v>
      </c>
      <c r="B1262" s="21" t="s">
        <v>46</v>
      </c>
      <c r="C1262" s="21" t="s">
        <v>188</v>
      </c>
      <c r="D1262" s="21" t="s">
        <v>48</v>
      </c>
      <c r="E1262" s="80" t="s">
        <v>1636</v>
      </c>
      <c r="F1262" s="21" t="s">
        <v>920</v>
      </c>
      <c r="G1262" s="101" t="s">
        <v>77</v>
      </c>
      <c r="H1262" s="25" t="s">
        <v>1637</v>
      </c>
      <c r="I1262" s="102" t="s">
        <v>78</v>
      </c>
      <c r="J1262" s="65" t="s">
        <v>1638</v>
      </c>
      <c r="K1262" s="104"/>
      <c r="L1262" s="48" t="s">
        <v>923</v>
      </c>
      <c r="M1262" s="156">
        <v>43348</v>
      </c>
      <c r="N1262" s="116" t="s">
        <v>182</v>
      </c>
      <c r="O1262" s="68">
        <v>8186</v>
      </c>
      <c r="P1262" s="68">
        <v>11</v>
      </c>
      <c r="Q1262" s="51">
        <f t="shared" si="30"/>
        <v>90046</v>
      </c>
      <c r="R1262" s="31">
        <v>202310</v>
      </c>
      <c r="S1262" s="183" t="s">
        <v>1642</v>
      </c>
      <c r="T1262" s="33"/>
      <c r="U1262" s="109"/>
      <c r="V1262" s="184"/>
      <c r="W1262" s="67"/>
      <c r="X1262" s="67"/>
      <c r="Y1262" s="36"/>
      <c r="Z1262" s="36"/>
      <c r="AA1262" s="36"/>
      <c r="AB1262" s="36"/>
      <c r="AC1262" s="36"/>
      <c r="AD1262" s="36"/>
      <c r="AE1262" s="36"/>
      <c r="AF1262" s="53" t="s">
        <v>68</v>
      </c>
      <c r="AG1262" s="42"/>
      <c r="AH1262" s="42"/>
      <c r="AI1262" s="43"/>
      <c r="AJ1262" s="43"/>
      <c r="AK1262" s="43"/>
      <c r="AL1262" s="43"/>
      <c r="AM1262" s="43"/>
      <c r="AN1262" s="42"/>
      <c r="AO1262" s="42"/>
      <c r="AP1262" s="42"/>
      <c r="AQ1262" s="43"/>
      <c r="AR1262" s="42"/>
      <c r="AS1262" s="42"/>
    </row>
    <row r="1263" spans="1:45" ht="15" customHeight="1">
      <c r="A1263" s="21" t="s">
        <v>260</v>
      </c>
      <c r="B1263" s="21" t="s">
        <v>46</v>
      </c>
      <c r="C1263" s="21" t="s">
        <v>188</v>
      </c>
      <c r="D1263" s="21" t="s">
        <v>48</v>
      </c>
      <c r="E1263" s="80" t="s">
        <v>1636</v>
      </c>
      <c r="F1263" s="21" t="s">
        <v>920</v>
      </c>
      <c r="G1263" s="101" t="s">
        <v>77</v>
      </c>
      <c r="H1263" s="25" t="s">
        <v>1637</v>
      </c>
      <c r="I1263" s="102" t="s">
        <v>78</v>
      </c>
      <c r="J1263" s="65" t="s">
        <v>1638</v>
      </c>
      <c r="K1263" s="104"/>
      <c r="L1263" s="48" t="s">
        <v>923</v>
      </c>
      <c r="M1263" s="156">
        <v>43349</v>
      </c>
      <c r="N1263" s="116" t="s">
        <v>182</v>
      </c>
      <c r="O1263" s="68">
        <v>8186</v>
      </c>
      <c r="P1263" s="68">
        <v>1</v>
      </c>
      <c r="Q1263" s="51">
        <f t="shared" si="30"/>
        <v>8186</v>
      </c>
      <c r="R1263" s="31">
        <v>202310</v>
      </c>
      <c r="S1263" s="183" t="s">
        <v>1643</v>
      </c>
      <c r="T1263" s="33"/>
      <c r="U1263" s="109"/>
      <c r="V1263" s="184"/>
      <c r="W1263" s="67"/>
      <c r="X1263" s="67"/>
      <c r="Y1263" s="36"/>
      <c r="Z1263" s="36"/>
      <c r="AA1263" s="36"/>
      <c r="AB1263" s="36"/>
      <c r="AC1263" s="36"/>
      <c r="AD1263" s="36"/>
      <c r="AE1263" s="36"/>
      <c r="AF1263" s="53" t="s">
        <v>68</v>
      </c>
      <c r="AG1263" s="42"/>
      <c r="AH1263" s="42"/>
      <c r="AI1263" s="43"/>
      <c r="AJ1263" s="43"/>
      <c r="AK1263" s="43"/>
      <c r="AL1263" s="43"/>
      <c r="AM1263" s="43"/>
      <c r="AN1263" s="42"/>
      <c r="AO1263" s="42"/>
      <c r="AP1263" s="42"/>
      <c r="AQ1263" s="43"/>
      <c r="AR1263" s="42"/>
      <c r="AS1263" s="42"/>
    </row>
    <row r="1264" spans="1:45" ht="15" customHeight="1">
      <c r="A1264" s="21" t="s">
        <v>260</v>
      </c>
      <c r="B1264" s="21" t="s">
        <v>46</v>
      </c>
      <c r="C1264" s="21" t="s">
        <v>188</v>
      </c>
      <c r="D1264" s="21" t="s">
        <v>48</v>
      </c>
      <c r="E1264" s="80" t="s">
        <v>1636</v>
      </c>
      <c r="F1264" s="21" t="s">
        <v>920</v>
      </c>
      <c r="G1264" s="101" t="s">
        <v>77</v>
      </c>
      <c r="H1264" s="25" t="s">
        <v>1637</v>
      </c>
      <c r="I1264" s="102" t="s">
        <v>78</v>
      </c>
      <c r="J1264" s="65" t="s">
        <v>1638</v>
      </c>
      <c r="K1264" s="104"/>
      <c r="L1264" s="48" t="s">
        <v>923</v>
      </c>
      <c r="M1264" s="156">
        <v>43349</v>
      </c>
      <c r="N1264" s="116" t="s">
        <v>177</v>
      </c>
      <c r="O1264" s="68">
        <v>5900</v>
      </c>
      <c r="P1264" s="68">
        <v>12</v>
      </c>
      <c r="Q1264" s="51">
        <f t="shared" si="30"/>
        <v>70800</v>
      </c>
      <c r="R1264" s="31">
        <v>202310</v>
      </c>
      <c r="S1264" s="183" t="s">
        <v>1644</v>
      </c>
      <c r="T1264" s="33"/>
      <c r="U1264" s="183"/>
      <c r="V1264" s="184"/>
      <c r="W1264" s="67"/>
      <c r="X1264" s="67"/>
      <c r="Y1264" s="36"/>
      <c r="Z1264" s="36"/>
      <c r="AA1264" s="36"/>
      <c r="AB1264" s="36"/>
      <c r="AC1264" s="36"/>
      <c r="AD1264" s="36"/>
      <c r="AE1264" s="36"/>
      <c r="AF1264" s="53" t="s">
        <v>68</v>
      </c>
      <c r="AG1264" s="42"/>
      <c r="AH1264" s="42"/>
      <c r="AI1264" s="43"/>
      <c r="AJ1264" s="43"/>
      <c r="AK1264" s="43"/>
      <c r="AL1264" s="43"/>
      <c r="AM1264" s="43"/>
      <c r="AN1264" s="42"/>
      <c r="AO1264" s="42"/>
      <c r="AP1264" s="42"/>
      <c r="AQ1264" s="43"/>
      <c r="AR1264" s="42"/>
      <c r="AS1264" s="42"/>
    </row>
    <row r="1265" spans="1:45" ht="15" customHeight="1">
      <c r="A1265" s="21" t="s">
        <v>260</v>
      </c>
      <c r="B1265" s="21" t="s">
        <v>46</v>
      </c>
      <c r="C1265" s="21" t="s">
        <v>188</v>
      </c>
      <c r="D1265" s="21" t="s">
        <v>48</v>
      </c>
      <c r="E1265" s="80" t="s">
        <v>1636</v>
      </c>
      <c r="F1265" s="21" t="s">
        <v>920</v>
      </c>
      <c r="G1265" s="101" t="s">
        <v>77</v>
      </c>
      <c r="H1265" s="25" t="s">
        <v>1637</v>
      </c>
      <c r="I1265" s="102" t="s">
        <v>78</v>
      </c>
      <c r="J1265" s="65" t="s">
        <v>1638</v>
      </c>
      <c r="K1265" s="104"/>
      <c r="L1265" s="48" t="s">
        <v>923</v>
      </c>
      <c r="M1265" s="156">
        <v>43349</v>
      </c>
      <c r="N1265" s="116" t="s">
        <v>182</v>
      </c>
      <c r="O1265" s="68">
        <v>8186</v>
      </c>
      <c r="P1265" s="68">
        <v>57</v>
      </c>
      <c r="Q1265" s="51">
        <f t="shared" si="30"/>
        <v>466602</v>
      </c>
      <c r="R1265" s="31">
        <v>202310</v>
      </c>
      <c r="S1265" s="183" t="s">
        <v>1645</v>
      </c>
      <c r="T1265" s="33"/>
      <c r="U1265" s="109"/>
      <c r="V1265" s="184"/>
      <c r="W1265" s="67"/>
      <c r="X1265" s="67"/>
      <c r="Y1265" s="36"/>
      <c r="Z1265" s="36"/>
      <c r="AA1265" s="36"/>
      <c r="AB1265" s="36"/>
      <c r="AC1265" s="36"/>
      <c r="AD1265" s="36"/>
      <c r="AE1265" s="36"/>
      <c r="AF1265" s="53" t="s">
        <v>68</v>
      </c>
      <c r="AG1265" s="42"/>
      <c r="AH1265" s="42"/>
      <c r="AI1265" s="43"/>
      <c r="AJ1265" s="43"/>
      <c r="AK1265" s="43"/>
      <c r="AL1265" s="43"/>
      <c r="AM1265" s="43"/>
      <c r="AN1265" s="42"/>
      <c r="AO1265" s="42"/>
      <c r="AP1265" s="42"/>
      <c r="AQ1265" s="43"/>
      <c r="AR1265" s="42"/>
      <c r="AS1265" s="42"/>
    </row>
    <row r="1266" spans="1:45" ht="15" customHeight="1">
      <c r="A1266" s="21" t="s">
        <v>260</v>
      </c>
      <c r="B1266" s="21" t="s">
        <v>46</v>
      </c>
      <c r="C1266" s="21" t="s">
        <v>188</v>
      </c>
      <c r="D1266" s="21" t="s">
        <v>48</v>
      </c>
      <c r="E1266" s="80" t="s">
        <v>1636</v>
      </c>
      <c r="F1266" s="21" t="s">
        <v>920</v>
      </c>
      <c r="G1266" s="101" t="s">
        <v>77</v>
      </c>
      <c r="H1266" s="25" t="s">
        <v>1637</v>
      </c>
      <c r="I1266" s="102" t="s">
        <v>78</v>
      </c>
      <c r="J1266" s="65" t="s">
        <v>1638</v>
      </c>
      <c r="K1266" s="104"/>
      <c r="L1266" s="48" t="s">
        <v>923</v>
      </c>
      <c r="M1266" s="156">
        <v>43354</v>
      </c>
      <c r="N1266" s="116" t="s">
        <v>182</v>
      </c>
      <c r="O1266" s="68">
        <v>8186</v>
      </c>
      <c r="P1266" s="68">
        <v>10</v>
      </c>
      <c r="Q1266" s="51">
        <f t="shared" si="30"/>
        <v>81860</v>
      </c>
      <c r="R1266" s="31">
        <v>202310</v>
      </c>
      <c r="S1266" s="183" t="s">
        <v>1646</v>
      </c>
      <c r="T1266" s="33"/>
      <c r="U1266" s="109"/>
      <c r="V1266" s="184"/>
      <c r="W1266" s="67"/>
      <c r="X1266" s="67"/>
      <c r="Y1266" s="36"/>
      <c r="Z1266" s="36"/>
      <c r="AA1266" s="36"/>
      <c r="AB1266" s="36"/>
      <c r="AC1266" s="36"/>
      <c r="AD1266" s="36"/>
      <c r="AE1266" s="36"/>
      <c r="AF1266" s="53" t="s">
        <v>68</v>
      </c>
      <c r="AG1266" s="42"/>
      <c r="AH1266" s="42"/>
      <c r="AI1266" s="43"/>
      <c r="AJ1266" s="43"/>
      <c r="AK1266" s="43"/>
      <c r="AL1266" s="43"/>
      <c r="AM1266" s="43"/>
      <c r="AN1266" s="42"/>
      <c r="AO1266" s="42"/>
      <c r="AP1266" s="42"/>
      <c r="AQ1266" s="43"/>
      <c r="AR1266" s="42"/>
      <c r="AS1266" s="42"/>
    </row>
    <row r="1267" spans="1:45" ht="15" customHeight="1">
      <c r="A1267" s="21" t="s">
        <v>260</v>
      </c>
      <c r="B1267" s="21" t="s">
        <v>46</v>
      </c>
      <c r="C1267" s="21" t="s">
        <v>188</v>
      </c>
      <c r="D1267" s="21" t="s">
        <v>48</v>
      </c>
      <c r="E1267" s="80" t="s">
        <v>1636</v>
      </c>
      <c r="F1267" s="21" t="s">
        <v>920</v>
      </c>
      <c r="G1267" s="101" t="s">
        <v>77</v>
      </c>
      <c r="H1267" s="25" t="s">
        <v>1637</v>
      </c>
      <c r="I1267" s="102" t="s">
        <v>78</v>
      </c>
      <c r="J1267" s="65" t="s">
        <v>1638</v>
      </c>
      <c r="K1267" s="104"/>
      <c r="L1267" s="48" t="s">
        <v>923</v>
      </c>
      <c r="M1267" s="156">
        <v>43355</v>
      </c>
      <c r="N1267" s="116" t="s">
        <v>182</v>
      </c>
      <c r="O1267" s="68">
        <v>8186</v>
      </c>
      <c r="P1267" s="68">
        <v>12</v>
      </c>
      <c r="Q1267" s="51">
        <f t="shared" si="30"/>
        <v>98232</v>
      </c>
      <c r="R1267" s="31">
        <v>202310</v>
      </c>
      <c r="S1267" s="183" t="s">
        <v>1647</v>
      </c>
      <c r="T1267" s="33"/>
      <c r="U1267" s="109"/>
      <c r="V1267" s="184"/>
      <c r="W1267" s="67"/>
      <c r="X1267" s="67"/>
      <c r="Y1267" s="36"/>
      <c r="Z1267" s="36"/>
      <c r="AA1267" s="36"/>
      <c r="AB1267" s="36"/>
      <c r="AC1267" s="36"/>
      <c r="AD1267" s="36"/>
      <c r="AE1267" s="36"/>
      <c r="AF1267" s="53" t="s">
        <v>68</v>
      </c>
      <c r="AG1267" s="42"/>
      <c r="AH1267" s="42"/>
      <c r="AI1267" s="43"/>
      <c r="AJ1267" s="43"/>
      <c r="AK1267" s="43"/>
      <c r="AL1267" s="43"/>
      <c r="AM1267" s="43"/>
      <c r="AN1267" s="42"/>
      <c r="AO1267" s="42"/>
      <c r="AP1267" s="42"/>
      <c r="AQ1267" s="43"/>
      <c r="AR1267" s="42"/>
      <c r="AS1267" s="42"/>
    </row>
    <row r="1268" spans="1:45" ht="15" customHeight="1">
      <c r="A1268" s="21" t="s">
        <v>260</v>
      </c>
      <c r="B1268" s="21" t="s">
        <v>46</v>
      </c>
      <c r="C1268" s="21" t="s">
        <v>188</v>
      </c>
      <c r="D1268" s="21" t="s">
        <v>48</v>
      </c>
      <c r="E1268" s="80" t="s">
        <v>1636</v>
      </c>
      <c r="F1268" s="21" t="s">
        <v>920</v>
      </c>
      <c r="G1268" s="101" t="s">
        <v>77</v>
      </c>
      <c r="H1268" s="25" t="s">
        <v>1637</v>
      </c>
      <c r="I1268" s="102" t="s">
        <v>78</v>
      </c>
      <c r="J1268" s="65" t="s">
        <v>1638</v>
      </c>
      <c r="K1268" s="104"/>
      <c r="L1268" s="48" t="s">
        <v>923</v>
      </c>
      <c r="M1268" s="156">
        <v>43357</v>
      </c>
      <c r="N1268" s="116" t="s">
        <v>182</v>
      </c>
      <c r="O1268" s="68">
        <v>8186</v>
      </c>
      <c r="P1268" s="68">
        <v>10</v>
      </c>
      <c r="Q1268" s="51">
        <f t="shared" si="30"/>
        <v>81860</v>
      </c>
      <c r="R1268" s="31">
        <v>202310</v>
      </c>
      <c r="S1268" s="183" t="s">
        <v>1648</v>
      </c>
      <c r="T1268" s="33"/>
      <c r="U1268" s="109"/>
      <c r="V1268" s="184"/>
      <c r="W1268" s="67"/>
      <c r="X1268" s="67"/>
      <c r="Y1268" s="36"/>
      <c r="Z1268" s="36"/>
      <c r="AA1268" s="36"/>
      <c r="AB1268" s="36"/>
      <c r="AC1268" s="36"/>
      <c r="AD1268" s="36"/>
      <c r="AE1268" s="36"/>
      <c r="AF1268" s="53" t="s">
        <v>68</v>
      </c>
      <c r="AG1268" s="42"/>
      <c r="AH1268" s="42"/>
      <c r="AI1268" s="43"/>
      <c r="AJ1268" s="43"/>
      <c r="AK1268" s="43"/>
      <c r="AL1268" s="43"/>
      <c r="AM1268" s="43"/>
      <c r="AN1268" s="42"/>
      <c r="AO1268" s="42"/>
      <c r="AP1268" s="42"/>
      <c r="AQ1268" s="43"/>
      <c r="AR1268" s="42"/>
      <c r="AS1268" s="42"/>
    </row>
    <row r="1269" spans="1:45" ht="15" customHeight="1">
      <c r="A1269" s="21" t="s">
        <v>260</v>
      </c>
      <c r="B1269" s="21" t="s">
        <v>46</v>
      </c>
      <c r="C1269" s="21" t="s">
        <v>188</v>
      </c>
      <c r="D1269" s="21" t="s">
        <v>48</v>
      </c>
      <c r="E1269" s="80" t="s">
        <v>1636</v>
      </c>
      <c r="F1269" s="21" t="s">
        <v>920</v>
      </c>
      <c r="G1269" s="101" t="s">
        <v>77</v>
      </c>
      <c r="H1269" s="25" t="s">
        <v>1637</v>
      </c>
      <c r="I1269" s="102" t="s">
        <v>78</v>
      </c>
      <c r="J1269" s="65" t="s">
        <v>1638</v>
      </c>
      <c r="K1269" s="104"/>
      <c r="L1269" s="48" t="s">
        <v>923</v>
      </c>
      <c r="M1269" s="156">
        <v>43361</v>
      </c>
      <c r="N1269" s="116" t="s">
        <v>182</v>
      </c>
      <c r="O1269" s="68">
        <v>8186</v>
      </c>
      <c r="P1269" s="68">
        <v>24</v>
      </c>
      <c r="Q1269" s="51">
        <f t="shared" si="30"/>
        <v>196464</v>
      </c>
      <c r="R1269" s="31">
        <v>202310</v>
      </c>
      <c r="S1269" s="183" t="s">
        <v>1649</v>
      </c>
      <c r="T1269" s="33"/>
      <c r="U1269" s="109"/>
      <c r="V1269" s="184"/>
      <c r="W1269" s="67"/>
      <c r="X1269" s="67"/>
      <c r="Y1269" s="36"/>
      <c r="Z1269" s="36"/>
      <c r="AA1269" s="36"/>
      <c r="AB1269" s="36"/>
      <c r="AC1269" s="36"/>
      <c r="AD1269" s="36"/>
      <c r="AE1269" s="36"/>
      <c r="AF1269" s="53" t="s">
        <v>68</v>
      </c>
      <c r="AG1269" s="42"/>
      <c r="AH1269" s="42"/>
      <c r="AI1269" s="43"/>
      <c r="AJ1269" s="43"/>
      <c r="AK1269" s="43"/>
      <c r="AL1269" s="43"/>
      <c r="AM1269" s="43"/>
      <c r="AN1269" s="42"/>
      <c r="AO1269" s="42"/>
      <c r="AP1269" s="42"/>
      <c r="AQ1269" s="43"/>
      <c r="AR1269" s="42"/>
      <c r="AS1269" s="42"/>
    </row>
    <row r="1270" spans="1:45" ht="15" customHeight="1">
      <c r="A1270" s="21" t="s">
        <v>260</v>
      </c>
      <c r="B1270" s="21" t="s">
        <v>46</v>
      </c>
      <c r="C1270" s="21" t="s">
        <v>188</v>
      </c>
      <c r="D1270" s="21" t="s">
        <v>48</v>
      </c>
      <c r="E1270" s="80" t="s">
        <v>1636</v>
      </c>
      <c r="F1270" s="21" t="s">
        <v>920</v>
      </c>
      <c r="G1270" s="101" t="s">
        <v>77</v>
      </c>
      <c r="H1270" s="25" t="s">
        <v>1637</v>
      </c>
      <c r="I1270" s="102" t="s">
        <v>78</v>
      </c>
      <c r="J1270" s="65" t="s">
        <v>1638</v>
      </c>
      <c r="K1270" s="104"/>
      <c r="L1270" s="48" t="s">
        <v>923</v>
      </c>
      <c r="M1270" s="156">
        <v>43362</v>
      </c>
      <c r="N1270" s="116" t="s">
        <v>182</v>
      </c>
      <c r="O1270" s="68">
        <v>8186</v>
      </c>
      <c r="P1270" s="68">
        <v>12</v>
      </c>
      <c r="Q1270" s="51">
        <f t="shared" si="30"/>
        <v>98232</v>
      </c>
      <c r="R1270" s="31">
        <v>202310</v>
      </c>
      <c r="S1270" s="183" t="s">
        <v>1650</v>
      </c>
      <c r="T1270" s="33"/>
      <c r="U1270" s="109"/>
      <c r="V1270" s="184"/>
      <c r="W1270" s="67"/>
      <c r="X1270" s="67"/>
      <c r="Y1270" s="36"/>
      <c r="Z1270" s="36"/>
      <c r="AA1270" s="36"/>
      <c r="AB1270" s="36"/>
      <c r="AC1270" s="36"/>
      <c r="AD1270" s="36"/>
      <c r="AE1270" s="36"/>
      <c r="AF1270" s="53" t="s">
        <v>68</v>
      </c>
      <c r="AG1270" s="42"/>
      <c r="AH1270" s="42"/>
      <c r="AI1270" s="43"/>
      <c r="AJ1270" s="43"/>
      <c r="AK1270" s="43"/>
      <c r="AL1270" s="43"/>
      <c r="AM1270" s="43"/>
      <c r="AN1270" s="42"/>
      <c r="AO1270" s="42"/>
      <c r="AP1270" s="42"/>
      <c r="AQ1270" s="43"/>
      <c r="AR1270" s="42"/>
      <c r="AS1270" s="42"/>
    </row>
    <row r="1271" spans="1:45" ht="15" customHeight="1">
      <c r="A1271" s="21" t="s">
        <v>260</v>
      </c>
      <c r="B1271" s="21" t="s">
        <v>46</v>
      </c>
      <c r="C1271" s="21" t="s">
        <v>188</v>
      </c>
      <c r="D1271" s="21" t="s">
        <v>48</v>
      </c>
      <c r="E1271" s="80" t="s">
        <v>1636</v>
      </c>
      <c r="F1271" s="21" t="s">
        <v>920</v>
      </c>
      <c r="G1271" s="101" t="s">
        <v>77</v>
      </c>
      <c r="H1271" s="25" t="s">
        <v>1637</v>
      </c>
      <c r="I1271" s="102" t="s">
        <v>78</v>
      </c>
      <c r="J1271" s="65" t="s">
        <v>1638</v>
      </c>
      <c r="K1271" s="104"/>
      <c r="L1271" s="48" t="s">
        <v>923</v>
      </c>
      <c r="M1271" s="156">
        <v>43364</v>
      </c>
      <c r="N1271" s="116" t="s">
        <v>182</v>
      </c>
      <c r="O1271" s="68">
        <v>8186</v>
      </c>
      <c r="P1271" s="68">
        <v>4</v>
      </c>
      <c r="Q1271" s="51">
        <f t="shared" si="30"/>
        <v>32744</v>
      </c>
      <c r="R1271" s="31">
        <v>202310</v>
      </c>
      <c r="S1271" s="183" t="s">
        <v>1651</v>
      </c>
      <c r="T1271" s="33"/>
      <c r="U1271" s="109"/>
      <c r="V1271" s="184"/>
      <c r="W1271" s="67"/>
      <c r="X1271" s="67"/>
      <c r="Y1271" s="36"/>
      <c r="Z1271" s="36"/>
      <c r="AA1271" s="36"/>
      <c r="AB1271" s="36"/>
      <c r="AC1271" s="36"/>
      <c r="AD1271" s="36"/>
      <c r="AE1271" s="36"/>
      <c r="AF1271" s="53" t="s">
        <v>68</v>
      </c>
      <c r="AG1271" s="42"/>
      <c r="AH1271" s="42"/>
      <c r="AI1271" s="43"/>
      <c r="AJ1271" s="43"/>
      <c r="AK1271" s="43"/>
      <c r="AL1271" s="43"/>
      <c r="AM1271" s="43"/>
      <c r="AN1271" s="42"/>
      <c r="AO1271" s="42"/>
      <c r="AP1271" s="42"/>
      <c r="AQ1271" s="43"/>
      <c r="AR1271" s="42"/>
      <c r="AS1271" s="42"/>
    </row>
    <row r="1272" spans="1:45" ht="15" customHeight="1">
      <c r="A1272" s="21" t="s">
        <v>260</v>
      </c>
      <c r="B1272" s="21" t="s">
        <v>46</v>
      </c>
      <c r="C1272" s="21" t="s">
        <v>188</v>
      </c>
      <c r="D1272" s="21" t="s">
        <v>48</v>
      </c>
      <c r="E1272" s="80" t="s">
        <v>1636</v>
      </c>
      <c r="F1272" s="21" t="s">
        <v>920</v>
      </c>
      <c r="G1272" s="101" t="s">
        <v>77</v>
      </c>
      <c r="H1272" s="25" t="s">
        <v>1637</v>
      </c>
      <c r="I1272" s="102" t="s">
        <v>78</v>
      </c>
      <c r="J1272" s="65" t="s">
        <v>1638</v>
      </c>
      <c r="K1272" s="104"/>
      <c r="L1272" s="48" t="s">
        <v>923</v>
      </c>
      <c r="M1272" s="156">
        <v>43369</v>
      </c>
      <c r="N1272" s="116" t="s">
        <v>182</v>
      </c>
      <c r="O1272" s="68">
        <v>8186</v>
      </c>
      <c r="P1272" s="68">
        <v>5</v>
      </c>
      <c r="Q1272" s="51">
        <f t="shared" si="30"/>
        <v>40930</v>
      </c>
      <c r="R1272" s="31">
        <v>202310</v>
      </c>
      <c r="S1272" s="183" t="s">
        <v>1652</v>
      </c>
      <c r="T1272" s="33"/>
      <c r="U1272" s="109"/>
      <c r="V1272" s="184"/>
      <c r="W1272" s="67"/>
      <c r="X1272" s="67"/>
      <c r="Y1272" s="36"/>
      <c r="Z1272" s="36"/>
      <c r="AA1272" s="36"/>
      <c r="AB1272" s="36"/>
      <c r="AC1272" s="36"/>
      <c r="AD1272" s="36"/>
      <c r="AE1272" s="36"/>
      <c r="AF1272" s="53" t="s">
        <v>68</v>
      </c>
      <c r="AG1272" s="42"/>
      <c r="AH1272" s="42"/>
      <c r="AI1272" s="43"/>
      <c r="AJ1272" s="43"/>
      <c r="AK1272" s="43"/>
      <c r="AL1272" s="43"/>
      <c r="AM1272" s="43"/>
      <c r="AN1272" s="42"/>
      <c r="AO1272" s="42"/>
      <c r="AP1272" s="42"/>
      <c r="AQ1272" s="43"/>
      <c r="AR1272" s="42"/>
      <c r="AS1272" s="42"/>
    </row>
    <row r="1273" spans="1:45" ht="15" customHeight="1">
      <c r="A1273" s="21" t="s">
        <v>260</v>
      </c>
      <c r="B1273" s="21" t="s">
        <v>46</v>
      </c>
      <c r="C1273" s="21" t="s">
        <v>188</v>
      </c>
      <c r="D1273" s="21" t="s">
        <v>48</v>
      </c>
      <c r="E1273" s="80" t="s">
        <v>1636</v>
      </c>
      <c r="F1273" s="21" t="s">
        <v>920</v>
      </c>
      <c r="G1273" s="101" t="s">
        <v>77</v>
      </c>
      <c r="H1273" s="25" t="s">
        <v>1637</v>
      </c>
      <c r="I1273" s="102" t="s">
        <v>78</v>
      </c>
      <c r="J1273" s="65" t="s">
        <v>1638</v>
      </c>
      <c r="K1273" s="104"/>
      <c r="L1273" s="48" t="s">
        <v>923</v>
      </c>
      <c r="M1273" s="156">
        <v>43371</v>
      </c>
      <c r="N1273" s="116" t="s">
        <v>182</v>
      </c>
      <c r="O1273" s="68">
        <v>8186</v>
      </c>
      <c r="P1273" s="68">
        <v>3</v>
      </c>
      <c r="Q1273" s="51">
        <f t="shared" si="30"/>
        <v>24558</v>
      </c>
      <c r="R1273" s="31">
        <v>202310</v>
      </c>
      <c r="S1273" s="183" t="s">
        <v>1653</v>
      </c>
      <c r="T1273" s="33"/>
      <c r="U1273" s="109"/>
      <c r="V1273" s="184"/>
      <c r="W1273" s="67"/>
      <c r="X1273" s="67"/>
      <c r="Y1273" s="36"/>
      <c r="Z1273" s="36"/>
      <c r="AA1273" s="36"/>
      <c r="AB1273" s="36"/>
      <c r="AC1273" s="36"/>
      <c r="AD1273" s="36"/>
      <c r="AE1273" s="36"/>
      <c r="AF1273" s="53" t="s">
        <v>68</v>
      </c>
      <c r="AG1273" s="42"/>
      <c r="AH1273" s="42"/>
      <c r="AI1273" s="43"/>
      <c r="AJ1273" s="43"/>
      <c r="AK1273" s="43"/>
      <c r="AL1273" s="43"/>
      <c r="AM1273" s="43"/>
      <c r="AN1273" s="42"/>
      <c r="AO1273" s="42"/>
      <c r="AP1273" s="42"/>
      <c r="AQ1273" s="43"/>
      <c r="AR1273" s="42"/>
      <c r="AS1273" s="42"/>
    </row>
    <row r="1274" spans="1:45" ht="15" customHeight="1">
      <c r="A1274" s="21" t="s">
        <v>260</v>
      </c>
      <c r="B1274" s="21" t="s">
        <v>46</v>
      </c>
      <c r="C1274" s="21" t="s">
        <v>188</v>
      </c>
      <c r="D1274" s="21" t="s">
        <v>48</v>
      </c>
      <c r="E1274" s="80" t="s">
        <v>1636</v>
      </c>
      <c r="F1274" s="21" t="s">
        <v>920</v>
      </c>
      <c r="G1274" s="101" t="s">
        <v>77</v>
      </c>
      <c r="H1274" s="25" t="s">
        <v>1637</v>
      </c>
      <c r="I1274" s="102" t="s">
        <v>78</v>
      </c>
      <c r="J1274" s="65" t="s">
        <v>1638</v>
      </c>
      <c r="K1274" s="104"/>
      <c r="L1274" s="48" t="s">
        <v>923</v>
      </c>
      <c r="M1274" s="156">
        <v>43372</v>
      </c>
      <c r="N1274" s="116" t="s">
        <v>182</v>
      </c>
      <c r="O1274" s="68">
        <v>8186</v>
      </c>
      <c r="P1274" s="68">
        <v>10</v>
      </c>
      <c r="Q1274" s="51">
        <f t="shared" si="30"/>
        <v>81860</v>
      </c>
      <c r="R1274" s="31">
        <v>202310</v>
      </c>
      <c r="S1274" s="183" t="s">
        <v>1654</v>
      </c>
      <c r="T1274" s="33"/>
      <c r="U1274" s="109"/>
      <c r="V1274" s="184"/>
      <c r="W1274" s="67"/>
      <c r="X1274" s="67"/>
      <c r="Y1274" s="36"/>
      <c r="Z1274" s="36"/>
      <c r="AA1274" s="36"/>
      <c r="AB1274" s="36"/>
      <c r="AC1274" s="36"/>
      <c r="AD1274" s="36"/>
      <c r="AE1274" s="36"/>
      <c r="AF1274" s="53" t="s">
        <v>68</v>
      </c>
      <c r="AG1274" s="42"/>
      <c r="AH1274" s="42"/>
      <c r="AI1274" s="43"/>
      <c r="AJ1274" s="43"/>
      <c r="AK1274" s="43"/>
      <c r="AL1274" s="43"/>
      <c r="AM1274" s="43"/>
      <c r="AN1274" s="42"/>
      <c r="AO1274" s="42"/>
      <c r="AP1274" s="42"/>
      <c r="AQ1274" s="43"/>
      <c r="AR1274" s="42"/>
      <c r="AS1274" s="42"/>
    </row>
    <row r="1275" spans="1:45" ht="15" customHeight="1">
      <c r="A1275" s="21" t="s">
        <v>260</v>
      </c>
      <c r="B1275" s="21" t="s">
        <v>46</v>
      </c>
      <c r="C1275" s="21" t="s">
        <v>188</v>
      </c>
      <c r="D1275" s="21" t="s">
        <v>48</v>
      </c>
      <c r="E1275" s="80" t="s">
        <v>1636</v>
      </c>
      <c r="F1275" s="21" t="s">
        <v>920</v>
      </c>
      <c r="G1275" s="101" t="s">
        <v>77</v>
      </c>
      <c r="H1275" s="25" t="s">
        <v>1637</v>
      </c>
      <c r="I1275" s="102" t="s">
        <v>78</v>
      </c>
      <c r="J1275" s="65" t="s">
        <v>1638</v>
      </c>
      <c r="K1275" s="104"/>
      <c r="L1275" s="48" t="s">
        <v>923</v>
      </c>
      <c r="M1275" s="156">
        <v>43373</v>
      </c>
      <c r="N1275" s="116" t="s">
        <v>182</v>
      </c>
      <c r="O1275" s="68">
        <v>8186</v>
      </c>
      <c r="P1275" s="68">
        <v>6</v>
      </c>
      <c r="Q1275" s="51">
        <f t="shared" si="30"/>
        <v>49116</v>
      </c>
      <c r="R1275" s="31">
        <v>202310</v>
      </c>
      <c r="S1275" s="183" t="s">
        <v>1655</v>
      </c>
      <c r="T1275" s="33"/>
      <c r="U1275" s="109"/>
      <c r="V1275" s="184"/>
      <c r="W1275" s="67"/>
      <c r="X1275" s="67"/>
      <c r="Y1275" s="36"/>
      <c r="Z1275" s="36"/>
      <c r="AA1275" s="36"/>
      <c r="AB1275" s="36"/>
      <c r="AC1275" s="36"/>
      <c r="AD1275" s="36"/>
      <c r="AE1275" s="36"/>
      <c r="AF1275" s="53" t="s">
        <v>68</v>
      </c>
      <c r="AG1275" s="42"/>
      <c r="AH1275" s="42"/>
      <c r="AI1275" s="43"/>
      <c r="AJ1275" s="43"/>
      <c r="AK1275" s="43"/>
      <c r="AL1275" s="43"/>
      <c r="AM1275" s="43"/>
      <c r="AN1275" s="42"/>
      <c r="AO1275" s="42"/>
      <c r="AP1275" s="42"/>
      <c r="AQ1275" s="43"/>
      <c r="AR1275" s="42"/>
      <c r="AS1275" s="42"/>
    </row>
    <row r="1276" spans="1:45" ht="15" customHeight="1">
      <c r="A1276" s="21" t="s">
        <v>260</v>
      </c>
      <c r="B1276" s="21" t="s">
        <v>46</v>
      </c>
      <c r="C1276" s="21" t="s">
        <v>188</v>
      </c>
      <c r="D1276" s="21" t="s">
        <v>48</v>
      </c>
      <c r="E1276" s="80" t="s">
        <v>1636</v>
      </c>
      <c r="F1276" s="21" t="s">
        <v>920</v>
      </c>
      <c r="G1276" s="101" t="s">
        <v>77</v>
      </c>
      <c r="H1276" s="25" t="s">
        <v>1637</v>
      </c>
      <c r="I1276" s="102" t="s">
        <v>78</v>
      </c>
      <c r="J1276" s="65" t="s">
        <v>1638</v>
      </c>
      <c r="K1276" s="104"/>
      <c r="L1276" s="48" t="s">
        <v>923</v>
      </c>
      <c r="M1276" s="156">
        <v>43381</v>
      </c>
      <c r="N1276" s="116" t="s">
        <v>182</v>
      </c>
      <c r="O1276" s="68">
        <v>8186</v>
      </c>
      <c r="P1276" s="68">
        <v>2</v>
      </c>
      <c r="Q1276" s="51">
        <f t="shared" si="30"/>
        <v>16372</v>
      </c>
      <c r="R1276" s="31">
        <v>202310</v>
      </c>
      <c r="S1276" s="183" t="s">
        <v>1656</v>
      </c>
      <c r="T1276" s="33"/>
      <c r="U1276" s="109"/>
      <c r="V1276" s="184"/>
      <c r="W1276" s="67"/>
      <c r="X1276" s="67"/>
      <c r="Y1276" s="36"/>
      <c r="Z1276" s="36"/>
      <c r="AA1276" s="36"/>
      <c r="AB1276" s="36"/>
      <c r="AC1276" s="36"/>
      <c r="AD1276" s="36"/>
      <c r="AE1276" s="36"/>
      <c r="AF1276" s="53" t="s">
        <v>68</v>
      </c>
      <c r="AG1276" s="42"/>
      <c r="AH1276" s="42"/>
      <c r="AI1276" s="43"/>
      <c r="AJ1276" s="43"/>
      <c r="AK1276" s="43"/>
      <c r="AL1276" s="43"/>
      <c r="AM1276" s="43"/>
      <c r="AN1276" s="42"/>
      <c r="AO1276" s="42"/>
      <c r="AP1276" s="42"/>
      <c r="AQ1276" s="43"/>
      <c r="AR1276" s="42"/>
      <c r="AS1276" s="42"/>
    </row>
    <row r="1277" spans="1:45" ht="15" customHeight="1">
      <c r="A1277" s="21" t="s">
        <v>260</v>
      </c>
      <c r="B1277" s="21" t="s">
        <v>46</v>
      </c>
      <c r="C1277" s="21" t="s">
        <v>188</v>
      </c>
      <c r="D1277" s="21" t="s">
        <v>48</v>
      </c>
      <c r="E1277" s="80" t="s">
        <v>1636</v>
      </c>
      <c r="F1277" s="21" t="s">
        <v>920</v>
      </c>
      <c r="G1277" s="101" t="s">
        <v>77</v>
      </c>
      <c r="H1277" s="25" t="s">
        <v>1637</v>
      </c>
      <c r="I1277" s="102" t="s">
        <v>78</v>
      </c>
      <c r="J1277" s="65" t="s">
        <v>1638</v>
      </c>
      <c r="K1277" s="104"/>
      <c r="L1277" s="48" t="s">
        <v>923</v>
      </c>
      <c r="M1277" s="156">
        <v>43384</v>
      </c>
      <c r="N1277" s="116" t="s">
        <v>182</v>
      </c>
      <c r="O1277" s="68">
        <v>8186</v>
      </c>
      <c r="P1277" s="68">
        <v>7</v>
      </c>
      <c r="Q1277" s="51">
        <f t="shared" si="30"/>
        <v>57302</v>
      </c>
      <c r="R1277" s="31">
        <v>202310</v>
      </c>
      <c r="S1277" s="183" t="s">
        <v>1657</v>
      </c>
      <c r="T1277" s="33"/>
      <c r="U1277" s="109"/>
      <c r="V1277" s="184"/>
      <c r="W1277" s="67"/>
      <c r="X1277" s="67"/>
      <c r="Y1277" s="36"/>
      <c r="Z1277" s="36"/>
      <c r="AA1277" s="36"/>
      <c r="AB1277" s="36"/>
      <c r="AC1277" s="36"/>
      <c r="AD1277" s="36"/>
      <c r="AE1277" s="36"/>
      <c r="AF1277" s="53" t="s">
        <v>68</v>
      </c>
      <c r="AG1277" s="42"/>
      <c r="AH1277" s="42"/>
      <c r="AI1277" s="43"/>
      <c r="AJ1277" s="43"/>
      <c r="AK1277" s="43"/>
      <c r="AL1277" s="43"/>
      <c r="AM1277" s="43"/>
      <c r="AN1277" s="42"/>
      <c r="AO1277" s="42"/>
      <c r="AP1277" s="42"/>
      <c r="AQ1277" s="43"/>
      <c r="AR1277" s="42"/>
      <c r="AS1277" s="42"/>
    </row>
    <row r="1278" spans="1:45" ht="15" customHeight="1">
      <c r="A1278" s="21" t="s">
        <v>260</v>
      </c>
      <c r="B1278" s="21" t="s">
        <v>46</v>
      </c>
      <c r="C1278" s="21" t="s">
        <v>188</v>
      </c>
      <c r="D1278" s="21" t="s">
        <v>48</v>
      </c>
      <c r="E1278" s="80" t="s">
        <v>1636</v>
      </c>
      <c r="F1278" s="21" t="s">
        <v>920</v>
      </c>
      <c r="G1278" s="101" t="s">
        <v>77</v>
      </c>
      <c r="H1278" s="25" t="s">
        <v>1637</v>
      </c>
      <c r="I1278" s="102" t="s">
        <v>78</v>
      </c>
      <c r="J1278" s="65" t="s">
        <v>1638</v>
      </c>
      <c r="K1278" s="104"/>
      <c r="L1278" s="48" t="s">
        <v>923</v>
      </c>
      <c r="M1278" s="156">
        <v>43390</v>
      </c>
      <c r="N1278" s="116" t="s">
        <v>182</v>
      </c>
      <c r="O1278" s="68">
        <v>8186</v>
      </c>
      <c r="P1278" s="68">
        <v>2</v>
      </c>
      <c r="Q1278" s="51">
        <f t="shared" si="30"/>
        <v>16372</v>
      </c>
      <c r="R1278" s="31">
        <v>202310</v>
      </c>
      <c r="S1278" s="183" t="s">
        <v>1658</v>
      </c>
      <c r="T1278" s="33"/>
      <c r="U1278" s="109"/>
      <c r="V1278" s="184"/>
      <c r="W1278" s="67"/>
      <c r="X1278" s="67"/>
      <c r="Y1278" s="36"/>
      <c r="Z1278" s="36"/>
      <c r="AA1278" s="36"/>
      <c r="AB1278" s="36"/>
      <c r="AC1278" s="36"/>
      <c r="AD1278" s="36"/>
      <c r="AE1278" s="36"/>
      <c r="AF1278" s="53" t="s">
        <v>68</v>
      </c>
      <c r="AG1278" s="42"/>
      <c r="AH1278" s="42"/>
      <c r="AI1278" s="43"/>
      <c r="AJ1278" s="43"/>
      <c r="AK1278" s="43"/>
      <c r="AL1278" s="43"/>
      <c r="AM1278" s="43"/>
      <c r="AN1278" s="42"/>
      <c r="AO1278" s="42"/>
      <c r="AP1278" s="42"/>
      <c r="AQ1278" s="43"/>
      <c r="AR1278" s="42"/>
      <c r="AS1278" s="42"/>
    </row>
    <row r="1279" spans="1:45" ht="15" customHeight="1">
      <c r="A1279" s="21" t="s">
        <v>260</v>
      </c>
      <c r="B1279" s="21" t="s">
        <v>46</v>
      </c>
      <c r="C1279" s="21" t="s">
        <v>188</v>
      </c>
      <c r="D1279" s="21" t="s">
        <v>48</v>
      </c>
      <c r="E1279" s="80" t="s">
        <v>1636</v>
      </c>
      <c r="F1279" s="21" t="s">
        <v>920</v>
      </c>
      <c r="G1279" s="101" t="s">
        <v>77</v>
      </c>
      <c r="H1279" s="25" t="s">
        <v>1637</v>
      </c>
      <c r="I1279" s="102" t="s">
        <v>78</v>
      </c>
      <c r="J1279" s="65" t="s">
        <v>1638</v>
      </c>
      <c r="K1279" s="104"/>
      <c r="L1279" s="48" t="s">
        <v>923</v>
      </c>
      <c r="M1279" s="156">
        <v>43395</v>
      </c>
      <c r="N1279" s="116" t="s">
        <v>182</v>
      </c>
      <c r="O1279" s="68">
        <v>8186</v>
      </c>
      <c r="P1279" s="68">
        <v>13</v>
      </c>
      <c r="Q1279" s="51">
        <f t="shared" si="30"/>
        <v>106418</v>
      </c>
      <c r="R1279" s="31">
        <v>202310</v>
      </c>
      <c r="S1279" s="183" t="s">
        <v>1659</v>
      </c>
      <c r="T1279" s="33"/>
      <c r="U1279" s="109"/>
      <c r="V1279" s="184"/>
      <c r="W1279" s="67"/>
      <c r="X1279" s="67"/>
      <c r="Y1279" s="36"/>
      <c r="Z1279" s="36"/>
      <c r="AA1279" s="36"/>
      <c r="AB1279" s="36"/>
      <c r="AC1279" s="36"/>
      <c r="AD1279" s="36"/>
      <c r="AE1279" s="36"/>
      <c r="AF1279" s="53" t="s">
        <v>68</v>
      </c>
      <c r="AG1279" s="42"/>
      <c r="AH1279" s="42"/>
      <c r="AI1279" s="43"/>
      <c r="AJ1279" s="43"/>
      <c r="AK1279" s="43"/>
      <c r="AL1279" s="43"/>
      <c r="AM1279" s="43"/>
      <c r="AN1279" s="42"/>
      <c r="AO1279" s="42"/>
      <c r="AP1279" s="42"/>
      <c r="AQ1279" s="43"/>
      <c r="AR1279" s="42"/>
      <c r="AS1279" s="42"/>
    </row>
    <row r="1280" spans="1:45" ht="15" customHeight="1">
      <c r="A1280" s="21" t="s">
        <v>260</v>
      </c>
      <c r="B1280" s="21" t="s">
        <v>46</v>
      </c>
      <c r="C1280" s="21" t="s">
        <v>188</v>
      </c>
      <c r="D1280" s="21" t="s">
        <v>48</v>
      </c>
      <c r="E1280" s="80" t="s">
        <v>1636</v>
      </c>
      <c r="F1280" s="21" t="s">
        <v>920</v>
      </c>
      <c r="G1280" s="101" t="s">
        <v>77</v>
      </c>
      <c r="H1280" s="25" t="s">
        <v>1637</v>
      </c>
      <c r="I1280" s="102" t="s">
        <v>78</v>
      </c>
      <c r="J1280" s="65" t="s">
        <v>1638</v>
      </c>
      <c r="K1280" s="104"/>
      <c r="L1280" s="48" t="s">
        <v>923</v>
      </c>
      <c r="M1280" s="156">
        <v>43397</v>
      </c>
      <c r="N1280" s="116" t="s">
        <v>182</v>
      </c>
      <c r="O1280" s="68">
        <v>8186</v>
      </c>
      <c r="P1280" s="68">
        <v>6</v>
      </c>
      <c r="Q1280" s="51">
        <f t="shared" si="30"/>
        <v>49116</v>
      </c>
      <c r="R1280" s="31">
        <v>202310</v>
      </c>
      <c r="S1280" s="183" t="s">
        <v>1660</v>
      </c>
      <c r="T1280" s="33"/>
      <c r="U1280" s="109"/>
      <c r="V1280" s="184"/>
      <c r="W1280" s="67"/>
      <c r="X1280" s="67"/>
      <c r="Y1280" s="36"/>
      <c r="Z1280" s="36"/>
      <c r="AA1280" s="36"/>
      <c r="AB1280" s="36"/>
      <c r="AC1280" s="36"/>
      <c r="AD1280" s="36"/>
      <c r="AE1280" s="36"/>
      <c r="AF1280" s="53" t="s">
        <v>68</v>
      </c>
      <c r="AG1280" s="42"/>
      <c r="AH1280" s="42"/>
      <c r="AI1280" s="43"/>
      <c r="AJ1280" s="43"/>
      <c r="AK1280" s="43"/>
      <c r="AL1280" s="43"/>
      <c r="AM1280" s="43"/>
      <c r="AN1280" s="42"/>
      <c r="AO1280" s="42"/>
      <c r="AP1280" s="42"/>
      <c r="AQ1280" s="43"/>
      <c r="AR1280" s="42"/>
      <c r="AS1280" s="42"/>
    </row>
    <row r="1281" spans="1:45" ht="15" customHeight="1">
      <c r="A1281" s="21" t="s">
        <v>260</v>
      </c>
      <c r="B1281" s="21" t="s">
        <v>46</v>
      </c>
      <c r="C1281" s="21" t="s">
        <v>188</v>
      </c>
      <c r="D1281" s="21" t="s">
        <v>48</v>
      </c>
      <c r="E1281" s="80" t="s">
        <v>1636</v>
      </c>
      <c r="F1281" s="21" t="s">
        <v>920</v>
      </c>
      <c r="G1281" s="101" t="s">
        <v>77</v>
      </c>
      <c r="H1281" s="25" t="s">
        <v>1637</v>
      </c>
      <c r="I1281" s="102" t="s">
        <v>78</v>
      </c>
      <c r="J1281" s="65" t="s">
        <v>1638</v>
      </c>
      <c r="K1281" s="104"/>
      <c r="L1281" s="48" t="s">
        <v>923</v>
      </c>
      <c r="M1281" s="156">
        <v>43403</v>
      </c>
      <c r="N1281" s="116" t="s">
        <v>182</v>
      </c>
      <c r="O1281" s="68">
        <v>8186</v>
      </c>
      <c r="P1281" s="68">
        <v>5</v>
      </c>
      <c r="Q1281" s="51">
        <f t="shared" si="30"/>
        <v>40930</v>
      </c>
      <c r="R1281" s="31">
        <v>202310</v>
      </c>
      <c r="S1281" s="107" t="s">
        <v>1661</v>
      </c>
      <c r="T1281" s="33"/>
      <c r="U1281" s="109"/>
      <c r="V1281" s="67"/>
      <c r="W1281" s="67"/>
      <c r="X1281" s="67"/>
      <c r="Y1281" s="36"/>
      <c r="Z1281" s="36"/>
      <c r="AA1281" s="36"/>
      <c r="AB1281" s="36"/>
      <c r="AC1281" s="36"/>
      <c r="AD1281" s="36"/>
      <c r="AE1281" s="36"/>
      <c r="AF1281" s="53" t="s">
        <v>68</v>
      </c>
      <c r="AG1281" s="42"/>
      <c r="AH1281" s="42"/>
      <c r="AI1281" s="43"/>
      <c r="AJ1281" s="43"/>
      <c r="AK1281" s="43"/>
      <c r="AL1281" s="43"/>
      <c r="AM1281" s="43"/>
      <c r="AN1281" s="42"/>
      <c r="AO1281" s="42"/>
      <c r="AP1281" s="42"/>
      <c r="AQ1281" s="43"/>
      <c r="AR1281" s="42"/>
      <c r="AS1281" s="42"/>
    </row>
    <row r="1282" spans="1:45" ht="15" customHeight="1">
      <c r="A1282" s="21" t="s">
        <v>260</v>
      </c>
      <c r="B1282" s="21" t="s">
        <v>46</v>
      </c>
      <c r="C1282" s="21" t="s">
        <v>188</v>
      </c>
      <c r="D1282" s="21" t="s">
        <v>48</v>
      </c>
      <c r="E1282" s="80" t="s">
        <v>1636</v>
      </c>
      <c r="F1282" s="21" t="s">
        <v>920</v>
      </c>
      <c r="G1282" s="101" t="s">
        <v>77</v>
      </c>
      <c r="H1282" s="25" t="s">
        <v>1637</v>
      </c>
      <c r="I1282" s="102" t="s">
        <v>78</v>
      </c>
      <c r="J1282" s="65" t="s">
        <v>1638</v>
      </c>
      <c r="K1282" s="104"/>
      <c r="L1282" s="48" t="s">
        <v>923</v>
      </c>
      <c r="M1282" s="156">
        <v>43404</v>
      </c>
      <c r="N1282" s="116" t="s">
        <v>182</v>
      </c>
      <c r="O1282" s="68">
        <v>8186</v>
      </c>
      <c r="P1282" s="68">
        <v>4</v>
      </c>
      <c r="Q1282" s="51">
        <f t="shared" si="30"/>
        <v>32744</v>
      </c>
      <c r="R1282" s="31">
        <v>202310</v>
      </c>
      <c r="S1282" s="107" t="s">
        <v>1662</v>
      </c>
      <c r="T1282" s="33"/>
      <c r="U1282" s="109"/>
      <c r="V1282" s="67"/>
      <c r="W1282" s="67"/>
      <c r="X1282" s="67"/>
      <c r="Y1282" s="36"/>
      <c r="Z1282" s="36"/>
      <c r="AA1282" s="36"/>
      <c r="AB1282" s="36"/>
      <c r="AC1282" s="36"/>
      <c r="AD1282" s="36"/>
      <c r="AE1282" s="36"/>
      <c r="AF1282" s="53" t="s">
        <v>68</v>
      </c>
      <c r="AG1282" s="42"/>
      <c r="AH1282" s="42"/>
      <c r="AI1282" s="43"/>
      <c r="AJ1282" s="43"/>
      <c r="AK1282" s="43"/>
      <c r="AL1282" s="43"/>
      <c r="AM1282" s="43"/>
      <c r="AN1282" s="42"/>
      <c r="AO1282" s="42"/>
      <c r="AP1282" s="42"/>
      <c r="AQ1282" s="43"/>
      <c r="AR1282" s="42"/>
      <c r="AS1282" s="42"/>
    </row>
    <row r="1283" spans="1:45" ht="15" customHeight="1">
      <c r="A1283" s="21" t="s">
        <v>260</v>
      </c>
      <c r="B1283" s="21" t="s">
        <v>46</v>
      </c>
      <c r="C1283" s="21" t="s">
        <v>188</v>
      </c>
      <c r="D1283" s="21" t="s">
        <v>48</v>
      </c>
      <c r="E1283" s="80" t="s">
        <v>1636</v>
      </c>
      <c r="F1283" s="21" t="s">
        <v>920</v>
      </c>
      <c r="G1283" s="101" t="s">
        <v>77</v>
      </c>
      <c r="H1283" s="25" t="s">
        <v>1637</v>
      </c>
      <c r="I1283" s="102" t="s">
        <v>78</v>
      </c>
      <c r="J1283" s="65" t="s">
        <v>1638</v>
      </c>
      <c r="K1283" s="104"/>
      <c r="L1283" s="48" t="s">
        <v>923</v>
      </c>
      <c r="M1283" s="156">
        <v>43410</v>
      </c>
      <c r="N1283" s="116" t="s">
        <v>182</v>
      </c>
      <c r="O1283" s="68">
        <v>8186</v>
      </c>
      <c r="P1283" s="68">
        <v>24</v>
      </c>
      <c r="Q1283" s="51">
        <f t="shared" si="30"/>
        <v>196464</v>
      </c>
      <c r="R1283" s="31">
        <v>202310</v>
      </c>
      <c r="S1283" s="107" t="s">
        <v>1663</v>
      </c>
      <c r="T1283" s="33"/>
      <c r="U1283" s="109"/>
      <c r="V1283" s="67"/>
      <c r="W1283" s="67"/>
      <c r="X1283" s="67"/>
      <c r="Y1283" s="36"/>
      <c r="Z1283" s="36"/>
      <c r="AA1283" s="36"/>
      <c r="AB1283" s="36"/>
      <c r="AC1283" s="36"/>
      <c r="AD1283" s="36"/>
      <c r="AE1283" s="36"/>
      <c r="AF1283" s="53" t="s">
        <v>68</v>
      </c>
      <c r="AG1283" s="42"/>
      <c r="AH1283" s="42"/>
      <c r="AI1283" s="43"/>
      <c r="AJ1283" s="43"/>
      <c r="AK1283" s="43"/>
      <c r="AL1283" s="43"/>
      <c r="AM1283" s="43"/>
      <c r="AN1283" s="42"/>
      <c r="AO1283" s="42"/>
      <c r="AP1283" s="42"/>
      <c r="AQ1283" s="43"/>
      <c r="AR1283" s="42"/>
      <c r="AS1283" s="42"/>
    </row>
    <row r="1284" spans="1:45" ht="15" customHeight="1">
      <c r="A1284" s="21" t="s">
        <v>260</v>
      </c>
      <c r="B1284" s="21" t="s">
        <v>46</v>
      </c>
      <c r="C1284" s="21" t="s">
        <v>188</v>
      </c>
      <c r="D1284" s="21" t="s">
        <v>48</v>
      </c>
      <c r="E1284" s="80" t="s">
        <v>1636</v>
      </c>
      <c r="F1284" s="21" t="s">
        <v>920</v>
      </c>
      <c r="G1284" s="101" t="s">
        <v>77</v>
      </c>
      <c r="H1284" s="25" t="s">
        <v>1637</v>
      </c>
      <c r="I1284" s="102" t="s">
        <v>78</v>
      </c>
      <c r="J1284" s="65" t="s">
        <v>1638</v>
      </c>
      <c r="K1284" s="104"/>
      <c r="L1284" s="48" t="s">
        <v>923</v>
      </c>
      <c r="M1284" s="156">
        <v>43411</v>
      </c>
      <c r="N1284" s="116" t="s">
        <v>182</v>
      </c>
      <c r="O1284" s="68">
        <v>8186</v>
      </c>
      <c r="P1284" s="68">
        <v>5</v>
      </c>
      <c r="Q1284" s="51">
        <f t="shared" si="30"/>
        <v>40930</v>
      </c>
      <c r="R1284" s="31">
        <v>202310</v>
      </c>
      <c r="S1284" s="107" t="s">
        <v>1664</v>
      </c>
      <c r="T1284" s="33"/>
      <c r="U1284" s="109"/>
      <c r="V1284" s="67"/>
      <c r="W1284" s="67"/>
      <c r="X1284" s="67"/>
      <c r="Y1284" s="36"/>
      <c r="Z1284" s="36"/>
      <c r="AA1284" s="36"/>
      <c r="AB1284" s="36"/>
      <c r="AC1284" s="36"/>
      <c r="AD1284" s="36"/>
      <c r="AE1284" s="36"/>
      <c r="AF1284" s="53" t="s">
        <v>68</v>
      </c>
      <c r="AG1284" s="42"/>
      <c r="AH1284" s="42"/>
      <c r="AI1284" s="43"/>
      <c r="AJ1284" s="43"/>
      <c r="AK1284" s="43"/>
      <c r="AL1284" s="43"/>
      <c r="AM1284" s="43"/>
      <c r="AN1284" s="42"/>
      <c r="AO1284" s="42"/>
      <c r="AP1284" s="42"/>
      <c r="AQ1284" s="43"/>
      <c r="AR1284" s="42"/>
      <c r="AS1284" s="42"/>
    </row>
    <row r="1285" spans="1:45" ht="15" customHeight="1">
      <c r="A1285" s="21" t="s">
        <v>260</v>
      </c>
      <c r="B1285" s="21" t="s">
        <v>46</v>
      </c>
      <c r="C1285" s="21" t="s">
        <v>188</v>
      </c>
      <c r="D1285" s="21" t="s">
        <v>48</v>
      </c>
      <c r="E1285" s="80" t="s">
        <v>1636</v>
      </c>
      <c r="F1285" s="21" t="s">
        <v>920</v>
      </c>
      <c r="G1285" s="101" t="s">
        <v>77</v>
      </c>
      <c r="H1285" s="25" t="s">
        <v>1637</v>
      </c>
      <c r="I1285" s="102" t="s">
        <v>78</v>
      </c>
      <c r="J1285" s="65" t="s">
        <v>1638</v>
      </c>
      <c r="K1285" s="104"/>
      <c r="L1285" s="48" t="s">
        <v>923</v>
      </c>
      <c r="M1285" s="156">
        <v>43416</v>
      </c>
      <c r="N1285" s="116" t="s">
        <v>182</v>
      </c>
      <c r="O1285" s="68">
        <v>8186</v>
      </c>
      <c r="P1285" s="68">
        <v>2</v>
      </c>
      <c r="Q1285" s="51">
        <f t="shared" si="30"/>
        <v>16372</v>
      </c>
      <c r="R1285" s="31">
        <v>202310</v>
      </c>
      <c r="S1285" s="107" t="s">
        <v>1665</v>
      </c>
      <c r="T1285" s="33"/>
      <c r="U1285" s="109"/>
      <c r="V1285" s="67"/>
      <c r="W1285" s="67"/>
      <c r="X1285" s="67"/>
      <c r="Y1285" s="36"/>
      <c r="Z1285" s="36"/>
      <c r="AA1285" s="36"/>
      <c r="AB1285" s="36"/>
      <c r="AC1285" s="36"/>
      <c r="AD1285" s="36"/>
      <c r="AE1285" s="36"/>
      <c r="AF1285" s="53" t="s">
        <v>68</v>
      </c>
      <c r="AG1285" s="42"/>
      <c r="AH1285" s="42"/>
      <c r="AI1285" s="43"/>
      <c r="AJ1285" s="43"/>
      <c r="AK1285" s="43"/>
      <c r="AL1285" s="43"/>
      <c r="AM1285" s="43"/>
      <c r="AN1285" s="42"/>
      <c r="AO1285" s="42"/>
      <c r="AP1285" s="42"/>
      <c r="AQ1285" s="43"/>
      <c r="AR1285" s="42"/>
      <c r="AS1285" s="42"/>
    </row>
    <row r="1286" spans="1:45" ht="15" customHeight="1">
      <c r="A1286" s="21" t="s">
        <v>260</v>
      </c>
      <c r="B1286" s="21" t="s">
        <v>46</v>
      </c>
      <c r="C1286" s="21" t="s">
        <v>188</v>
      </c>
      <c r="D1286" s="21" t="s">
        <v>48</v>
      </c>
      <c r="E1286" s="80" t="s">
        <v>1636</v>
      </c>
      <c r="F1286" s="21" t="s">
        <v>920</v>
      </c>
      <c r="G1286" s="101" t="s">
        <v>77</v>
      </c>
      <c r="H1286" s="25" t="s">
        <v>1637</v>
      </c>
      <c r="I1286" s="102" t="s">
        <v>78</v>
      </c>
      <c r="J1286" s="65" t="s">
        <v>1638</v>
      </c>
      <c r="K1286" s="104"/>
      <c r="L1286" s="48" t="s">
        <v>923</v>
      </c>
      <c r="M1286" s="156">
        <v>43417</v>
      </c>
      <c r="N1286" s="116" t="s">
        <v>182</v>
      </c>
      <c r="O1286" s="68">
        <v>8186</v>
      </c>
      <c r="P1286" s="68">
        <v>14</v>
      </c>
      <c r="Q1286" s="51">
        <f t="shared" si="30"/>
        <v>114604</v>
      </c>
      <c r="R1286" s="31">
        <v>202310</v>
      </c>
      <c r="S1286" s="107" t="s">
        <v>1666</v>
      </c>
      <c r="T1286" s="33"/>
      <c r="U1286" s="109"/>
      <c r="V1286" s="67"/>
      <c r="W1286" s="67"/>
      <c r="X1286" s="67"/>
      <c r="Y1286" s="36"/>
      <c r="Z1286" s="36"/>
      <c r="AA1286" s="36"/>
      <c r="AB1286" s="36"/>
      <c r="AC1286" s="36"/>
      <c r="AD1286" s="36"/>
      <c r="AE1286" s="36"/>
      <c r="AF1286" s="53" t="s">
        <v>68</v>
      </c>
      <c r="AG1286" s="42"/>
      <c r="AH1286" s="42"/>
      <c r="AI1286" s="43"/>
      <c r="AJ1286" s="43"/>
      <c r="AK1286" s="43"/>
      <c r="AL1286" s="43"/>
      <c r="AM1286" s="43"/>
      <c r="AN1286" s="42"/>
      <c r="AO1286" s="42"/>
      <c r="AP1286" s="42"/>
      <c r="AQ1286" s="43"/>
      <c r="AR1286" s="42"/>
      <c r="AS1286" s="42"/>
    </row>
    <row r="1287" spans="1:45" ht="15" customHeight="1">
      <c r="A1287" s="21" t="s">
        <v>260</v>
      </c>
      <c r="B1287" s="21" t="s">
        <v>46</v>
      </c>
      <c r="C1287" s="21" t="s">
        <v>188</v>
      </c>
      <c r="D1287" s="21" t="s">
        <v>48</v>
      </c>
      <c r="E1287" s="80" t="s">
        <v>1636</v>
      </c>
      <c r="F1287" s="21" t="s">
        <v>920</v>
      </c>
      <c r="G1287" s="101" t="s">
        <v>77</v>
      </c>
      <c r="H1287" s="25" t="s">
        <v>1637</v>
      </c>
      <c r="I1287" s="102" t="s">
        <v>78</v>
      </c>
      <c r="J1287" s="65" t="s">
        <v>1638</v>
      </c>
      <c r="K1287" s="104"/>
      <c r="L1287" s="48" t="s">
        <v>923</v>
      </c>
      <c r="M1287" s="156">
        <v>43425</v>
      </c>
      <c r="N1287" s="116" t="s">
        <v>182</v>
      </c>
      <c r="O1287" s="68">
        <v>8186</v>
      </c>
      <c r="P1287" s="68">
        <v>13</v>
      </c>
      <c r="Q1287" s="51">
        <f t="shared" si="30"/>
        <v>106418</v>
      </c>
      <c r="R1287" s="31">
        <v>202310</v>
      </c>
      <c r="S1287" s="107" t="s">
        <v>1667</v>
      </c>
      <c r="T1287" s="33"/>
      <c r="U1287" s="109"/>
      <c r="V1287" s="67"/>
      <c r="W1287" s="67"/>
      <c r="X1287" s="67"/>
      <c r="Y1287" s="36"/>
      <c r="Z1287" s="36"/>
      <c r="AA1287" s="36"/>
      <c r="AB1287" s="36"/>
      <c r="AC1287" s="36"/>
      <c r="AD1287" s="36"/>
      <c r="AE1287" s="36"/>
      <c r="AF1287" s="53" t="s">
        <v>68</v>
      </c>
      <c r="AG1287" s="42"/>
      <c r="AH1287" s="42"/>
      <c r="AI1287" s="43"/>
      <c r="AJ1287" s="43"/>
      <c r="AK1287" s="43"/>
      <c r="AL1287" s="43"/>
      <c r="AM1287" s="43"/>
      <c r="AN1287" s="42"/>
      <c r="AO1287" s="42"/>
      <c r="AP1287" s="42"/>
      <c r="AQ1287" s="43"/>
      <c r="AR1287" s="42"/>
      <c r="AS1287" s="42"/>
    </row>
    <row r="1288" spans="1:45" ht="15" customHeight="1">
      <c r="A1288" s="21" t="s">
        <v>260</v>
      </c>
      <c r="B1288" s="21" t="s">
        <v>46</v>
      </c>
      <c r="C1288" s="21" t="s">
        <v>188</v>
      </c>
      <c r="D1288" s="21" t="s">
        <v>48</v>
      </c>
      <c r="E1288" s="80" t="s">
        <v>1636</v>
      </c>
      <c r="F1288" s="21" t="s">
        <v>920</v>
      </c>
      <c r="G1288" s="101" t="s">
        <v>77</v>
      </c>
      <c r="H1288" s="25" t="s">
        <v>1637</v>
      </c>
      <c r="I1288" s="102" t="s">
        <v>78</v>
      </c>
      <c r="J1288" s="65" t="s">
        <v>1638</v>
      </c>
      <c r="K1288" s="104"/>
      <c r="L1288" s="48" t="s">
        <v>923</v>
      </c>
      <c r="M1288" s="156">
        <v>43430</v>
      </c>
      <c r="N1288" s="116" t="s">
        <v>182</v>
      </c>
      <c r="O1288" s="68">
        <v>8186</v>
      </c>
      <c r="P1288" s="68">
        <v>12</v>
      </c>
      <c r="Q1288" s="51">
        <f t="shared" si="30"/>
        <v>98232</v>
      </c>
      <c r="R1288" s="31">
        <v>202310</v>
      </c>
      <c r="S1288" s="107" t="s">
        <v>1668</v>
      </c>
      <c r="T1288" s="33"/>
      <c r="U1288" s="109"/>
      <c r="V1288" s="67"/>
      <c r="W1288" s="67"/>
      <c r="X1288" s="67"/>
      <c r="Y1288" s="36"/>
      <c r="Z1288" s="36"/>
      <c r="AA1288" s="36"/>
      <c r="AB1288" s="36"/>
      <c r="AC1288" s="36"/>
      <c r="AD1288" s="36"/>
      <c r="AE1288" s="36"/>
      <c r="AF1288" s="53" t="s">
        <v>68</v>
      </c>
      <c r="AG1288" s="42"/>
      <c r="AH1288" s="42"/>
      <c r="AI1288" s="43"/>
      <c r="AJ1288" s="43"/>
      <c r="AK1288" s="43"/>
      <c r="AL1288" s="43"/>
      <c r="AM1288" s="43"/>
      <c r="AN1288" s="42"/>
      <c r="AO1288" s="42"/>
      <c r="AP1288" s="42"/>
      <c r="AQ1288" s="43"/>
      <c r="AR1288" s="42"/>
      <c r="AS1288" s="42"/>
    </row>
    <row r="1289" spans="1:45" ht="15" customHeight="1">
      <c r="A1289" s="21" t="s">
        <v>260</v>
      </c>
      <c r="B1289" s="21" t="s">
        <v>46</v>
      </c>
      <c r="C1289" s="21" t="s">
        <v>188</v>
      </c>
      <c r="D1289" s="21" t="s">
        <v>48</v>
      </c>
      <c r="E1289" s="80" t="s">
        <v>1636</v>
      </c>
      <c r="F1289" s="21" t="s">
        <v>920</v>
      </c>
      <c r="G1289" s="101" t="s">
        <v>77</v>
      </c>
      <c r="H1289" s="25" t="s">
        <v>1637</v>
      </c>
      <c r="I1289" s="102" t="s">
        <v>78</v>
      </c>
      <c r="J1289" s="65" t="s">
        <v>1638</v>
      </c>
      <c r="K1289" s="104"/>
      <c r="L1289" s="48" t="s">
        <v>923</v>
      </c>
      <c r="M1289" s="156">
        <v>43433</v>
      </c>
      <c r="N1289" s="116" t="s">
        <v>182</v>
      </c>
      <c r="O1289" s="68">
        <v>8186</v>
      </c>
      <c r="P1289" s="68">
        <v>1</v>
      </c>
      <c r="Q1289" s="51">
        <f t="shared" si="30"/>
        <v>8186</v>
      </c>
      <c r="R1289" s="31">
        <v>202310</v>
      </c>
      <c r="S1289" s="107" t="s">
        <v>1669</v>
      </c>
      <c r="T1289" s="33"/>
      <c r="U1289" s="109"/>
      <c r="V1289" s="67"/>
      <c r="W1289" s="67"/>
      <c r="X1289" s="67"/>
      <c r="Y1289" s="36"/>
      <c r="Z1289" s="36"/>
      <c r="AA1289" s="36"/>
      <c r="AB1289" s="36"/>
      <c r="AC1289" s="36"/>
      <c r="AD1289" s="36"/>
      <c r="AE1289" s="36"/>
      <c r="AF1289" s="53" t="s">
        <v>68</v>
      </c>
      <c r="AG1289" s="42"/>
      <c r="AH1289" s="42"/>
      <c r="AI1289" s="43"/>
      <c r="AJ1289" s="43"/>
      <c r="AK1289" s="43"/>
      <c r="AL1289" s="43"/>
      <c r="AM1289" s="43"/>
      <c r="AN1289" s="42"/>
      <c r="AO1289" s="42"/>
      <c r="AP1289" s="42"/>
      <c r="AQ1289" s="43"/>
      <c r="AR1289" s="42"/>
      <c r="AS1289" s="42"/>
    </row>
    <row r="1290" spans="1:45" ht="15" customHeight="1">
      <c r="A1290" s="21" t="s">
        <v>260</v>
      </c>
      <c r="B1290" s="21" t="s">
        <v>46</v>
      </c>
      <c r="C1290" s="21" t="s">
        <v>188</v>
      </c>
      <c r="D1290" s="21" t="s">
        <v>48</v>
      </c>
      <c r="E1290" s="80" t="s">
        <v>1636</v>
      </c>
      <c r="F1290" s="21" t="s">
        <v>920</v>
      </c>
      <c r="G1290" s="101" t="s">
        <v>77</v>
      </c>
      <c r="H1290" s="25" t="s">
        <v>1637</v>
      </c>
      <c r="I1290" s="102" t="s">
        <v>78</v>
      </c>
      <c r="J1290" s="65" t="s">
        <v>1638</v>
      </c>
      <c r="K1290" s="104"/>
      <c r="L1290" s="48" t="s">
        <v>923</v>
      </c>
      <c r="M1290" s="156">
        <v>43440</v>
      </c>
      <c r="N1290" s="116" t="s">
        <v>388</v>
      </c>
      <c r="O1290" s="68">
        <v>10989</v>
      </c>
      <c r="P1290" s="68">
        <v>8</v>
      </c>
      <c r="Q1290" s="51">
        <f t="shared" si="30"/>
        <v>87912</v>
      </c>
      <c r="R1290" s="31">
        <v>202310</v>
      </c>
      <c r="S1290" s="107" t="s">
        <v>1670</v>
      </c>
      <c r="T1290" s="33"/>
      <c r="U1290" s="183"/>
      <c r="V1290" s="67"/>
      <c r="W1290" s="67"/>
      <c r="X1290" s="67"/>
      <c r="Y1290" s="36"/>
      <c r="Z1290" s="36"/>
      <c r="AA1290" s="36"/>
      <c r="AB1290" s="36"/>
      <c r="AC1290" s="36"/>
      <c r="AD1290" s="36"/>
      <c r="AE1290" s="36"/>
      <c r="AF1290" s="53" t="s">
        <v>68</v>
      </c>
      <c r="AG1290" s="42"/>
      <c r="AH1290" s="42"/>
      <c r="AI1290" s="43"/>
      <c r="AJ1290" s="43"/>
      <c r="AK1290" s="43"/>
      <c r="AL1290" s="43"/>
      <c r="AM1290" s="43"/>
      <c r="AN1290" s="42"/>
      <c r="AO1290" s="42"/>
      <c r="AP1290" s="42"/>
      <c r="AQ1290" s="43"/>
      <c r="AR1290" s="42"/>
      <c r="AS1290" s="42"/>
    </row>
    <row r="1291" spans="1:45" ht="15" customHeight="1">
      <c r="A1291" s="21" t="s">
        <v>260</v>
      </c>
      <c r="B1291" s="21" t="s">
        <v>46</v>
      </c>
      <c r="C1291" s="21" t="s">
        <v>188</v>
      </c>
      <c r="D1291" s="21" t="s">
        <v>48</v>
      </c>
      <c r="E1291" s="80" t="s">
        <v>1636</v>
      </c>
      <c r="F1291" s="21" t="s">
        <v>920</v>
      </c>
      <c r="G1291" s="101" t="s">
        <v>77</v>
      </c>
      <c r="H1291" s="25" t="s">
        <v>1637</v>
      </c>
      <c r="I1291" s="102" t="s">
        <v>78</v>
      </c>
      <c r="J1291" s="65" t="s">
        <v>1638</v>
      </c>
      <c r="K1291" s="104"/>
      <c r="L1291" s="48" t="s">
        <v>923</v>
      </c>
      <c r="M1291" s="156">
        <v>43443</v>
      </c>
      <c r="N1291" s="116" t="s">
        <v>177</v>
      </c>
      <c r="O1291" s="68">
        <v>5900</v>
      </c>
      <c r="P1291" s="68">
        <v>4</v>
      </c>
      <c r="Q1291" s="51">
        <f t="shared" si="30"/>
        <v>23600</v>
      </c>
      <c r="R1291" s="31">
        <v>202310</v>
      </c>
      <c r="S1291" s="107" t="s">
        <v>1671</v>
      </c>
      <c r="T1291" s="33"/>
      <c r="U1291" s="183"/>
      <c r="V1291" s="67"/>
      <c r="W1291" s="67"/>
      <c r="X1291" s="67"/>
      <c r="Y1291" s="36"/>
      <c r="Z1291" s="36"/>
      <c r="AA1291" s="36"/>
      <c r="AB1291" s="36"/>
      <c r="AC1291" s="36"/>
      <c r="AD1291" s="36"/>
      <c r="AE1291" s="36"/>
      <c r="AF1291" s="53" t="s">
        <v>68</v>
      </c>
      <c r="AG1291" s="42"/>
      <c r="AH1291" s="42"/>
      <c r="AI1291" s="43"/>
      <c r="AJ1291" s="43"/>
      <c r="AK1291" s="43"/>
      <c r="AL1291" s="43"/>
      <c r="AM1291" s="43"/>
      <c r="AN1291" s="42"/>
      <c r="AO1291" s="42"/>
      <c r="AP1291" s="42"/>
      <c r="AQ1291" s="43"/>
      <c r="AR1291" s="42"/>
      <c r="AS1291" s="42"/>
    </row>
    <row r="1292" spans="1:45" ht="15" customHeight="1">
      <c r="A1292" s="21" t="s">
        <v>260</v>
      </c>
      <c r="B1292" s="21" t="s">
        <v>46</v>
      </c>
      <c r="C1292" s="21" t="s">
        <v>188</v>
      </c>
      <c r="D1292" s="21" t="s">
        <v>48</v>
      </c>
      <c r="E1292" s="80" t="s">
        <v>1636</v>
      </c>
      <c r="F1292" s="21" t="s">
        <v>920</v>
      </c>
      <c r="G1292" s="101" t="s">
        <v>77</v>
      </c>
      <c r="H1292" s="25" t="s">
        <v>1637</v>
      </c>
      <c r="I1292" s="102" t="s">
        <v>78</v>
      </c>
      <c r="J1292" s="65" t="s">
        <v>1638</v>
      </c>
      <c r="K1292" s="104"/>
      <c r="L1292" s="48" t="s">
        <v>923</v>
      </c>
      <c r="M1292" s="156">
        <v>43437</v>
      </c>
      <c r="N1292" s="116" t="s">
        <v>182</v>
      </c>
      <c r="O1292" s="68">
        <v>8186</v>
      </c>
      <c r="P1292" s="68">
        <v>16</v>
      </c>
      <c r="Q1292" s="51">
        <f t="shared" si="30"/>
        <v>130976</v>
      </c>
      <c r="R1292" s="31">
        <v>202310</v>
      </c>
      <c r="S1292" s="107" t="s">
        <v>1672</v>
      </c>
      <c r="T1292" s="33"/>
      <c r="U1292" s="109"/>
      <c r="V1292" s="67"/>
      <c r="W1292" s="67"/>
      <c r="X1292" s="67"/>
      <c r="Y1292" s="36"/>
      <c r="Z1292" s="36"/>
      <c r="AA1292" s="36"/>
      <c r="AB1292" s="36"/>
      <c r="AC1292" s="36"/>
      <c r="AD1292" s="36"/>
      <c r="AE1292" s="36"/>
      <c r="AF1292" s="53" t="s">
        <v>68</v>
      </c>
      <c r="AG1292" s="42"/>
      <c r="AH1292" s="42"/>
      <c r="AI1292" s="43"/>
      <c r="AJ1292" s="43"/>
      <c r="AK1292" s="43"/>
      <c r="AL1292" s="43"/>
      <c r="AM1292" s="43"/>
      <c r="AN1292" s="42"/>
      <c r="AO1292" s="42"/>
      <c r="AP1292" s="42"/>
      <c r="AQ1292" s="43"/>
      <c r="AR1292" s="42"/>
      <c r="AS1292" s="42"/>
    </row>
    <row r="1293" spans="1:45" ht="15" customHeight="1">
      <c r="A1293" s="21" t="s">
        <v>260</v>
      </c>
      <c r="B1293" s="21" t="s">
        <v>46</v>
      </c>
      <c r="C1293" s="21" t="s">
        <v>188</v>
      </c>
      <c r="D1293" s="21" t="s">
        <v>48</v>
      </c>
      <c r="E1293" s="80" t="s">
        <v>1636</v>
      </c>
      <c r="F1293" s="21" t="s">
        <v>920</v>
      </c>
      <c r="G1293" s="101" t="s">
        <v>77</v>
      </c>
      <c r="H1293" s="25" t="s">
        <v>1637</v>
      </c>
      <c r="I1293" s="102" t="s">
        <v>78</v>
      </c>
      <c r="J1293" s="65" t="s">
        <v>1638</v>
      </c>
      <c r="K1293" s="104"/>
      <c r="L1293" s="48" t="s">
        <v>923</v>
      </c>
      <c r="M1293" s="156">
        <v>43448</v>
      </c>
      <c r="N1293" s="116" t="s">
        <v>182</v>
      </c>
      <c r="O1293" s="68">
        <v>8186</v>
      </c>
      <c r="P1293" s="68">
        <v>2</v>
      </c>
      <c r="Q1293" s="51">
        <f t="shared" si="30"/>
        <v>16372</v>
      </c>
      <c r="R1293" s="31">
        <v>202310</v>
      </c>
      <c r="S1293" s="107" t="s">
        <v>1673</v>
      </c>
      <c r="T1293" s="33"/>
      <c r="U1293" s="109"/>
      <c r="V1293" s="67"/>
      <c r="W1293" s="67"/>
      <c r="X1293" s="67"/>
      <c r="Y1293" s="36"/>
      <c r="Z1293" s="36"/>
      <c r="AA1293" s="36"/>
      <c r="AB1293" s="36"/>
      <c r="AC1293" s="36"/>
      <c r="AD1293" s="36"/>
      <c r="AE1293" s="36"/>
      <c r="AF1293" s="53" t="s">
        <v>68</v>
      </c>
      <c r="AG1293" s="42"/>
      <c r="AH1293" s="42"/>
      <c r="AI1293" s="43"/>
      <c r="AJ1293" s="43"/>
      <c r="AK1293" s="43"/>
      <c r="AL1293" s="43"/>
      <c r="AM1293" s="43"/>
      <c r="AN1293" s="42"/>
      <c r="AO1293" s="42"/>
      <c r="AP1293" s="42"/>
      <c r="AQ1293" s="43"/>
      <c r="AR1293" s="42"/>
      <c r="AS1293" s="42"/>
    </row>
    <row r="1294" spans="1:45" ht="15" customHeight="1">
      <c r="A1294" s="21" t="s">
        <v>260</v>
      </c>
      <c r="B1294" s="21" t="s">
        <v>46</v>
      </c>
      <c r="C1294" s="21" t="s">
        <v>188</v>
      </c>
      <c r="D1294" s="21" t="s">
        <v>48</v>
      </c>
      <c r="E1294" s="80" t="s">
        <v>1636</v>
      </c>
      <c r="F1294" s="21" t="s">
        <v>920</v>
      </c>
      <c r="G1294" s="101" t="s">
        <v>77</v>
      </c>
      <c r="H1294" s="25" t="s">
        <v>1637</v>
      </c>
      <c r="I1294" s="102" t="s">
        <v>78</v>
      </c>
      <c r="J1294" s="65" t="s">
        <v>1638</v>
      </c>
      <c r="K1294" s="104"/>
      <c r="L1294" s="48" t="s">
        <v>923</v>
      </c>
      <c r="M1294" s="156">
        <v>43454</v>
      </c>
      <c r="N1294" s="116" t="s">
        <v>182</v>
      </c>
      <c r="O1294" s="68">
        <v>8186</v>
      </c>
      <c r="P1294" s="68">
        <v>9</v>
      </c>
      <c r="Q1294" s="51">
        <f t="shared" si="30"/>
        <v>73674</v>
      </c>
      <c r="R1294" s="31">
        <v>202310</v>
      </c>
      <c r="S1294" s="107" t="s">
        <v>1674</v>
      </c>
      <c r="T1294" s="33"/>
      <c r="U1294" s="109"/>
      <c r="V1294" s="67"/>
      <c r="W1294" s="67"/>
      <c r="X1294" s="67"/>
      <c r="Y1294" s="36"/>
      <c r="Z1294" s="36"/>
      <c r="AA1294" s="36"/>
      <c r="AB1294" s="36"/>
      <c r="AC1294" s="36"/>
      <c r="AD1294" s="36"/>
      <c r="AE1294" s="36"/>
      <c r="AF1294" s="53" t="s">
        <v>68</v>
      </c>
      <c r="AG1294" s="42"/>
      <c r="AH1294" s="42"/>
      <c r="AI1294" s="43"/>
      <c r="AJ1294" s="43"/>
      <c r="AK1294" s="43"/>
      <c r="AL1294" s="43"/>
      <c r="AM1294" s="43"/>
      <c r="AN1294" s="42"/>
      <c r="AO1294" s="42"/>
      <c r="AP1294" s="42"/>
      <c r="AQ1294" s="43"/>
      <c r="AR1294" s="42"/>
      <c r="AS1294" s="42"/>
    </row>
    <row r="1295" spans="1:45" ht="15" customHeight="1">
      <c r="A1295" s="21" t="s">
        <v>260</v>
      </c>
      <c r="B1295" s="21" t="s">
        <v>46</v>
      </c>
      <c r="C1295" s="21" t="s">
        <v>188</v>
      </c>
      <c r="D1295" s="21" t="s">
        <v>48</v>
      </c>
      <c r="E1295" s="80" t="s">
        <v>1636</v>
      </c>
      <c r="F1295" s="21" t="s">
        <v>920</v>
      </c>
      <c r="G1295" s="101" t="s">
        <v>77</v>
      </c>
      <c r="H1295" s="25" t="s">
        <v>1637</v>
      </c>
      <c r="I1295" s="102" t="s">
        <v>78</v>
      </c>
      <c r="J1295" s="65" t="s">
        <v>1638</v>
      </c>
      <c r="K1295" s="104"/>
      <c r="L1295" s="48" t="s">
        <v>923</v>
      </c>
      <c r="M1295" s="156">
        <v>43463</v>
      </c>
      <c r="N1295" s="116" t="s">
        <v>182</v>
      </c>
      <c r="O1295" s="68">
        <v>8186</v>
      </c>
      <c r="P1295" s="68">
        <v>7</v>
      </c>
      <c r="Q1295" s="51">
        <f t="shared" si="30"/>
        <v>57302</v>
      </c>
      <c r="R1295" s="31">
        <v>202310</v>
      </c>
      <c r="S1295" s="107" t="s">
        <v>1675</v>
      </c>
      <c r="T1295" s="33"/>
      <c r="U1295" s="109"/>
      <c r="V1295" s="67"/>
      <c r="W1295" s="67"/>
      <c r="X1295" s="67"/>
      <c r="Y1295" s="36"/>
      <c r="Z1295" s="36"/>
      <c r="AA1295" s="36"/>
      <c r="AB1295" s="36"/>
      <c r="AC1295" s="36"/>
      <c r="AD1295" s="36"/>
      <c r="AE1295" s="36"/>
      <c r="AF1295" s="53" t="s">
        <v>68</v>
      </c>
      <c r="AG1295" s="42"/>
      <c r="AH1295" s="42"/>
      <c r="AI1295" s="43"/>
      <c r="AJ1295" s="43"/>
      <c r="AK1295" s="43"/>
      <c r="AL1295" s="43"/>
      <c r="AM1295" s="43"/>
      <c r="AN1295" s="42"/>
      <c r="AO1295" s="42"/>
      <c r="AP1295" s="42"/>
      <c r="AQ1295" s="43"/>
      <c r="AR1295" s="42"/>
      <c r="AS1295" s="42"/>
    </row>
    <row r="1296" spans="1:45" ht="15" customHeight="1">
      <c r="A1296" s="21" t="s">
        <v>260</v>
      </c>
      <c r="B1296" s="21" t="s">
        <v>46</v>
      </c>
      <c r="C1296" s="21" t="s">
        <v>188</v>
      </c>
      <c r="D1296" s="21" t="s">
        <v>48</v>
      </c>
      <c r="E1296" s="80" t="s">
        <v>1636</v>
      </c>
      <c r="F1296" s="21" t="s">
        <v>920</v>
      </c>
      <c r="G1296" s="101" t="s">
        <v>77</v>
      </c>
      <c r="H1296" s="25" t="s">
        <v>1637</v>
      </c>
      <c r="I1296" s="102" t="s">
        <v>78</v>
      </c>
      <c r="J1296" s="65" t="s">
        <v>1638</v>
      </c>
      <c r="K1296" s="104"/>
      <c r="L1296" s="48" t="s">
        <v>923</v>
      </c>
      <c r="M1296" s="156">
        <v>43480</v>
      </c>
      <c r="N1296" s="116" t="s">
        <v>182</v>
      </c>
      <c r="O1296" s="68">
        <v>8186</v>
      </c>
      <c r="P1296" s="68">
        <v>9</v>
      </c>
      <c r="Q1296" s="51">
        <f t="shared" si="30"/>
        <v>73674</v>
      </c>
      <c r="R1296" s="31">
        <v>202310</v>
      </c>
      <c r="S1296" s="107"/>
      <c r="T1296" s="33"/>
      <c r="U1296" s="109"/>
      <c r="V1296" s="67"/>
      <c r="W1296" s="67"/>
      <c r="X1296" s="67"/>
      <c r="Y1296" s="36"/>
      <c r="Z1296" s="36"/>
      <c r="AA1296" s="36"/>
      <c r="AB1296" s="36"/>
      <c r="AC1296" s="36"/>
      <c r="AD1296" s="36"/>
      <c r="AE1296" s="36"/>
      <c r="AF1296" s="53" t="s">
        <v>68</v>
      </c>
      <c r="AG1296" s="42"/>
      <c r="AH1296" s="42"/>
      <c r="AI1296" s="43"/>
      <c r="AJ1296" s="43"/>
      <c r="AK1296" s="43"/>
      <c r="AL1296" s="43"/>
      <c r="AM1296" s="43"/>
      <c r="AN1296" s="42"/>
      <c r="AO1296" s="42"/>
      <c r="AP1296" s="42"/>
      <c r="AQ1296" s="43"/>
      <c r="AR1296" s="42"/>
      <c r="AS1296" s="42"/>
    </row>
    <row r="1297" spans="1:45" ht="15" customHeight="1">
      <c r="A1297" s="21" t="s">
        <v>260</v>
      </c>
      <c r="B1297" s="21" t="s">
        <v>46</v>
      </c>
      <c r="C1297" s="21" t="s">
        <v>188</v>
      </c>
      <c r="D1297" s="21" t="s">
        <v>48</v>
      </c>
      <c r="E1297" s="80" t="s">
        <v>1636</v>
      </c>
      <c r="F1297" s="21" t="s">
        <v>920</v>
      </c>
      <c r="G1297" s="101" t="s">
        <v>77</v>
      </c>
      <c r="H1297" s="25" t="s">
        <v>1637</v>
      </c>
      <c r="I1297" s="102" t="s">
        <v>78</v>
      </c>
      <c r="J1297" s="65" t="s">
        <v>1638</v>
      </c>
      <c r="K1297" s="104"/>
      <c r="L1297" s="48" t="s">
        <v>923</v>
      </c>
      <c r="M1297" s="156">
        <v>43481</v>
      </c>
      <c r="N1297" s="116" t="s">
        <v>182</v>
      </c>
      <c r="O1297" s="68">
        <v>8186</v>
      </c>
      <c r="P1297" s="68">
        <v>2</v>
      </c>
      <c r="Q1297" s="51">
        <f t="shared" si="30"/>
        <v>16372</v>
      </c>
      <c r="R1297" s="31">
        <v>202310</v>
      </c>
      <c r="S1297" s="107" t="s">
        <v>1676</v>
      </c>
      <c r="T1297" s="33"/>
      <c r="U1297" s="109"/>
      <c r="V1297" s="67"/>
      <c r="W1297" s="67"/>
      <c r="X1297" s="67"/>
      <c r="Y1297" s="36"/>
      <c r="Z1297" s="36"/>
      <c r="AA1297" s="36"/>
      <c r="AB1297" s="36"/>
      <c r="AC1297" s="36"/>
      <c r="AD1297" s="36"/>
      <c r="AE1297" s="36"/>
      <c r="AF1297" s="53" t="s">
        <v>68</v>
      </c>
      <c r="AG1297" s="42"/>
      <c r="AH1297" s="42"/>
      <c r="AI1297" s="43"/>
      <c r="AJ1297" s="43"/>
      <c r="AK1297" s="43"/>
      <c r="AL1297" s="43"/>
      <c r="AM1297" s="43"/>
      <c r="AN1297" s="42"/>
      <c r="AO1297" s="42"/>
      <c r="AP1297" s="42"/>
      <c r="AQ1297" s="43"/>
      <c r="AR1297" s="42"/>
      <c r="AS1297" s="42"/>
    </row>
    <row r="1298" spans="1:45" ht="15" customHeight="1">
      <c r="A1298" s="21" t="s">
        <v>260</v>
      </c>
      <c r="B1298" s="21" t="s">
        <v>46</v>
      </c>
      <c r="C1298" s="21" t="s">
        <v>188</v>
      </c>
      <c r="D1298" s="21" t="s">
        <v>48</v>
      </c>
      <c r="E1298" s="80" t="s">
        <v>1636</v>
      </c>
      <c r="F1298" s="21" t="s">
        <v>920</v>
      </c>
      <c r="G1298" s="101" t="s">
        <v>77</v>
      </c>
      <c r="H1298" s="25" t="s">
        <v>1637</v>
      </c>
      <c r="I1298" s="102" t="s">
        <v>78</v>
      </c>
      <c r="J1298" s="65" t="s">
        <v>1638</v>
      </c>
      <c r="K1298" s="104"/>
      <c r="L1298" s="48" t="s">
        <v>923</v>
      </c>
      <c r="M1298" s="156">
        <v>43484</v>
      </c>
      <c r="N1298" s="116" t="s">
        <v>182</v>
      </c>
      <c r="O1298" s="68">
        <v>8186</v>
      </c>
      <c r="P1298" s="68">
        <v>1</v>
      </c>
      <c r="Q1298" s="51">
        <f t="shared" si="30"/>
        <v>8186</v>
      </c>
      <c r="R1298" s="31">
        <v>202310</v>
      </c>
      <c r="S1298" s="107" t="s">
        <v>1677</v>
      </c>
      <c r="T1298" s="33"/>
      <c r="U1298" s="109"/>
      <c r="V1298" s="67"/>
      <c r="W1298" s="67"/>
      <c r="X1298" s="67"/>
      <c r="Y1298" s="36"/>
      <c r="Z1298" s="36"/>
      <c r="AA1298" s="36"/>
      <c r="AB1298" s="36"/>
      <c r="AC1298" s="36"/>
      <c r="AD1298" s="36"/>
      <c r="AE1298" s="36"/>
      <c r="AF1298" s="53" t="s">
        <v>68</v>
      </c>
      <c r="AG1298" s="42"/>
      <c r="AH1298" s="42"/>
      <c r="AI1298" s="43"/>
      <c r="AJ1298" s="43"/>
      <c r="AK1298" s="43"/>
      <c r="AL1298" s="43"/>
      <c r="AM1298" s="43"/>
      <c r="AN1298" s="42"/>
      <c r="AO1298" s="42"/>
      <c r="AP1298" s="42"/>
      <c r="AQ1298" s="43"/>
      <c r="AR1298" s="42"/>
      <c r="AS1298" s="42"/>
    </row>
    <row r="1299" spans="1:45" ht="15" customHeight="1">
      <c r="A1299" s="21" t="s">
        <v>260</v>
      </c>
      <c r="B1299" s="21" t="s">
        <v>46</v>
      </c>
      <c r="C1299" s="21" t="s">
        <v>188</v>
      </c>
      <c r="D1299" s="21" t="s">
        <v>48</v>
      </c>
      <c r="E1299" s="80" t="s">
        <v>1636</v>
      </c>
      <c r="F1299" s="21" t="s">
        <v>920</v>
      </c>
      <c r="G1299" s="101" t="s">
        <v>77</v>
      </c>
      <c r="H1299" s="25" t="s">
        <v>1637</v>
      </c>
      <c r="I1299" s="102" t="s">
        <v>78</v>
      </c>
      <c r="J1299" s="65" t="s">
        <v>1638</v>
      </c>
      <c r="K1299" s="104"/>
      <c r="L1299" s="48" t="s">
        <v>923</v>
      </c>
      <c r="M1299" s="185">
        <v>43485</v>
      </c>
      <c r="N1299" s="105" t="s">
        <v>182</v>
      </c>
      <c r="O1299" s="68">
        <v>8186</v>
      </c>
      <c r="P1299" s="68">
        <v>3</v>
      </c>
      <c r="Q1299" s="51">
        <f t="shared" si="30"/>
        <v>24558</v>
      </c>
      <c r="R1299" s="31">
        <v>202310</v>
      </c>
      <c r="S1299" s="80" t="s">
        <v>1678</v>
      </c>
      <c r="T1299" s="33"/>
      <c r="U1299" s="109"/>
      <c r="V1299" s="186"/>
      <c r="W1299" s="67"/>
      <c r="X1299" s="67"/>
      <c r="Y1299" s="36"/>
      <c r="Z1299" s="36"/>
      <c r="AA1299" s="36"/>
      <c r="AB1299" s="36"/>
      <c r="AC1299" s="36"/>
      <c r="AD1299" s="36"/>
      <c r="AE1299" s="36"/>
      <c r="AF1299" s="53" t="s">
        <v>68</v>
      </c>
      <c r="AG1299" s="42"/>
      <c r="AH1299" s="42"/>
      <c r="AI1299" s="43"/>
      <c r="AJ1299" s="43"/>
      <c r="AK1299" s="43"/>
      <c r="AL1299" s="43"/>
      <c r="AM1299" s="43"/>
      <c r="AN1299" s="42"/>
      <c r="AO1299" s="42"/>
      <c r="AP1299" s="42"/>
      <c r="AQ1299" s="43"/>
      <c r="AR1299" s="42"/>
      <c r="AS1299" s="42"/>
    </row>
    <row r="1300" spans="1:45" ht="15" customHeight="1">
      <c r="A1300" s="21" t="s">
        <v>260</v>
      </c>
      <c r="B1300" s="21" t="s">
        <v>46</v>
      </c>
      <c r="C1300" s="21" t="s">
        <v>188</v>
      </c>
      <c r="D1300" s="21" t="s">
        <v>48</v>
      </c>
      <c r="E1300" s="80" t="s">
        <v>1636</v>
      </c>
      <c r="F1300" s="21" t="s">
        <v>920</v>
      </c>
      <c r="G1300" s="101" t="s">
        <v>77</v>
      </c>
      <c r="H1300" s="25" t="s">
        <v>1637</v>
      </c>
      <c r="I1300" s="102" t="s">
        <v>78</v>
      </c>
      <c r="J1300" s="65" t="s">
        <v>1638</v>
      </c>
      <c r="K1300" s="104"/>
      <c r="L1300" s="48" t="s">
        <v>923</v>
      </c>
      <c r="M1300" s="185">
        <v>43487</v>
      </c>
      <c r="N1300" s="105" t="s">
        <v>182</v>
      </c>
      <c r="O1300" s="68">
        <v>8186</v>
      </c>
      <c r="P1300" s="68">
        <v>4</v>
      </c>
      <c r="Q1300" s="51">
        <f t="shared" si="30"/>
        <v>32744</v>
      </c>
      <c r="R1300" s="31">
        <v>202310</v>
      </c>
      <c r="S1300" s="109" t="s">
        <v>1679</v>
      </c>
      <c r="T1300" s="33"/>
      <c r="U1300" s="109"/>
      <c r="V1300" s="120"/>
      <c r="W1300" s="67"/>
      <c r="X1300" s="67"/>
      <c r="Y1300" s="36"/>
      <c r="Z1300" s="36"/>
      <c r="AA1300" s="36"/>
      <c r="AB1300" s="36"/>
      <c r="AC1300" s="36"/>
      <c r="AD1300" s="36"/>
      <c r="AE1300" s="36"/>
      <c r="AF1300" s="53" t="s">
        <v>68</v>
      </c>
      <c r="AG1300" s="42"/>
      <c r="AH1300" s="42"/>
      <c r="AI1300" s="43"/>
      <c r="AJ1300" s="43"/>
      <c r="AK1300" s="43"/>
      <c r="AL1300" s="43"/>
      <c r="AM1300" s="43"/>
      <c r="AN1300" s="42"/>
      <c r="AO1300" s="42"/>
      <c r="AP1300" s="42"/>
      <c r="AQ1300" s="43"/>
      <c r="AR1300" s="42"/>
      <c r="AS1300" s="42"/>
    </row>
    <row r="1301" spans="1:45" ht="15" customHeight="1">
      <c r="A1301" s="21" t="s">
        <v>260</v>
      </c>
      <c r="B1301" s="21" t="s">
        <v>46</v>
      </c>
      <c r="C1301" s="21" t="s">
        <v>188</v>
      </c>
      <c r="D1301" s="21" t="s">
        <v>48</v>
      </c>
      <c r="E1301" s="80" t="s">
        <v>1636</v>
      </c>
      <c r="F1301" s="21" t="s">
        <v>920</v>
      </c>
      <c r="G1301" s="101" t="s">
        <v>77</v>
      </c>
      <c r="H1301" s="25" t="s">
        <v>1637</v>
      </c>
      <c r="I1301" s="102" t="s">
        <v>78</v>
      </c>
      <c r="J1301" s="65" t="s">
        <v>1638</v>
      </c>
      <c r="K1301" s="104"/>
      <c r="L1301" s="48" t="s">
        <v>923</v>
      </c>
      <c r="M1301" s="185">
        <v>43494</v>
      </c>
      <c r="N1301" s="105" t="s">
        <v>182</v>
      </c>
      <c r="O1301" s="68">
        <v>8186</v>
      </c>
      <c r="P1301" s="68">
        <v>1</v>
      </c>
      <c r="Q1301" s="51">
        <f t="shared" si="30"/>
        <v>8186</v>
      </c>
      <c r="R1301" s="31">
        <v>202310</v>
      </c>
      <c r="S1301" s="109" t="s">
        <v>1680</v>
      </c>
      <c r="T1301" s="33"/>
      <c r="U1301" s="109"/>
      <c r="V1301" s="120"/>
      <c r="W1301" s="67"/>
      <c r="X1301" s="67"/>
      <c r="Y1301" s="36"/>
      <c r="Z1301" s="36"/>
      <c r="AA1301" s="36"/>
      <c r="AB1301" s="36"/>
      <c r="AC1301" s="36"/>
      <c r="AD1301" s="36"/>
      <c r="AE1301" s="36"/>
      <c r="AF1301" s="53" t="s">
        <v>68</v>
      </c>
      <c r="AG1301" s="42"/>
      <c r="AH1301" s="42"/>
      <c r="AI1301" s="43"/>
      <c r="AJ1301" s="43"/>
      <c r="AK1301" s="43"/>
      <c r="AL1301" s="43"/>
      <c r="AM1301" s="43"/>
      <c r="AN1301" s="42"/>
      <c r="AO1301" s="42"/>
      <c r="AP1301" s="42"/>
      <c r="AQ1301" s="43"/>
      <c r="AR1301" s="42"/>
      <c r="AS1301" s="42"/>
    </row>
    <row r="1302" spans="1:45" ht="15" customHeight="1">
      <c r="A1302" s="21" t="s">
        <v>260</v>
      </c>
      <c r="B1302" s="21" t="s">
        <v>46</v>
      </c>
      <c r="C1302" s="21" t="s">
        <v>188</v>
      </c>
      <c r="D1302" s="21" t="s">
        <v>48</v>
      </c>
      <c r="E1302" s="80" t="s">
        <v>1636</v>
      </c>
      <c r="F1302" s="21" t="s">
        <v>920</v>
      </c>
      <c r="G1302" s="101" t="s">
        <v>77</v>
      </c>
      <c r="H1302" s="25" t="s">
        <v>1637</v>
      </c>
      <c r="I1302" s="102" t="s">
        <v>78</v>
      </c>
      <c r="J1302" s="65" t="s">
        <v>1638</v>
      </c>
      <c r="K1302" s="104"/>
      <c r="L1302" s="48" t="s">
        <v>923</v>
      </c>
      <c r="M1302" s="185">
        <v>43518</v>
      </c>
      <c r="N1302" s="105" t="s">
        <v>182</v>
      </c>
      <c r="O1302" s="68">
        <v>8186</v>
      </c>
      <c r="P1302" s="68">
        <v>1</v>
      </c>
      <c r="Q1302" s="51">
        <f t="shared" si="30"/>
        <v>8186</v>
      </c>
      <c r="R1302" s="31">
        <v>202310</v>
      </c>
      <c r="S1302" s="187" t="s">
        <v>1681</v>
      </c>
      <c r="T1302" s="33"/>
      <c r="U1302" s="109"/>
      <c r="V1302" s="188"/>
      <c r="W1302" s="67"/>
      <c r="X1302" s="67"/>
      <c r="Y1302" s="36"/>
      <c r="Z1302" s="36"/>
      <c r="AA1302" s="36"/>
      <c r="AB1302" s="36"/>
      <c r="AC1302" s="36"/>
      <c r="AD1302" s="36"/>
      <c r="AE1302" s="36"/>
      <c r="AF1302" s="53" t="s">
        <v>68</v>
      </c>
      <c r="AG1302" s="42"/>
      <c r="AH1302" s="42"/>
      <c r="AI1302" s="43"/>
      <c r="AJ1302" s="43"/>
      <c r="AK1302" s="43"/>
      <c r="AL1302" s="43"/>
      <c r="AM1302" s="43"/>
      <c r="AN1302" s="42"/>
      <c r="AO1302" s="42"/>
      <c r="AP1302" s="42"/>
      <c r="AQ1302" s="43"/>
      <c r="AR1302" s="42"/>
      <c r="AS1302" s="42"/>
    </row>
    <row r="1303" spans="1:45" ht="15" customHeight="1">
      <c r="A1303" s="21" t="s">
        <v>260</v>
      </c>
      <c r="B1303" s="21" t="s">
        <v>46</v>
      </c>
      <c r="C1303" s="21" t="s">
        <v>188</v>
      </c>
      <c r="D1303" s="21" t="s">
        <v>48</v>
      </c>
      <c r="E1303" s="80" t="s">
        <v>1636</v>
      </c>
      <c r="F1303" s="21" t="s">
        <v>920</v>
      </c>
      <c r="G1303" s="101" t="s">
        <v>77</v>
      </c>
      <c r="H1303" s="25" t="s">
        <v>1637</v>
      </c>
      <c r="I1303" s="102" t="s">
        <v>78</v>
      </c>
      <c r="J1303" s="65" t="s">
        <v>1638</v>
      </c>
      <c r="K1303" s="104"/>
      <c r="L1303" s="48" t="s">
        <v>923</v>
      </c>
      <c r="M1303" s="185">
        <v>43521</v>
      </c>
      <c r="N1303" s="105" t="s">
        <v>182</v>
      </c>
      <c r="O1303" s="68">
        <v>8186</v>
      </c>
      <c r="P1303" s="68">
        <v>4</v>
      </c>
      <c r="Q1303" s="51">
        <f t="shared" si="30"/>
        <v>32744</v>
      </c>
      <c r="R1303" s="31">
        <v>202310</v>
      </c>
      <c r="S1303" s="109" t="s">
        <v>1682</v>
      </c>
      <c r="T1303" s="33"/>
      <c r="U1303" s="109"/>
      <c r="V1303" s="120"/>
      <c r="W1303" s="67"/>
      <c r="X1303" s="67"/>
      <c r="Y1303" s="36"/>
      <c r="Z1303" s="36"/>
      <c r="AA1303" s="36"/>
      <c r="AB1303" s="36"/>
      <c r="AC1303" s="36"/>
      <c r="AD1303" s="36"/>
      <c r="AE1303" s="36"/>
      <c r="AF1303" s="53" t="s">
        <v>68</v>
      </c>
      <c r="AG1303" s="42"/>
      <c r="AH1303" s="42"/>
      <c r="AI1303" s="43"/>
      <c r="AJ1303" s="43"/>
      <c r="AK1303" s="43"/>
      <c r="AL1303" s="43"/>
      <c r="AM1303" s="43"/>
      <c r="AN1303" s="42"/>
      <c r="AO1303" s="42"/>
      <c r="AP1303" s="42"/>
      <c r="AQ1303" s="43"/>
      <c r="AR1303" s="42"/>
      <c r="AS1303" s="42"/>
    </row>
    <row r="1304" spans="1:45" ht="15" customHeight="1">
      <c r="A1304" s="21" t="s">
        <v>260</v>
      </c>
      <c r="B1304" s="21" t="s">
        <v>46</v>
      </c>
      <c r="C1304" s="21" t="s">
        <v>188</v>
      </c>
      <c r="D1304" s="21" t="s">
        <v>48</v>
      </c>
      <c r="E1304" s="80" t="s">
        <v>1636</v>
      </c>
      <c r="F1304" s="21" t="s">
        <v>920</v>
      </c>
      <c r="G1304" s="101" t="s">
        <v>77</v>
      </c>
      <c r="H1304" s="25" t="s">
        <v>1637</v>
      </c>
      <c r="I1304" s="102" t="s">
        <v>78</v>
      </c>
      <c r="J1304" s="65" t="s">
        <v>1638</v>
      </c>
      <c r="K1304" s="104"/>
      <c r="L1304" s="48" t="s">
        <v>923</v>
      </c>
      <c r="M1304" s="185">
        <v>43423</v>
      </c>
      <c r="N1304" s="105" t="s">
        <v>177</v>
      </c>
      <c r="O1304" s="68">
        <v>5900</v>
      </c>
      <c r="P1304" s="106">
        <v>13</v>
      </c>
      <c r="Q1304" s="51">
        <f t="shared" si="30"/>
        <v>76700</v>
      </c>
      <c r="R1304" s="31">
        <v>202310</v>
      </c>
      <c r="S1304" s="109" t="s">
        <v>1683</v>
      </c>
      <c r="T1304" s="33"/>
      <c r="U1304" s="183"/>
      <c r="V1304" s="120"/>
      <c r="W1304" s="67"/>
      <c r="X1304" s="67"/>
      <c r="Y1304" s="36"/>
      <c r="Z1304" s="36"/>
      <c r="AA1304" s="36"/>
      <c r="AB1304" s="36"/>
      <c r="AC1304" s="36"/>
      <c r="AD1304" s="36"/>
      <c r="AE1304" s="36"/>
      <c r="AF1304" s="53" t="s">
        <v>68</v>
      </c>
      <c r="AG1304" s="42"/>
      <c r="AH1304" s="42"/>
      <c r="AI1304" s="43"/>
      <c r="AJ1304" s="43"/>
      <c r="AK1304" s="43"/>
      <c r="AL1304" s="43"/>
      <c r="AM1304" s="43"/>
      <c r="AN1304" s="42"/>
      <c r="AO1304" s="42"/>
      <c r="AP1304" s="42"/>
      <c r="AQ1304" s="43"/>
      <c r="AR1304" s="42"/>
      <c r="AS1304" s="42"/>
    </row>
    <row r="1305" spans="1:45" ht="15" customHeight="1">
      <c r="A1305" s="21" t="s">
        <v>260</v>
      </c>
      <c r="B1305" s="21" t="s">
        <v>46</v>
      </c>
      <c r="C1305" s="21" t="s">
        <v>188</v>
      </c>
      <c r="D1305" s="21" t="s">
        <v>48</v>
      </c>
      <c r="E1305" s="80" t="s">
        <v>1636</v>
      </c>
      <c r="F1305" s="21" t="s">
        <v>920</v>
      </c>
      <c r="G1305" s="101" t="s">
        <v>77</v>
      </c>
      <c r="H1305" s="25" t="s">
        <v>1637</v>
      </c>
      <c r="I1305" s="102" t="s">
        <v>78</v>
      </c>
      <c r="J1305" s="65" t="s">
        <v>1638</v>
      </c>
      <c r="K1305" s="104"/>
      <c r="L1305" s="48" t="s">
        <v>923</v>
      </c>
      <c r="M1305" s="185">
        <v>43459</v>
      </c>
      <c r="N1305" s="105" t="s">
        <v>182</v>
      </c>
      <c r="O1305" s="68">
        <v>8186</v>
      </c>
      <c r="P1305" s="68">
        <v>5</v>
      </c>
      <c r="Q1305" s="51">
        <f t="shared" si="30"/>
        <v>40930</v>
      </c>
      <c r="R1305" s="31">
        <v>202310</v>
      </c>
      <c r="S1305" s="187" t="s">
        <v>1684</v>
      </c>
      <c r="T1305" s="33"/>
      <c r="U1305" s="109"/>
      <c r="V1305" s="188"/>
      <c r="W1305" s="67"/>
      <c r="X1305" s="67"/>
      <c r="Y1305" s="36"/>
      <c r="Z1305" s="36"/>
      <c r="AA1305" s="36"/>
      <c r="AB1305" s="36"/>
      <c r="AC1305" s="36"/>
      <c r="AD1305" s="36"/>
      <c r="AE1305" s="36"/>
      <c r="AF1305" s="53" t="s">
        <v>68</v>
      </c>
      <c r="AG1305" s="42"/>
      <c r="AH1305" s="42"/>
      <c r="AI1305" s="43"/>
      <c r="AJ1305" s="43"/>
      <c r="AK1305" s="43"/>
      <c r="AL1305" s="43"/>
      <c r="AM1305" s="43"/>
      <c r="AN1305" s="42"/>
      <c r="AO1305" s="42"/>
      <c r="AP1305" s="42"/>
      <c r="AQ1305" s="43"/>
      <c r="AR1305" s="42"/>
      <c r="AS1305" s="42"/>
    </row>
    <row r="1306" spans="1:45" ht="15" customHeight="1">
      <c r="A1306" s="21" t="s">
        <v>260</v>
      </c>
      <c r="B1306" s="21" t="s">
        <v>46</v>
      </c>
      <c r="C1306" s="21" t="s">
        <v>188</v>
      </c>
      <c r="D1306" s="21" t="s">
        <v>48</v>
      </c>
      <c r="E1306" s="80" t="s">
        <v>1636</v>
      </c>
      <c r="F1306" s="21" t="s">
        <v>920</v>
      </c>
      <c r="G1306" s="101" t="s">
        <v>77</v>
      </c>
      <c r="H1306" s="25" t="s">
        <v>1637</v>
      </c>
      <c r="I1306" s="102" t="s">
        <v>78</v>
      </c>
      <c r="J1306" s="65" t="s">
        <v>1638</v>
      </c>
      <c r="K1306" s="104"/>
      <c r="L1306" s="48" t="s">
        <v>923</v>
      </c>
      <c r="M1306" s="185">
        <v>43460</v>
      </c>
      <c r="N1306" s="105" t="s">
        <v>182</v>
      </c>
      <c r="O1306" s="68">
        <v>8186</v>
      </c>
      <c r="P1306" s="68">
        <v>3</v>
      </c>
      <c r="Q1306" s="51">
        <f t="shared" si="30"/>
        <v>24558</v>
      </c>
      <c r="R1306" s="31">
        <v>202310</v>
      </c>
      <c r="S1306" s="109" t="s">
        <v>1685</v>
      </c>
      <c r="T1306" s="33"/>
      <c r="U1306" s="109"/>
      <c r="V1306" s="120"/>
      <c r="W1306" s="67"/>
      <c r="X1306" s="67"/>
      <c r="Y1306" s="36"/>
      <c r="Z1306" s="36"/>
      <c r="AA1306" s="36"/>
      <c r="AB1306" s="36"/>
      <c r="AC1306" s="36"/>
      <c r="AD1306" s="36"/>
      <c r="AE1306" s="36"/>
      <c r="AF1306" s="53" t="s">
        <v>68</v>
      </c>
      <c r="AG1306" s="42"/>
      <c r="AH1306" s="42"/>
      <c r="AI1306" s="43"/>
      <c r="AJ1306" s="43"/>
      <c r="AK1306" s="43"/>
      <c r="AL1306" s="43"/>
      <c r="AM1306" s="43"/>
      <c r="AN1306" s="42"/>
      <c r="AO1306" s="42"/>
      <c r="AP1306" s="42"/>
      <c r="AQ1306" s="43"/>
      <c r="AR1306" s="42"/>
      <c r="AS1306" s="42"/>
    </row>
    <row r="1307" spans="1:45" ht="15" customHeight="1">
      <c r="A1307" s="21" t="s">
        <v>260</v>
      </c>
      <c r="B1307" s="21" t="s">
        <v>46</v>
      </c>
      <c r="C1307" s="21" t="s">
        <v>188</v>
      </c>
      <c r="D1307" s="21" t="s">
        <v>48</v>
      </c>
      <c r="E1307" s="80" t="s">
        <v>1636</v>
      </c>
      <c r="F1307" s="21" t="s">
        <v>920</v>
      </c>
      <c r="G1307" s="101" t="s">
        <v>77</v>
      </c>
      <c r="H1307" s="25" t="s">
        <v>1637</v>
      </c>
      <c r="I1307" s="102" t="s">
        <v>78</v>
      </c>
      <c r="J1307" s="65" t="s">
        <v>1638</v>
      </c>
      <c r="K1307" s="104"/>
      <c r="L1307" s="48" t="s">
        <v>923</v>
      </c>
      <c r="M1307" s="185">
        <v>43438</v>
      </c>
      <c r="N1307" s="105" t="s">
        <v>177</v>
      </c>
      <c r="O1307" s="68">
        <v>5900</v>
      </c>
      <c r="P1307" s="68">
        <v>4</v>
      </c>
      <c r="Q1307" s="51">
        <f t="shared" si="30"/>
        <v>23600</v>
      </c>
      <c r="R1307" s="31">
        <v>202310</v>
      </c>
      <c r="S1307" s="109" t="s">
        <v>1686</v>
      </c>
      <c r="T1307" s="33"/>
      <c r="U1307" s="183"/>
      <c r="V1307" s="120"/>
      <c r="W1307" s="67"/>
      <c r="X1307" s="67"/>
      <c r="Y1307" s="36"/>
      <c r="Z1307" s="36"/>
      <c r="AA1307" s="36"/>
      <c r="AB1307" s="36"/>
      <c r="AC1307" s="36"/>
      <c r="AD1307" s="36"/>
      <c r="AE1307" s="36"/>
      <c r="AF1307" s="53" t="s">
        <v>68</v>
      </c>
      <c r="AG1307" s="42"/>
      <c r="AH1307" s="42"/>
      <c r="AI1307" s="43"/>
      <c r="AJ1307" s="43"/>
      <c r="AK1307" s="43"/>
      <c r="AL1307" s="43"/>
      <c r="AM1307" s="43"/>
      <c r="AN1307" s="42"/>
      <c r="AO1307" s="42"/>
      <c r="AP1307" s="42"/>
      <c r="AQ1307" s="43"/>
      <c r="AR1307" s="42"/>
      <c r="AS1307" s="42"/>
    </row>
    <row r="1308" spans="1:45" ht="15" customHeight="1">
      <c r="A1308" s="21" t="s">
        <v>260</v>
      </c>
      <c r="B1308" s="21" t="s">
        <v>46</v>
      </c>
      <c r="C1308" s="21" t="s">
        <v>188</v>
      </c>
      <c r="D1308" s="21" t="s">
        <v>48</v>
      </c>
      <c r="E1308" s="80" t="s">
        <v>1636</v>
      </c>
      <c r="F1308" s="21" t="s">
        <v>920</v>
      </c>
      <c r="G1308" s="101" t="s">
        <v>77</v>
      </c>
      <c r="H1308" s="25" t="s">
        <v>1637</v>
      </c>
      <c r="I1308" s="102" t="s">
        <v>78</v>
      </c>
      <c r="J1308" s="65" t="s">
        <v>1638</v>
      </c>
      <c r="K1308" s="104"/>
      <c r="L1308" s="48" t="s">
        <v>923</v>
      </c>
      <c r="M1308" s="185">
        <v>43438</v>
      </c>
      <c r="N1308" s="105" t="s">
        <v>177</v>
      </c>
      <c r="O1308" s="68">
        <v>5900</v>
      </c>
      <c r="P1308" s="68">
        <v>-9</v>
      </c>
      <c r="Q1308" s="51">
        <f t="shared" si="30"/>
        <v>-53100</v>
      </c>
      <c r="R1308" s="31">
        <v>202310</v>
      </c>
      <c r="S1308" s="109" t="s">
        <v>1687</v>
      </c>
      <c r="T1308" s="33"/>
      <c r="U1308" s="183"/>
      <c r="V1308" s="120"/>
      <c r="W1308" s="67"/>
      <c r="X1308" s="67"/>
      <c r="Y1308" s="36"/>
      <c r="Z1308" s="36"/>
      <c r="AA1308" s="36"/>
      <c r="AB1308" s="36"/>
      <c r="AC1308" s="36"/>
      <c r="AD1308" s="36"/>
      <c r="AE1308" s="36"/>
      <c r="AF1308" s="53" t="s">
        <v>68</v>
      </c>
      <c r="AG1308" s="42"/>
      <c r="AH1308" s="42"/>
      <c r="AI1308" s="43"/>
      <c r="AJ1308" s="43"/>
      <c r="AK1308" s="43"/>
      <c r="AL1308" s="43"/>
      <c r="AM1308" s="43"/>
      <c r="AN1308" s="42"/>
      <c r="AO1308" s="42"/>
      <c r="AP1308" s="42"/>
      <c r="AQ1308" s="43"/>
      <c r="AR1308" s="42"/>
      <c r="AS1308" s="42"/>
    </row>
    <row r="1309" spans="1:45" ht="15" customHeight="1">
      <c r="A1309" s="21" t="s">
        <v>260</v>
      </c>
      <c r="B1309" s="21" t="s">
        <v>46</v>
      </c>
      <c r="C1309" s="21" t="s">
        <v>188</v>
      </c>
      <c r="D1309" s="21" t="s">
        <v>48</v>
      </c>
      <c r="E1309" s="80" t="s">
        <v>1636</v>
      </c>
      <c r="F1309" s="21" t="s">
        <v>920</v>
      </c>
      <c r="G1309" s="21" t="s">
        <v>77</v>
      </c>
      <c r="H1309" s="25" t="s">
        <v>1637</v>
      </c>
      <c r="I1309" s="102" t="s">
        <v>78</v>
      </c>
      <c r="J1309" s="65" t="s">
        <v>1638</v>
      </c>
      <c r="K1309" s="21"/>
      <c r="L1309" s="48" t="s">
        <v>923</v>
      </c>
      <c r="M1309" s="27">
        <v>43605</v>
      </c>
      <c r="N1309" s="105" t="s">
        <v>182</v>
      </c>
      <c r="O1309" s="68">
        <v>8186</v>
      </c>
      <c r="P1309" s="68">
        <v>3</v>
      </c>
      <c r="Q1309" s="51">
        <f t="shared" si="30"/>
        <v>24558</v>
      </c>
      <c r="R1309" s="31">
        <v>202310</v>
      </c>
      <c r="S1309" s="80" t="s">
        <v>1688</v>
      </c>
      <c r="T1309" s="33"/>
      <c r="U1309" s="109"/>
      <c r="V1309" s="186"/>
      <c r="W1309" s="67"/>
      <c r="X1309" s="67"/>
      <c r="Y1309" s="36"/>
      <c r="Z1309" s="36"/>
      <c r="AA1309" s="36"/>
      <c r="AB1309" s="36"/>
      <c r="AC1309" s="36"/>
      <c r="AD1309" s="36"/>
      <c r="AE1309" s="36"/>
      <c r="AF1309" s="53" t="s">
        <v>68</v>
      </c>
      <c r="AG1309" s="42"/>
      <c r="AH1309" s="42"/>
      <c r="AI1309" s="43"/>
      <c r="AJ1309" s="43"/>
      <c r="AK1309" s="43"/>
      <c r="AL1309" s="43"/>
      <c r="AM1309" s="43"/>
      <c r="AN1309" s="42"/>
      <c r="AO1309" s="42"/>
      <c r="AP1309" s="42"/>
      <c r="AQ1309" s="43"/>
      <c r="AR1309" s="42"/>
      <c r="AS1309" s="42"/>
    </row>
    <row r="1310" spans="1:45" ht="15" customHeight="1">
      <c r="A1310" s="21" t="s">
        <v>260</v>
      </c>
      <c r="B1310" s="21" t="s">
        <v>46</v>
      </c>
      <c r="C1310" s="21" t="s">
        <v>188</v>
      </c>
      <c r="D1310" s="21" t="s">
        <v>48</v>
      </c>
      <c r="E1310" s="80" t="s">
        <v>1636</v>
      </c>
      <c r="F1310" s="21" t="s">
        <v>920</v>
      </c>
      <c r="G1310" s="21" t="s">
        <v>77</v>
      </c>
      <c r="H1310" s="25" t="s">
        <v>1637</v>
      </c>
      <c r="I1310" s="102" t="s">
        <v>78</v>
      </c>
      <c r="J1310" s="65" t="s">
        <v>1638</v>
      </c>
      <c r="K1310" s="21"/>
      <c r="L1310" s="48" t="s">
        <v>923</v>
      </c>
      <c r="M1310" s="27">
        <v>43606</v>
      </c>
      <c r="N1310" s="105" t="s">
        <v>182</v>
      </c>
      <c r="O1310" s="68">
        <v>8186</v>
      </c>
      <c r="P1310" s="68">
        <v>7</v>
      </c>
      <c r="Q1310" s="51">
        <f t="shared" si="30"/>
        <v>57302</v>
      </c>
      <c r="R1310" s="31">
        <v>202310</v>
      </c>
      <c r="S1310" s="109" t="s">
        <v>1689</v>
      </c>
      <c r="T1310" s="33"/>
      <c r="U1310" s="109"/>
      <c r="V1310" s="120"/>
      <c r="W1310" s="67"/>
      <c r="X1310" s="67"/>
      <c r="Y1310" s="36"/>
      <c r="Z1310" s="36"/>
      <c r="AA1310" s="36"/>
      <c r="AB1310" s="36"/>
      <c r="AC1310" s="36"/>
      <c r="AD1310" s="36"/>
      <c r="AE1310" s="36"/>
      <c r="AF1310" s="53" t="s">
        <v>68</v>
      </c>
      <c r="AG1310" s="42"/>
      <c r="AH1310" s="42"/>
      <c r="AI1310" s="43"/>
      <c r="AJ1310" s="43"/>
      <c r="AK1310" s="43"/>
      <c r="AL1310" s="43"/>
      <c r="AM1310" s="43"/>
      <c r="AN1310" s="42"/>
      <c r="AO1310" s="42"/>
      <c r="AP1310" s="42"/>
      <c r="AQ1310" s="43"/>
      <c r="AR1310" s="42"/>
      <c r="AS1310" s="42"/>
    </row>
    <row r="1311" spans="1:45" ht="15" customHeight="1">
      <c r="A1311" s="21" t="s">
        <v>260</v>
      </c>
      <c r="B1311" s="21" t="s">
        <v>46</v>
      </c>
      <c r="C1311" s="21" t="s">
        <v>188</v>
      </c>
      <c r="D1311" s="21" t="s">
        <v>48</v>
      </c>
      <c r="E1311" s="80" t="s">
        <v>1636</v>
      </c>
      <c r="F1311" s="21" t="s">
        <v>920</v>
      </c>
      <c r="G1311" s="21" t="s">
        <v>77</v>
      </c>
      <c r="H1311" s="25" t="s">
        <v>1637</v>
      </c>
      <c r="I1311" s="102" t="s">
        <v>78</v>
      </c>
      <c r="J1311" s="65" t="s">
        <v>1638</v>
      </c>
      <c r="K1311" s="21"/>
      <c r="L1311" s="48" t="s">
        <v>923</v>
      </c>
      <c r="M1311" s="27">
        <v>43545</v>
      </c>
      <c r="N1311" s="105" t="s">
        <v>182</v>
      </c>
      <c r="O1311" s="68">
        <v>8186</v>
      </c>
      <c r="P1311" s="68">
        <v>6</v>
      </c>
      <c r="Q1311" s="51">
        <f t="shared" si="30"/>
        <v>49116</v>
      </c>
      <c r="R1311" s="31">
        <v>202310</v>
      </c>
      <c r="S1311" s="109" t="s">
        <v>1690</v>
      </c>
      <c r="T1311" s="33"/>
      <c r="U1311" s="109"/>
      <c r="V1311" s="120"/>
      <c r="W1311" s="67"/>
      <c r="X1311" s="67"/>
      <c r="Y1311" s="36"/>
      <c r="Z1311" s="36"/>
      <c r="AA1311" s="36"/>
      <c r="AB1311" s="36"/>
      <c r="AC1311" s="36"/>
      <c r="AD1311" s="36"/>
      <c r="AE1311" s="36"/>
      <c r="AF1311" s="53" t="s">
        <v>68</v>
      </c>
      <c r="AG1311" s="42"/>
      <c r="AH1311" s="42"/>
      <c r="AI1311" s="43"/>
      <c r="AJ1311" s="43"/>
      <c r="AK1311" s="43"/>
      <c r="AL1311" s="43"/>
      <c r="AM1311" s="43"/>
      <c r="AN1311" s="42"/>
      <c r="AO1311" s="42"/>
      <c r="AP1311" s="42"/>
      <c r="AQ1311" s="43"/>
      <c r="AR1311" s="42"/>
      <c r="AS1311" s="42"/>
    </row>
    <row r="1312" spans="1:45" ht="15" customHeight="1">
      <c r="A1312" s="21" t="s">
        <v>260</v>
      </c>
      <c r="B1312" s="21" t="s">
        <v>46</v>
      </c>
      <c r="C1312" s="21" t="s">
        <v>188</v>
      </c>
      <c r="D1312" s="21" t="s">
        <v>48</v>
      </c>
      <c r="E1312" s="80" t="s">
        <v>1636</v>
      </c>
      <c r="F1312" s="21" t="s">
        <v>920</v>
      </c>
      <c r="G1312" s="21" t="s">
        <v>77</v>
      </c>
      <c r="H1312" s="25" t="s">
        <v>1637</v>
      </c>
      <c r="I1312" s="102" t="s">
        <v>78</v>
      </c>
      <c r="J1312" s="65" t="s">
        <v>1638</v>
      </c>
      <c r="K1312" s="21"/>
      <c r="L1312" s="48" t="s">
        <v>923</v>
      </c>
      <c r="M1312" s="27">
        <v>43525</v>
      </c>
      <c r="N1312" s="105" t="s">
        <v>182</v>
      </c>
      <c r="O1312" s="68">
        <v>8186</v>
      </c>
      <c r="P1312" s="68">
        <v>1</v>
      </c>
      <c r="Q1312" s="51">
        <f t="shared" si="30"/>
        <v>8186</v>
      </c>
      <c r="R1312" s="31">
        <v>202310</v>
      </c>
      <c r="S1312" s="109"/>
      <c r="T1312" s="33"/>
      <c r="U1312" s="109"/>
      <c r="V1312" s="120"/>
      <c r="W1312" s="67"/>
      <c r="X1312" s="67"/>
      <c r="Y1312" s="36"/>
      <c r="Z1312" s="36"/>
      <c r="AA1312" s="36"/>
      <c r="AB1312" s="36"/>
      <c r="AC1312" s="36"/>
      <c r="AD1312" s="36"/>
      <c r="AE1312" s="36"/>
      <c r="AF1312" s="53" t="s">
        <v>68</v>
      </c>
      <c r="AG1312" s="42"/>
      <c r="AH1312" s="42"/>
      <c r="AI1312" s="43"/>
      <c r="AJ1312" s="43"/>
      <c r="AK1312" s="43"/>
      <c r="AL1312" s="43"/>
      <c r="AM1312" s="43"/>
      <c r="AN1312" s="42"/>
      <c r="AO1312" s="42"/>
      <c r="AP1312" s="42"/>
      <c r="AQ1312" s="43"/>
      <c r="AR1312" s="42"/>
      <c r="AS1312" s="42"/>
    </row>
    <row r="1313" spans="1:45" ht="15" customHeight="1">
      <c r="A1313" s="21" t="s">
        <v>260</v>
      </c>
      <c r="B1313" s="21" t="s">
        <v>46</v>
      </c>
      <c r="C1313" s="21" t="s">
        <v>188</v>
      </c>
      <c r="D1313" s="21" t="s">
        <v>48</v>
      </c>
      <c r="E1313" s="80" t="s">
        <v>1636</v>
      </c>
      <c r="F1313" s="21" t="s">
        <v>920</v>
      </c>
      <c r="G1313" s="21" t="s">
        <v>77</v>
      </c>
      <c r="H1313" s="25" t="s">
        <v>1637</v>
      </c>
      <c r="I1313" s="102" t="s">
        <v>78</v>
      </c>
      <c r="J1313" s="65" t="s">
        <v>1638</v>
      </c>
      <c r="K1313" s="65"/>
      <c r="L1313" s="48" t="s">
        <v>923</v>
      </c>
      <c r="M1313" s="27"/>
      <c r="N1313" s="105" t="s">
        <v>182</v>
      </c>
      <c r="O1313" s="68">
        <v>8186</v>
      </c>
      <c r="P1313" s="68">
        <v>8</v>
      </c>
      <c r="Q1313" s="51">
        <f t="shared" si="30"/>
        <v>65488</v>
      </c>
      <c r="R1313" s="31">
        <v>202310</v>
      </c>
      <c r="S1313" s="109" t="s">
        <v>1691</v>
      </c>
      <c r="T1313" s="33"/>
      <c r="U1313" s="109"/>
      <c r="V1313" s="120"/>
      <c r="W1313" s="67"/>
      <c r="X1313" s="67"/>
      <c r="Y1313" s="36"/>
      <c r="Z1313" s="36"/>
      <c r="AA1313" s="36"/>
      <c r="AB1313" s="36"/>
      <c r="AC1313" s="36"/>
      <c r="AD1313" s="36"/>
      <c r="AE1313" s="36"/>
      <c r="AF1313" s="53" t="s">
        <v>68</v>
      </c>
      <c r="AG1313" s="42"/>
      <c r="AH1313" s="42"/>
      <c r="AI1313" s="43"/>
      <c r="AJ1313" s="43"/>
      <c r="AK1313" s="43"/>
      <c r="AL1313" s="43"/>
      <c r="AM1313" s="43"/>
      <c r="AN1313" s="42"/>
      <c r="AO1313" s="42"/>
      <c r="AP1313" s="42"/>
      <c r="AQ1313" s="43"/>
      <c r="AR1313" s="42"/>
      <c r="AS1313" s="42"/>
    </row>
    <row r="1314" spans="1:45" ht="15" customHeight="1">
      <c r="A1314" s="21" t="s">
        <v>260</v>
      </c>
      <c r="B1314" s="21" t="s">
        <v>46</v>
      </c>
      <c r="C1314" s="21" t="s">
        <v>188</v>
      </c>
      <c r="D1314" s="21" t="s">
        <v>48</v>
      </c>
      <c r="E1314" s="80" t="s">
        <v>1636</v>
      </c>
      <c r="F1314" s="21" t="s">
        <v>920</v>
      </c>
      <c r="G1314" s="21" t="s">
        <v>77</v>
      </c>
      <c r="H1314" s="25" t="s">
        <v>1637</v>
      </c>
      <c r="I1314" s="102" t="s">
        <v>78</v>
      </c>
      <c r="J1314" s="65" t="s">
        <v>1638</v>
      </c>
      <c r="K1314" s="21"/>
      <c r="L1314" s="48" t="s">
        <v>923</v>
      </c>
      <c r="M1314" s="27">
        <v>43629</v>
      </c>
      <c r="N1314" s="105" t="s">
        <v>182</v>
      </c>
      <c r="O1314" s="68">
        <v>8186</v>
      </c>
      <c r="P1314" s="68">
        <v>2</v>
      </c>
      <c r="Q1314" s="51">
        <f t="shared" si="30"/>
        <v>16372</v>
      </c>
      <c r="R1314" s="31">
        <v>202310</v>
      </c>
      <c r="S1314" s="109" t="s">
        <v>1692</v>
      </c>
      <c r="T1314" s="33"/>
      <c r="U1314" s="109"/>
      <c r="V1314" s="120"/>
      <c r="W1314" s="67"/>
      <c r="X1314" s="67"/>
      <c r="Y1314" s="36"/>
      <c r="Z1314" s="36"/>
      <c r="AA1314" s="36"/>
      <c r="AB1314" s="36"/>
      <c r="AC1314" s="36"/>
      <c r="AD1314" s="36"/>
      <c r="AE1314" s="36"/>
      <c r="AF1314" s="53" t="s">
        <v>68</v>
      </c>
      <c r="AG1314" s="42"/>
      <c r="AH1314" s="42"/>
      <c r="AI1314" s="43"/>
      <c r="AJ1314" s="43"/>
      <c r="AK1314" s="43"/>
      <c r="AL1314" s="43"/>
      <c r="AM1314" s="43"/>
      <c r="AN1314" s="42"/>
      <c r="AO1314" s="42"/>
      <c r="AP1314" s="42"/>
      <c r="AQ1314" s="43"/>
      <c r="AR1314" s="42"/>
      <c r="AS1314" s="42"/>
    </row>
    <row r="1315" spans="1:45" ht="15" customHeight="1">
      <c r="A1315" s="21" t="s">
        <v>260</v>
      </c>
      <c r="B1315" s="21" t="s">
        <v>46</v>
      </c>
      <c r="C1315" s="21" t="s">
        <v>188</v>
      </c>
      <c r="D1315" s="21" t="s">
        <v>48</v>
      </c>
      <c r="E1315" s="80" t="s">
        <v>1636</v>
      </c>
      <c r="F1315" s="21" t="s">
        <v>920</v>
      </c>
      <c r="G1315" s="21" t="s">
        <v>77</v>
      </c>
      <c r="H1315" s="25" t="s">
        <v>1637</v>
      </c>
      <c r="I1315" s="102" t="s">
        <v>78</v>
      </c>
      <c r="J1315" s="65" t="s">
        <v>1638</v>
      </c>
      <c r="K1315" s="21"/>
      <c r="L1315" s="48" t="s">
        <v>923</v>
      </c>
      <c r="M1315" s="27">
        <v>43633</v>
      </c>
      <c r="N1315" s="105" t="s">
        <v>182</v>
      </c>
      <c r="O1315" s="68">
        <v>8186</v>
      </c>
      <c r="P1315" s="68">
        <v>2</v>
      </c>
      <c r="Q1315" s="51">
        <f t="shared" si="30"/>
        <v>16372</v>
      </c>
      <c r="R1315" s="31">
        <v>202310</v>
      </c>
      <c r="S1315" s="109" t="s">
        <v>1693</v>
      </c>
      <c r="T1315" s="33"/>
      <c r="U1315" s="109"/>
      <c r="V1315" s="120"/>
      <c r="W1315" s="67"/>
      <c r="X1315" s="67"/>
      <c r="Y1315" s="36"/>
      <c r="Z1315" s="36"/>
      <c r="AA1315" s="36"/>
      <c r="AB1315" s="36"/>
      <c r="AC1315" s="36"/>
      <c r="AD1315" s="36"/>
      <c r="AE1315" s="36"/>
      <c r="AF1315" s="53" t="s">
        <v>68</v>
      </c>
      <c r="AG1315" s="42"/>
      <c r="AH1315" s="42"/>
      <c r="AI1315" s="43"/>
      <c r="AJ1315" s="43"/>
      <c r="AK1315" s="43"/>
      <c r="AL1315" s="43"/>
      <c r="AM1315" s="43"/>
      <c r="AN1315" s="42"/>
      <c r="AO1315" s="42"/>
      <c r="AP1315" s="42"/>
      <c r="AQ1315" s="43"/>
      <c r="AR1315" s="42"/>
      <c r="AS1315" s="42"/>
    </row>
    <row r="1316" spans="1:45" ht="15" customHeight="1">
      <c r="A1316" s="21" t="s">
        <v>260</v>
      </c>
      <c r="B1316" s="21" t="s">
        <v>46</v>
      </c>
      <c r="C1316" s="21" t="s">
        <v>188</v>
      </c>
      <c r="D1316" s="21" t="s">
        <v>48</v>
      </c>
      <c r="E1316" s="80" t="s">
        <v>1636</v>
      </c>
      <c r="F1316" s="21" t="s">
        <v>920</v>
      </c>
      <c r="G1316" s="21" t="s">
        <v>77</v>
      </c>
      <c r="H1316" s="25" t="s">
        <v>1637</v>
      </c>
      <c r="I1316" s="102" t="s">
        <v>78</v>
      </c>
      <c r="J1316" s="65" t="s">
        <v>1638</v>
      </c>
      <c r="K1316" s="21"/>
      <c r="L1316" s="48" t="s">
        <v>923</v>
      </c>
      <c r="M1316" s="27">
        <v>43648</v>
      </c>
      <c r="N1316" s="105" t="s">
        <v>182</v>
      </c>
      <c r="O1316" s="68">
        <v>8186</v>
      </c>
      <c r="P1316" s="68">
        <v>200</v>
      </c>
      <c r="Q1316" s="51">
        <f t="shared" si="30"/>
        <v>1637200</v>
      </c>
      <c r="R1316" s="31">
        <v>202310</v>
      </c>
      <c r="S1316" s="109" t="s">
        <v>1693</v>
      </c>
      <c r="T1316" s="33"/>
      <c r="U1316" s="109"/>
      <c r="V1316" s="120"/>
      <c r="W1316" s="67"/>
      <c r="X1316" s="67"/>
      <c r="Y1316" s="36"/>
      <c r="Z1316" s="36"/>
      <c r="AA1316" s="36"/>
      <c r="AB1316" s="36"/>
      <c r="AC1316" s="36"/>
      <c r="AD1316" s="36"/>
      <c r="AE1316" s="36"/>
      <c r="AF1316" s="53" t="s">
        <v>68</v>
      </c>
      <c r="AG1316" s="42"/>
      <c r="AH1316" s="42"/>
      <c r="AI1316" s="43"/>
      <c r="AJ1316" s="43"/>
      <c r="AK1316" s="43"/>
      <c r="AL1316" s="43"/>
      <c r="AM1316" s="43"/>
      <c r="AN1316" s="42"/>
      <c r="AO1316" s="42"/>
      <c r="AP1316" s="42"/>
      <c r="AQ1316" s="43"/>
      <c r="AR1316" s="42"/>
      <c r="AS1316" s="42"/>
    </row>
    <row r="1317" spans="1:45" ht="15" customHeight="1">
      <c r="A1317" s="21" t="s">
        <v>260</v>
      </c>
      <c r="B1317" s="21" t="s">
        <v>46</v>
      </c>
      <c r="C1317" s="21" t="s">
        <v>188</v>
      </c>
      <c r="D1317" s="21" t="s">
        <v>48</v>
      </c>
      <c r="E1317" s="80" t="s">
        <v>1636</v>
      </c>
      <c r="F1317" s="21" t="s">
        <v>920</v>
      </c>
      <c r="G1317" s="21" t="s">
        <v>77</v>
      </c>
      <c r="H1317" s="25" t="s">
        <v>1637</v>
      </c>
      <c r="I1317" s="102" t="s">
        <v>78</v>
      </c>
      <c r="J1317" s="65" t="s">
        <v>1638</v>
      </c>
      <c r="K1317" s="21"/>
      <c r="L1317" s="48" t="s">
        <v>923</v>
      </c>
      <c r="M1317" s="27">
        <v>43651</v>
      </c>
      <c r="N1317" s="105" t="s">
        <v>182</v>
      </c>
      <c r="O1317" s="68">
        <v>8186</v>
      </c>
      <c r="P1317" s="68">
        <v>4</v>
      </c>
      <c r="Q1317" s="51">
        <f t="shared" si="30"/>
        <v>32744</v>
      </c>
      <c r="R1317" s="31">
        <v>202310</v>
      </c>
      <c r="S1317" s="109" t="s">
        <v>1694</v>
      </c>
      <c r="T1317" s="33"/>
      <c r="U1317" s="109"/>
      <c r="V1317" s="120"/>
      <c r="W1317" s="67"/>
      <c r="X1317" s="67"/>
      <c r="Y1317" s="36"/>
      <c r="Z1317" s="36"/>
      <c r="AA1317" s="36"/>
      <c r="AB1317" s="36"/>
      <c r="AC1317" s="36"/>
      <c r="AD1317" s="36"/>
      <c r="AE1317" s="36"/>
      <c r="AF1317" s="53" t="s">
        <v>68</v>
      </c>
      <c r="AG1317" s="42"/>
      <c r="AH1317" s="42"/>
      <c r="AI1317" s="43"/>
      <c r="AJ1317" s="43"/>
      <c r="AK1317" s="43"/>
      <c r="AL1317" s="43"/>
      <c r="AM1317" s="43"/>
      <c r="AN1317" s="42"/>
      <c r="AO1317" s="42"/>
      <c r="AP1317" s="42"/>
      <c r="AQ1317" s="43"/>
      <c r="AR1317" s="42"/>
      <c r="AS1317" s="42"/>
    </row>
    <row r="1318" spans="1:45" ht="15" customHeight="1">
      <c r="A1318" s="21" t="s">
        <v>260</v>
      </c>
      <c r="B1318" s="21" t="s">
        <v>46</v>
      </c>
      <c r="C1318" s="21" t="s">
        <v>188</v>
      </c>
      <c r="D1318" s="21" t="s">
        <v>48</v>
      </c>
      <c r="E1318" s="80" t="s">
        <v>1636</v>
      </c>
      <c r="F1318" s="21" t="s">
        <v>920</v>
      </c>
      <c r="G1318" s="21" t="s">
        <v>77</v>
      </c>
      <c r="H1318" s="25" t="s">
        <v>1637</v>
      </c>
      <c r="I1318" s="102" t="s">
        <v>78</v>
      </c>
      <c r="J1318" s="65" t="s">
        <v>1638</v>
      </c>
      <c r="K1318" s="21"/>
      <c r="L1318" s="48" t="s">
        <v>923</v>
      </c>
      <c r="M1318" s="27">
        <v>43656</v>
      </c>
      <c r="N1318" s="105" t="s">
        <v>182</v>
      </c>
      <c r="O1318" s="68">
        <v>8186</v>
      </c>
      <c r="P1318" s="68">
        <v>1</v>
      </c>
      <c r="Q1318" s="51">
        <f t="shared" si="30"/>
        <v>8186</v>
      </c>
      <c r="R1318" s="31">
        <v>202310</v>
      </c>
      <c r="S1318" s="109" t="s">
        <v>1695</v>
      </c>
      <c r="T1318" s="33"/>
      <c r="U1318" s="109"/>
      <c r="V1318" s="120"/>
      <c r="W1318" s="67"/>
      <c r="X1318" s="67"/>
      <c r="Y1318" s="36"/>
      <c r="Z1318" s="36"/>
      <c r="AA1318" s="36"/>
      <c r="AB1318" s="36"/>
      <c r="AC1318" s="36"/>
      <c r="AD1318" s="36"/>
      <c r="AE1318" s="36"/>
      <c r="AF1318" s="53" t="s">
        <v>68</v>
      </c>
      <c r="AG1318" s="42"/>
      <c r="AH1318" s="42"/>
      <c r="AI1318" s="43"/>
      <c r="AJ1318" s="43"/>
      <c r="AK1318" s="43"/>
      <c r="AL1318" s="43"/>
      <c r="AM1318" s="43"/>
      <c r="AN1318" s="42"/>
      <c r="AO1318" s="42"/>
      <c r="AP1318" s="42"/>
      <c r="AQ1318" s="43"/>
      <c r="AR1318" s="42"/>
      <c r="AS1318" s="42"/>
    </row>
    <row r="1319" spans="1:45" ht="15" customHeight="1">
      <c r="A1319" s="21" t="s">
        <v>260</v>
      </c>
      <c r="B1319" s="21" t="s">
        <v>46</v>
      </c>
      <c r="C1319" s="21" t="s">
        <v>188</v>
      </c>
      <c r="D1319" s="21" t="s">
        <v>48</v>
      </c>
      <c r="E1319" s="80" t="s">
        <v>1636</v>
      </c>
      <c r="F1319" s="21" t="s">
        <v>920</v>
      </c>
      <c r="G1319" s="21" t="s">
        <v>77</v>
      </c>
      <c r="H1319" s="25" t="s">
        <v>1637</v>
      </c>
      <c r="I1319" s="102" t="s">
        <v>78</v>
      </c>
      <c r="J1319" s="65" t="s">
        <v>1638</v>
      </c>
      <c r="K1319" s="21"/>
      <c r="L1319" s="48" t="s">
        <v>923</v>
      </c>
      <c r="M1319" s="27">
        <v>43672</v>
      </c>
      <c r="N1319" s="105" t="s">
        <v>182</v>
      </c>
      <c r="O1319" s="68">
        <v>8186</v>
      </c>
      <c r="P1319" s="68">
        <v>1</v>
      </c>
      <c r="Q1319" s="51">
        <f t="shared" si="30"/>
        <v>8186</v>
      </c>
      <c r="R1319" s="31">
        <v>202310</v>
      </c>
      <c r="S1319" s="109" t="s">
        <v>1696</v>
      </c>
      <c r="T1319" s="33"/>
      <c r="U1319" s="109"/>
      <c r="V1319" s="120"/>
      <c r="W1319" s="67"/>
      <c r="X1319" s="67"/>
      <c r="Y1319" s="36"/>
      <c r="Z1319" s="36"/>
      <c r="AA1319" s="36"/>
      <c r="AB1319" s="36"/>
      <c r="AC1319" s="36"/>
      <c r="AD1319" s="36"/>
      <c r="AE1319" s="36"/>
      <c r="AF1319" s="53" t="s">
        <v>68</v>
      </c>
      <c r="AG1319" s="42"/>
      <c r="AH1319" s="42"/>
      <c r="AI1319" s="43"/>
      <c r="AJ1319" s="43"/>
      <c r="AK1319" s="43"/>
      <c r="AL1319" s="43"/>
      <c r="AM1319" s="43"/>
      <c r="AN1319" s="42"/>
      <c r="AO1319" s="42"/>
      <c r="AP1319" s="42"/>
      <c r="AQ1319" s="43"/>
      <c r="AR1319" s="42"/>
      <c r="AS1319" s="42"/>
    </row>
    <row r="1320" spans="1:45" ht="15" customHeight="1">
      <c r="A1320" s="21" t="s">
        <v>260</v>
      </c>
      <c r="B1320" s="21" t="s">
        <v>46</v>
      </c>
      <c r="C1320" s="21" t="s">
        <v>188</v>
      </c>
      <c r="D1320" s="21" t="s">
        <v>48</v>
      </c>
      <c r="E1320" s="80" t="s">
        <v>1636</v>
      </c>
      <c r="F1320" s="21" t="s">
        <v>920</v>
      </c>
      <c r="G1320" s="21" t="s">
        <v>77</v>
      </c>
      <c r="H1320" s="25" t="s">
        <v>1637</v>
      </c>
      <c r="I1320" s="102" t="s">
        <v>78</v>
      </c>
      <c r="J1320" s="65" t="s">
        <v>1638</v>
      </c>
      <c r="K1320" s="21"/>
      <c r="L1320" s="48" t="s">
        <v>923</v>
      </c>
      <c r="M1320" s="27">
        <v>43678</v>
      </c>
      <c r="N1320" s="105" t="s">
        <v>182</v>
      </c>
      <c r="O1320" s="68">
        <v>8186</v>
      </c>
      <c r="P1320" s="68">
        <v>1</v>
      </c>
      <c r="Q1320" s="51">
        <f t="shared" si="30"/>
        <v>8186</v>
      </c>
      <c r="R1320" s="31">
        <v>202310</v>
      </c>
      <c r="S1320" s="109" t="s">
        <v>1697</v>
      </c>
      <c r="T1320" s="33"/>
      <c r="U1320" s="109"/>
      <c r="V1320" s="120"/>
      <c r="W1320" s="67"/>
      <c r="X1320" s="67"/>
      <c r="Y1320" s="36"/>
      <c r="Z1320" s="36"/>
      <c r="AA1320" s="36"/>
      <c r="AB1320" s="36"/>
      <c r="AC1320" s="36"/>
      <c r="AD1320" s="36"/>
      <c r="AE1320" s="36"/>
      <c r="AF1320" s="53" t="s">
        <v>68</v>
      </c>
      <c r="AG1320" s="42"/>
      <c r="AH1320" s="42"/>
      <c r="AI1320" s="43"/>
      <c r="AJ1320" s="43"/>
      <c r="AK1320" s="43"/>
      <c r="AL1320" s="43"/>
      <c r="AM1320" s="43"/>
      <c r="AN1320" s="42"/>
      <c r="AO1320" s="42"/>
      <c r="AP1320" s="42"/>
      <c r="AQ1320" s="43"/>
      <c r="AR1320" s="42"/>
      <c r="AS1320" s="42"/>
    </row>
    <row r="1321" spans="1:45" ht="15" customHeight="1">
      <c r="A1321" s="21" t="s">
        <v>260</v>
      </c>
      <c r="B1321" s="21" t="s">
        <v>46</v>
      </c>
      <c r="C1321" s="21" t="s">
        <v>188</v>
      </c>
      <c r="D1321" s="21" t="s">
        <v>48</v>
      </c>
      <c r="E1321" s="80" t="s">
        <v>1636</v>
      </c>
      <c r="F1321" s="21" t="s">
        <v>920</v>
      </c>
      <c r="G1321" s="21" t="s">
        <v>77</v>
      </c>
      <c r="H1321" s="25" t="s">
        <v>1637</v>
      </c>
      <c r="I1321" s="102" t="s">
        <v>78</v>
      </c>
      <c r="J1321" s="65" t="s">
        <v>1638</v>
      </c>
      <c r="K1321" s="21"/>
      <c r="L1321" s="48" t="s">
        <v>923</v>
      </c>
      <c r="M1321" s="27">
        <v>43686</v>
      </c>
      <c r="N1321" s="105" t="s">
        <v>182</v>
      </c>
      <c r="O1321" s="68">
        <v>8186</v>
      </c>
      <c r="P1321" s="68">
        <v>2</v>
      </c>
      <c r="Q1321" s="51">
        <f t="shared" si="30"/>
        <v>16372</v>
      </c>
      <c r="R1321" s="31">
        <v>202310</v>
      </c>
      <c r="S1321" s="109" t="s">
        <v>1698</v>
      </c>
      <c r="T1321" s="33"/>
      <c r="U1321" s="109"/>
      <c r="V1321" s="120"/>
      <c r="W1321" s="67"/>
      <c r="X1321" s="67"/>
      <c r="Y1321" s="36"/>
      <c r="Z1321" s="36"/>
      <c r="AA1321" s="36"/>
      <c r="AB1321" s="36"/>
      <c r="AC1321" s="36"/>
      <c r="AD1321" s="36"/>
      <c r="AE1321" s="36"/>
      <c r="AF1321" s="53" t="s">
        <v>68</v>
      </c>
      <c r="AG1321" s="42"/>
      <c r="AH1321" s="42"/>
      <c r="AI1321" s="43"/>
      <c r="AJ1321" s="43"/>
      <c r="AK1321" s="43"/>
      <c r="AL1321" s="43"/>
      <c r="AM1321" s="43"/>
      <c r="AN1321" s="42"/>
      <c r="AO1321" s="42"/>
      <c r="AP1321" s="42"/>
      <c r="AQ1321" s="43"/>
      <c r="AR1321" s="42"/>
      <c r="AS1321" s="42"/>
    </row>
    <row r="1322" spans="1:45" ht="15" customHeight="1">
      <c r="A1322" s="21" t="s">
        <v>260</v>
      </c>
      <c r="B1322" s="21" t="s">
        <v>46</v>
      </c>
      <c r="C1322" s="21" t="s">
        <v>188</v>
      </c>
      <c r="D1322" s="21" t="s">
        <v>48</v>
      </c>
      <c r="E1322" s="80" t="s">
        <v>1636</v>
      </c>
      <c r="F1322" s="21" t="s">
        <v>920</v>
      </c>
      <c r="G1322" s="21" t="s">
        <v>77</v>
      </c>
      <c r="H1322" s="25" t="s">
        <v>1637</v>
      </c>
      <c r="I1322" s="102" t="s">
        <v>78</v>
      </c>
      <c r="J1322" s="65" t="s">
        <v>1638</v>
      </c>
      <c r="K1322" s="21"/>
      <c r="L1322" s="48" t="s">
        <v>923</v>
      </c>
      <c r="M1322" s="27">
        <v>43696</v>
      </c>
      <c r="N1322" s="105" t="s">
        <v>182</v>
      </c>
      <c r="O1322" s="68">
        <v>8186</v>
      </c>
      <c r="P1322" s="68">
        <v>15</v>
      </c>
      <c r="Q1322" s="51">
        <f t="shared" si="30"/>
        <v>122790</v>
      </c>
      <c r="R1322" s="31">
        <v>202310</v>
      </c>
      <c r="S1322" s="109" t="s">
        <v>1699</v>
      </c>
      <c r="T1322" s="33"/>
      <c r="U1322" s="109"/>
      <c r="V1322" s="120"/>
      <c r="W1322" s="67"/>
      <c r="X1322" s="67"/>
      <c r="Y1322" s="36"/>
      <c r="Z1322" s="36"/>
      <c r="AA1322" s="36"/>
      <c r="AB1322" s="36"/>
      <c r="AC1322" s="36"/>
      <c r="AD1322" s="36"/>
      <c r="AE1322" s="36"/>
      <c r="AF1322" s="53" t="s">
        <v>68</v>
      </c>
      <c r="AG1322" s="42"/>
      <c r="AH1322" s="42"/>
      <c r="AI1322" s="43"/>
      <c r="AJ1322" s="43"/>
      <c r="AK1322" s="43"/>
      <c r="AL1322" s="43"/>
      <c r="AM1322" s="43"/>
      <c r="AN1322" s="42"/>
      <c r="AO1322" s="42"/>
      <c r="AP1322" s="42"/>
      <c r="AQ1322" s="43"/>
      <c r="AR1322" s="42"/>
      <c r="AS1322" s="42"/>
    </row>
    <row r="1323" spans="1:45" ht="15" customHeight="1">
      <c r="A1323" s="21" t="s">
        <v>260</v>
      </c>
      <c r="B1323" s="21" t="s">
        <v>46</v>
      </c>
      <c r="C1323" s="21" t="s">
        <v>188</v>
      </c>
      <c r="D1323" s="21" t="s">
        <v>48</v>
      </c>
      <c r="E1323" s="80" t="s">
        <v>1636</v>
      </c>
      <c r="F1323" s="21" t="s">
        <v>920</v>
      </c>
      <c r="G1323" s="21" t="s">
        <v>77</v>
      </c>
      <c r="H1323" s="25" t="s">
        <v>1637</v>
      </c>
      <c r="I1323" s="102" t="s">
        <v>78</v>
      </c>
      <c r="J1323" s="65" t="s">
        <v>1638</v>
      </c>
      <c r="K1323" s="21"/>
      <c r="L1323" s="48" t="s">
        <v>923</v>
      </c>
      <c r="M1323" s="27">
        <v>43705</v>
      </c>
      <c r="N1323" s="105" t="s">
        <v>182</v>
      </c>
      <c r="O1323" s="68">
        <v>8186</v>
      </c>
      <c r="P1323" s="68">
        <v>1</v>
      </c>
      <c r="Q1323" s="51">
        <f t="shared" si="30"/>
        <v>8186</v>
      </c>
      <c r="R1323" s="31">
        <v>202310</v>
      </c>
      <c r="S1323" s="109" t="s">
        <v>1700</v>
      </c>
      <c r="T1323" s="33"/>
      <c r="U1323" s="109"/>
      <c r="V1323" s="120"/>
      <c r="W1323" s="67"/>
      <c r="X1323" s="67"/>
      <c r="Y1323" s="36"/>
      <c r="Z1323" s="36"/>
      <c r="AA1323" s="36"/>
      <c r="AB1323" s="36"/>
      <c r="AC1323" s="36"/>
      <c r="AD1323" s="36"/>
      <c r="AE1323" s="36"/>
      <c r="AF1323" s="53" t="s">
        <v>68</v>
      </c>
      <c r="AG1323" s="42"/>
      <c r="AH1323" s="42"/>
      <c r="AI1323" s="43"/>
      <c r="AJ1323" s="43"/>
      <c r="AK1323" s="43"/>
      <c r="AL1323" s="43"/>
      <c r="AM1323" s="43"/>
      <c r="AN1323" s="42"/>
      <c r="AO1323" s="42"/>
      <c r="AP1323" s="42"/>
      <c r="AQ1323" s="43"/>
      <c r="AR1323" s="42"/>
      <c r="AS1323" s="42"/>
    </row>
    <row r="1324" spans="1:45" ht="15" customHeight="1">
      <c r="A1324" s="21" t="s">
        <v>260</v>
      </c>
      <c r="B1324" s="21" t="s">
        <v>46</v>
      </c>
      <c r="C1324" s="21" t="s">
        <v>188</v>
      </c>
      <c r="D1324" s="21" t="s">
        <v>48</v>
      </c>
      <c r="E1324" s="80" t="s">
        <v>1636</v>
      </c>
      <c r="F1324" s="21" t="s">
        <v>920</v>
      </c>
      <c r="G1324" s="21" t="s">
        <v>77</v>
      </c>
      <c r="H1324" s="25" t="s">
        <v>1637</v>
      </c>
      <c r="I1324" s="102" t="s">
        <v>78</v>
      </c>
      <c r="J1324" s="65" t="s">
        <v>1638</v>
      </c>
      <c r="K1324" s="21"/>
      <c r="L1324" s="48" t="s">
        <v>923</v>
      </c>
      <c r="M1324" s="27">
        <v>43718</v>
      </c>
      <c r="N1324" s="105" t="s">
        <v>182</v>
      </c>
      <c r="O1324" s="68">
        <v>8186</v>
      </c>
      <c r="P1324" s="68">
        <v>1</v>
      </c>
      <c r="Q1324" s="51">
        <f t="shared" si="30"/>
        <v>8186</v>
      </c>
      <c r="R1324" s="31">
        <v>202310</v>
      </c>
      <c r="S1324" s="109" t="s">
        <v>1701</v>
      </c>
      <c r="T1324" s="33"/>
      <c r="U1324" s="109"/>
      <c r="V1324" s="120"/>
      <c r="W1324" s="67"/>
      <c r="X1324" s="67"/>
      <c r="Y1324" s="36"/>
      <c r="Z1324" s="36"/>
      <c r="AA1324" s="36"/>
      <c r="AB1324" s="36"/>
      <c r="AC1324" s="36"/>
      <c r="AD1324" s="36"/>
      <c r="AE1324" s="36"/>
      <c r="AF1324" s="53" t="s">
        <v>68</v>
      </c>
      <c r="AG1324" s="42"/>
      <c r="AH1324" s="42"/>
      <c r="AI1324" s="43"/>
      <c r="AJ1324" s="43"/>
      <c r="AK1324" s="43"/>
      <c r="AL1324" s="43"/>
      <c r="AM1324" s="43"/>
      <c r="AN1324" s="42"/>
      <c r="AO1324" s="42"/>
      <c r="AP1324" s="42"/>
      <c r="AQ1324" s="43"/>
      <c r="AR1324" s="42"/>
      <c r="AS1324" s="42"/>
    </row>
    <row r="1325" spans="1:45" ht="15" customHeight="1">
      <c r="A1325" s="21" t="s">
        <v>260</v>
      </c>
      <c r="B1325" s="21" t="s">
        <v>46</v>
      </c>
      <c r="C1325" s="21" t="s">
        <v>188</v>
      </c>
      <c r="D1325" s="21" t="s">
        <v>48</v>
      </c>
      <c r="E1325" s="80" t="s">
        <v>1636</v>
      </c>
      <c r="F1325" s="21" t="s">
        <v>920</v>
      </c>
      <c r="G1325" s="101" t="s">
        <v>77</v>
      </c>
      <c r="H1325" s="25" t="s">
        <v>1637</v>
      </c>
      <c r="I1325" s="102" t="s">
        <v>78</v>
      </c>
      <c r="J1325" s="65" t="s">
        <v>1638</v>
      </c>
      <c r="K1325" s="104"/>
      <c r="L1325" s="48" t="s">
        <v>923</v>
      </c>
      <c r="M1325" s="27">
        <v>43712</v>
      </c>
      <c r="N1325" s="105" t="s">
        <v>177</v>
      </c>
      <c r="O1325" s="68">
        <v>5900</v>
      </c>
      <c r="P1325" s="106">
        <v>-2</v>
      </c>
      <c r="Q1325" s="51">
        <f t="shared" ref="Q1325:Q1388" si="31">ROUND(O1325*P1325,2)</f>
        <v>-11800</v>
      </c>
      <c r="R1325" s="31">
        <v>202310</v>
      </c>
      <c r="S1325" s="109" t="s">
        <v>1702</v>
      </c>
      <c r="T1325" s="33"/>
      <c r="U1325" s="183"/>
      <c r="V1325" s="120"/>
      <c r="W1325" s="67"/>
      <c r="X1325" s="67"/>
      <c r="Y1325" s="36"/>
      <c r="Z1325" s="36"/>
      <c r="AA1325" s="36"/>
      <c r="AB1325" s="36"/>
      <c r="AC1325" s="36"/>
      <c r="AD1325" s="36"/>
      <c r="AE1325" s="36"/>
      <c r="AF1325" s="53" t="s">
        <v>68</v>
      </c>
      <c r="AG1325" s="42"/>
      <c r="AH1325" s="42"/>
      <c r="AI1325" s="43"/>
      <c r="AJ1325" s="43"/>
      <c r="AK1325" s="43"/>
      <c r="AL1325" s="43"/>
      <c r="AM1325" s="43"/>
      <c r="AN1325" s="42"/>
      <c r="AO1325" s="42"/>
      <c r="AP1325" s="42"/>
      <c r="AQ1325" s="43"/>
      <c r="AR1325" s="42"/>
      <c r="AS1325" s="42"/>
    </row>
    <row r="1326" spans="1:45" ht="15" customHeight="1">
      <c r="A1326" s="21" t="s">
        <v>260</v>
      </c>
      <c r="B1326" s="21" t="s">
        <v>46</v>
      </c>
      <c r="C1326" s="21" t="s">
        <v>188</v>
      </c>
      <c r="D1326" s="21" t="s">
        <v>48</v>
      </c>
      <c r="E1326" s="80" t="s">
        <v>1636</v>
      </c>
      <c r="F1326" s="21" t="s">
        <v>920</v>
      </c>
      <c r="G1326" s="101" t="s">
        <v>77</v>
      </c>
      <c r="H1326" s="25" t="s">
        <v>1637</v>
      </c>
      <c r="I1326" s="102" t="s">
        <v>78</v>
      </c>
      <c r="J1326" s="65" t="s">
        <v>1638</v>
      </c>
      <c r="K1326" s="104"/>
      <c r="L1326" s="48" t="s">
        <v>923</v>
      </c>
      <c r="M1326" s="27">
        <v>43712</v>
      </c>
      <c r="N1326" s="105" t="s">
        <v>177</v>
      </c>
      <c r="O1326" s="68">
        <v>5900</v>
      </c>
      <c r="P1326" s="106">
        <v>-7</v>
      </c>
      <c r="Q1326" s="51">
        <f t="shared" si="31"/>
        <v>-41300</v>
      </c>
      <c r="R1326" s="31">
        <v>202310</v>
      </c>
      <c r="S1326" s="109" t="s">
        <v>1703</v>
      </c>
      <c r="T1326" s="33"/>
      <c r="U1326" s="183"/>
      <c r="V1326" s="120"/>
      <c r="W1326" s="67"/>
      <c r="X1326" s="67"/>
      <c r="Y1326" s="36"/>
      <c r="Z1326" s="36"/>
      <c r="AA1326" s="36"/>
      <c r="AB1326" s="36"/>
      <c r="AC1326" s="36"/>
      <c r="AD1326" s="36"/>
      <c r="AE1326" s="36"/>
      <c r="AF1326" s="53" t="s">
        <v>68</v>
      </c>
      <c r="AG1326" s="42"/>
      <c r="AH1326" s="42"/>
      <c r="AI1326" s="43"/>
      <c r="AJ1326" s="43"/>
      <c r="AK1326" s="43"/>
      <c r="AL1326" s="43"/>
      <c r="AM1326" s="43"/>
      <c r="AN1326" s="42"/>
      <c r="AO1326" s="42"/>
      <c r="AP1326" s="42"/>
      <c r="AQ1326" s="43"/>
      <c r="AR1326" s="42"/>
      <c r="AS1326" s="42"/>
    </row>
    <row r="1327" spans="1:45" ht="15" customHeight="1">
      <c r="A1327" s="21" t="s">
        <v>260</v>
      </c>
      <c r="B1327" s="21" t="s">
        <v>46</v>
      </c>
      <c r="C1327" s="21" t="s">
        <v>188</v>
      </c>
      <c r="D1327" s="21" t="s">
        <v>48</v>
      </c>
      <c r="E1327" s="80" t="s">
        <v>1636</v>
      </c>
      <c r="F1327" s="21" t="s">
        <v>920</v>
      </c>
      <c r="G1327" s="101" t="s">
        <v>77</v>
      </c>
      <c r="H1327" s="25" t="s">
        <v>1637</v>
      </c>
      <c r="I1327" s="102" t="s">
        <v>78</v>
      </c>
      <c r="J1327" s="65" t="s">
        <v>1638</v>
      </c>
      <c r="K1327" s="104"/>
      <c r="L1327" s="48" t="s">
        <v>923</v>
      </c>
      <c r="M1327" s="27">
        <v>43719</v>
      </c>
      <c r="N1327" s="105" t="s">
        <v>177</v>
      </c>
      <c r="O1327" s="68">
        <v>5900</v>
      </c>
      <c r="P1327" s="106">
        <v>2</v>
      </c>
      <c r="Q1327" s="51">
        <f t="shared" si="31"/>
        <v>11800</v>
      </c>
      <c r="R1327" s="31">
        <v>202310</v>
      </c>
      <c r="S1327" s="109" t="s">
        <v>1702</v>
      </c>
      <c r="T1327" s="33"/>
      <c r="U1327" s="183"/>
      <c r="V1327" s="120"/>
      <c r="W1327" s="67"/>
      <c r="X1327" s="67"/>
      <c r="Y1327" s="36"/>
      <c r="Z1327" s="36"/>
      <c r="AA1327" s="36"/>
      <c r="AB1327" s="36"/>
      <c r="AC1327" s="36"/>
      <c r="AD1327" s="36"/>
      <c r="AE1327" s="36"/>
      <c r="AF1327" s="53" t="s">
        <v>68</v>
      </c>
      <c r="AG1327" s="42"/>
      <c r="AH1327" s="42"/>
      <c r="AI1327" s="43"/>
      <c r="AJ1327" s="43"/>
      <c r="AK1327" s="43"/>
      <c r="AL1327" s="43"/>
      <c r="AM1327" s="43"/>
      <c r="AN1327" s="42"/>
      <c r="AO1327" s="42"/>
      <c r="AP1327" s="42"/>
      <c r="AQ1327" s="43"/>
      <c r="AR1327" s="42"/>
      <c r="AS1327" s="42"/>
    </row>
    <row r="1328" spans="1:45" ht="15" customHeight="1">
      <c r="A1328" s="21" t="s">
        <v>260</v>
      </c>
      <c r="B1328" s="21" t="s">
        <v>46</v>
      </c>
      <c r="C1328" s="21" t="s">
        <v>188</v>
      </c>
      <c r="D1328" s="21" t="s">
        <v>48</v>
      </c>
      <c r="E1328" s="80" t="s">
        <v>1636</v>
      </c>
      <c r="F1328" s="21" t="s">
        <v>920</v>
      </c>
      <c r="G1328" s="101" t="s">
        <v>77</v>
      </c>
      <c r="H1328" s="25" t="s">
        <v>1637</v>
      </c>
      <c r="I1328" s="102" t="s">
        <v>78</v>
      </c>
      <c r="J1328" s="65" t="s">
        <v>1638</v>
      </c>
      <c r="K1328" s="104"/>
      <c r="L1328" s="48" t="s">
        <v>923</v>
      </c>
      <c r="M1328" s="27">
        <v>43706</v>
      </c>
      <c r="N1328" s="105" t="s">
        <v>182</v>
      </c>
      <c r="O1328" s="68">
        <v>8186</v>
      </c>
      <c r="P1328" s="106">
        <v>-5</v>
      </c>
      <c r="Q1328" s="51">
        <f t="shared" si="31"/>
        <v>-40930</v>
      </c>
      <c r="R1328" s="31">
        <v>202310</v>
      </c>
      <c r="S1328" s="109" t="s">
        <v>1704</v>
      </c>
      <c r="T1328" s="33"/>
      <c r="U1328" s="109"/>
      <c r="V1328" s="120"/>
      <c r="W1328" s="67"/>
      <c r="X1328" s="67"/>
      <c r="Y1328" s="36"/>
      <c r="Z1328" s="36"/>
      <c r="AA1328" s="36"/>
      <c r="AB1328" s="36"/>
      <c r="AC1328" s="36"/>
      <c r="AD1328" s="36"/>
      <c r="AE1328" s="36"/>
      <c r="AF1328" s="53" t="s">
        <v>68</v>
      </c>
      <c r="AG1328" s="42"/>
      <c r="AH1328" s="42"/>
      <c r="AI1328" s="43"/>
      <c r="AJ1328" s="43"/>
      <c r="AK1328" s="43"/>
      <c r="AL1328" s="43"/>
      <c r="AM1328" s="43"/>
      <c r="AN1328" s="42"/>
      <c r="AO1328" s="42"/>
      <c r="AP1328" s="42"/>
      <c r="AQ1328" s="43"/>
      <c r="AR1328" s="42"/>
      <c r="AS1328" s="42"/>
    </row>
    <row r="1329" spans="1:45" ht="15" customHeight="1">
      <c r="A1329" s="21" t="s">
        <v>260</v>
      </c>
      <c r="B1329" s="21" t="s">
        <v>46</v>
      </c>
      <c r="C1329" s="21" t="s">
        <v>188</v>
      </c>
      <c r="D1329" s="21" t="s">
        <v>48</v>
      </c>
      <c r="E1329" s="80" t="s">
        <v>1636</v>
      </c>
      <c r="F1329" s="21" t="s">
        <v>920</v>
      </c>
      <c r="G1329" s="101" t="s">
        <v>77</v>
      </c>
      <c r="H1329" s="25" t="s">
        <v>1637</v>
      </c>
      <c r="I1329" s="102" t="s">
        <v>78</v>
      </c>
      <c r="J1329" s="65" t="s">
        <v>1638</v>
      </c>
      <c r="K1329" s="104"/>
      <c r="L1329" s="48" t="s">
        <v>923</v>
      </c>
      <c r="M1329" s="27">
        <v>43759</v>
      </c>
      <c r="N1329" s="105" t="s">
        <v>177</v>
      </c>
      <c r="O1329" s="68">
        <v>5900</v>
      </c>
      <c r="P1329" s="106">
        <v>4</v>
      </c>
      <c r="Q1329" s="51">
        <f t="shared" si="31"/>
        <v>23600</v>
      </c>
      <c r="R1329" s="31">
        <v>202310</v>
      </c>
      <c r="S1329" s="109" t="s">
        <v>1705</v>
      </c>
      <c r="T1329" s="33"/>
      <c r="U1329" s="183"/>
      <c r="V1329" s="120"/>
      <c r="W1329" s="67"/>
      <c r="X1329" s="67"/>
      <c r="Y1329" s="36"/>
      <c r="Z1329" s="36"/>
      <c r="AA1329" s="36"/>
      <c r="AB1329" s="36"/>
      <c r="AC1329" s="36"/>
      <c r="AD1329" s="36"/>
      <c r="AE1329" s="36"/>
      <c r="AF1329" s="53" t="s">
        <v>68</v>
      </c>
      <c r="AG1329" s="42"/>
      <c r="AH1329" s="42"/>
      <c r="AI1329" s="43"/>
      <c r="AJ1329" s="43"/>
      <c r="AK1329" s="43"/>
      <c r="AL1329" s="43"/>
      <c r="AM1329" s="43"/>
      <c r="AN1329" s="42"/>
      <c r="AO1329" s="42"/>
      <c r="AP1329" s="42"/>
      <c r="AQ1329" s="43"/>
      <c r="AR1329" s="42"/>
      <c r="AS1329" s="42"/>
    </row>
    <row r="1330" spans="1:45" ht="15" customHeight="1">
      <c r="A1330" s="21" t="s">
        <v>260</v>
      </c>
      <c r="B1330" s="21" t="s">
        <v>46</v>
      </c>
      <c r="C1330" s="21" t="s">
        <v>188</v>
      </c>
      <c r="D1330" s="21" t="s">
        <v>48</v>
      </c>
      <c r="E1330" s="80" t="s">
        <v>1636</v>
      </c>
      <c r="F1330" s="21" t="s">
        <v>920</v>
      </c>
      <c r="G1330" s="101" t="s">
        <v>77</v>
      </c>
      <c r="H1330" s="25" t="s">
        <v>1637</v>
      </c>
      <c r="I1330" s="102" t="s">
        <v>78</v>
      </c>
      <c r="J1330" s="65" t="s">
        <v>1638</v>
      </c>
      <c r="K1330" s="104"/>
      <c r="L1330" s="48" t="s">
        <v>923</v>
      </c>
      <c r="M1330" s="27">
        <v>43759</v>
      </c>
      <c r="N1330" s="105" t="s">
        <v>182</v>
      </c>
      <c r="O1330" s="68">
        <v>8186</v>
      </c>
      <c r="P1330" s="106">
        <v>2</v>
      </c>
      <c r="Q1330" s="51">
        <f t="shared" si="31"/>
        <v>16372</v>
      </c>
      <c r="R1330" s="31">
        <v>202310</v>
      </c>
      <c r="S1330" s="109" t="s">
        <v>1706</v>
      </c>
      <c r="T1330" s="33"/>
      <c r="U1330" s="109"/>
      <c r="V1330" s="120"/>
      <c r="W1330" s="67"/>
      <c r="X1330" s="67"/>
      <c r="Y1330" s="36"/>
      <c r="Z1330" s="36"/>
      <c r="AA1330" s="36"/>
      <c r="AB1330" s="36"/>
      <c r="AC1330" s="36"/>
      <c r="AD1330" s="36"/>
      <c r="AE1330" s="36"/>
      <c r="AF1330" s="53" t="s">
        <v>68</v>
      </c>
      <c r="AG1330" s="42"/>
      <c r="AH1330" s="42"/>
      <c r="AI1330" s="43"/>
      <c r="AJ1330" s="43"/>
      <c r="AK1330" s="43"/>
      <c r="AL1330" s="43"/>
      <c r="AM1330" s="43"/>
      <c r="AN1330" s="42"/>
      <c r="AO1330" s="42"/>
      <c r="AP1330" s="42"/>
      <c r="AQ1330" s="43"/>
      <c r="AR1330" s="42"/>
      <c r="AS1330" s="42"/>
    </row>
    <row r="1331" spans="1:45" ht="15" customHeight="1">
      <c r="A1331" s="21" t="s">
        <v>260</v>
      </c>
      <c r="B1331" s="21" t="s">
        <v>46</v>
      </c>
      <c r="C1331" s="21" t="s">
        <v>188</v>
      </c>
      <c r="D1331" s="21" t="s">
        <v>48</v>
      </c>
      <c r="E1331" s="80" t="s">
        <v>1636</v>
      </c>
      <c r="F1331" s="21" t="s">
        <v>920</v>
      </c>
      <c r="G1331" s="101" t="s">
        <v>77</v>
      </c>
      <c r="H1331" s="25" t="s">
        <v>1637</v>
      </c>
      <c r="I1331" s="102" t="s">
        <v>78</v>
      </c>
      <c r="J1331" s="65" t="s">
        <v>1638</v>
      </c>
      <c r="K1331" s="104"/>
      <c r="L1331" s="48" t="s">
        <v>923</v>
      </c>
      <c r="M1331" s="27">
        <v>43762</v>
      </c>
      <c r="N1331" s="105" t="s">
        <v>182</v>
      </c>
      <c r="O1331" s="68">
        <v>8186</v>
      </c>
      <c r="P1331" s="106">
        <v>2</v>
      </c>
      <c r="Q1331" s="51">
        <f t="shared" si="31"/>
        <v>16372</v>
      </c>
      <c r="R1331" s="31">
        <v>202310</v>
      </c>
      <c r="S1331" s="109" t="s">
        <v>1707</v>
      </c>
      <c r="T1331" s="33"/>
      <c r="U1331" s="109"/>
      <c r="V1331" s="120"/>
      <c r="W1331" s="67"/>
      <c r="X1331" s="67"/>
      <c r="Y1331" s="36"/>
      <c r="Z1331" s="36"/>
      <c r="AA1331" s="36"/>
      <c r="AB1331" s="36"/>
      <c r="AC1331" s="36"/>
      <c r="AD1331" s="36"/>
      <c r="AE1331" s="36"/>
      <c r="AF1331" s="53" t="s">
        <v>68</v>
      </c>
      <c r="AG1331" s="42"/>
      <c r="AH1331" s="42"/>
      <c r="AI1331" s="43"/>
      <c r="AJ1331" s="43"/>
      <c r="AK1331" s="43"/>
      <c r="AL1331" s="43"/>
      <c r="AM1331" s="43"/>
      <c r="AN1331" s="42"/>
      <c r="AO1331" s="42"/>
      <c r="AP1331" s="42"/>
      <c r="AQ1331" s="43"/>
      <c r="AR1331" s="42"/>
      <c r="AS1331" s="42"/>
    </row>
    <row r="1332" spans="1:45" ht="15" customHeight="1">
      <c r="A1332" s="21" t="s">
        <v>260</v>
      </c>
      <c r="B1332" s="21" t="s">
        <v>46</v>
      </c>
      <c r="C1332" s="21" t="s">
        <v>188</v>
      </c>
      <c r="D1332" s="21" t="s">
        <v>48</v>
      </c>
      <c r="E1332" s="80" t="s">
        <v>1636</v>
      </c>
      <c r="F1332" s="21" t="s">
        <v>920</v>
      </c>
      <c r="G1332" s="101" t="s">
        <v>77</v>
      </c>
      <c r="H1332" s="25" t="s">
        <v>1637</v>
      </c>
      <c r="I1332" s="102" t="s">
        <v>78</v>
      </c>
      <c r="J1332" s="65" t="s">
        <v>1638</v>
      </c>
      <c r="K1332" s="104"/>
      <c r="L1332" s="48" t="s">
        <v>923</v>
      </c>
      <c r="M1332" s="27">
        <v>43437</v>
      </c>
      <c r="N1332" s="105" t="s">
        <v>182</v>
      </c>
      <c r="O1332" s="68">
        <v>8186</v>
      </c>
      <c r="P1332" s="106">
        <v>1</v>
      </c>
      <c r="Q1332" s="51">
        <f t="shared" si="31"/>
        <v>8186</v>
      </c>
      <c r="R1332" s="31">
        <v>202310</v>
      </c>
      <c r="S1332" s="109" t="s">
        <v>1708</v>
      </c>
      <c r="T1332" s="33"/>
      <c r="U1332" s="109"/>
      <c r="V1332" s="120"/>
      <c r="W1332" s="67"/>
      <c r="X1332" s="67"/>
      <c r="Y1332" s="36"/>
      <c r="Z1332" s="36"/>
      <c r="AA1332" s="36"/>
      <c r="AB1332" s="36"/>
      <c r="AC1332" s="36"/>
      <c r="AD1332" s="36"/>
      <c r="AE1332" s="36"/>
      <c r="AF1332" s="53" t="s">
        <v>68</v>
      </c>
      <c r="AG1332" s="42"/>
      <c r="AH1332" s="42"/>
      <c r="AI1332" s="43"/>
      <c r="AJ1332" s="43"/>
      <c r="AK1332" s="43"/>
      <c r="AL1332" s="43"/>
      <c r="AM1332" s="43"/>
      <c r="AN1332" s="42"/>
      <c r="AO1332" s="42"/>
      <c r="AP1332" s="42"/>
      <c r="AQ1332" s="43"/>
      <c r="AR1332" s="42"/>
      <c r="AS1332" s="42"/>
    </row>
    <row r="1333" spans="1:45" ht="15" customHeight="1">
      <c r="A1333" s="21" t="s">
        <v>260</v>
      </c>
      <c r="B1333" s="21" t="s">
        <v>46</v>
      </c>
      <c r="C1333" s="21" t="s">
        <v>188</v>
      </c>
      <c r="D1333" s="21" t="s">
        <v>48</v>
      </c>
      <c r="E1333" s="80" t="s">
        <v>1636</v>
      </c>
      <c r="F1333" s="21" t="s">
        <v>920</v>
      </c>
      <c r="G1333" s="101" t="s">
        <v>77</v>
      </c>
      <c r="H1333" s="25" t="s">
        <v>1637</v>
      </c>
      <c r="I1333" s="102" t="s">
        <v>78</v>
      </c>
      <c r="J1333" s="65" t="s">
        <v>1638</v>
      </c>
      <c r="K1333" s="104"/>
      <c r="L1333" s="48" t="s">
        <v>923</v>
      </c>
      <c r="M1333" s="27">
        <v>43775</v>
      </c>
      <c r="N1333" s="105" t="s">
        <v>182</v>
      </c>
      <c r="O1333" s="68">
        <v>8186</v>
      </c>
      <c r="P1333" s="106">
        <v>1</v>
      </c>
      <c r="Q1333" s="51">
        <f t="shared" si="31"/>
        <v>8186</v>
      </c>
      <c r="R1333" s="31">
        <v>202310</v>
      </c>
      <c r="S1333" s="109" t="s">
        <v>1709</v>
      </c>
      <c r="T1333" s="33"/>
      <c r="U1333" s="109"/>
      <c r="V1333" s="120"/>
      <c r="W1333" s="67"/>
      <c r="X1333" s="67"/>
      <c r="Y1333" s="36"/>
      <c r="Z1333" s="36"/>
      <c r="AA1333" s="36"/>
      <c r="AB1333" s="36"/>
      <c r="AC1333" s="36"/>
      <c r="AD1333" s="36"/>
      <c r="AE1333" s="36"/>
      <c r="AF1333" s="53" t="s">
        <v>68</v>
      </c>
      <c r="AG1333" s="42"/>
      <c r="AH1333" s="42"/>
      <c r="AI1333" s="43"/>
      <c r="AJ1333" s="43"/>
      <c r="AK1333" s="43"/>
      <c r="AL1333" s="43"/>
      <c r="AM1333" s="43"/>
      <c r="AN1333" s="42"/>
      <c r="AO1333" s="42"/>
      <c r="AP1333" s="42"/>
      <c r="AQ1333" s="43"/>
      <c r="AR1333" s="42"/>
      <c r="AS1333" s="42"/>
    </row>
    <row r="1334" spans="1:45" ht="15" customHeight="1">
      <c r="A1334" s="21" t="s">
        <v>260</v>
      </c>
      <c r="B1334" s="21" t="s">
        <v>46</v>
      </c>
      <c r="C1334" s="21" t="s">
        <v>188</v>
      </c>
      <c r="D1334" s="21" t="s">
        <v>48</v>
      </c>
      <c r="E1334" s="80" t="s">
        <v>1636</v>
      </c>
      <c r="F1334" s="21" t="s">
        <v>920</v>
      </c>
      <c r="G1334" s="101" t="s">
        <v>77</v>
      </c>
      <c r="H1334" s="25" t="s">
        <v>1637</v>
      </c>
      <c r="I1334" s="102" t="s">
        <v>78</v>
      </c>
      <c r="J1334" s="65" t="s">
        <v>1638</v>
      </c>
      <c r="K1334" s="104"/>
      <c r="L1334" s="48" t="s">
        <v>923</v>
      </c>
      <c r="M1334" s="27">
        <v>43784</v>
      </c>
      <c r="N1334" s="105" t="s">
        <v>182</v>
      </c>
      <c r="O1334" s="68">
        <v>8186</v>
      </c>
      <c r="P1334" s="106">
        <v>3</v>
      </c>
      <c r="Q1334" s="51">
        <f t="shared" si="31"/>
        <v>24558</v>
      </c>
      <c r="R1334" s="31">
        <v>202310</v>
      </c>
      <c r="S1334" s="109" t="s">
        <v>1710</v>
      </c>
      <c r="T1334" s="33"/>
      <c r="U1334" s="109"/>
      <c r="V1334" s="120"/>
      <c r="W1334" s="67"/>
      <c r="X1334" s="67"/>
      <c r="Y1334" s="36"/>
      <c r="Z1334" s="36"/>
      <c r="AA1334" s="36"/>
      <c r="AB1334" s="36"/>
      <c r="AC1334" s="36"/>
      <c r="AD1334" s="36"/>
      <c r="AE1334" s="36"/>
      <c r="AF1334" s="53" t="s">
        <v>68</v>
      </c>
      <c r="AG1334" s="42"/>
      <c r="AH1334" s="42"/>
      <c r="AI1334" s="43"/>
      <c r="AJ1334" s="43"/>
      <c r="AK1334" s="43"/>
      <c r="AL1334" s="43"/>
      <c r="AM1334" s="43"/>
      <c r="AN1334" s="42"/>
      <c r="AO1334" s="42"/>
      <c r="AP1334" s="42"/>
      <c r="AQ1334" s="43"/>
      <c r="AR1334" s="42"/>
      <c r="AS1334" s="42"/>
    </row>
    <row r="1335" spans="1:45" ht="15" customHeight="1">
      <c r="A1335" s="21" t="s">
        <v>260</v>
      </c>
      <c r="B1335" s="21" t="s">
        <v>46</v>
      </c>
      <c r="C1335" s="21" t="s">
        <v>188</v>
      </c>
      <c r="D1335" s="21" t="s">
        <v>48</v>
      </c>
      <c r="E1335" s="80" t="s">
        <v>1636</v>
      </c>
      <c r="F1335" s="21" t="s">
        <v>920</v>
      </c>
      <c r="G1335" s="101" t="s">
        <v>77</v>
      </c>
      <c r="H1335" s="25" t="s">
        <v>1637</v>
      </c>
      <c r="I1335" s="102" t="s">
        <v>78</v>
      </c>
      <c r="J1335" s="65" t="s">
        <v>1638</v>
      </c>
      <c r="K1335" s="104"/>
      <c r="L1335" s="48" t="s">
        <v>923</v>
      </c>
      <c r="M1335" s="27">
        <v>43819</v>
      </c>
      <c r="N1335" s="105" t="s">
        <v>182</v>
      </c>
      <c r="O1335" s="68">
        <v>8186</v>
      </c>
      <c r="P1335" s="106">
        <v>1</v>
      </c>
      <c r="Q1335" s="51">
        <f t="shared" si="31"/>
        <v>8186</v>
      </c>
      <c r="R1335" s="31">
        <v>202310</v>
      </c>
      <c r="S1335" s="109" t="s">
        <v>1711</v>
      </c>
      <c r="T1335" s="33"/>
      <c r="U1335" s="109"/>
      <c r="V1335" s="120"/>
      <c r="W1335" s="67"/>
      <c r="X1335" s="67"/>
      <c r="Y1335" s="36"/>
      <c r="Z1335" s="36"/>
      <c r="AA1335" s="36"/>
      <c r="AB1335" s="36"/>
      <c r="AC1335" s="36"/>
      <c r="AD1335" s="36"/>
      <c r="AE1335" s="36"/>
      <c r="AF1335" s="53" t="s">
        <v>68</v>
      </c>
      <c r="AG1335" s="42"/>
      <c r="AH1335" s="42"/>
      <c r="AI1335" s="43"/>
      <c r="AJ1335" s="43"/>
      <c r="AK1335" s="43"/>
      <c r="AL1335" s="43"/>
      <c r="AM1335" s="43"/>
      <c r="AN1335" s="42"/>
      <c r="AO1335" s="42"/>
      <c r="AP1335" s="42"/>
      <c r="AQ1335" s="43"/>
      <c r="AR1335" s="42"/>
      <c r="AS1335" s="42"/>
    </row>
    <row r="1336" spans="1:45" ht="15" customHeight="1">
      <c r="A1336" s="21" t="s">
        <v>260</v>
      </c>
      <c r="B1336" s="21" t="s">
        <v>46</v>
      </c>
      <c r="C1336" s="21" t="s">
        <v>188</v>
      </c>
      <c r="D1336" s="21" t="s">
        <v>48</v>
      </c>
      <c r="E1336" s="80" t="s">
        <v>1636</v>
      </c>
      <c r="F1336" s="21" t="s">
        <v>920</v>
      </c>
      <c r="G1336" s="101" t="s">
        <v>77</v>
      </c>
      <c r="H1336" s="25" t="s">
        <v>1637</v>
      </c>
      <c r="I1336" s="102" t="s">
        <v>78</v>
      </c>
      <c r="J1336" s="65" t="s">
        <v>1638</v>
      </c>
      <c r="K1336" s="104"/>
      <c r="L1336" s="48" t="s">
        <v>923</v>
      </c>
      <c r="M1336" s="27">
        <v>43823</v>
      </c>
      <c r="N1336" s="105" t="s">
        <v>182</v>
      </c>
      <c r="O1336" s="68">
        <v>8186</v>
      </c>
      <c r="P1336" s="106">
        <v>3</v>
      </c>
      <c r="Q1336" s="51">
        <f t="shared" si="31"/>
        <v>24558</v>
      </c>
      <c r="R1336" s="31">
        <v>202310</v>
      </c>
      <c r="S1336" s="109" t="s">
        <v>1712</v>
      </c>
      <c r="T1336" s="33"/>
      <c r="U1336" s="109"/>
      <c r="V1336" s="120"/>
      <c r="W1336" s="67"/>
      <c r="X1336" s="67"/>
      <c r="Y1336" s="36"/>
      <c r="Z1336" s="36"/>
      <c r="AA1336" s="36"/>
      <c r="AB1336" s="36"/>
      <c r="AC1336" s="36"/>
      <c r="AD1336" s="36"/>
      <c r="AE1336" s="36"/>
      <c r="AF1336" s="53" t="s">
        <v>68</v>
      </c>
      <c r="AG1336" s="42"/>
      <c r="AH1336" s="42"/>
      <c r="AI1336" s="43"/>
      <c r="AJ1336" s="43"/>
      <c r="AK1336" s="43"/>
      <c r="AL1336" s="43"/>
      <c r="AM1336" s="43"/>
      <c r="AN1336" s="42"/>
      <c r="AO1336" s="42"/>
      <c r="AP1336" s="42"/>
      <c r="AQ1336" s="43"/>
      <c r="AR1336" s="42"/>
      <c r="AS1336" s="42"/>
    </row>
    <row r="1337" spans="1:45" ht="15" customHeight="1">
      <c r="A1337" s="21" t="s">
        <v>260</v>
      </c>
      <c r="B1337" s="21" t="s">
        <v>46</v>
      </c>
      <c r="C1337" s="21" t="s">
        <v>188</v>
      </c>
      <c r="D1337" s="21" t="s">
        <v>48</v>
      </c>
      <c r="E1337" s="80" t="s">
        <v>1636</v>
      </c>
      <c r="F1337" s="21" t="s">
        <v>920</v>
      </c>
      <c r="G1337" s="101" t="s">
        <v>77</v>
      </c>
      <c r="H1337" s="25" t="s">
        <v>1637</v>
      </c>
      <c r="I1337" s="102" t="s">
        <v>78</v>
      </c>
      <c r="J1337" s="65" t="s">
        <v>1638</v>
      </c>
      <c r="K1337" s="104"/>
      <c r="L1337" s="48" t="s">
        <v>923</v>
      </c>
      <c r="M1337" s="27">
        <v>43845</v>
      </c>
      <c r="N1337" s="105" t="s">
        <v>182</v>
      </c>
      <c r="O1337" s="68">
        <v>8186</v>
      </c>
      <c r="P1337" s="106">
        <v>1</v>
      </c>
      <c r="Q1337" s="51">
        <f t="shared" si="31"/>
        <v>8186</v>
      </c>
      <c r="R1337" s="31">
        <v>202310</v>
      </c>
      <c r="S1337" s="109" t="s">
        <v>1713</v>
      </c>
      <c r="T1337" s="33"/>
      <c r="U1337" s="109"/>
      <c r="V1337" s="120"/>
      <c r="W1337" s="67"/>
      <c r="X1337" s="67"/>
      <c r="Y1337" s="36"/>
      <c r="Z1337" s="36"/>
      <c r="AA1337" s="36"/>
      <c r="AB1337" s="36"/>
      <c r="AC1337" s="36"/>
      <c r="AD1337" s="36"/>
      <c r="AE1337" s="36"/>
      <c r="AF1337" s="53" t="s">
        <v>68</v>
      </c>
      <c r="AG1337" s="42"/>
      <c r="AH1337" s="42"/>
      <c r="AI1337" s="43"/>
      <c r="AJ1337" s="43"/>
      <c r="AK1337" s="43"/>
      <c r="AL1337" s="43"/>
      <c r="AM1337" s="43"/>
      <c r="AN1337" s="42"/>
      <c r="AO1337" s="42"/>
      <c r="AP1337" s="42"/>
      <c r="AQ1337" s="43"/>
      <c r="AR1337" s="42"/>
      <c r="AS1337" s="42"/>
    </row>
    <row r="1338" spans="1:45" ht="15" customHeight="1">
      <c r="A1338" s="21" t="s">
        <v>260</v>
      </c>
      <c r="B1338" s="21" t="s">
        <v>46</v>
      </c>
      <c r="C1338" s="21" t="s">
        <v>188</v>
      </c>
      <c r="D1338" s="21" t="s">
        <v>48</v>
      </c>
      <c r="E1338" s="80" t="s">
        <v>1636</v>
      </c>
      <c r="F1338" s="21" t="s">
        <v>920</v>
      </c>
      <c r="G1338" s="101" t="s">
        <v>77</v>
      </c>
      <c r="H1338" s="25" t="s">
        <v>1637</v>
      </c>
      <c r="I1338" s="102" t="s">
        <v>78</v>
      </c>
      <c r="J1338" s="65" t="s">
        <v>1638</v>
      </c>
      <c r="K1338" s="104"/>
      <c r="L1338" s="48" t="s">
        <v>923</v>
      </c>
      <c r="M1338" s="27">
        <v>43846</v>
      </c>
      <c r="N1338" s="105" t="s">
        <v>182</v>
      </c>
      <c r="O1338" s="68">
        <v>8186</v>
      </c>
      <c r="P1338" s="106">
        <v>5</v>
      </c>
      <c r="Q1338" s="51">
        <f t="shared" si="31"/>
        <v>40930</v>
      </c>
      <c r="R1338" s="31">
        <v>202310</v>
      </c>
      <c r="S1338" s="109" t="s">
        <v>1714</v>
      </c>
      <c r="T1338" s="33"/>
      <c r="U1338" s="109"/>
      <c r="V1338" s="120"/>
      <c r="W1338" s="67"/>
      <c r="X1338" s="67"/>
      <c r="Y1338" s="36"/>
      <c r="Z1338" s="36"/>
      <c r="AA1338" s="36"/>
      <c r="AB1338" s="36"/>
      <c r="AC1338" s="36"/>
      <c r="AD1338" s="36"/>
      <c r="AE1338" s="36"/>
      <c r="AF1338" s="53" t="s">
        <v>68</v>
      </c>
      <c r="AG1338" s="42"/>
      <c r="AH1338" s="42"/>
      <c r="AI1338" s="43"/>
      <c r="AJ1338" s="43"/>
      <c r="AK1338" s="43"/>
      <c r="AL1338" s="43"/>
      <c r="AM1338" s="43"/>
      <c r="AN1338" s="42"/>
      <c r="AO1338" s="42"/>
      <c r="AP1338" s="42"/>
      <c r="AQ1338" s="43"/>
      <c r="AR1338" s="42"/>
      <c r="AS1338" s="42"/>
    </row>
    <row r="1339" spans="1:45" ht="15" customHeight="1">
      <c r="A1339" s="21" t="s">
        <v>260</v>
      </c>
      <c r="B1339" s="21" t="s">
        <v>46</v>
      </c>
      <c r="C1339" s="21" t="s">
        <v>188</v>
      </c>
      <c r="D1339" s="21" t="s">
        <v>48</v>
      </c>
      <c r="E1339" s="80" t="s">
        <v>1636</v>
      </c>
      <c r="F1339" s="21" t="s">
        <v>920</v>
      </c>
      <c r="G1339" s="101" t="s">
        <v>77</v>
      </c>
      <c r="H1339" s="25" t="s">
        <v>1637</v>
      </c>
      <c r="I1339" s="102" t="s">
        <v>78</v>
      </c>
      <c r="J1339" s="65" t="s">
        <v>1638</v>
      </c>
      <c r="K1339" s="104"/>
      <c r="L1339" s="48" t="s">
        <v>923</v>
      </c>
      <c r="M1339" s="27">
        <v>43849</v>
      </c>
      <c r="N1339" s="105" t="s">
        <v>182</v>
      </c>
      <c r="O1339" s="68">
        <v>8186</v>
      </c>
      <c r="P1339" s="106">
        <v>2</v>
      </c>
      <c r="Q1339" s="51">
        <f t="shared" si="31"/>
        <v>16372</v>
      </c>
      <c r="R1339" s="31">
        <v>202310</v>
      </c>
      <c r="S1339" s="109" t="s">
        <v>1715</v>
      </c>
      <c r="T1339" s="33"/>
      <c r="U1339" s="109"/>
      <c r="V1339" s="120"/>
      <c r="W1339" s="67"/>
      <c r="X1339" s="67"/>
      <c r="Y1339" s="36"/>
      <c r="Z1339" s="36"/>
      <c r="AA1339" s="36"/>
      <c r="AB1339" s="36"/>
      <c r="AC1339" s="36"/>
      <c r="AD1339" s="36"/>
      <c r="AE1339" s="36"/>
      <c r="AF1339" s="53" t="s">
        <v>68</v>
      </c>
      <c r="AG1339" s="42"/>
      <c r="AH1339" s="42"/>
      <c r="AI1339" s="43"/>
      <c r="AJ1339" s="43"/>
      <c r="AK1339" s="43"/>
      <c r="AL1339" s="43"/>
      <c r="AM1339" s="43"/>
      <c r="AN1339" s="42"/>
      <c r="AO1339" s="42"/>
      <c r="AP1339" s="42"/>
      <c r="AQ1339" s="43"/>
      <c r="AR1339" s="42"/>
      <c r="AS1339" s="42"/>
    </row>
    <row r="1340" spans="1:45" ht="15" customHeight="1">
      <c r="A1340" s="21" t="s">
        <v>260</v>
      </c>
      <c r="B1340" s="21" t="s">
        <v>46</v>
      </c>
      <c r="C1340" s="21" t="s">
        <v>188</v>
      </c>
      <c r="D1340" s="21" t="s">
        <v>48</v>
      </c>
      <c r="E1340" s="80" t="s">
        <v>1636</v>
      </c>
      <c r="F1340" s="21" t="s">
        <v>920</v>
      </c>
      <c r="G1340" s="101" t="s">
        <v>77</v>
      </c>
      <c r="H1340" s="25" t="s">
        <v>1637</v>
      </c>
      <c r="I1340" s="102" t="s">
        <v>78</v>
      </c>
      <c r="J1340" s="65" t="s">
        <v>1638</v>
      </c>
      <c r="K1340" s="104"/>
      <c r="L1340" s="48" t="s">
        <v>923</v>
      </c>
      <c r="M1340" s="27">
        <v>43875</v>
      </c>
      <c r="N1340" s="105" t="s">
        <v>182</v>
      </c>
      <c r="O1340" s="68">
        <v>8186</v>
      </c>
      <c r="P1340" s="106">
        <v>3</v>
      </c>
      <c r="Q1340" s="51">
        <f t="shared" si="31"/>
        <v>24558</v>
      </c>
      <c r="R1340" s="31">
        <v>202310</v>
      </c>
      <c r="S1340" s="109" t="s">
        <v>1716</v>
      </c>
      <c r="T1340" s="33"/>
      <c r="U1340" s="109"/>
      <c r="V1340" s="120"/>
      <c r="W1340" s="67"/>
      <c r="X1340" s="67"/>
      <c r="Y1340" s="36"/>
      <c r="Z1340" s="36"/>
      <c r="AA1340" s="36"/>
      <c r="AB1340" s="36"/>
      <c r="AC1340" s="36"/>
      <c r="AD1340" s="36"/>
      <c r="AE1340" s="36"/>
      <c r="AF1340" s="53" t="s">
        <v>68</v>
      </c>
      <c r="AG1340" s="42"/>
      <c r="AH1340" s="42"/>
      <c r="AI1340" s="43"/>
      <c r="AJ1340" s="43"/>
      <c r="AK1340" s="43"/>
      <c r="AL1340" s="43"/>
      <c r="AM1340" s="43"/>
      <c r="AN1340" s="42"/>
      <c r="AO1340" s="42"/>
      <c r="AP1340" s="42"/>
      <c r="AQ1340" s="43"/>
      <c r="AR1340" s="42"/>
      <c r="AS1340" s="42"/>
    </row>
    <row r="1341" spans="1:45" ht="15" customHeight="1">
      <c r="A1341" s="21" t="s">
        <v>260</v>
      </c>
      <c r="B1341" s="21" t="s">
        <v>46</v>
      </c>
      <c r="C1341" s="21" t="s">
        <v>188</v>
      </c>
      <c r="D1341" s="21" t="s">
        <v>48</v>
      </c>
      <c r="E1341" s="80" t="s">
        <v>1636</v>
      </c>
      <c r="F1341" s="21" t="s">
        <v>920</v>
      </c>
      <c r="G1341" s="101" t="s">
        <v>77</v>
      </c>
      <c r="H1341" s="25" t="s">
        <v>1637</v>
      </c>
      <c r="I1341" s="102" t="s">
        <v>78</v>
      </c>
      <c r="J1341" s="65" t="s">
        <v>1638</v>
      </c>
      <c r="K1341" s="104"/>
      <c r="L1341" s="48" t="s">
        <v>923</v>
      </c>
      <c r="M1341" s="27">
        <v>43886</v>
      </c>
      <c r="N1341" s="105" t="s">
        <v>182</v>
      </c>
      <c r="O1341" s="68">
        <v>8186</v>
      </c>
      <c r="P1341" s="106">
        <v>1</v>
      </c>
      <c r="Q1341" s="51">
        <f t="shared" si="31"/>
        <v>8186</v>
      </c>
      <c r="R1341" s="31">
        <v>202310</v>
      </c>
      <c r="S1341" s="109" t="s">
        <v>1717</v>
      </c>
      <c r="T1341" s="33"/>
      <c r="U1341" s="109"/>
      <c r="V1341" s="120"/>
      <c r="W1341" s="67"/>
      <c r="X1341" s="67"/>
      <c r="Y1341" s="36"/>
      <c r="Z1341" s="36"/>
      <c r="AA1341" s="36"/>
      <c r="AB1341" s="36"/>
      <c r="AC1341" s="36"/>
      <c r="AD1341" s="36"/>
      <c r="AE1341" s="36"/>
      <c r="AF1341" s="53" t="s">
        <v>68</v>
      </c>
      <c r="AG1341" s="42"/>
      <c r="AH1341" s="42"/>
      <c r="AI1341" s="43"/>
      <c r="AJ1341" s="43"/>
      <c r="AK1341" s="43"/>
      <c r="AL1341" s="43"/>
      <c r="AM1341" s="43"/>
      <c r="AN1341" s="42"/>
      <c r="AO1341" s="42"/>
      <c r="AP1341" s="42"/>
      <c r="AQ1341" s="43"/>
      <c r="AR1341" s="42"/>
      <c r="AS1341" s="42"/>
    </row>
    <row r="1342" spans="1:45" ht="15" customHeight="1">
      <c r="A1342" s="21" t="s">
        <v>260</v>
      </c>
      <c r="B1342" s="21" t="s">
        <v>46</v>
      </c>
      <c r="C1342" s="21" t="s">
        <v>188</v>
      </c>
      <c r="D1342" s="21" t="s">
        <v>48</v>
      </c>
      <c r="E1342" s="80" t="s">
        <v>1636</v>
      </c>
      <c r="F1342" s="21" t="s">
        <v>920</v>
      </c>
      <c r="G1342" s="101" t="s">
        <v>77</v>
      </c>
      <c r="H1342" s="25" t="s">
        <v>1637</v>
      </c>
      <c r="I1342" s="102" t="s">
        <v>78</v>
      </c>
      <c r="J1342" s="65" t="s">
        <v>1638</v>
      </c>
      <c r="K1342" s="104"/>
      <c r="L1342" s="48" t="s">
        <v>923</v>
      </c>
      <c r="M1342" s="27">
        <v>43893</v>
      </c>
      <c r="N1342" s="105" t="s">
        <v>182</v>
      </c>
      <c r="O1342" s="68">
        <v>8186</v>
      </c>
      <c r="P1342" s="106">
        <v>3</v>
      </c>
      <c r="Q1342" s="51">
        <f t="shared" si="31"/>
        <v>24558</v>
      </c>
      <c r="R1342" s="31">
        <v>202310</v>
      </c>
      <c r="S1342" s="109" t="s">
        <v>1718</v>
      </c>
      <c r="T1342" s="33"/>
      <c r="U1342" s="109"/>
      <c r="V1342" s="120"/>
      <c r="W1342" s="67"/>
      <c r="X1342" s="67"/>
      <c r="Y1342" s="36"/>
      <c r="Z1342" s="36"/>
      <c r="AA1342" s="36"/>
      <c r="AB1342" s="36"/>
      <c r="AC1342" s="36"/>
      <c r="AD1342" s="36"/>
      <c r="AE1342" s="36"/>
      <c r="AF1342" s="53" t="s">
        <v>68</v>
      </c>
      <c r="AG1342" s="42"/>
      <c r="AH1342" s="42"/>
      <c r="AI1342" s="43"/>
      <c r="AJ1342" s="43"/>
      <c r="AK1342" s="43"/>
      <c r="AL1342" s="43"/>
      <c r="AM1342" s="43"/>
      <c r="AN1342" s="42"/>
      <c r="AO1342" s="42"/>
      <c r="AP1342" s="42"/>
      <c r="AQ1342" s="43"/>
      <c r="AR1342" s="42"/>
      <c r="AS1342" s="42"/>
    </row>
    <row r="1343" spans="1:45" ht="15" customHeight="1">
      <c r="A1343" s="21" t="s">
        <v>260</v>
      </c>
      <c r="B1343" s="21" t="s">
        <v>46</v>
      </c>
      <c r="C1343" s="21" t="s">
        <v>188</v>
      </c>
      <c r="D1343" s="21" t="s">
        <v>48</v>
      </c>
      <c r="E1343" s="80" t="s">
        <v>1636</v>
      </c>
      <c r="F1343" s="21" t="s">
        <v>920</v>
      </c>
      <c r="G1343" s="101" t="s">
        <v>77</v>
      </c>
      <c r="H1343" s="25" t="s">
        <v>1637</v>
      </c>
      <c r="I1343" s="102" t="s">
        <v>78</v>
      </c>
      <c r="J1343" s="65" t="s">
        <v>1638</v>
      </c>
      <c r="K1343" s="104"/>
      <c r="L1343" s="48" t="s">
        <v>923</v>
      </c>
      <c r="M1343" s="27">
        <v>43895</v>
      </c>
      <c r="N1343" s="105" t="s">
        <v>182</v>
      </c>
      <c r="O1343" s="68">
        <v>8186</v>
      </c>
      <c r="P1343" s="106">
        <v>1</v>
      </c>
      <c r="Q1343" s="51">
        <f t="shared" si="31"/>
        <v>8186</v>
      </c>
      <c r="R1343" s="31">
        <v>202310</v>
      </c>
      <c r="S1343" s="109" t="s">
        <v>1719</v>
      </c>
      <c r="T1343" s="33"/>
      <c r="U1343" s="109"/>
      <c r="V1343" s="120"/>
      <c r="W1343" s="67"/>
      <c r="X1343" s="67"/>
      <c r="Y1343" s="36"/>
      <c r="Z1343" s="36"/>
      <c r="AA1343" s="36"/>
      <c r="AB1343" s="36"/>
      <c r="AC1343" s="36"/>
      <c r="AD1343" s="36"/>
      <c r="AE1343" s="36"/>
      <c r="AF1343" s="53" t="s">
        <v>68</v>
      </c>
      <c r="AG1343" s="42"/>
      <c r="AH1343" s="42"/>
      <c r="AI1343" s="43"/>
      <c r="AJ1343" s="43"/>
      <c r="AK1343" s="43"/>
      <c r="AL1343" s="43"/>
      <c r="AM1343" s="43"/>
      <c r="AN1343" s="42"/>
      <c r="AO1343" s="42"/>
      <c r="AP1343" s="42"/>
      <c r="AQ1343" s="43"/>
      <c r="AR1343" s="42"/>
      <c r="AS1343" s="42"/>
    </row>
    <row r="1344" spans="1:45" ht="15" customHeight="1">
      <c r="A1344" s="21" t="s">
        <v>260</v>
      </c>
      <c r="B1344" s="21" t="s">
        <v>46</v>
      </c>
      <c r="C1344" s="21" t="s">
        <v>188</v>
      </c>
      <c r="D1344" s="21" t="s">
        <v>48</v>
      </c>
      <c r="E1344" s="80" t="s">
        <v>1636</v>
      </c>
      <c r="F1344" s="21" t="s">
        <v>920</v>
      </c>
      <c r="G1344" s="101" t="s">
        <v>77</v>
      </c>
      <c r="H1344" s="25" t="s">
        <v>1637</v>
      </c>
      <c r="I1344" s="102" t="s">
        <v>78</v>
      </c>
      <c r="J1344" s="65" t="s">
        <v>1638</v>
      </c>
      <c r="K1344" s="104"/>
      <c r="L1344" s="48" t="s">
        <v>923</v>
      </c>
      <c r="M1344" s="27">
        <v>43909</v>
      </c>
      <c r="N1344" s="105" t="s">
        <v>182</v>
      </c>
      <c r="O1344" s="68">
        <v>8186</v>
      </c>
      <c r="P1344" s="106">
        <v>1</v>
      </c>
      <c r="Q1344" s="51">
        <f t="shared" si="31"/>
        <v>8186</v>
      </c>
      <c r="R1344" s="31">
        <v>202310</v>
      </c>
      <c r="S1344" s="109" t="s">
        <v>1720</v>
      </c>
      <c r="T1344" s="33"/>
      <c r="U1344" s="109"/>
      <c r="V1344" s="120"/>
      <c r="W1344" s="67"/>
      <c r="X1344" s="67"/>
      <c r="Y1344" s="36"/>
      <c r="Z1344" s="36"/>
      <c r="AA1344" s="36"/>
      <c r="AB1344" s="36"/>
      <c r="AC1344" s="36"/>
      <c r="AD1344" s="36"/>
      <c r="AE1344" s="36"/>
      <c r="AF1344" s="53" t="s">
        <v>68</v>
      </c>
      <c r="AG1344" s="42"/>
      <c r="AH1344" s="42"/>
      <c r="AI1344" s="43"/>
      <c r="AJ1344" s="43"/>
      <c r="AK1344" s="43"/>
      <c r="AL1344" s="43"/>
      <c r="AM1344" s="43"/>
      <c r="AN1344" s="42"/>
      <c r="AO1344" s="42"/>
      <c r="AP1344" s="42"/>
      <c r="AQ1344" s="43"/>
      <c r="AR1344" s="42"/>
      <c r="AS1344" s="42"/>
    </row>
    <row r="1345" spans="1:45" ht="15" customHeight="1">
      <c r="A1345" s="21" t="s">
        <v>260</v>
      </c>
      <c r="B1345" s="21" t="s">
        <v>46</v>
      </c>
      <c r="C1345" s="21" t="s">
        <v>188</v>
      </c>
      <c r="D1345" s="21" t="s">
        <v>48</v>
      </c>
      <c r="E1345" s="80" t="s">
        <v>1636</v>
      </c>
      <c r="F1345" s="21" t="s">
        <v>920</v>
      </c>
      <c r="G1345" s="101" t="s">
        <v>77</v>
      </c>
      <c r="H1345" s="25" t="s">
        <v>1637</v>
      </c>
      <c r="I1345" s="102" t="s">
        <v>78</v>
      </c>
      <c r="J1345" s="65" t="s">
        <v>1638</v>
      </c>
      <c r="K1345" s="104"/>
      <c r="L1345" s="48" t="s">
        <v>923</v>
      </c>
      <c r="M1345" s="27">
        <v>43886</v>
      </c>
      <c r="N1345" s="105" t="s">
        <v>182</v>
      </c>
      <c r="O1345" s="68">
        <v>8186</v>
      </c>
      <c r="P1345" s="106">
        <v>3</v>
      </c>
      <c r="Q1345" s="51">
        <f t="shared" si="31"/>
        <v>24558</v>
      </c>
      <c r="R1345" s="31">
        <v>202310</v>
      </c>
      <c r="S1345" s="109" t="s">
        <v>1721</v>
      </c>
      <c r="T1345" s="33"/>
      <c r="U1345" s="109"/>
      <c r="V1345" s="120"/>
      <c r="W1345" s="67"/>
      <c r="X1345" s="67"/>
      <c r="Y1345" s="36"/>
      <c r="Z1345" s="36"/>
      <c r="AA1345" s="36"/>
      <c r="AB1345" s="36"/>
      <c r="AC1345" s="36"/>
      <c r="AD1345" s="36"/>
      <c r="AE1345" s="36"/>
      <c r="AF1345" s="53" t="s">
        <v>68</v>
      </c>
      <c r="AG1345" s="42"/>
      <c r="AH1345" s="42"/>
      <c r="AI1345" s="43"/>
      <c r="AJ1345" s="43"/>
      <c r="AK1345" s="43"/>
      <c r="AL1345" s="43"/>
      <c r="AM1345" s="43"/>
      <c r="AN1345" s="42"/>
      <c r="AO1345" s="42"/>
      <c r="AP1345" s="42"/>
      <c r="AQ1345" s="43"/>
      <c r="AR1345" s="42"/>
      <c r="AS1345" s="42"/>
    </row>
    <row r="1346" spans="1:45" ht="15" customHeight="1">
      <c r="A1346" s="21" t="s">
        <v>260</v>
      </c>
      <c r="B1346" s="21" t="s">
        <v>46</v>
      </c>
      <c r="C1346" s="21" t="s">
        <v>188</v>
      </c>
      <c r="D1346" s="21" t="s">
        <v>48</v>
      </c>
      <c r="E1346" s="80" t="s">
        <v>1636</v>
      </c>
      <c r="F1346" s="21" t="s">
        <v>920</v>
      </c>
      <c r="G1346" s="101" t="s">
        <v>77</v>
      </c>
      <c r="H1346" s="25" t="s">
        <v>1637</v>
      </c>
      <c r="I1346" s="102" t="s">
        <v>78</v>
      </c>
      <c r="J1346" s="65" t="s">
        <v>1638</v>
      </c>
      <c r="K1346" s="104"/>
      <c r="L1346" s="48" t="s">
        <v>923</v>
      </c>
      <c r="M1346" s="27">
        <v>43928</v>
      </c>
      <c r="N1346" s="105" t="s">
        <v>182</v>
      </c>
      <c r="O1346" s="68">
        <v>8186</v>
      </c>
      <c r="P1346" s="106">
        <v>6</v>
      </c>
      <c r="Q1346" s="51">
        <f t="shared" si="31"/>
        <v>49116</v>
      </c>
      <c r="R1346" s="31">
        <v>202310</v>
      </c>
      <c r="S1346" s="54" t="s">
        <v>1722</v>
      </c>
      <c r="T1346" s="33"/>
      <c r="U1346" s="109"/>
      <c r="V1346" s="122"/>
      <c r="W1346" s="67"/>
      <c r="X1346" s="67"/>
      <c r="Y1346" s="36"/>
      <c r="Z1346" s="36"/>
      <c r="AA1346" s="36"/>
      <c r="AB1346" s="36"/>
      <c r="AC1346" s="36"/>
      <c r="AD1346" s="36"/>
      <c r="AE1346" s="36"/>
      <c r="AF1346" s="53" t="s">
        <v>68</v>
      </c>
      <c r="AG1346" s="42"/>
      <c r="AH1346" s="42"/>
      <c r="AI1346" s="43"/>
      <c r="AJ1346" s="43"/>
      <c r="AK1346" s="43"/>
      <c r="AL1346" s="43"/>
      <c r="AM1346" s="43"/>
      <c r="AN1346" s="42"/>
      <c r="AO1346" s="42"/>
      <c r="AP1346" s="42"/>
      <c r="AQ1346" s="43"/>
      <c r="AR1346" s="42"/>
      <c r="AS1346" s="42"/>
    </row>
    <row r="1347" spans="1:45" ht="15" customHeight="1">
      <c r="A1347" s="21" t="s">
        <v>260</v>
      </c>
      <c r="B1347" s="21" t="s">
        <v>46</v>
      </c>
      <c r="C1347" s="21" t="s">
        <v>188</v>
      </c>
      <c r="D1347" s="21" t="s">
        <v>48</v>
      </c>
      <c r="E1347" s="80" t="s">
        <v>1636</v>
      </c>
      <c r="F1347" s="21" t="s">
        <v>920</v>
      </c>
      <c r="G1347" s="101" t="s">
        <v>77</v>
      </c>
      <c r="H1347" s="25" t="s">
        <v>1637</v>
      </c>
      <c r="I1347" s="102" t="s">
        <v>78</v>
      </c>
      <c r="J1347" s="65" t="s">
        <v>1638</v>
      </c>
      <c r="K1347" s="104"/>
      <c r="L1347" s="48" t="s">
        <v>923</v>
      </c>
      <c r="M1347" s="27">
        <v>43938</v>
      </c>
      <c r="N1347" s="105" t="s">
        <v>182</v>
      </c>
      <c r="O1347" s="68">
        <v>8186</v>
      </c>
      <c r="P1347" s="106">
        <v>1</v>
      </c>
      <c r="Q1347" s="51">
        <f t="shared" si="31"/>
        <v>8186</v>
      </c>
      <c r="R1347" s="31">
        <v>202310</v>
      </c>
      <c r="S1347" s="54" t="s">
        <v>1723</v>
      </c>
      <c r="T1347" s="33"/>
      <c r="U1347" s="109"/>
      <c r="V1347" s="122"/>
      <c r="W1347" s="67"/>
      <c r="X1347" s="67"/>
      <c r="Y1347" s="36"/>
      <c r="Z1347" s="36"/>
      <c r="AA1347" s="36"/>
      <c r="AB1347" s="36"/>
      <c r="AC1347" s="36"/>
      <c r="AD1347" s="36"/>
      <c r="AE1347" s="36"/>
      <c r="AF1347" s="53" t="s">
        <v>68</v>
      </c>
      <c r="AG1347" s="42"/>
      <c r="AH1347" s="42"/>
      <c r="AI1347" s="43"/>
      <c r="AJ1347" s="43"/>
      <c r="AK1347" s="43"/>
      <c r="AL1347" s="43"/>
      <c r="AM1347" s="43"/>
      <c r="AN1347" s="42"/>
      <c r="AO1347" s="42"/>
      <c r="AP1347" s="42"/>
      <c r="AQ1347" s="43"/>
      <c r="AR1347" s="42"/>
      <c r="AS1347" s="42"/>
    </row>
    <row r="1348" spans="1:45" ht="15" customHeight="1">
      <c r="A1348" s="21" t="s">
        <v>260</v>
      </c>
      <c r="B1348" s="21" t="s">
        <v>46</v>
      </c>
      <c r="C1348" s="21" t="s">
        <v>188</v>
      </c>
      <c r="D1348" s="21" t="s">
        <v>48</v>
      </c>
      <c r="E1348" s="80" t="s">
        <v>1636</v>
      </c>
      <c r="F1348" s="21" t="s">
        <v>920</v>
      </c>
      <c r="G1348" s="101" t="s">
        <v>77</v>
      </c>
      <c r="H1348" s="25" t="s">
        <v>1637</v>
      </c>
      <c r="I1348" s="102" t="s">
        <v>78</v>
      </c>
      <c r="J1348" s="65" t="s">
        <v>1638</v>
      </c>
      <c r="K1348" s="104"/>
      <c r="L1348" s="48" t="s">
        <v>1724</v>
      </c>
      <c r="M1348" s="27">
        <v>43941</v>
      </c>
      <c r="N1348" s="105" t="s">
        <v>182</v>
      </c>
      <c r="O1348" s="68">
        <v>8186</v>
      </c>
      <c r="P1348" s="106">
        <v>1</v>
      </c>
      <c r="Q1348" s="51">
        <f t="shared" si="31"/>
        <v>8186</v>
      </c>
      <c r="R1348" s="31">
        <v>202310</v>
      </c>
      <c r="S1348" s="54" t="s">
        <v>1725</v>
      </c>
      <c r="T1348" s="33"/>
      <c r="U1348" s="109"/>
      <c r="V1348" s="122"/>
      <c r="W1348" s="67"/>
      <c r="X1348" s="67"/>
      <c r="Y1348" s="36"/>
      <c r="Z1348" s="36"/>
      <c r="AA1348" s="36"/>
      <c r="AB1348" s="36"/>
      <c r="AC1348" s="36"/>
      <c r="AD1348" s="36"/>
      <c r="AE1348" s="36"/>
      <c r="AF1348" s="53" t="s">
        <v>68</v>
      </c>
      <c r="AG1348" s="42"/>
      <c r="AH1348" s="42"/>
      <c r="AI1348" s="43"/>
      <c r="AJ1348" s="43"/>
      <c r="AK1348" s="43"/>
      <c r="AL1348" s="43"/>
      <c r="AM1348" s="43"/>
      <c r="AN1348" s="42"/>
      <c r="AO1348" s="42"/>
      <c r="AP1348" s="42"/>
      <c r="AQ1348" s="43"/>
      <c r="AR1348" s="42"/>
      <c r="AS1348" s="42"/>
    </row>
    <row r="1349" spans="1:45" ht="15" customHeight="1">
      <c r="A1349" s="21" t="s">
        <v>260</v>
      </c>
      <c r="B1349" s="21" t="s">
        <v>46</v>
      </c>
      <c r="C1349" s="21" t="s">
        <v>188</v>
      </c>
      <c r="D1349" s="21" t="s">
        <v>48</v>
      </c>
      <c r="E1349" s="80" t="s">
        <v>1636</v>
      </c>
      <c r="F1349" s="21" t="s">
        <v>920</v>
      </c>
      <c r="G1349" s="101" t="s">
        <v>77</v>
      </c>
      <c r="H1349" s="25" t="s">
        <v>1637</v>
      </c>
      <c r="I1349" s="102" t="s">
        <v>78</v>
      </c>
      <c r="J1349" s="65" t="s">
        <v>1638</v>
      </c>
      <c r="K1349" s="104"/>
      <c r="L1349" s="48" t="s">
        <v>923</v>
      </c>
      <c r="M1349" s="27">
        <v>43941</v>
      </c>
      <c r="N1349" s="105" t="s">
        <v>177</v>
      </c>
      <c r="O1349" s="68">
        <v>5900</v>
      </c>
      <c r="P1349" s="106">
        <v>1</v>
      </c>
      <c r="Q1349" s="51">
        <f t="shared" si="31"/>
        <v>5900</v>
      </c>
      <c r="R1349" s="31">
        <v>202310</v>
      </c>
      <c r="S1349" s="54" t="s">
        <v>1726</v>
      </c>
      <c r="T1349" s="33"/>
      <c r="U1349" s="183"/>
      <c r="V1349" s="122"/>
      <c r="W1349" s="67"/>
      <c r="X1349" s="67"/>
      <c r="Y1349" s="36"/>
      <c r="Z1349" s="36"/>
      <c r="AA1349" s="36"/>
      <c r="AB1349" s="36"/>
      <c r="AC1349" s="36"/>
      <c r="AD1349" s="36"/>
      <c r="AE1349" s="36"/>
      <c r="AF1349" s="53" t="s">
        <v>68</v>
      </c>
      <c r="AG1349" s="42"/>
      <c r="AH1349" s="42"/>
      <c r="AI1349" s="43"/>
      <c r="AJ1349" s="43"/>
      <c r="AK1349" s="43"/>
      <c r="AL1349" s="43"/>
      <c r="AM1349" s="43"/>
      <c r="AN1349" s="42"/>
      <c r="AO1349" s="42"/>
      <c r="AP1349" s="42"/>
      <c r="AQ1349" s="43"/>
      <c r="AR1349" s="42"/>
      <c r="AS1349" s="42"/>
    </row>
    <row r="1350" spans="1:45" ht="15" customHeight="1">
      <c r="A1350" s="21" t="s">
        <v>260</v>
      </c>
      <c r="B1350" s="21" t="s">
        <v>46</v>
      </c>
      <c r="C1350" s="21" t="s">
        <v>188</v>
      </c>
      <c r="D1350" s="21" t="s">
        <v>48</v>
      </c>
      <c r="E1350" s="80" t="s">
        <v>1636</v>
      </c>
      <c r="F1350" s="21" t="s">
        <v>920</v>
      </c>
      <c r="G1350" s="101" t="s">
        <v>77</v>
      </c>
      <c r="H1350" s="25" t="s">
        <v>1637</v>
      </c>
      <c r="I1350" s="102" t="s">
        <v>78</v>
      </c>
      <c r="J1350" s="65" t="s">
        <v>1638</v>
      </c>
      <c r="K1350" s="104"/>
      <c r="L1350" s="48" t="s">
        <v>923</v>
      </c>
      <c r="M1350" s="27">
        <v>43958</v>
      </c>
      <c r="N1350" s="105" t="s">
        <v>177</v>
      </c>
      <c r="O1350" s="68">
        <v>5900</v>
      </c>
      <c r="P1350" s="106">
        <v>3</v>
      </c>
      <c r="Q1350" s="51">
        <f t="shared" si="31"/>
        <v>17700</v>
      </c>
      <c r="R1350" s="31">
        <v>202310</v>
      </c>
      <c r="S1350" s="54" t="s">
        <v>1727</v>
      </c>
      <c r="T1350" s="33"/>
      <c r="U1350" s="183"/>
      <c r="V1350" s="122"/>
      <c r="W1350" s="67"/>
      <c r="X1350" s="67"/>
      <c r="Y1350" s="36"/>
      <c r="Z1350" s="36"/>
      <c r="AA1350" s="36"/>
      <c r="AB1350" s="36"/>
      <c r="AC1350" s="36"/>
      <c r="AD1350" s="36"/>
      <c r="AE1350" s="36"/>
      <c r="AF1350" s="53" t="s">
        <v>68</v>
      </c>
      <c r="AG1350" s="42"/>
      <c r="AH1350" s="42"/>
      <c r="AI1350" s="43"/>
      <c r="AJ1350" s="43"/>
      <c r="AK1350" s="43"/>
      <c r="AL1350" s="43"/>
      <c r="AM1350" s="43"/>
      <c r="AN1350" s="42"/>
      <c r="AO1350" s="42"/>
      <c r="AP1350" s="42"/>
      <c r="AQ1350" s="43"/>
      <c r="AR1350" s="42"/>
      <c r="AS1350" s="42"/>
    </row>
    <row r="1351" spans="1:45" ht="15" customHeight="1">
      <c r="A1351" s="21" t="s">
        <v>260</v>
      </c>
      <c r="B1351" s="21" t="s">
        <v>46</v>
      </c>
      <c r="C1351" s="21" t="s">
        <v>188</v>
      </c>
      <c r="D1351" s="21" t="s">
        <v>48</v>
      </c>
      <c r="E1351" s="80" t="s">
        <v>1636</v>
      </c>
      <c r="F1351" s="21" t="s">
        <v>920</v>
      </c>
      <c r="G1351" s="101" t="s">
        <v>77</v>
      </c>
      <c r="H1351" s="25" t="s">
        <v>1637</v>
      </c>
      <c r="I1351" s="102" t="s">
        <v>78</v>
      </c>
      <c r="J1351" s="65" t="s">
        <v>1638</v>
      </c>
      <c r="K1351" s="104"/>
      <c r="L1351" s="48" t="s">
        <v>923</v>
      </c>
      <c r="M1351" s="27">
        <v>43959</v>
      </c>
      <c r="N1351" s="105" t="s">
        <v>182</v>
      </c>
      <c r="O1351" s="68">
        <v>8186</v>
      </c>
      <c r="P1351" s="106">
        <v>1</v>
      </c>
      <c r="Q1351" s="51">
        <f t="shared" si="31"/>
        <v>8186</v>
      </c>
      <c r="R1351" s="31">
        <v>202310</v>
      </c>
      <c r="S1351" s="54" t="s">
        <v>1728</v>
      </c>
      <c r="T1351" s="33"/>
      <c r="U1351" s="109"/>
      <c r="V1351" s="122"/>
      <c r="W1351" s="67"/>
      <c r="X1351" s="67"/>
      <c r="Y1351" s="36"/>
      <c r="Z1351" s="36"/>
      <c r="AA1351" s="36"/>
      <c r="AB1351" s="36"/>
      <c r="AC1351" s="36"/>
      <c r="AD1351" s="36"/>
      <c r="AE1351" s="36"/>
      <c r="AF1351" s="53" t="s">
        <v>68</v>
      </c>
      <c r="AG1351" s="42"/>
      <c r="AH1351" s="42"/>
      <c r="AI1351" s="43"/>
      <c r="AJ1351" s="43"/>
      <c r="AK1351" s="43"/>
      <c r="AL1351" s="43"/>
      <c r="AM1351" s="43"/>
      <c r="AN1351" s="42"/>
      <c r="AO1351" s="42"/>
      <c r="AP1351" s="42"/>
      <c r="AQ1351" s="43"/>
      <c r="AR1351" s="42"/>
      <c r="AS1351" s="42"/>
    </row>
    <row r="1352" spans="1:45" ht="15" customHeight="1">
      <c r="A1352" s="21" t="s">
        <v>260</v>
      </c>
      <c r="B1352" s="21" t="s">
        <v>46</v>
      </c>
      <c r="C1352" s="21" t="s">
        <v>188</v>
      </c>
      <c r="D1352" s="21" t="s">
        <v>48</v>
      </c>
      <c r="E1352" s="80" t="s">
        <v>1636</v>
      </c>
      <c r="F1352" s="21" t="s">
        <v>920</v>
      </c>
      <c r="G1352" s="101" t="s">
        <v>77</v>
      </c>
      <c r="H1352" s="25" t="s">
        <v>1637</v>
      </c>
      <c r="I1352" s="102" t="s">
        <v>78</v>
      </c>
      <c r="J1352" s="65" t="s">
        <v>1638</v>
      </c>
      <c r="K1352" s="104"/>
      <c r="L1352" s="48" t="s">
        <v>923</v>
      </c>
      <c r="M1352" s="27">
        <v>43965</v>
      </c>
      <c r="N1352" s="105" t="s">
        <v>182</v>
      </c>
      <c r="O1352" s="68">
        <v>8186</v>
      </c>
      <c r="P1352" s="106">
        <v>2</v>
      </c>
      <c r="Q1352" s="51">
        <f t="shared" si="31"/>
        <v>16372</v>
      </c>
      <c r="R1352" s="31">
        <v>202310</v>
      </c>
      <c r="S1352" s="54" t="s">
        <v>1729</v>
      </c>
      <c r="T1352" s="33"/>
      <c r="U1352" s="109"/>
      <c r="V1352" s="122"/>
      <c r="W1352" s="67"/>
      <c r="X1352" s="67"/>
      <c r="Y1352" s="36"/>
      <c r="Z1352" s="36"/>
      <c r="AA1352" s="36"/>
      <c r="AB1352" s="36"/>
      <c r="AC1352" s="36"/>
      <c r="AD1352" s="36"/>
      <c r="AE1352" s="36"/>
      <c r="AF1352" s="53" t="s">
        <v>68</v>
      </c>
      <c r="AG1352" s="42"/>
      <c r="AH1352" s="42"/>
      <c r="AI1352" s="43"/>
      <c r="AJ1352" s="43"/>
      <c r="AK1352" s="43"/>
      <c r="AL1352" s="43"/>
      <c r="AM1352" s="43"/>
      <c r="AN1352" s="42"/>
      <c r="AO1352" s="42"/>
      <c r="AP1352" s="42"/>
      <c r="AQ1352" s="43"/>
      <c r="AR1352" s="42"/>
      <c r="AS1352" s="42"/>
    </row>
    <row r="1353" spans="1:45" ht="15" customHeight="1">
      <c r="A1353" s="21" t="s">
        <v>260</v>
      </c>
      <c r="B1353" s="21" t="s">
        <v>46</v>
      </c>
      <c r="C1353" s="21" t="s">
        <v>188</v>
      </c>
      <c r="D1353" s="21" t="s">
        <v>48</v>
      </c>
      <c r="E1353" s="80" t="s">
        <v>1636</v>
      </c>
      <c r="F1353" s="21" t="s">
        <v>920</v>
      </c>
      <c r="G1353" s="101" t="s">
        <v>77</v>
      </c>
      <c r="H1353" s="25" t="s">
        <v>1637</v>
      </c>
      <c r="I1353" s="102" t="s">
        <v>78</v>
      </c>
      <c r="J1353" s="65" t="s">
        <v>1638</v>
      </c>
      <c r="K1353" s="104"/>
      <c r="L1353" s="48" t="s">
        <v>923</v>
      </c>
      <c r="M1353" s="27">
        <v>43971</v>
      </c>
      <c r="N1353" s="105" t="s">
        <v>182</v>
      </c>
      <c r="O1353" s="68">
        <v>8186</v>
      </c>
      <c r="P1353" s="106">
        <v>1</v>
      </c>
      <c r="Q1353" s="51">
        <f t="shared" si="31"/>
        <v>8186</v>
      </c>
      <c r="R1353" s="31">
        <v>202310</v>
      </c>
      <c r="S1353" s="54" t="s">
        <v>1730</v>
      </c>
      <c r="T1353" s="33"/>
      <c r="U1353" s="109"/>
      <c r="V1353" s="122"/>
      <c r="W1353" s="67"/>
      <c r="X1353" s="67"/>
      <c r="Y1353" s="36"/>
      <c r="Z1353" s="36"/>
      <c r="AA1353" s="36"/>
      <c r="AB1353" s="36"/>
      <c r="AC1353" s="36"/>
      <c r="AD1353" s="36"/>
      <c r="AE1353" s="36"/>
      <c r="AF1353" s="53" t="s">
        <v>68</v>
      </c>
      <c r="AG1353" s="42"/>
      <c r="AH1353" s="42"/>
      <c r="AI1353" s="43"/>
      <c r="AJ1353" s="43"/>
      <c r="AK1353" s="43"/>
      <c r="AL1353" s="43"/>
      <c r="AM1353" s="43"/>
      <c r="AN1353" s="42"/>
      <c r="AO1353" s="42"/>
      <c r="AP1353" s="42"/>
      <c r="AQ1353" s="43"/>
      <c r="AR1353" s="42"/>
      <c r="AS1353" s="42"/>
    </row>
    <row r="1354" spans="1:45" ht="15" customHeight="1">
      <c r="A1354" s="21" t="s">
        <v>260</v>
      </c>
      <c r="B1354" s="21" t="s">
        <v>46</v>
      </c>
      <c r="C1354" s="21" t="s">
        <v>188</v>
      </c>
      <c r="D1354" s="21" t="s">
        <v>48</v>
      </c>
      <c r="E1354" s="80" t="s">
        <v>1636</v>
      </c>
      <c r="F1354" s="21" t="s">
        <v>920</v>
      </c>
      <c r="G1354" s="101" t="s">
        <v>77</v>
      </c>
      <c r="H1354" s="25" t="s">
        <v>1637</v>
      </c>
      <c r="I1354" s="102" t="s">
        <v>78</v>
      </c>
      <c r="J1354" s="65" t="s">
        <v>1638</v>
      </c>
      <c r="K1354" s="104"/>
      <c r="L1354" s="48" t="s">
        <v>923</v>
      </c>
      <c r="M1354" s="27">
        <v>43970</v>
      </c>
      <c r="N1354" s="105" t="s">
        <v>182</v>
      </c>
      <c r="O1354" s="68">
        <v>8186</v>
      </c>
      <c r="P1354" s="106">
        <v>-1</v>
      </c>
      <c r="Q1354" s="51">
        <f t="shared" si="31"/>
        <v>-8186</v>
      </c>
      <c r="R1354" s="31">
        <v>202310</v>
      </c>
      <c r="S1354" s="54" t="s">
        <v>1731</v>
      </c>
      <c r="T1354" s="33"/>
      <c r="U1354" s="109"/>
      <c r="V1354" s="122"/>
      <c r="W1354" s="67"/>
      <c r="X1354" s="67"/>
      <c r="Y1354" s="36"/>
      <c r="Z1354" s="36"/>
      <c r="AA1354" s="36"/>
      <c r="AB1354" s="36"/>
      <c r="AC1354" s="36"/>
      <c r="AD1354" s="36"/>
      <c r="AE1354" s="36"/>
      <c r="AF1354" s="53" t="s">
        <v>68</v>
      </c>
      <c r="AG1354" s="42"/>
      <c r="AH1354" s="42"/>
      <c r="AI1354" s="43"/>
      <c r="AJ1354" s="43"/>
      <c r="AK1354" s="43"/>
      <c r="AL1354" s="43"/>
      <c r="AM1354" s="43"/>
      <c r="AN1354" s="42"/>
      <c r="AO1354" s="42"/>
      <c r="AP1354" s="42"/>
      <c r="AQ1354" s="43"/>
      <c r="AR1354" s="42"/>
      <c r="AS1354" s="42"/>
    </row>
    <row r="1355" spans="1:45" ht="15" customHeight="1">
      <c r="A1355" s="21" t="s">
        <v>260</v>
      </c>
      <c r="B1355" s="21" t="s">
        <v>46</v>
      </c>
      <c r="C1355" s="21" t="s">
        <v>188</v>
      </c>
      <c r="D1355" s="21" t="s">
        <v>48</v>
      </c>
      <c r="E1355" s="80" t="s">
        <v>1636</v>
      </c>
      <c r="F1355" s="21" t="s">
        <v>920</v>
      </c>
      <c r="G1355" s="101" t="s">
        <v>77</v>
      </c>
      <c r="H1355" s="25" t="s">
        <v>1637</v>
      </c>
      <c r="I1355" s="102" t="s">
        <v>78</v>
      </c>
      <c r="J1355" s="65" t="s">
        <v>1638</v>
      </c>
      <c r="K1355" s="104"/>
      <c r="L1355" s="48" t="s">
        <v>923</v>
      </c>
      <c r="M1355" s="27">
        <v>43958</v>
      </c>
      <c r="N1355" s="105" t="s">
        <v>177</v>
      </c>
      <c r="O1355" s="68">
        <v>5900</v>
      </c>
      <c r="P1355" s="106">
        <v>2</v>
      </c>
      <c r="Q1355" s="51">
        <f t="shared" si="31"/>
        <v>11800</v>
      </c>
      <c r="R1355" s="31">
        <v>202310</v>
      </c>
      <c r="S1355" s="54" t="s">
        <v>1732</v>
      </c>
      <c r="T1355" s="33"/>
      <c r="U1355" s="183"/>
      <c r="V1355" s="122"/>
      <c r="W1355" s="67"/>
      <c r="X1355" s="67"/>
      <c r="Y1355" s="36"/>
      <c r="Z1355" s="36"/>
      <c r="AA1355" s="36"/>
      <c r="AB1355" s="36"/>
      <c r="AC1355" s="36"/>
      <c r="AD1355" s="36"/>
      <c r="AE1355" s="36"/>
      <c r="AF1355" s="53" t="s">
        <v>68</v>
      </c>
      <c r="AG1355" s="42"/>
      <c r="AH1355" s="42"/>
      <c r="AI1355" s="43"/>
      <c r="AJ1355" s="43"/>
      <c r="AK1355" s="43"/>
      <c r="AL1355" s="43"/>
      <c r="AM1355" s="43"/>
      <c r="AN1355" s="42"/>
      <c r="AO1355" s="42"/>
      <c r="AP1355" s="42"/>
      <c r="AQ1355" s="43"/>
      <c r="AR1355" s="42"/>
      <c r="AS1355" s="42"/>
    </row>
    <row r="1356" spans="1:45" ht="15" customHeight="1">
      <c r="A1356" s="21" t="s">
        <v>260</v>
      </c>
      <c r="B1356" s="21" t="s">
        <v>46</v>
      </c>
      <c r="C1356" s="21" t="s">
        <v>188</v>
      </c>
      <c r="D1356" s="21" t="s">
        <v>48</v>
      </c>
      <c r="E1356" s="80" t="s">
        <v>1636</v>
      </c>
      <c r="F1356" s="21" t="s">
        <v>920</v>
      </c>
      <c r="G1356" s="101" t="s">
        <v>77</v>
      </c>
      <c r="H1356" s="25" t="s">
        <v>1637</v>
      </c>
      <c r="I1356" s="102" t="s">
        <v>78</v>
      </c>
      <c r="J1356" s="65" t="s">
        <v>1638</v>
      </c>
      <c r="K1356" s="104"/>
      <c r="L1356" s="48" t="s">
        <v>923</v>
      </c>
      <c r="M1356" s="27">
        <v>43983</v>
      </c>
      <c r="N1356" s="105" t="s">
        <v>182</v>
      </c>
      <c r="O1356" s="68">
        <v>8186</v>
      </c>
      <c r="P1356" s="106">
        <v>1</v>
      </c>
      <c r="Q1356" s="51">
        <f t="shared" si="31"/>
        <v>8186</v>
      </c>
      <c r="R1356" s="31">
        <v>202310</v>
      </c>
      <c r="S1356" s="54" t="s">
        <v>1733</v>
      </c>
      <c r="T1356" s="33"/>
      <c r="U1356" s="109"/>
      <c r="V1356" s="122"/>
      <c r="W1356" s="67"/>
      <c r="X1356" s="67"/>
      <c r="Y1356" s="36"/>
      <c r="Z1356" s="36"/>
      <c r="AA1356" s="36"/>
      <c r="AB1356" s="36"/>
      <c r="AC1356" s="36"/>
      <c r="AD1356" s="36"/>
      <c r="AE1356" s="36"/>
      <c r="AF1356" s="53" t="s">
        <v>68</v>
      </c>
      <c r="AG1356" s="42"/>
      <c r="AH1356" s="42"/>
      <c r="AI1356" s="43"/>
      <c r="AJ1356" s="43"/>
      <c r="AK1356" s="43"/>
      <c r="AL1356" s="43"/>
      <c r="AM1356" s="43"/>
      <c r="AN1356" s="42"/>
      <c r="AO1356" s="42"/>
      <c r="AP1356" s="42"/>
      <c r="AQ1356" s="43"/>
      <c r="AR1356" s="42"/>
      <c r="AS1356" s="42"/>
    </row>
    <row r="1357" spans="1:45" ht="15" customHeight="1">
      <c r="A1357" s="21" t="s">
        <v>260</v>
      </c>
      <c r="B1357" s="21" t="s">
        <v>46</v>
      </c>
      <c r="C1357" s="21" t="s">
        <v>188</v>
      </c>
      <c r="D1357" s="21" t="s">
        <v>48</v>
      </c>
      <c r="E1357" s="80" t="s">
        <v>1636</v>
      </c>
      <c r="F1357" s="21" t="s">
        <v>920</v>
      </c>
      <c r="G1357" s="101" t="s">
        <v>77</v>
      </c>
      <c r="H1357" s="25" t="s">
        <v>1637</v>
      </c>
      <c r="I1357" s="102" t="s">
        <v>78</v>
      </c>
      <c r="J1357" s="65" t="s">
        <v>1638</v>
      </c>
      <c r="K1357" s="104"/>
      <c r="L1357" s="48" t="s">
        <v>923</v>
      </c>
      <c r="M1357" s="27">
        <v>43987</v>
      </c>
      <c r="N1357" s="105" t="s">
        <v>182</v>
      </c>
      <c r="O1357" s="68">
        <v>8186</v>
      </c>
      <c r="P1357" s="106">
        <v>5</v>
      </c>
      <c r="Q1357" s="51">
        <f t="shared" si="31"/>
        <v>40930</v>
      </c>
      <c r="R1357" s="31">
        <v>202310</v>
      </c>
      <c r="S1357" s="54" t="s">
        <v>1734</v>
      </c>
      <c r="T1357" s="33"/>
      <c r="U1357" s="109"/>
      <c r="V1357" s="122"/>
      <c r="W1357" s="67"/>
      <c r="X1357" s="67"/>
      <c r="Y1357" s="36"/>
      <c r="Z1357" s="36"/>
      <c r="AA1357" s="36"/>
      <c r="AB1357" s="36"/>
      <c r="AC1357" s="36"/>
      <c r="AD1357" s="36"/>
      <c r="AE1357" s="36"/>
      <c r="AF1357" s="53" t="s">
        <v>68</v>
      </c>
      <c r="AG1357" s="42"/>
      <c r="AH1357" s="42"/>
      <c r="AI1357" s="43"/>
      <c r="AJ1357" s="43"/>
      <c r="AK1357" s="43"/>
      <c r="AL1357" s="43"/>
      <c r="AM1357" s="43"/>
      <c r="AN1357" s="42"/>
      <c r="AO1357" s="42"/>
      <c r="AP1357" s="42"/>
      <c r="AQ1357" s="43"/>
      <c r="AR1357" s="42"/>
      <c r="AS1357" s="42"/>
    </row>
    <row r="1358" spans="1:45" ht="15" customHeight="1">
      <c r="A1358" s="21" t="s">
        <v>260</v>
      </c>
      <c r="B1358" s="21" t="s">
        <v>46</v>
      </c>
      <c r="C1358" s="21" t="s">
        <v>188</v>
      </c>
      <c r="D1358" s="21" t="s">
        <v>48</v>
      </c>
      <c r="E1358" s="80" t="s">
        <v>1636</v>
      </c>
      <c r="F1358" s="21" t="s">
        <v>920</v>
      </c>
      <c r="G1358" s="101" t="s">
        <v>77</v>
      </c>
      <c r="H1358" s="25" t="s">
        <v>1637</v>
      </c>
      <c r="I1358" s="102" t="s">
        <v>78</v>
      </c>
      <c r="J1358" s="65" t="s">
        <v>1638</v>
      </c>
      <c r="K1358" s="104"/>
      <c r="L1358" s="48" t="s">
        <v>923</v>
      </c>
      <c r="M1358" s="27">
        <v>43993</v>
      </c>
      <c r="N1358" s="105" t="s">
        <v>182</v>
      </c>
      <c r="O1358" s="68">
        <v>8186</v>
      </c>
      <c r="P1358" s="106">
        <v>4</v>
      </c>
      <c r="Q1358" s="51">
        <f t="shared" si="31"/>
        <v>32744</v>
      </c>
      <c r="R1358" s="31">
        <v>202310</v>
      </c>
      <c r="S1358" s="54" t="s">
        <v>1735</v>
      </c>
      <c r="T1358" s="33"/>
      <c r="U1358" s="109"/>
      <c r="V1358" s="122"/>
      <c r="W1358" s="67"/>
      <c r="X1358" s="67"/>
      <c r="Y1358" s="36"/>
      <c r="Z1358" s="36"/>
      <c r="AA1358" s="36"/>
      <c r="AB1358" s="36"/>
      <c r="AC1358" s="36"/>
      <c r="AD1358" s="36"/>
      <c r="AE1358" s="36"/>
      <c r="AF1358" s="53" t="s">
        <v>68</v>
      </c>
      <c r="AG1358" s="42"/>
      <c r="AH1358" s="42"/>
      <c r="AI1358" s="43"/>
      <c r="AJ1358" s="43"/>
      <c r="AK1358" s="43"/>
      <c r="AL1358" s="43"/>
      <c r="AM1358" s="43"/>
      <c r="AN1358" s="42"/>
      <c r="AO1358" s="42"/>
      <c r="AP1358" s="42"/>
      <c r="AQ1358" s="43"/>
      <c r="AR1358" s="42"/>
      <c r="AS1358" s="42"/>
    </row>
    <row r="1359" spans="1:45" ht="15" customHeight="1">
      <c r="A1359" s="21" t="s">
        <v>260</v>
      </c>
      <c r="B1359" s="21" t="s">
        <v>46</v>
      </c>
      <c r="C1359" s="21" t="s">
        <v>188</v>
      </c>
      <c r="D1359" s="21" t="s">
        <v>48</v>
      </c>
      <c r="E1359" s="80" t="s">
        <v>1636</v>
      </c>
      <c r="F1359" s="21" t="s">
        <v>920</v>
      </c>
      <c r="G1359" s="101" t="s">
        <v>77</v>
      </c>
      <c r="H1359" s="25" t="s">
        <v>1637</v>
      </c>
      <c r="I1359" s="102" t="s">
        <v>78</v>
      </c>
      <c r="J1359" s="65" t="s">
        <v>1638</v>
      </c>
      <c r="K1359" s="104"/>
      <c r="L1359" s="48" t="s">
        <v>923</v>
      </c>
      <c r="M1359" s="27">
        <v>44004</v>
      </c>
      <c r="N1359" s="105" t="s">
        <v>182</v>
      </c>
      <c r="O1359" s="68">
        <v>8186</v>
      </c>
      <c r="P1359" s="106">
        <v>1</v>
      </c>
      <c r="Q1359" s="51">
        <f t="shared" si="31"/>
        <v>8186</v>
      </c>
      <c r="R1359" s="31">
        <v>202310</v>
      </c>
      <c r="S1359" s="54" t="s">
        <v>1736</v>
      </c>
      <c r="T1359" s="33"/>
      <c r="U1359" s="109"/>
      <c r="V1359" s="122"/>
      <c r="W1359" s="67"/>
      <c r="X1359" s="67"/>
      <c r="Y1359" s="36"/>
      <c r="Z1359" s="36"/>
      <c r="AA1359" s="36"/>
      <c r="AB1359" s="36"/>
      <c r="AC1359" s="36"/>
      <c r="AD1359" s="36"/>
      <c r="AE1359" s="36"/>
      <c r="AF1359" s="53" t="s">
        <v>68</v>
      </c>
      <c r="AG1359" s="42"/>
      <c r="AH1359" s="42"/>
      <c r="AI1359" s="43"/>
      <c r="AJ1359" s="43"/>
      <c r="AK1359" s="43"/>
      <c r="AL1359" s="43"/>
      <c r="AM1359" s="43"/>
      <c r="AN1359" s="42"/>
      <c r="AO1359" s="42"/>
      <c r="AP1359" s="42"/>
      <c r="AQ1359" s="43"/>
      <c r="AR1359" s="42"/>
      <c r="AS1359" s="42"/>
    </row>
    <row r="1360" spans="1:45" ht="15" customHeight="1">
      <c r="A1360" s="21" t="s">
        <v>260</v>
      </c>
      <c r="B1360" s="21" t="s">
        <v>46</v>
      </c>
      <c r="C1360" s="21" t="s">
        <v>188</v>
      </c>
      <c r="D1360" s="21" t="s">
        <v>48</v>
      </c>
      <c r="E1360" s="80" t="s">
        <v>1636</v>
      </c>
      <c r="F1360" s="21" t="s">
        <v>920</v>
      </c>
      <c r="G1360" s="101" t="s">
        <v>77</v>
      </c>
      <c r="H1360" s="25" t="s">
        <v>1637</v>
      </c>
      <c r="I1360" s="102" t="s">
        <v>78</v>
      </c>
      <c r="J1360" s="65" t="s">
        <v>1638</v>
      </c>
      <c r="K1360" s="104"/>
      <c r="L1360" s="48" t="s">
        <v>923</v>
      </c>
      <c r="M1360" s="27">
        <v>44005</v>
      </c>
      <c r="N1360" s="105" t="s">
        <v>182</v>
      </c>
      <c r="O1360" s="68">
        <v>8186</v>
      </c>
      <c r="P1360" s="106">
        <v>2</v>
      </c>
      <c r="Q1360" s="51">
        <f t="shared" si="31"/>
        <v>16372</v>
      </c>
      <c r="R1360" s="31">
        <v>202310</v>
      </c>
      <c r="S1360" s="54" t="s">
        <v>1737</v>
      </c>
      <c r="T1360" s="33"/>
      <c r="U1360" s="109"/>
      <c r="V1360" s="122"/>
      <c r="W1360" s="67"/>
      <c r="X1360" s="67"/>
      <c r="Y1360" s="36"/>
      <c r="Z1360" s="36"/>
      <c r="AA1360" s="36"/>
      <c r="AB1360" s="36"/>
      <c r="AC1360" s="36"/>
      <c r="AD1360" s="36"/>
      <c r="AE1360" s="36"/>
      <c r="AF1360" s="53" t="s">
        <v>68</v>
      </c>
      <c r="AG1360" s="42"/>
      <c r="AH1360" s="42"/>
      <c r="AI1360" s="43"/>
      <c r="AJ1360" s="43"/>
      <c r="AK1360" s="43"/>
      <c r="AL1360" s="43"/>
      <c r="AM1360" s="43"/>
      <c r="AN1360" s="42"/>
      <c r="AO1360" s="42"/>
      <c r="AP1360" s="42"/>
      <c r="AQ1360" s="43"/>
      <c r="AR1360" s="42"/>
      <c r="AS1360" s="42"/>
    </row>
    <row r="1361" spans="1:45" ht="15" customHeight="1">
      <c r="A1361" s="21" t="s">
        <v>260</v>
      </c>
      <c r="B1361" s="21" t="s">
        <v>46</v>
      </c>
      <c r="C1361" s="21" t="s">
        <v>188</v>
      </c>
      <c r="D1361" s="21" t="s">
        <v>48</v>
      </c>
      <c r="E1361" s="80" t="s">
        <v>1636</v>
      </c>
      <c r="F1361" s="21" t="s">
        <v>920</v>
      </c>
      <c r="G1361" s="101" t="s">
        <v>77</v>
      </c>
      <c r="H1361" s="25" t="s">
        <v>1637</v>
      </c>
      <c r="I1361" s="102" t="s">
        <v>78</v>
      </c>
      <c r="J1361" s="65" t="s">
        <v>1638</v>
      </c>
      <c r="K1361" s="104"/>
      <c r="L1361" s="48" t="s">
        <v>923</v>
      </c>
      <c r="M1361" s="27">
        <v>44007</v>
      </c>
      <c r="N1361" s="105" t="s">
        <v>182</v>
      </c>
      <c r="O1361" s="68">
        <v>8186</v>
      </c>
      <c r="P1361" s="106">
        <v>1</v>
      </c>
      <c r="Q1361" s="51">
        <f t="shared" si="31"/>
        <v>8186</v>
      </c>
      <c r="R1361" s="31">
        <v>202310</v>
      </c>
      <c r="S1361" s="54" t="s">
        <v>1738</v>
      </c>
      <c r="T1361" s="33"/>
      <c r="U1361" s="109"/>
      <c r="V1361" s="122"/>
      <c r="W1361" s="67"/>
      <c r="X1361" s="67"/>
      <c r="Y1361" s="36"/>
      <c r="Z1361" s="36"/>
      <c r="AA1361" s="36"/>
      <c r="AB1361" s="36"/>
      <c r="AC1361" s="36"/>
      <c r="AD1361" s="36"/>
      <c r="AE1361" s="36"/>
      <c r="AF1361" s="53" t="s">
        <v>68</v>
      </c>
      <c r="AG1361" s="42"/>
      <c r="AH1361" s="42"/>
      <c r="AI1361" s="43"/>
      <c r="AJ1361" s="43"/>
      <c r="AK1361" s="43"/>
      <c r="AL1361" s="43"/>
      <c r="AM1361" s="43"/>
      <c r="AN1361" s="42"/>
      <c r="AO1361" s="42"/>
      <c r="AP1361" s="42"/>
      <c r="AQ1361" s="43"/>
      <c r="AR1361" s="42"/>
      <c r="AS1361" s="42"/>
    </row>
    <row r="1362" spans="1:45" ht="15" customHeight="1">
      <c r="A1362" s="21" t="s">
        <v>260</v>
      </c>
      <c r="B1362" s="21" t="s">
        <v>46</v>
      </c>
      <c r="C1362" s="21" t="s">
        <v>188</v>
      </c>
      <c r="D1362" s="21" t="s">
        <v>48</v>
      </c>
      <c r="E1362" s="80" t="s">
        <v>1636</v>
      </c>
      <c r="F1362" s="21" t="s">
        <v>920</v>
      </c>
      <c r="G1362" s="101" t="s">
        <v>77</v>
      </c>
      <c r="H1362" s="25" t="s">
        <v>1637</v>
      </c>
      <c r="I1362" s="102" t="s">
        <v>78</v>
      </c>
      <c r="J1362" s="65" t="s">
        <v>1638</v>
      </c>
      <c r="K1362" s="104"/>
      <c r="L1362" s="48" t="s">
        <v>923</v>
      </c>
      <c r="M1362" s="27">
        <v>44007</v>
      </c>
      <c r="N1362" s="105" t="s">
        <v>182</v>
      </c>
      <c r="O1362" s="68">
        <v>8186</v>
      </c>
      <c r="P1362" s="106">
        <v>2</v>
      </c>
      <c r="Q1362" s="51">
        <f t="shared" si="31"/>
        <v>16372</v>
      </c>
      <c r="R1362" s="31">
        <v>202310</v>
      </c>
      <c r="S1362" s="54" t="s">
        <v>1739</v>
      </c>
      <c r="T1362" s="33"/>
      <c r="U1362" s="109"/>
      <c r="V1362" s="122"/>
      <c r="W1362" s="67"/>
      <c r="X1362" s="67"/>
      <c r="Y1362" s="36"/>
      <c r="Z1362" s="36"/>
      <c r="AA1362" s="36"/>
      <c r="AB1362" s="36"/>
      <c r="AC1362" s="36"/>
      <c r="AD1362" s="36"/>
      <c r="AE1362" s="36"/>
      <c r="AF1362" s="53" t="s">
        <v>68</v>
      </c>
      <c r="AG1362" s="42"/>
      <c r="AH1362" s="42"/>
      <c r="AI1362" s="43"/>
      <c r="AJ1362" s="43"/>
      <c r="AK1362" s="43"/>
      <c r="AL1362" s="43"/>
      <c r="AM1362" s="43"/>
      <c r="AN1362" s="42"/>
      <c r="AO1362" s="42"/>
      <c r="AP1362" s="42"/>
      <c r="AQ1362" s="43"/>
      <c r="AR1362" s="42"/>
      <c r="AS1362" s="42"/>
    </row>
    <row r="1363" spans="1:45" ht="15" customHeight="1">
      <c r="A1363" s="21" t="s">
        <v>260</v>
      </c>
      <c r="B1363" s="21" t="s">
        <v>46</v>
      </c>
      <c r="C1363" s="21" t="s">
        <v>188</v>
      </c>
      <c r="D1363" s="21" t="s">
        <v>48</v>
      </c>
      <c r="E1363" s="80" t="s">
        <v>1636</v>
      </c>
      <c r="F1363" s="21" t="s">
        <v>920</v>
      </c>
      <c r="G1363" s="101" t="s">
        <v>77</v>
      </c>
      <c r="H1363" s="25" t="s">
        <v>1637</v>
      </c>
      <c r="I1363" s="102" t="s">
        <v>78</v>
      </c>
      <c r="J1363" s="65" t="s">
        <v>1638</v>
      </c>
      <c r="K1363" s="104"/>
      <c r="L1363" s="48" t="s">
        <v>923</v>
      </c>
      <c r="M1363" s="27">
        <v>44015</v>
      </c>
      <c r="N1363" s="105" t="s">
        <v>182</v>
      </c>
      <c r="O1363" s="68">
        <v>8186</v>
      </c>
      <c r="P1363" s="106">
        <v>1</v>
      </c>
      <c r="Q1363" s="51">
        <f t="shared" si="31"/>
        <v>8186</v>
      </c>
      <c r="R1363" s="31">
        <v>202310</v>
      </c>
      <c r="S1363" s="54" t="s">
        <v>1740</v>
      </c>
      <c r="T1363" s="33"/>
      <c r="U1363" s="109"/>
      <c r="V1363" s="122"/>
      <c r="W1363" s="67"/>
      <c r="X1363" s="67"/>
      <c r="Y1363" s="36"/>
      <c r="Z1363" s="36"/>
      <c r="AA1363" s="36"/>
      <c r="AB1363" s="36"/>
      <c r="AC1363" s="36"/>
      <c r="AD1363" s="36"/>
      <c r="AE1363" s="36"/>
      <c r="AF1363" s="53" t="s">
        <v>68</v>
      </c>
      <c r="AG1363" s="42"/>
      <c r="AH1363" s="42"/>
      <c r="AI1363" s="43"/>
      <c r="AJ1363" s="43"/>
      <c r="AK1363" s="43"/>
      <c r="AL1363" s="43"/>
      <c r="AM1363" s="43"/>
      <c r="AN1363" s="42"/>
      <c r="AO1363" s="42"/>
      <c r="AP1363" s="42"/>
      <c r="AQ1363" s="43"/>
      <c r="AR1363" s="42"/>
      <c r="AS1363" s="42"/>
    </row>
    <row r="1364" spans="1:45" ht="15" customHeight="1">
      <c r="A1364" s="21" t="s">
        <v>260</v>
      </c>
      <c r="B1364" s="21" t="s">
        <v>46</v>
      </c>
      <c r="C1364" s="21" t="s">
        <v>188</v>
      </c>
      <c r="D1364" s="21" t="s">
        <v>48</v>
      </c>
      <c r="E1364" s="80" t="s">
        <v>1636</v>
      </c>
      <c r="F1364" s="21" t="s">
        <v>920</v>
      </c>
      <c r="G1364" s="101" t="s">
        <v>77</v>
      </c>
      <c r="H1364" s="25" t="s">
        <v>1637</v>
      </c>
      <c r="I1364" s="102" t="s">
        <v>78</v>
      </c>
      <c r="J1364" s="65" t="s">
        <v>1638</v>
      </c>
      <c r="K1364" s="104"/>
      <c r="L1364" s="48" t="s">
        <v>923</v>
      </c>
      <c r="M1364" s="27">
        <v>44027</v>
      </c>
      <c r="N1364" s="105" t="s">
        <v>182</v>
      </c>
      <c r="O1364" s="68">
        <v>8186</v>
      </c>
      <c r="P1364" s="106">
        <v>1</v>
      </c>
      <c r="Q1364" s="51">
        <f t="shared" si="31"/>
        <v>8186</v>
      </c>
      <c r="R1364" s="31">
        <v>202310</v>
      </c>
      <c r="S1364" s="54" t="s">
        <v>1741</v>
      </c>
      <c r="T1364" s="33"/>
      <c r="U1364" s="109"/>
      <c r="V1364" s="122"/>
      <c r="W1364" s="67"/>
      <c r="X1364" s="67"/>
      <c r="Y1364" s="36"/>
      <c r="Z1364" s="36"/>
      <c r="AA1364" s="36"/>
      <c r="AB1364" s="36"/>
      <c r="AC1364" s="36"/>
      <c r="AD1364" s="36"/>
      <c r="AE1364" s="36"/>
      <c r="AF1364" s="53" t="s">
        <v>68</v>
      </c>
      <c r="AG1364" s="42"/>
      <c r="AH1364" s="42"/>
      <c r="AI1364" s="43"/>
      <c r="AJ1364" s="43"/>
      <c r="AK1364" s="43"/>
      <c r="AL1364" s="43"/>
      <c r="AM1364" s="43"/>
      <c r="AN1364" s="42"/>
      <c r="AO1364" s="42"/>
      <c r="AP1364" s="42"/>
      <c r="AQ1364" s="43"/>
      <c r="AR1364" s="42"/>
      <c r="AS1364" s="42"/>
    </row>
    <row r="1365" spans="1:45" ht="15" customHeight="1">
      <c r="A1365" s="21" t="s">
        <v>260</v>
      </c>
      <c r="B1365" s="21" t="s">
        <v>46</v>
      </c>
      <c r="C1365" s="21" t="s">
        <v>188</v>
      </c>
      <c r="D1365" s="21" t="s">
        <v>48</v>
      </c>
      <c r="E1365" s="80" t="s">
        <v>1636</v>
      </c>
      <c r="F1365" s="21" t="s">
        <v>920</v>
      </c>
      <c r="G1365" s="101" t="s">
        <v>77</v>
      </c>
      <c r="H1365" s="25" t="s">
        <v>1637</v>
      </c>
      <c r="I1365" s="102" t="s">
        <v>78</v>
      </c>
      <c r="J1365" s="65" t="s">
        <v>1638</v>
      </c>
      <c r="K1365" s="104"/>
      <c r="L1365" s="48" t="s">
        <v>923</v>
      </c>
      <c r="M1365" s="27">
        <v>44034</v>
      </c>
      <c r="N1365" s="105" t="s">
        <v>177</v>
      </c>
      <c r="O1365" s="68">
        <v>5900</v>
      </c>
      <c r="P1365" s="106">
        <v>2</v>
      </c>
      <c r="Q1365" s="51">
        <f t="shared" si="31"/>
        <v>11800</v>
      </c>
      <c r="R1365" s="31">
        <v>202310</v>
      </c>
      <c r="S1365" s="54" t="s">
        <v>1742</v>
      </c>
      <c r="T1365" s="33"/>
      <c r="U1365" s="183"/>
      <c r="V1365" s="122"/>
      <c r="W1365" s="67"/>
      <c r="X1365" s="67"/>
      <c r="Y1365" s="36"/>
      <c r="Z1365" s="36"/>
      <c r="AA1365" s="36"/>
      <c r="AB1365" s="36"/>
      <c r="AC1365" s="36"/>
      <c r="AD1365" s="36"/>
      <c r="AE1365" s="36"/>
      <c r="AF1365" s="53" t="s">
        <v>68</v>
      </c>
      <c r="AG1365" s="42"/>
      <c r="AH1365" s="42"/>
      <c r="AI1365" s="43"/>
      <c r="AJ1365" s="43"/>
      <c r="AK1365" s="43"/>
      <c r="AL1365" s="43"/>
      <c r="AM1365" s="43"/>
      <c r="AN1365" s="42"/>
      <c r="AO1365" s="42"/>
      <c r="AP1365" s="42"/>
      <c r="AQ1365" s="43"/>
      <c r="AR1365" s="42"/>
      <c r="AS1365" s="42"/>
    </row>
    <row r="1366" spans="1:45" ht="15" customHeight="1">
      <c r="A1366" s="21" t="s">
        <v>260</v>
      </c>
      <c r="B1366" s="21" t="s">
        <v>46</v>
      </c>
      <c r="C1366" s="21" t="s">
        <v>188</v>
      </c>
      <c r="D1366" s="21" t="s">
        <v>48</v>
      </c>
      <c r="E1366" s="80" t="s">
        <v>1636</v>
      </c>
      <c r="F1366" s="21" t="s">
        <v>920</v>
      </c>
      <c r="G1366" s="101" t="s">
        <v>77</v>
      </c>
      <c r="H1366" s="25" t="s">
        <v>1637</v>
      </c>
      <c r="I1366" s="102" t="s">
        <v>78</v>
      </c>
      <c r="J1366" s="65" t="s">
        <v>1638</v>
      </c>
      <c r="K1366" s="104"/>
      <c r="L1366" s="48" t="s">
        <v>923</v>
      </c>
      <c r="M1366" s="27">
        <v>44014</v>
      </c>
      <c r="N1366" s="105" t="s">
        <v>182</v>
      </c>
      <c r="O1366" s="68">
        <v>8186</v>
      </c>
      <c r="P1366" s="106">
        <v>2</v>
      </c>
      <c r="Q1366" s="51">
        <f t="shared" si="31"/>
        <v>16372</v>
      </c>
      <c r="R1366" s="31">
        <v>202310</v>
      </c>
      <c r="S1366" s="54" t="s">
        <v>1743</v>
      </c>
      <c r="T1366" s="33"/>
      <c r="U1366" s="109"/>
      <c r="V1366" s="122"/>
      <c r="W1366" s="67"/>
      <c r="X1366" s="67"/>
      <c r="Y1366" s="36"/>
      <c r="Z1366" s="36"/>
      <c r="AA1366" s="36"/>
      <c r="AB1366" s="36"/>
      <c r="AC1366" s="36"/>
      <c r="AD1366" s="36"/>
      <c r="AE1366" s="36"/>
      <c r="AF1366" s="53" t="s">
        <v>68</v>
      </c>
      <c r="AG1366" s="42"/>
      <c r="AH1366" s="42"/>
      <c r="AI1366" s="43"/>
      <c r="AJ1366" s="43"/>
      <c r="AK1366" s="43"/>
      <c r="AL1366" s="43"/>
      <c r="AM1366" s="43"/>
      <c r="AN1366" s="42"/>
      <c r="AO1366" s="42"/>
      <c r="AP1366" s="42"/>
      <c r="AQ1366" s="43"/>
      <c r="AR1366" s="42"/>
      <c r="AS1366" s="42"/>
    </row>
    <row r="1367" spans="1:45" ht="15" customHeight="1">
      <c r="A1367" s="21" t="s">
        <v>260</v>
      </c>
      <c r="B1367" s="21" t="s">
        <v>46</v>
      </c>
      <c r="C1367" s="21" t="s">
        <v>188</v>
      </c>
      <c r="D1367" s="21" t="s">
        <v>48</v>
      </c>
      <c r="E1367" s="80" t="s">
        <v>1636</v>
      </c>
      <c r="F1367" s="21" t="s">
        <v>920</v>
      </c>
      <c r="G1367" s="101" t="s">
        <v>77</v>
      </c>
      <c r="H1367" s="25" t="s">
        <v>1637</v>
      </c>
      <c r="I1367" s="102" t="s">
        <v>78</v>
      </c>
      <c r="J1367" s="65" t="s">
        <v>1638</v>
      </c>
      <c r="K1367" s="104"/>
      <c r="L1367" s="48" t="s">
        <v>923</v>
      </c>
      <c r="M1367" s="27">
        <v>44021</v>
      </c>
      <c r="N1367" s="105" t="s">
        <v>182</v>
      </c>
      <c r="O1367" s="68">
        <v>8186</v>
      </c>
      <c r="P1367" s="106">
        <v>4</v>
      </c>
      <c r="Q1367" s="51">
        <f t="shared" si="31"/>
        <v>32744</v>
      </c>
      <c r="R1367" s="31">
        <v>202310</v>
      </c>
      <c r="S1367" s="54" t="s">
        <v>1744</v>
      </c>
      <c r="T1367" s="33"/>
      <c r="U1367" s="109"/>
      <c r="V1367" s="122"/>
      <c r="W1367" s="67"/>
      <c r="X1367" s="67"/>
      <c r="Y1367" s="36"/>
      <c r="Z1367" s="36"/>
      <c r="AA1367" s="36"/>
      <c r="AB1367" s="36"/>
      <c r="AC1367" s="36"/>
      <c r="AD1367" s="36"/>
      <c r="AE1367" s="36"/>
      <c r="AF1367" s="53" t="s">
        <v>68</v>
      </c>
      <c r="AG1367" s="42"/>
      <c r="AH1367" s="42"/>
      <c r="AI1367" s="43"/>
      <c r="AJ1367" s="43"/>
      <c r="AK1367" s="43"/>
      <c r="AL1367" s="43"/>
      <c r="AM1367" s="43"/>
      <c r="AN1367" s="42"/>
      <c r="AO1367" s="42"/>
      <c r="AP1367" s="42"/>
      <c r="AQ1367" s="43"/>
      <c r="AR1367" s="42"/>
      <c r="AS1367" s="42"/>
    </row>
    <row r="1368" spans="1:45" ht="15" customHeight="1">
      <c r="A1368" s="21" t="s">
        <v>260</v>
      </c>
      <c r="B1368" s="21" t="s">
        <v>46</v>
      </c>
      <c r="C1368" s="21" t="s">
        <v>188</v>
      </c>
      <c r="D1368" s="21" t="s">
        <v>48</v>
      </c>
      <c r="E1368" s="80" t="s">
        <v>1636</v>
      </c>
      <c r="F1368" s="21" t="s">
        <v>920</v>
      </c>
      <c r="G1368" s="101" t="s">
        <v>77</v>
      </c>
      <c r="H1368" s="25" t="s">
        <v>1637</v>
      </c>
      <c r="I1368" s="102" t="s">
        <v>78</v>
      </c>
      <c r="J1368" s="65" t="s">
        <v>1638</v>
      </c>
      <c r="K1368" s="104"/>
      <c r="L1368" s="48" t="s">
        <v>923</v>
      </c>
      <c r="M1368" s="27">
        <v>44078</v>
      </c>
      <c r="N1368" s="105" t="s">
        <v>182</v>
      </c>
      <c r="O1368" s="68">
        <v>8186</v>
      </c>
      <c r="P1368" s="106">
        <v>17</v>
      </c>
      <c r="Q1368" s="51">
        <f t="shared" si="31"/>
        <v>139162</v>
      </c>
      <c r="R1368" s="31">
        <v>202310</v>
      </c>
      <c r="S1368" s="54" t="s">
        <v>1745</v>
      </c>
      <c r="T1368" s="33"/>
      <c r="U1368" s="109"/>
      <c r="V1368" s="54"/>
      <c r="W1368" s="67"/>
      <c r="X1368" s="67"/>
      <c r="Y1368" s="36"/>
      <c r="Z1368" s="36"/>
      <c r="AA1368" s="36"/>
      <c r="AB1368" s="36"/>
      <c r="AC1368" s="36"/>
      <c r="AD1368" s="36"/>
      <c r="AE1368" s="36"/>
      <c r="AF1368" s="53" t="s">
        <v>68</v>
      </c>
      <c r="AG1368" s="42"/>
      <c r="AH1368" s="42"/>
      <c r="AI1368" s="43"/>
      <c r="AJ1368" s="43"/>
      <c r="AK1368" s="43"/>
      <c r="AL1368" s="43"/>
      <c r="AM1368" s="43"/>
      <c r="AN1368" s="42"/>
      <c r="AO1368" s="42"/>
      <c r="AP1368" s="42"/>
      <c r="AQ1368" s="43"/>
      <c r="AR1368" s="42"/>
      <c r="AS1368" s="42"/>
    </row>
    <row r="1369" spans="1:45" ht="15" customHeight="1">
      <c r="A1369" s="21" t="s">
        <v>260</v>
      </c>
      <c r="B1369" s="21" t="s">
        <v>46</v>
      </c>
      <c r="C1369" s="21" t="s">
        <v>188</v>
      </c>
      <c r="D1369" s="21" t="s">
        <v>48</v>
      </c>
      <c r="E1369" s="80" t="s">
        <v>1636</v>
      </c>
      <c r="F1369" s="21" t="s">
        <v>920</v>
      </c>
      <c r="G1369" s="101" t="s">
        <v>77</v>
      </c>
      <c r="H1369" s="25" t="s">
        <v>1637</v>
      </c>
      <c r="I1369" s="102" t="s">
        <v>78</v>
      </c>
      <c r="J1369" s="65" t="s">
        <v>1638</v>
      </c>
      <c r="K1369" s="104"/>
      <c r="L1369" s="48" t="s">
        <v>923</v>
      </c>
      <c r="M1369" s="27">
        <v>44088</v>
      </c>
      <c r="N1369" s="105" t="s">
        <v>182</v>
      </c>
      <c r="O1369" s="68">
        <v>8186</v>
      </c>
      <c r="P1369" s="106">
        <v>10</v>
      </c>
      <c r="Q1369" s="51">
        <f t="shared" si="31"/>
        <v>81860</v>
      </c>
      <c r="R1369" s="31">
        <v>202310</v>
      </c>
      <c r="S1369" s="54" t="s">
        <v>1746</v>
      </c>
      <c r="T1369" s="33"/>
      <c r="U1369" s="109"/>
      <c r="V1369" s="54"/>
      <c r="W1369" s="67"/>
      <c r="X1369" s="67"/>
      <c r="Y1369" s="36"/>
      <c r="Z1369" s="36"/>
      <c r="AA1369" s="36"/>
      <c r="AB1369" s="36"/>
      <c r="AC1369" s="36"/>
      <c r="AD1369" s="36"/>
      <c r="AE1369" s="36"/>
      <c r="AF1369" s="53" t="s">
        <v>68</v>
      </c>
      <c r="AG1369" s="42"/>
      <c r="AH1369" s="42"/>
      <c r="AI1369" s="43"/>
      <c r="AJ1369" s="43"/>
      <c r="AK1369" s="43"/>
      <c r="AL1369" s="43"/>
      <c r="AM1369" s="43"/>
      <c r="AN1369" s="42"/>
      <c r="AO1369" s="42"/>
      <c r="AP1369" s="42"/>
      <c r="AQ1369" s="43"/>
      <c r="AR1369" s="42"/>
      <c r="AS1369" s="42"/>
    </row>
    <row r="1370" spans="1:45" ht="15" customHeight="1">
      <c r="A1370" s="21" t="s">
        <v>260</v>
      </c>
      <c r="B1370" s="21" t="s">
        <v>46</v>
      </c>
      <c r="C1370" s="21" t="s">
        <v>188</v>
      </c>
      <c r="D1370" s="21" t="s">
        <v>48</v>
      </c>
      <c r="E1370" s="80" t="s">
        <v>1636</v>
      </c>
      <c r="F1370" s="21" t="s">
        <v>920</v>
      </c>
      <c r="G1370" s="101" t="s">
        <v>77</v>
      </c>
      <c r="H1370" s="25" t="s">
        <v>1637</v>
      </c>
      <c r="I1370" s="102" t="s">
        <v>78</v>
      </c>
      <c r="J1370" s="65" t="s">
        <v>1638</v>
      </c>
      <c r="K1370" s="104"/>
      <c r="L1370" s="48" t="s">
        <v>923</v>
      </c>
      <c r="M1370" s="27">
        <v>44093</v>
      </c>
      <c r="N1370" s="105" t="s">
        <v>182</v>
      </c>
      <c r="O1370" s="68">
        <v>8186</v>
      </c>
      <c r="P1370" s="106">
        <v>10</v>
      </c>
      <c r="Q1370" s="51">
        <f t="shared" si="31"/>
        <v>81860</v>
      </c>
      <c r="R1370" s="31">
        <v>202310</v>
      </c>
      <c r="S1370" s="54" t="s">
        <v>1747</v>
      </c>
      <c r="T1370" s="33"/>
      <c r="U1370" s="109"/>
      <c r="V1370" s="27"/>
      <c r="W1370" s="67"/>
      <c r="X1370" s="67"/>
      <c r="Y1370" s="36"/>
      <c r="Z1370" s="36"/>
      <c r="AA1370" s="36"/>
      <c r="AB1370" s="36"/>
      <c r="AC1370" s="36"/>
      <c r="AD1370" s="36"/>
      <c r="AE1370" s="36"/>
      <c r="AF1370" s="53" t="s">
        <v>68</v>
      </c>
      <c r="AG1370" s="42"/>
      <c r="AH1370" s="42"/>
      <c r="AI1370" s="43"/>
      <c r="AJ1370" s="43"/>
      <c r="AK1370" s="43"/>
      <c r="AL1370" s="43"/>
      <c r="AM1370" s="43"/>
      <c r="AN1370" s="42"/>
      <c r="AO1370" s="42"/>
      <c r="AP1370" s="42"/>
      <c r="AQ1370" s="43"/>
      <c r="AR1370" s="42"/>
      <c r="AS1370" s="42"/>
    </row>
    <row r="1371" spans="1:45" ht="15" customHeight="1">
      <c r="A1371" s="21" t="s">
        <v>260</v>
      </c>
      <c r="B1371" s="21" t="s">
        <v>46</v>
      </c>
      <c r="C1371" s="21" t="s">
        <v>188</v>
      </c>
      <c r="D1371" s="21" t="s">
        <v>48</v>
      </c>
      <c r="E1371" s="80" t="s">
        <v>1636</v>
      </c>
      <c r="F1371" s="21" t="s">
        <v>920</v>
      </c>
      <c r="G1371" s="101" t="s">
        <v>77</v>
      </c>
      <c r="H1371" s="25" t="s">
        <v>1637</v>
      </c>
      <c r="I1371" s="102" t="s">
        <v>78</v>
      </c>
      <c r="J1371" s="65" t="s">
        <v>1638</v>
      </c>
      <c r="K1371" s="104"/>
      <c r="L1371" s="48" t="s">
        <v>923</v>
      </c>
      <c r="M1371" s="27">
        <v>44094</v>
      </c>
      <c r="N1371" s="105" t="s">
        <v>182</v>
      </c>
      <c r="O1371" s="68">
        <v>8186</v>
      </c>
      <c r="P1371" s="106">
        <v>33</v>
      </c>
      <c r="Q1371" s="51">
        <f t="shared" si="31"/>
        <v>270138</v>
      </c>
      <c r="R1371" s="31">
        <v>202310</v>
      </c>
      <c r="S1371" s="54" t="s">
        <v>1748</v>
      </c>
      <c r="T1371" s="33"/>
      <c r="U1371" s="109"/>
      <c r="V1371" s="122"/>
      <c r="W1371" s="67"/>
      <c r="X1371" s="67"/>
      <c r="Y1371" s="36"/>
      <c r="Z1371" s="36"/>
      <c r="AA1371" s="36"/>
      <c r="AB1371" s="36"/>
      <c r="AC1371" s="36"/>
      <c r="AD1371" s="36"/>
      <c r="AE1371" s="36"/>
      <c r="AF1371" s="53" t="s">
        <v>68</v>
      </c>
      <c r="AG1371" s="42"/>
      <c r="AH1371" s="42"/>
      <c r="AI1371" s="43"/>
      <c r="AJ1371" s="43"/>
      <c r="AK1371" s="43"/>
      <c r="AL1371" s="43"/>
      <c r="AM1371" s="43"/>
      <c r="AN1371" s="42"/>
      <c r="AO1371" s="42"/>
      <c r="AP1371" s="42"/>
      <c r="AQ1371" s="43"/>
      <c r="AR1371" s="42"/>
      <c r="AS1371" s="42"/>
    </row>
    <row r="1372" spans="1:45" ht="15" customHeight="1">
      <c r="A1372" s="21" t="s">
        <v>260</v>
      </c>
      <c r="B1372" s="21" t="s">
        <v>46</v>
      </c>
      <c r="C1372" s="21" t="s">
        <v>188</v>
      </c>
      <c r="D1372" s="21" t="s">
        <v>48</v>
      </c>
      <c r="E1372" s="80" t="s">
        <v>1636</v>
      </c>
      <c r="F1372" s="21" t="s">
        <v>920</v>
      </c>
      <c r="G1372" s="101" t="s">
        <v>77</v>
      </c>
      <c r="H1372" s="25" t="s">
        <v>1637</v>
      </c>
      <c r="I1372" s="102" t="s">
        <v>78</v>
      </c>
      <c r="J1372" s="65" t="s">
        <v>1638</v>
      </c>
      <c r="K1372" s="104"/>
      <c r="L1372" s="48" t="s">
        <v>923</v>
      </c>
      <c r="M1372" s="27">
        <v>44089</v>
      </c>
      <c r="N1372" s="105" t="s">
        <v>182</v>
      </c>
      <c r="O1372" s="68">
        <v>8186</v>
      </c>
      <c r="P1372" s="106">
        <v>3</v>
      </c>
      <c r="Q1372" s="51">
        <f t="shared" si="31"/>
        <v>24558</v>
      </c>
      <c r="R1372" s="31">
        <v>202310</v>
      </c>
      <c r="S1372" s="54" t="s">
        <v>1749</v>
      </c>
      <c r="T1372" s="33"/>
      <c r="U1372" s="109"/>
      <c r="V1372" s="54"/>
      <c r="W1372" s="67"/>
      <c r="X1372" s="67"/>
      <c r="Y1372" s="36"/>
      <c r="Z1372" s="36"/>
      <c r="AA1372" s="36"/>
      <c r="AB1372" s="36"/>
      <c r="AC1372" s="36"/>
      <c r="AD1372" s="36"/>
      <c r="AE1372" s="36"/>
      <c r="AF1372" s="53" t="s">
        <v>68</v>
      </c>
      <c r="AG1372" s="42"/>
      <c r="AH1372" s="42"/>
      <c r="AI1372" s="43"/>
      <c r="AJ1372" s="43"/>
      <c r="AK1372" s="43"/>
      <c r="AL1372" s="43"/>
      <c r="AM1372" s="43"/>
      <c r="AN1372" s="42"/>
      <c r="AO1372" s="42"/>
      <c r="AP1372" s="42"/>
      <c r="AQ1372" s="43"/>
      <c r="AR1372" s="42"/>
      <c r="AS1372" s="42"/>
    </row>
    <row r="1373" spans="1:45" ht="15" customHeight="1">
      <c r="A1373" s="21" t="s">
        <v>260</v>
      </c>
      <c r="B1373" s="21" t="s">
        <v>46</v>
      </c>
      <c r="C1373" s="21" t="s">
        <v>188</v>
      </c>
      <c r="D1373" s="21" t="s">
        <v>48</v>
      </c>
      <c r="E1373" s="80" t="s">
        <v>1636</v>
      </c>
      <c r="F1373" s="21" t="s">
        <v>920</v>
      </c>
      <c r="G1373" s="101" t="s">
        <v>77</v>
      </c>
      <c r="H1373" s="25" t="s">
        <v>1637</v>
      </c>
      <c r="I1373" s="102" t="s">
        <v>78</v>
      </c>
      <c r="J1373" s="65" t="s">
        <v>1638</v>
      </c>
      <c r="K1373" s="104"/>
      <c r="L1373" s="48" t="s">
        <v>923</v>
      </c>
      <c r="M1373" s="27">
        <v>44092</v>
      </c>
      <c r="N1373" s="105" t="s">
        <v>182</v>
      </c>
      <c r="O1373" s="68">
        <v>8186</v>
      </c>
      <c r="P1373" s="106">
        <v>10</v>
      </c>
      <c r="Q1373" s="51">
        <f t="shared" si="31"/>
        <v>81860</v>
      </c>
      <c r="R1373" s="31">
        <v>202310</v>
      </c>
      <c r="S1373" s="54" t="s">
        <v>1750</v>
      </c>
      <c r="T1373" s="33"/>
      <c r="U1373" s="109"/>
      <c r="V1373" s="54"/>
      <c r="W1373" s="67"/>
      <c r="X1373" s="67"/>
      <c r="Y1373" s="36"/>
      <c r="Z1373" s="36"/>
      <c r="AA1373" s="36"/>
      <c r="AB1373" s="36"/>
      <c r="AC1373" s="36"/>
      <c r="AD1373" s="36"/>
      <c r="AE1373" s="36"/>
      <c r="AF1373" s="53" t="s">
        <v>68</v>
      </c>
      <c r="AG1373" s="42"/>
      <c r="AH1373" s="42"/>
      <c r="AI1373" s="43"/>
      <c r="AJ1373" s="43"/>
      <c r="AK1373" s="43"/>
      <c r="AL1373" s="43"/>
      <c r="AM1373" s="43"/>
      <c r="AN1373" s="42"/>
      <c r="AO1373" s="42"/>
      <c r="AP1373" s="42"/>
      <c r="AQ1373" s="43"/>
      <c r="AR1373" s="42"/>
      <c r="AS1373" s="42"/>
    </row>
    <row r="1374" spans="1:45" ht="15" customHeight="1">
      <c r="A1374" s="21" t="s">
        <v>260</v>
      </c>
      <c r="B1374" s="21" t="s">
        <v>46</v>
      </c>
      <c r="C1374" s="21" t="s">
        <v>188</v>
      </c>
      <c r="D1374" s="21" t="s">
        <v>48</v>
      </c>
      <c r="E1374" s="80" t="s">
        <v>1636</v>
      </c>
      <c r="F1374" s="21" t="s">
        <v>920</v>
      </c>
      <c r="G1374" s="101" t="s">
        <v>77</v>
      </c>
      <c r="H1374" s="25" t="s">
        <v>1637</v>
      </c>
      <c r="I1374" s="102" t="s">
        <v>78</v>
      </c>
      <c r="J1374" s="65" t="s">
        <v>1638</v>
      </c>
      <c r="K1374" s="104"/>
      <c r="L1374" s="48" t="s">
        <v>923</v>
      </c>
      <c r="M1374" s="27">
        <v>44104</v>
      </c>
      <c r="N1374" s="105" t="s">
        <v>182</v>
      </c>
      <c r="O1374" s="68">
        <v>8186</v>
      </c>
      <c r="P1374" s="106">
        <v>1</v>
      </c>
      <c r="Q1374" s="51">
        <f t="shared" si="31"/>
        <v>8186</v>
      </c>
      <c r="R1374" s="31">
        <v>202310</v>
      </c>
      <c r="S1374" s="54" t="s">
        <v>1751</v>
      </c>
      <c r="T1374" s="33"/>
      <c r="U1374" s="109"/>
      <c r="V1374" s="54"/>
      <c r="W1374" s="67"/>
      <c r="X1374" s="67"/>
      <c r="Y1374" s="36"/>
      <c r="Z1374" s="36"/>
      <c r="AA1374" s="36"/>
      <c r="AB1374" s="36"/>
      <c r="AC1374" s="36"/>
      <c r="AD1374" s="36"/>
      <c r="AE1374" s="36"/>
      <c r="AF1374" s="53" t="s">
        <v>68</v>
      </c>
      <c r="AG1374" s="42"/>
      <c r="AH1374" s="42"/>
      <c r="AI1374" s="43"/>
      <c r="AJ1374" s="43"/>
      <c r="AK1374" s="43"/>
      <c r="AL1374" s="43"/>
      <c r="AM1374" s="43"/>
      <c r="AN1374" s="42"/>
      <c r="AO1374" s="42"/>
      <c r="AP1374" s="42"/>
      <c r="AQ1374" s="43"/>
      <c r="AR1374" s="42"/>
      <c r="AS1374" s="42"/>
    </row>
    <row r="1375" spans="1:45" ht="15" customHeight="1">
      <c r="A1375" s="21" t="s">
        <v>260</v>
      </c>
      <c r="B1375" s="21" t="s">
        <v>46</v>
      </c>
      <c r="C1375" s="21" t="s">
        <v>188</v>
      </c>
      <c r="D1375" s="21" t="s">
        <v>48</v>
      </c>
      <c r="E1375" s="80" t="s">
        <v>1636</v>
      </c>
      <c r="F1375" s="21" t="s">
        <v>920</v>
      </c>
      <c r="G1375" s="101" t="s">
        <v>77</v>
      </c>
      <c r="H1375" s="25" t="s">
        <v>1637</v>
      </c>
      <c r="I1375" s="102" t="s">
        <v>78</v>
      </c>
      <c r="J1375" s="65" t="s">
        <v>1638</v>
      </c>
      <c r="K1375" s="104"/>
      <c r="L1375" s="48" t="s">
        <v>923</v>
      </c>
      <c r="M1375" s="27">
        <v>44118</v>
      </c>
      <c r="N1375" s="105" t="s">
        <v>182</v>
      </c>
      <c r="O1375" s="68">
        <v>8186</v>
      </c>
      <c r="P1375" s="106">
        <v>5</v>
      </c>
      <c r="Q1375" s="51">
        <f t="shared" si="31"/>
        <v>40930</v>
      </c>
      <c r="R1375" s="31">
        <v>202310</v>
      </c>
      <c r="S1375" s="54" t="s">
        <v>1752</v>
      </c>
      <c r="T1375" s="33"/>
      <c r="U1375" s="109"/>
      <c r="V1375" s="54"/>
      <c r="W1375" s="67"/>
      <c r="X1375" s="67"/>
      <c r="Y1375" s="36"/>
      <c r="Z1375" s="36"/>
      <c r="AA1375" s="36"/>
      <c r="AB1375" s="36"/>
      <c r="AC1375" s="36"/>
      <c r="AD1375" s="36"/>
      <c r="AE1375" s="36"/>
      <c r="AF1375" s="53" t="s">
        <v>68</v>
      </c>
      <c r="AG1375" s="42"/>
      <c r="AH1375" s="42"/>
      <c r="AI1375" s="43"/>
      <c r="AJ1375" s="43"/>
      <c r="AK1375" s="43"/>
      <c r="AL1375" s="43"/>
      <c r="AM1375" s="43"/>
      <c r="AN1375" s="42"/>
      <c r="AO1375" s="42"/>
      <c r="AP1375" s="42"/>
      <c r="AQ1375" s="43"/>
      <c r="AR1375" s="42"/>
      <c r="AS1375" s="42"/>
    </row>
    <row r="1376" spans="1:45" ht="15" customHeight="1">
      <c r="A1376" s="21" t="s">
        <v>260</v>
      </c>
      <c r="B1376" s="21" t="s">
        <v>46</v>
      </c>
      <c r="C1376" s="21" t="s">
        <v>188</v>
      </c>
      <c r="D1376" s="21" t="s">
        <v>48</v>
      </c>
      <c r="E1376" s="80" t="s">
        <v>1636</v>
      </c>
      <c r="F1376" s="21" t="s">
        <v>920</v>
      </c>
      <c r="G1376" s="101" t="s">
        <v>77</v>
      </c>
      <c r="H1376" s="25" t="s">
        <v>1637</v>
      </c>
      <c r="I1376" s="102" t="s">
        <v>78</v>
      </c>
      <c r="J1376" s="65" t="s">
        <v>1638</v>
      </c>
      <c r="K1376" s="104"/>
      <c r="L1376" s="48" t="s">
        <v>923</v>
      </c>
      <c r="M1376" s="27">
        <v>44119</v>
      </c>
      <c r="N1376" s="105" t="s">
        <v>182</v>
      </c>
      <c r="O1376" s="68">
        <v>8186</v>
      </c>
      <c r="P1376" s="106">
        <v>7</v>
      </c>
      <c r="Q1376" s="51">
        <f t="shared" si="31"/>
        <v>57302</v>
      </c>
      <c r="R1376" s="31">
        <v>202310</v>
      </c>
      <c r="S1376" s="54" t="s">
        <v>1753</v>
      </c>
      <c r="T1376" s="33"/>
      <c r="U1376" s="109"/>
      <c r="V1376" s="54"/>
      <c r="W1376" s="67"/>
      <c r="X1376" s="67"/>
      <c r="Y1376" s="36"/>
      <c r="Z1376" s="36"/>
      <c r="AA1376" s="36"/>
      <c r="AB1376" s="36"/>
      <c r="AC1376" s="36"/>
      <c r="AD1376" s="36"/>
      <c r="AE1376" s="36"/>
      <c r="AF1376" s="53" t="s">
        <v>68</v>
      </c>
      <c r="AG1376" s="42"/>
      <c r="AH1376" s="42"/>
      <c r="AI1376" s="43"/>
      <c r="AJ1376" s="43"/>
      <c r="AK1376" s="43"/>
      <c r="AL1376" s="43"/>
      <c r="AM1376" s="43"/>
      <c r="AN1376" s="42"/>
      <c r="AO1376" s="42"/>
      <c r="AP1376" s="42"/>
      <c r="AQ1376" s="43"/>
      <c r="AR1376" s="42"/>
      <c r="AS1376" s="42"/>
    </row>
    <row r="1377" spans="1:45" ht="15" customHeight="1">
      <c r="A1377" s="21" t="s">
        <v>260</v>
      </c>
      <c r="B1377" s="21" t="s">
        <v>46</v>
      </c>
      <c r="C1377" s="21" t="s">
        <v>188</v>
      </c>
      <c r="D1377" s="21" t="s">
        <v>48</v>
      </c>
      <c r="E1377" s="80" t="s">
        <v>1636</v>
      </c>
      <c r="F1377" s="21" t="s">
        <v>920</v>
      </c>
      <c r="G1377" s="101" t="s">
        <v>77</v>
      </c>
      <c r="H1377" s="25" t="s">
        <v>1637</v>
      </c>
      <c r="I1377" s="102" t="s">
        <v>78</v>
      </c>
      <c r="J1377" s="65" t="s">
        <v>1638</v>
      </c>
      <c r="K1377" s="104"/>
      <c r="L1377" s="48" t="s">
        <v>923</v>
      </c>
      <c r="M1377" s="27">
        <v>44145</v>
      </c>
      <c r="N1377" s="105" t="s">
        <v>182</v>
      </c>
      <c r="O1377" s="68">
        <v>8186</v>
      </c>
      <c r="P1377" s="106">
        <v>1</v>
      </c>
      <c r="Q1377" s="51">
        <f t="shared" si="31"/>
        <v>8186</v>
      </c>
      <c r="R1377" s="31">
        <v>202310</v>
      </c>
      <c r="S1377" s="54" t="s">
        <v>1754</v>
      </c>
      <c r="T1377" s="33"/>
      <c r="U1377" s="109"/>
      <c r="V1377" s="54"/>
      <c r="W1377" s="67"/>
      <c r="X1377" s="67"/>
      <c r="Y1377" s="36"/>
      <c r="Z1377" s="36"/>
      <c r="AA1377" s="36"/>
      <c r="AB1377" s="36"/>
      <c r="AC1377" s="36"/>
      <c r="AD1377" s="36"/>
      <c r="AE1377" s="36"/>
      <c r="AF1377" s="53" t="s">
        <v>68</v>
      </c>
      <c r="AG1377" s="42"/>
      <c r="AH1377" s="42"/>
      <c r="AI1377" s="43"/>
      <c r="AJ1377" s="43"/>
      <c r="AK1377" s="43"/>
      <c r="AL1377" s="43"/>
      <c r="AM1377" s="43"/>
      <c r="AN1377" s="42"/>
      <c r="AO1377" s="42"/>
      <c r="AP1377" s="42"/>
      <c r="AQ1377" s="43"/>
      <c r="AR1377" s="42"/>
      <c r="AS1377" s="42"/>
    </row>
    <row r="1378" spans="1:45" ht="15" customHeight="1">
      <c r="A1378" s="21" t="s">
        <v>260</v>
      </c>
      <c r="B1378" s="21" t="s">
        <v>46</v>
      </c>
      <c r="C1378" s="21" t="s">
        <v>188</v>
      </c>
      <c r="D1378" s="21" t="s">
        <v>48</v>
      </c>
      <c r="E1378" s="80" t="s">
        <v>1636</v>
      </c>
      <c r="F1378" s="21" t="s">
        <v>920</v>
      </c>
      <c r="G1378" s="101" t="s">
        <v>77</v>
      </c>
      <c r="H1378" s="25" t="s">
        <v>1637</v>
      </c>
      <c r="I1378" s="102" t="s">
        <v>78</v>
      </c>
      <c r="J1378" s="65" t="s">
        <v>1638</v>
      </c>
      <c r="K1378" s="104"/>
      <c r="L1378" s="48" t="s">
        <v>923</v>
      </c>
      <c r="M1378" s="27">
        <v>44147</v>
      </c>
      <c r="N1378" s="105" t="s">
        <v>182</v>
      </c>
      <c r="O1378" s="68">
        <v>8186</v>
      </c>
      <c r="P1378" s="106">
        <v>27</v>
      </c>
      <c r="Q1378" s="51">
        <f t="shared" si="31"/>
        <v>221022</v>
      </c>
      <c r="R1378" s="31">
        <v>202310</v>
      </c>
      <c r="S1378" s="54" t="s">
        <v>1755</v>
      </c>
      <c r="T1378" s="33"/>
      <c r="U1378" s="109"/>
      <c r="V1378" s="54"/>
      <c r="W1378" s="67"/>
      <c r="X1378" s="67"/>
      <c r="Y1378" s="36"/>
      <c r="Z1378" s="36"/>
      <c r="AA1378" s="36"/>
      <c r="AB1378" s="36"/>
      <c r="AC1378" s="36"/>
      <c r="AD1378" s="36"/>
      <c r="AE1378" s="36"/>
      <c r="AF1378" s="53" t="s">
        <v>68</v>
      </c>
      <c r="AG1378" s="42"/>
      <c r="AH1378" s="42"/>
      <c r="AI1378" s="43"/>
      <c r="AJ1378" s="43"/>
      <c r="AK1378" s="43"/>
      <c r="AL1378" s="43"/>
      <c r="AM1378" s="43"/>
      <c r="AN1378" s="42"/>
      <c r="AO1378" s="42"/>
      <c r="AP1378" s="42"/>
      <c r="AQ1378" s="43"/>
      <c r="AR1378" s="42"/>
      <c r="AS1378" s="42"/>
    </row>
    <row r="1379" spans="1:45" ht="15" customHeight="1">
      <c r="A1379" s="21" t="s">
        <v>260</v>
      </c>
      <c r="B1379" s="21" t="s">
        <v>46</v>
      </c>
      <c r="C1379" s="21" t="s">
        <v>188</v>
      </c>
      <c r="D1379" s="21" t="s">
        <v>48</v>
      </c>
      <c r="E1379" s="80" t="s">
        <v>1636</v>
      </c>
      <c r="F1379" s="21" t="s">
        <v>920</v>
      </c>
      <c r="G1379" s="101" t="s">
        <v>77</v>
      </c>
      <c r="H1379" s="25" t="s">
        <v>1637</v>
      </c>
      <c r="I1379" s="102" t="s">
        <v>78</v>
      </c>
      <c r="J1379" s="65" t="s">
        <v>1638</v>
      </c>
      <c r="K1379" s="104"/>
      <c r="L1379" s="48" t="s">
        <v>923</v>
      </c>
      <c r="M1379" s="27">
        <v>44147</v>
      </c>
      <c r="N1379" s="105" t="s">
        <v>182</v>
      </c>
      <c r="O1379" s="68">
        <v>8186</v>
      </c>
      <c r="P1379" s="106">
        <v>7</v>
      </c>
      <c r="Q1379" s="51">
        <f t="shared" si="31"/>
        <v>57302</v>
      </c>
      <c r="R1379" s="31">
        <v>202310</v>
      </c>
      <c r="S1379" s="54" t="s">
        <v>1756</v>
      </c>
      <c r="T1379" s="33"/>
      <c r="U1379" s="109"/>
      <c r="V1379" s="54"/>
      <c r="W1379" s="67"/>
      <c r="X1379" s="67"/>
      <c r="Y1379" s="36"/>
      <c r="Z1379" s="36"/>
      <c r="AA1379" s="36"/>
      <c r="AB1379" s="36"/>
      <c r="AC1379" s="36"/>
      <c r="AD1379" s="36"/>
      <c r="AE1379" s="36"/>
      <c r="AF1379" s="53" t="s">
        <v>68</v>
      </c>
      <c r="AG1379" s="42"/>
      <c r="AH1379" s="42"/>
      <c r="AI1379" s="43"/>
      <c r="AJ1379" s="43"/>
      <c r="AK1379" s="43"/>
      <c r="AL1379" s="43"/>
      <c r="AM1379" s="43"/>
      <c r="AN1379" s="42"/>
      <c r="AO1379" s="42"/>
      <c r="AP1379" s="42"/>
      <c r="AQ1379" s="43"/>
      <c r="AR1379" s="42"/>
      <c r="AS1379" s="42"/>
    </row>
    <row r="1380" spans="1:45" ht="15" customHeight="1">
      <c r="A1380" s="21" t="s">
        <v>260</v>
      </c>
      <c r="B1380" s="21" t="s">
        <v>46</v>
      </c>
      <c r="C1380" s="21" t="s">
        <v>188</v>
      </c>
      <c r="D1380" s="21" t="s">
        <v>48</v>
      </c>
      <c r="E1380" s="80" t="s">
        <v>1636</v>
      </c>
      <c r="F1380" s="21" t="s">
        <v>920</v>
      </c>
      <c r="G1380" s="101" t="s">
        <v>77</v>
      </c>
      <c r="H1380" s="25" t="s">
        <v>1637</v>
      </c>
      <c r="I1380" s="102" t="s">
        <v>78</v>
      </c>
      <c r="J1380" s="65" t="s">
        <v>1638</v>
      </c>
      <c r="K1380" s="104"/>
      <c r="L1380" s="48" t="s">
        <v>923</v>
      </c>
      <c r="M1380" s="27">
        <v>44173</v>
      </c>
      <c r="N1380" s="105" t="s">
        <v>182</v>
      </c>
      <c r="O1380" s="68">
        <v>8186</v>
      </c>
      <c r="P1380" s="106">
        <v>9</v>
      </c>
      <c r="Q1380" s="51">
        <f t="shared" si="31"/>
        <v>73674</v>
      </c>
      <c r="R1380" s="31">
        <v>202310</v>
      </c>
      <c r="S1380" s="54" t="s">
        <v>1757</v>
      </c>
      <c r="T1380" s="33"/>
      <c r="U1380" s="109"/>
      <c r="V1380" s="54"/>
      <c r="W1380" s="67"/>
      <c r="X1380" s="67"/>
      <c r="Y1380" s="36"/>
      <c r="Z1380" s="36"/>
      <c r="AA1380" s="36"/>
      <c r="AB1380" s="36"/>
      <c r="AC1380" s="36"/>
      <c r="AD1380" s="36"/>
      <c r="AE1380" s="36"/>
      <c r="AF1380" s="53" t="s">
        <v>68</v>
      </c>
      <c r="AG1380" s="42"/>
      <c r="AH1380" s="42"/>
      <c r="AI1380" s="43"/>
      <c r="AJ1380" s="43"/>
      <c r="AK1380" s="43"/>
      <c r="AL1380" s="43"/>
      <c r="AM1380" s="43"/>
      <c r="AN1380" s="42"/>
      <c r="AO1380" s="42"/>
      <c r="AP1380" s="42"/>
      <c r="AQ1380" s="43"/>
      <c r="AR1380" s="42"/>
      <c r="AS1380" s="42"/>
    </row>
    <row r="1381" spans="1:45" ht="15" customHeight="1">
      <c r="A1381" s="21" t="s">
        <v>260</v>
      </c>
      <c r="B1381" s="21" t="s">
        <v>46</v>
      </c>
      <c r="C1381" s="21" t="s">
        <v>188</v>
      </c>
      <c r="D1381" s="21" t="s">
        <v>48</v>
      </c>
      <c r="E1381" s="80" t="s">
        <v>1636</v>
      </c>
      <c r="F1381" s="21" t="s">
        <v>920</v>
      </c>
      <c r="G1381" s="101" t="s">
        <v>77</v>
      </c>
      <c r="H1381" s="25" t="s">
        <v>1637</v>
      </c>
      <c r="I1381" s="102" t="s">
        <v>78</v>
      </c>
      <c r="J1381" s="65" t="s">
        <v>1638</v>
      </c>
      <c r="K1381" s="104"/>
      <c r="L1381" s="48" t="s">
        <v>923</v>
      </c>
      <c r="M1381" s="27">
        <v>44180</v>
      </c>
      <c r="N1381" s="105" t="s">
        <v>182</v>
      </c>
      <c r="O1381" s="68">
        <v>8186</v>
      </c>
      <c r="P1381" s="106">
        <v>1</v>
      </c>
      <c r="Q1381" s="51">
        <f t="shared" si="31"/>
        <v>8186</v>
      </c>
      <c r="R1381" s="31">
        <v>202310</v>
      </c>
      <c r="S1381" s="54" t="s">
        <v>1758</v>
      </c>
      <c r="T1381" s="33"/>
      <c r="U1381" s="109"/>
      <c r="V1381" s="54"/>
      <c r="W1381" s="67"/>
      <c r="X1381" s="67"/>
      <c r="Y1381" s="36"/>
      <c r="Z1381" s="36"/>
      <c r="AA1381" s="36"/>
      <c r="AB1381" s="36"/>
      <c r="AC1381" s="36"/>
      <c r="AD1381" s="36"/>
      <c r="AE1381" s="36"/>
      <c r="AF1381" s="53" t="s">
        <v>68</v>
      </c>
      <c r="AG1381" s="42"/>
      <c r="AH1381" s="42"/>
      <c r="AI1381" s="43"/>
      <c r="AJ1381" s="43"/>
      <c r="AK1381" s="43"/>
      <c r="AL1381" s="43"/>
      <c r="AM1381" s="43"/>
      <c r="AN1381" s="42"/>
      <c r="AO1381" s="42"/>
      <c r="AP1381" s="42"/>
      <c r="AQ1381" s="43"/>
      <c r="AR1381" s="42"/>
      <c r="AS1381" s="42"/>
    </row>
    <row r="1382" spans="1:45" ht="15" customHeight="1">
      <c r="A1382" s="21" t="s">
        <v>260</v>
      </c>
      <c r="B1382" s="21" t="s">
        <v>46</v>
      </c>
      <c r="C1382" s="21" t="s">
        <v>188</v>
      </c>
      <c r="D1382" s="21" t="s">
        <v>48</v>
      </c>
      <c r="E1382" s="80" t="s">
        <v>1636</v>
      </c>
      <c r="F1382" s="21" t="s">
        <v>920</v>
      </c>
      <c r="G1382" s="101" t="s">
        <v>77</v>
      </c>
      <c r="H1382" s="25" t="s">
        <v>1637</v>
      </c>
      <c r="I1382" s="102" t="s">
        <v>78</v>
      </c>
      <c r="J1382" s="65" t="s">
        <v>1638</v>
      </c>
      <c r="K1382" s="104"/>
      <c r="L1382" s="48" t="s">
        <v>923</v>
      </c>
      <c r="M1382" s="27">
        <v>44179</v>
      </c>
      <c r="N1382" s="105" t="s">
        <v>182</v>
      </c>
      <c r="O1382" s="68">
        <v>8186</v>
      </c>
      <c r="P1382" s="106">
        <v>4</v>
      </c>
      <c r="Q1382" s="51">
        <f t="shared" si="31"/>
        <v>32744</v>
      </c>
      <c r="R1382" s="31">
        <v>202310</v>
      </c>
      <c r="S1382" s="54" t="s">
        <v>1759</v>
      </c>
      <c r="T1382" s="33"/>
      <c r="U1382" s="109"/>
      <c r="V1382" s="54"/>
      <c r="W1382" s="67"/>
      <c r="X1382" s="67"/>
      <c r="Y1382" s="36"/>
      <c r="Z1382" s="36"/>
      <c r="AA1382" s="36"/>
      <c r="AB1382" s="36"/>
      <c r="AC1382" s="36"/>
      <c r="AD1382" s="36"/>
      <c r="AE1382" s="36"/>
      <c r="AF1382" s="53" t="s">
        <v>68</v>
      </c>
      <c r="AG1382" s="42"/>
      <c r="AH1382" s="42"/>
      <c r="AI1382" s="43"/>
      <c r="AJ1382" s="43"/>
      <c r="AK1382" s="43"/>
      <c r="AL1382" s="43"/>
      <c r="AM1382" s="43"/>
      <c r="AN1382" s="42"/>
      <c r="AO1382" s="42"/>
      <c r="AP1382" s="42"/>
      <c r="AQ1382" s="43"/>
      <c r="AR1382" s="42"/>
      <c r="AS1382" s="42"/>
    </row>
    <row r="1383" spans="1:45" ht="15" customHeight="1">
      <c r="A1383" s="21" t="s">
        <v>260</v>
      </c>
      <c r="B1383" s="21" t="s">
        <v>46</v>
      </c>
      <c r="C1383" s="21" t="s">
        <v>188</v>
      </c>
      <c r="D1383" s="21" t="s">
        <v>48</v>
      </c>
      <c r="E1383" s="80" t="s">
        <v>1636</v>
      </c>
      <c r="F1383" s="21" t="s">
        <v>920</v>
      </c>
      <c r="G1383" s="101" t="s">
        <v>77</v>
      </c>
      <c r="H1383" s="25" t="s">
        <v>1637</v>
      </c>
      <c r="I1383" s="102" t="s">
        <v>78</v>
      </c>
      <c r="J1383" s="65" t="s">
        <v>1638</v>
      </c>
      <c r="K1383" s="104"/>
      <c r="L1383" s="48" t="s">
        <v>923</v>
      </c>
      <c r="M1383" s="27">
        <v>44195</v>
      </c>
      <c r="N1383" s="105" t="s">
        <v>182</v>
      </c>
      <c r="O1383" s="68">
        <v>8186</v>
      </c>
      <c r="P1383" s="106">
        <v>18</v>
      </c>
      <c r="Q1383" s="51">
        <f t="shared" si="31"/>
        <v>147348</v>
      </c>
      <c r="R1383" s="31">
        <v>202310</v>
      </c>
      <c r="S1383" s="54" t="s">
        <v>1760</v>
      </c>
      <c r="T1383" s="33"/>
      <c r="U1383" s="109"/>
      <c r="V1383" s="54"/>
      <c r="W1383" s="67"/>
      <c r="X1383" s="67"/>
      <c r="Y1383" s="36"/>
      <c r="Z1383" s="36"/>
      <c r="AA1383" s="36"/>
      <c r="AB1383" s="36"/>
      <c r="AC1383" s="36"/>
      <c r="AD1383" s="36"/>
      <c r="AE1383" s="36"/>
      <c r="AF1383" s="53" t="s">
        <v>68</v>
      </c>
      <c r="AG1383" s="42"/>
      <c r="AH1383" s="42"/>
      <c r="AI1383" s="43"/>
      <c r="AJ1383" s="43"/>
      <c r="AK1383" s="43"/>
      <c r="AL1383" s="43"/>
      <c r="AM1383" s="43"/>
      <c r="AN1383" s="42"/>
      <c r="AO1383" s="42"/>
      <c r="AP1383" s="42"/>
      <c r="AQ1383" s="43"/>
      <c r="AR1383" s="42"/>
      <c r="AS1383" s="42"/>
    </row>
    <row r="1384" spans="1:45" ht="15" customHeight="1">
      <c r="A1384" s="21" t="s">
        <v>260</v>
      </c>
      <c r="B1384" s="21" t="s">
        <v>46</v>
      </c>
      <c r="C1384" s="21" t="s">
        <v>188</v>
      </c>
      <c r="D1384" s="21" t="s">
        <v>48</v>
      </c>
      <c r="E1384" s="80" t="s">
        <v>1636</v>
      </c>
      <c r="F1384" s="21" t="s">
        <v>920</v>
      </c>
      <c r="G1384" s="101" t="s">
        <v>77</v>
      </c>
      <c r="H1384" s="25" t="s">
        <v>1637</v>
      </c>
      <c r="I1384" s="102" t="s">
        <v>78</v>
      </c>
      <c r="J1384" s="65" t="s">
        <v>1638</v>
      </c>
      <c r="K1384" s="104"/>
      <c r="L1384" s="48" t="s">
        <v>923</v>
      </c>
      <c r="M1384" s="27">
        <v>44230</v>
      </c>
      <c r="N1384" s="105" t="s">
        <v>182</v>
      </c>
      <c r="O1384" s="68">
        <v>8186</v>
      </c>
      <c r="P1384" s="106">
        <v>1</v>
      </c>
      <c r="Q1384" s="51">
        <f t="shared" si="31"/>
        <v>8186</v>
      </c>
      <c r="R1384" s="31">
        <v>202310</v>
      </c>
      <c r="S1384" s="54" t="s">
        <v>1761</v>
      </c>
      <c r="T1384" s="33"/>
      <c r="U1384" s="109"/>
      <c r="V1384" s="54"/>
      <c r="W1384" s="67"/>
      <c r="X1384" s="67"/>
      <c r="Y1384" s="36"/>
      <c r="Z1384" s="36"/>
      <c r="AA1384" s="36"/>
      <c r="AB1384" s="36"/>
      <c r="AC1384" s="36"/>
      <c r="AD1384" s="36"/>
      <c r="AE1384" s="36"/>
      <c r="AF1384" s="53" t="s">
        <v>68</v>
      </c>
      <c r="AG1384" s="42"/>
      <c r="AH1384" s="42"/>
      <c r="AI1384" s="43"/>
      <c r="AJ1384" s="43"/>
      <c r="AK1384" s="43"/>
      <c r="AL1384" s="43"/>
      <c r="AM1384" s="43"/>
      <c r="AN1384" s="42"/>
      <c r="AO1384" s="42"/>
      <c r="AP1384" s="42"/>
      <c r="AQ1384" s="43"/>
      <c r="AR1384" s="42"/>
      <c r="AS1384" s="42"/>
    </row>
    <row r="1385" spans="1:45" ht="15" customHeight="1">
      <c r="A1385" s="21" t="s">
        <v>260</v>
      </c>
      <c r="B1385" s="21" t="s">
        <v>46</v>
      </c>
      <c r="C1385" s="21" t="s">
        <v>188</v>
      </c>
      <c r="D1385" s="21" t="s">
        <v>48</v>
      </c>
      <c r="E1385" s="80" t="s">
        <v>1636</v>
      </c>
      <c r="F1385" s="21" t="s">
        <v>920</v>
      </c>
      <c r="G1385" s="101" t="s">
        <v>77</v>
      </c>
      <c r="H1385" s="25" t="s">
        <v>1637</v>
      </c>
      <c r="I1385" s="102" t="s">
        <v>78</v>
      </c>
      <c r="J1385" s="65" t="s">
        <v>1638</v>
      </c>
      <c r="K1385" s="104"/>
      <c r="L1385" s="48" t="s">
        <v>923</v>
      </c>
      <c r="M1385" s="27">
        <v>44251</v>
      </c>
      <c r="N1385" s="105" t="s">
        <v>182</v>
      </c>
      <c r="O1385" s="68">
        <v>8186</v>
      </c>
      <c r="P1385" s="106">
        <v>1</v>
      </c>
      <c r="Q1385" s="51">
        <f t="shared" si="31"/>
        <v>8186</v>
      </c>
      <c r="R1385" s="31">
        <v>202310</v>
      </c>
      <c r="S1385" s="54" t="s">
        <v>1762</v>
      </c>
      <c r="T1385" s="33"/>
      <c r="U1385" s="109"/>
      <c r="V1385" s="54"/>
      <c r="W1385" s="67"/>
      <c r="X1385" s="67"/>
      <c r="Y1385" s="36"/>
      <c r="Z1385" s="36"/>
      <c r="AA1385" s="36"/>
      <c r="AB1385" s="36"/>
      <c r="AC1385" s="36"/>
      <c r="AD1385" s="36"/>
      <c r="AE1385" s="36"/>
      <c r="AF1385" s="53" t="s">
        <v>68</v>
      </c>
      <c r="AG1385" s="42"/>
      <c r="AH1385" s="42"/>
      <c r="AI1385" s="43"/>
      <c r="AJ1385" s="43"/>
      <c r="AK1385" s="43"/>
      <c r="AL1385" s="43"/>
      <c r="AM1385" s="43"/>
      <c r="AN1385" s="42"/>
      <c r="AO1385" s="42"/>
      <c r="AP1385" s="42"/>
      <c r="AQ1385" s="43"/>
      <c r="AR1385" s="42"/>
      <c r="AS1385" s="42"/>
    </row>
    <row r="1386" spans="1:45" ht="15" customHeight="1">
      <c r="A1386" s="21" t="s">
        <v>260</v>
      </c>
      <c r="B1386" s="21" t="s">
        <v>46</v>
      </c>
      <c r="C1386" s="21" t="s">
        <v>188</v>
      </c>
      <c r="D1386" s="21" t="s">
        <v>48</v>
      </c>
      <c r="E1386" s="80" t="s">
        <v>1636</v>
      </c>
      <c r="F1386" s="21" t="s">
        <v>920</v>
      </c>
      <c r="G1386" s="101" t="s">
        <v>77</v>
      </c>
      <c r="H1386" s="25" t="s">
        <v>1637</v>
      </c>
      <c r="I1386" s="102" t="s">
        <v>78</v>
      </c>
      <c r="J1386" s="65" t="s">
        <v>1638</v>
      </c>
      <c r="K1386" s="104"/>
      <c r="L1386" s="48" t="s">
        <v>923</v>
      </c>
      <c r="M1386" s="27">
        <v>44270</v>
      </c>
      <c r="N1386" s="105" t="s">
        <v>182</v>
      </c>
      <c r="O1386" s="68">
        <v>8186</v>
      </c>
      <c r="P1386" s="106">
        <v>2</v>
      </c>
      <c r="Q1386" s="51">
        <f t="shared" si="31"/>
        <v>16372</v>
      </c>
      <c r="R1386" s="31">
        <v>202310</v>
      </c>
      <c r="S1386" s="54" t="s">
        <v>1763</v>
      </c>
      <c r="T1386" s="33"/>
      <c r="U1386" s="109"/>
      <c r="V1386" s="54"/>
      <c r="W1386" s="67"/>
      <c r="X1386" s="67"/>
      <c r="Y1386" s="36"/>
      <c r="Z1386" s="36"/>
      <c r="AA1386" s="36"/>
      <c r="AB1386" s="36"/>
      <c r="AC1386" s="36"/>
      <c r="AD1386" s="36"/>
      <c r="AE1386" s="36"/>
      <c r="AF1386" s="53" t="s">
        <v>68</v>
      </c>
      <c r="AG1386" s="42"/>
      <c r="AH1386" s="42"/>
      <c r="AI1386" s="43"/>
      <c r="AJ1386" s="43"/>
      <c r="AK1386" s="43"/>
      <c r="AL1386" s="43"/>
      <c r="AM1386" s="43"/>
      <c r="AN1386" s="42"/>
      <c r="AO1386" s="42"/>
      <c r="AP1386" s="42"/>
      <c r="AQ1386" s="43"/>
      <c r="AR1386" s="42"/>
      <c r="AS1386" s="42"/>
    </row>
    <row r="1387" spans="1:45" ht="15" customHeight="1">
      <c r="A1387" s="21" t="s">
        <v>260</v>
      </c>
      <c r="B1387" s="21" t="s">
        <v>46</v>
      </c>
      <c r="C1387" s="21" t="s">
        <v>188</v>
      </c>
      <c r="D1387" s="21" t="s">
        <v>48</v>
      </c>
      <c r="E1387" s="80" t="s">
        <v>1636</v>
      </c>
      <c r="F1387" s="21" t="s">
        <v>920</v>
      </c>
      <c r="G1387" s="101" t="s">
        <v>77</v>
      </c>
      <c r="H1387" s="25" t="s">
        <v>1637</v>
      </c>
      <c r="I1387" s="102" t="s">
        <v>78</v>
      </c>
      <c r="J1387" s="65" t="s">
        <v>1638</v>
      </c>
      <c r="K1387" s="104"/>
      <c r="L1387" s="48" t="s">
        <v>923</v>
      </c>
      <c r="M1387" s="27">
        <v>44281</v>
      </c>
      <c r="N1387" s="105" t="s">
        <v>182</v>
      </c>
      <c r="O1387" s="68">
        <v>8186</v>
      </c>
      <c r="P1387" s="106">
        <v>7</v>
      </c>
      <c r="Q1387" s="51">
        <f t="shared" si="31"/>
        <v>57302</v>
      </c>
      <c r="R1387" s="31">
        <v>202310</v>
      </c>
      <c r="S1387" s="54" t="s">
        <v>1764</v>
      </c>
      <c r="T1387" s="33"/>
      <c r="U1387" s="109"/>
      <c r="V1387" s="54"/>
      <c r="W1387" s="67"/>
      <c r="X1387" s="67"/>
      <c r="Y1387" s="36"/>
      <c r="Z1387" s="36"/>
      <c r="AA1387" s="36"/>
      <c r="AB1387" s="36"/>
      <c r="AC1387" s="36"/>
      <c r="AD1387" s="36"/>
      <c r="AE1387" s="36"/>
      <c r="AF1387" s="53" t="s">
        <v>68</v>
      </c>
      <c r="AG1387" s="42"/>
      <c r="AH1387" s="42"/>
      <c r="AI1387" s="43"/>
      <c r="AJ1387" s="43"/>
      <c r="AK1387" s="43"/>
      <c r="AL1387" s="43"/>
      <c r="AM1387" s="43"/>
      <c r="AN1387" s="42"/>
      <c r="AO1387" s="42"/>
      <c r="AP1387" s="42"/>
      <c r="AQ1387" s="43"/>
      <c r="AR1387" s="42"/>
      <c r="AS1387" s="42"/>
    </row>
    <row r="1388" spans="1:45" ht="15" customHeight="1">
      <c r="A1388" s="21" t="s">
        <v>260</v>
      </c>
      <c r="B1388" s="21" t="s">
        <v>46</v>
      </c>
      <c r="C1388" s="21" t="s">
        <v>188</v>
      </c>
      <c r="D1388" s="21" t="s">
        <v>48</v>
      </c>
      <c r="E1388" s="80" t="s">
        <v>1636</v>
      </c>
      <c r="F1388" s="21" t="s">
        <v>920</v>
      </c>
      <c r="G1388" s="101" t="s">
        <v>77</v>
      </c>
      <c r="H1388" s="25" t="s">
        <v>1637</v>
      </c>
      <c r="I1388" s="102" t="s">
        <v>78</v>
      </c>
      <c r="J1388" s="65" t="s">
        <v>1638</v>
      </c>
      <c r="K1388" s="104"/>
      <c r="L1388" s="48" t="s">
        <v>923</v>
      </c>
      <c r="M1388" s="27">
        <v>44301</v>
      </c>
      <c r="N1388" s="105" t="s">
        <v>182</v>
      </c>
      <c r="O1388" s="68">
        <v>8186</v>
      </c>
      <c r="P1388" s="106">
        <v>5</v>
      </c>
      <c r="Q1388" s="51">
        <f t="shared" si="31"/>
        <v>40930</v>
      </c>
      <c r="R1388" s="31">
        <v>202310</v>
      </c>
      <c r="S1388" s="54" t="s">
        <v>1765</v>
      </c>
      <c r="T1388" s="33"/>
      <c r="U1388" s="109"/>
      <c r="V1388" s="54"/>
      <c r="W1388" s="67"/>
      <c r="X1388" s="67"/>
      <c r="Y1388" s="36"/>
      <c r="Z1388" s="36"/>
      <c r="AA1388" s="36"/>
      <c r="AB1388" s="36"/>
      <c r="AC1388" s="36"/>
      <c r="AD1388" s="36"/>
      <c r="AE1388" s="36"/>
      <c r="AF1388" s="53" t="s">
        <v>68</v>
      </c>
      <c r="AG1388" s="42"/>
      <c r="AH1388" s="42"/>
      <c r="AI1388" s="43"/>
      <c r="AJ1388" s="43"/>
      <c r="AK1388" s="43"/>
      <c r="AL1388" s="43"/>
      <c r="AM1388" s="43"/>
      <c r="AN1388" s="42"/>
      <c r="AO1388" s="42"/>
      <c r="AP1388" s="42"/>
      <c r="AQ1388" s="43"/>
      <c r="AR1388" s="42"/>
      <c r="AS1388" s="42"/>
    </row>
    <row r="1389" spans="1:45" ht="15" customHeight="1">
      <c r="A1389" s="21" t="s">
        <v>260</v>
      </c>
      <c r="B1389" s="21" t="s">
        <v>46</v>
      </c>
      <c r="C1389" s="21" t="s">
        <v>188</v>
      </c>
      <c r="D1389" s="21" t="s">
        <v>48</v>
      </c>
      <c r="E1389" s="80" t="s">
        <v>1636</v>
      </c>
      <c r="F1389" s="21" t="s">
        <v>920</v>
      </c>
      <c r="G1389" s="101" t="s">
        <v>77</v>
      </c>
      <c r="H1389" s="25" t="s">
        <v>1637</v>
      </c>
      <c r="I1389" s="102" t="s">
        <v>78</v>
      </c>
      <c r="J1389" s="65" t="s">
        <v>1638</v>
      </c>
      <c r="K1389" s="104"/>
      <c r="L1389" s="48" t="s">
        <v>923</v>
      </c>
      <c r="M1389" s="27">
        <v>44288</v>
      </c>
      <c r="N1389" s="105" t="s">
        <v>177</v>
      </c>
      <c r="O1389" s="68">
        <v>5900</v>
      </c>
      <c r="P1389" s="106">
        <v>2</v>
      </c>
      <c r="Q1389" s="51">
        <f t="shared" ref="Q1389:Q1452" si="32">ROUND(O1389*P1389,2)</f>
        <v>11800</v>
      </c>
      <c r="R1389" s="31">
        <v>202310</v>
      </c>
      <c r="S1389" s="54" t="s">
        <v>1766</v>
      </c>
      <c r="T1389" s="33"/>
      <c r="U1389" s="183"/>
      <c r="V1389" s="54"/>
      <c r="W1389" s="67"/>
      <c r="X1389" s="67"/>
      <c r="Y1389" s="36"/>
      <c r="Z1389" s="36"/>
      <c r="AA1389" s="36"/>
      <c r="AB1389" s="36"/>
      <c r="AC1389" s="36"/>
      <c r="AD1389" s="36"/>
      <c r="AE1389" s="36"/>
      <c r="AF1389" s="53" t="s">
        <v>68</v>
      </c>
      <c r="AG1389" s="42"/>
      <c r="AH1389" s="42"/>
      <c r="AI1389" s="43"/>
      <c r="AJ1389" s="43"/>
      <c r="AK1389" s="43"/>
      <c r="AL1389" s="43"/>
      <c r="AM1389" s="43"/>
      <c r="AN1389" s="42"/>
      <c r="AO1389" s="42"/>
      <c r="AP1389" s="42"/>
      <c r="AQ1389" s="43"/>
      <c r="AR1389" s="42"/>
      <c r="AS1389" s="42"/>
    </row>
    <row r="1390" spans="1:45" ht="15" customHeight="1">
      <c r="A1390" s="21" t="s">
        <v>260</v>
      </c>
      <c r="B1390" s="21" t="s">
        <v>46</v>
      </c>
      <c r="C1390" s="21" t="s">
        <v>188</v>
      </c>
      <c r="D1390" s="21" t="s">
        <v>48</v>
      </c>
      <c r="E1390" s="80" t="s">
        <v>1636</v>
      </c>
      <c r="F1390" s="21" t="s">
        <v>920</v>
      </c>
      <c r="G1390" s="101" t="s">
        <v>77</v>
      </c>
      <c r="H1390" s="25" t="s">
        <v>1637</v>
      </c>
      <c r="I1390" s="102" t="s">
        <v>78</v>
      </c>
      <c r="J1390" s="65" t="s">
        <v>1638</v>
      </c>
      <c r="K1390" s="104"/>
      <c r="L1390" s="48" t="s">
        <v>923</v>
      </c>
      <c r="M1390" s="27">
        <v>44327</v>
      </c>
      <c r="N1390" s="105" t="s">
        <v>182</v>
      </c>
      <c r="O1390" s="68">
        <v>8186</v>
      </c>
      <c r="P1390" s="106">
        <v>-1</v>
      </c>
      <c r="Q1390" s="51">
        <f t="shared" si="32"/>
        <v>-8186</v>
      </c>
      <c r="R1390" s="31">
        <v>202310</v>
      </c>
      <c r="S1390" s="54" t="s">
        <v>1767</v>
      </c>
      <c r="T1390" s="33"/>
      <c r="U1390" s="109"/>
      <c r="V1390" s="54"/>
      <c r="W1390" s="67"/>
      <c r="X1390" s="67"/>
      <c r="Y1390" s="36"/>
      <c r="Z1390" s="36"/>
      <c r="AA1390" s="36"/>
      <c r="AB1390" s="36"/>
      <c r="AC1390" s="36"/>
      <c r="AD1390" s="36"/>
      <c r="AE1390" s="36"/>
      <c r="AF1390" s="53" t="s">
        <v>68</v>
      </c>
      <c r="AG1390" s="42"/>
      <c r="AH1390" s="42"/>
      <c r="AI1390" s="43"/>
      <c r="AJ1390" s="43"/>
      <c r="AK1390" s="43"/>
      <c r="AL1390" s="43"/>
      <c r="AM1390" s="43"/>
      <c r="AN1390" s="42"/>
      <c r="AO1390" s="42"/>
      <c r="AP1390" s="42"/>
      <c r="AQ1390" s="43"/>
      <c r="AR1390" s="42"/>
      <c r="AS1390" s="42"/>
    </row>
    <row r="1391" spans="1:45" ht="15" customHeight="1">
      <c r="A1391" s="21" t="s">
        <v>260</v>
      </c>
      <c r="B1391" s="21" t="s">
        <v>46</v>
      </c>
      <c r="C1391" s="21" t="s">
        <v>188</v>
      </c>
      <c r="D1391" s="21" t="s">
        <v>48</v>
      </c>
      <c r="E1391" s="80" t="s">
        <v>1636</v>
      </c>
      <c r="F1391" s="21" t="s">
        <v>920</v>
      </c>
      <c r="G1391" s="101" t="s">
        <v>77</v>
      </c>
      <c r="H1391" s="25" t="s">
        <v>1637</v>
      </c>
      <c r="I1391" s="102" t="s">
        <v>78</v>
      </c>
      <c r="J1391" s="65" t="s">
        <v>1638</v>
      </c>
      <c r="K1391" s="104"/>
      <c r="L1391" s="48" t="s">
        <v>923</v>
      </c>
      <c r="M1391" s="27">
        <v>44333</v>
      </c>
      <c r="N1391" s="105" t="s">
        <v>182</v>
      </c>
      <c r="O1391" s="68">
        <v>8186</v>
      </c>
      <c r="P1391" s="106">
        <v>-3</v>
      </c>
      <c r="Q1391" s="51">
        <f t="shared" si="32"/>
        <v>-24558</v>
      </c>
      <c r="R1391" s="31">
        <v>202310</v>
      </c>
      <c r="S1391" s="54" t="s">
        <v>1768</v>
      </c>
      <c r="T1391" s="33"/>
      <c r="U1391" s="109"/>
      <c r="V1391" s="54"/>
      <c r="W1391" s="67"/>
      <c r="X1391" s="67"/>
      <c r="Y1391" s="36"/>
      <c r="Z1391" s="36"/>
      <c r="AA1391" s="36"/>
      <c r="AB1391" s="36"/>
      <c r="AC1391" s="36"/>
      <c r="AD1391" s="36"/>
      <c r="AE1391" s="36"/>
      <c r="AF1391" s="53" t="s">
        <v>68</v>
      </c>
      <c r="AG1391" s="42"/>
      <c r="AH1391" s="42"/>
      <c r="AI1391" s="43"/>
      <c r="AJ1391" s="43"/>
      <c r="AK1391" s="43"/>
      <c r="AL1391" s="43"/>
      <c r="AM1391" s="43"/>
      <c r="AN1391" s="42"/>
      <c r="AO1391" s="42"/>
      <c r="AP1391" s="42"/>
      <c r="AQ1391" s="43"/>
      <c r="AR1391" s="42"/>
      <c r="AS1391" s="42"/>
    </row>
    <row r="1392" spans="1:45" ht="15" customHeight="1">
      <c r="A1392" s="21" t="s">
        <v>260</v>
      </c>
      <c r="B1392" s="21" t="s">
        <v>46</v>
      </c>
      <c r="C1392" s="21" t="s">
        <v>188</v>
      </c>
      <c r="D1392" s="21" t="s">
        <v>48</v>
      </c>
      <c r="E1392" s="80" t="s">
        <v>1636</v>
      </c>
      <c r="F1392" s="21" t="s">
        <v>920</v>
      </c>
      <c r="G1392" s="101" t="s">
        <v>77</v>
      </c>
      <c r="H1392" s="25" t="s">
        <v>1637</v>
      </c>
      <c r="I1392" s="102" t="s">
        <v>78</v>
      </c>
      <c r="J1392" s="65" t="s">
        <v>1638</v>
      </c>
      <c r="K1392" s="104"/>
      <c r="L1392" s="48" t="s">
        <v>923</v>
      </c>
      <c r="M1392" s="27">
        <v>44343</v>
      </c>
      <c r="N1392" s="105" t="s">
        <v>182</v>
      </c>
      <c r="O1392" s="68">
        <v>8186</v>
      </c>
      <c r="P1392" s="106">
        <v>-1</v>
      </c>
      <c r="Q1392" s="51">
        <f t="shared" si="32"/>
        <v>-8186</v>
      </c>
      <c r="R1392" s="31">
        <v>202310</v>
      </c>
      <c r="S1392" s="54" t="s">
        <v>1769</v>
      </c>
      <c r="T1392" s="33"/>
      <c r="U1392" s="109"/>
      <c r="V1392" s="54"/>
      <c r="W1392" s="67"/>
      <c r="X1392" s="67"/>
      <c r="Y1392" s="36"/>
      <c r="Z1392" s="36"/>
      <c r="AA1392" s="36"/>
      <c r="AB1392" s="36"/>
      <c r="AC1392" s="36"/>
      <c r="AD1392" s="36"/>
      <c r="AE1392" s="36"/>
      <c r="AF1392" s="53" t="s">
        <v>68</v>
      </c>
      <c r="AG1392" s="42"/>
      <c r="AH1392" s="42"/>
      <c r="AI1392" s="43"/>
      <c r="AJ1392" s="43"/>
      <c r="AK1392" s="43"/>
      <c r="AL1392" s="43"/>
      <c r="AM1392" s="43"/>
      <c r="AN1392" s="42"/>
      <c r="AO1392" s="42"/>
      <c r="AP1392" s="42"/>
      <c r="AQ1392" s="43"/>
      <c r="AR1392" s="42"/>
      <c r="AS1392" s="42"/>
    </row>
    <row r="1393" spans="1:45" ht="15" customHeight="1">
      <c r="A1393" s="21" t="s">
        <v>260</v>
      </c>
      <c r="B1393" s="21" t="s">
        <v>46</v>
      </c>
      <c r="C1393" s="21" t="s">
        <v>188</v>
      </c>
      <c r="D1393" s="21" t="s">
        <v>48</v>
      </c>
      <c r="E1393" s="80" t="s">
        <v>1636</v>
      </c>
      <c r="F1393" s="21" t="s">
        <v>920</v>
      </c>
      <c r="G1393" s="101" t="s">
        <v>77</v>
      </c>
      <c r="H1393" s="25" t="s">
        <v>1637</v>
      </c>
      <c r="I1393" s="102" t="s">
        <v>78</v>
      </c>
      <c r="J1393" s="65" t="s">
        <v>1638</v>
      </c>
      <c r="K1393" s="104"/>
      <c r="L1393" s="48" t="s">
        <v>923</v>
      </c>
      <c r="M1393" s="27">
        <v>44342</v>
      </c>
      <c r="N1393" s="105" t="s">
        <v>182</v>
      </c>
      <c r="O1393" s="68">
        <v>8186</v>
      </c>
      <c r="P1393" s="106">
        <v>4</v>
      </c>
      <c r="Q1393" s="51">
        <f t="shared" si="32"/>
        <v>32744</v>
      </c>
      <c r="R1393" s="31">
        <v>202310</v>
      </c>
      <c r="S1393" s="54" t="s">
        <v>1770</v>
      </c>
      <c r="T1393" s="33"/>
      <c r="U1393" s="109"/>
      <c r="V1393" s="54"/>
      <c r="W1393" s="67"/>
      <c r="X1393" s="67"/>
      <c r="Y1393" s="36"/>
      <c r="Z1393" s="36"/>
      <c r="AA1393" s="36"/>
      <c r="AB1393" s="36"/>
      <c r="AC1393" s="36"/>
      <c r="AD1393" s="36"/>
      <c r="AE1393" s="36"/>
      <c r="AF1393" s="53" t="s">
        <v>68</v>
      </c>
      <c r="AG1393" s="42"/>
      <c r="AH1393" s="42"/>
      <c r="AI1393" s="43"/>
      <c r="AJ1393" s="43"/>
      <c r="AK1393" s="43"/>
      <c r="AL1393" s="43"/>
      <c r="AM1393" s="43"/>
      <c r="AN1393" s="42"/>
      <c r="AO1393" s="42"/>
      <c r="AP1393" s="42"/>
      <c r="AQ1393" s="43"/>
      <c r="AR1393" s="42"/>
      <c r="AS1393" s="42"/>
    </row>
    <row r="1394" spans="1:45" ht="15" customHeight="1">
      <c r="A1394" s="21" t="s">
        <v>260</v>
      </c>
      <c r="B1394" s="21" t="s">
        <v>46</v>
      </c>
      <c r="C1394" s="21" t="s">
        <v>188</v>
      </c>
      <c r="D1394" s="21" t="s">
        <v>48</v>
      </c>
      <c r="E1394" s="80" t="s">
        <v>1636</v>
      </c>
      <c r="F1394" s="21" t="s">
        <v>920</v>
      </c>
      <c r="G1394" s="101" t="s">
        <v>77</v>
      </c>
      <c r="H1394" s="25" t="s">
        <v>1637</v>
      </c>
      <c r="I1394" s="102" t="s">
        <v>78</v>
      </c>
      <c r="J1394" s="65" t="s">
        <v>1771</v>
      </c>
      <c r="K1394" s="104"/>
      <c r="L1394" s="48" t="s">
        <v>923</v>
      </c>
      <c r="M1394" s="27">
        <v>44390</v>
      </c>
      <c r="N1394" s="105" t="s">
        <v>177</v>
      </c>
      <c r="O1394" s="68">
        <v>5900</v>
      </c>
      <c r="P1394" s="106">
        <v>2</v>
      </c>
      <c r="Q1394" s="51">
        <f t="shared" si="32"/>
        <v>11800</v>
      </c>
      <c r="R1394" s="31">
        <v>202310</v>
      </c>
      <c r="S1394" s="54" t="s">
        <v>1772</v>
      </c>
      <c r="T1394" s="33"/>
      <c r="U1394" s="183"/>
      <c r="V1394" s="54"/>
      <c r="W1394" s="67"/>
      <c r="X1394" s="67"/>
      <c r="Y1394" s="36"/>
      <c r="Z1394" s="36"/>
      <c r="AA1394" s="36"/>
      <c r="AB1394" s="36"/>
      <c r="AC1394" s="36"/>
      <c r="AD1394" s="36"/>
      <c r="AE1394" s="36"/>
      <c r="AF1394" s="53" t="s">
        <v>68</v>
      </c>
      <c r="AG1394" s="42"/>
      <c r="AH1394" s="42"/>
      <c r="AI1394" s="43"/>
      <c r="AJ1394" s="43"/>
      <c r="AK1394" s="43"/>
      <c r="AL1394" s="43"/>
      <c r="AM1394" s="43"/>
      <c r="AN1394" s="42"/>
      <c r="AO1394" s="42"/>
      <c r="AP1394" s="42"/>
      <c r="AQ1394" s="43"/>
      <c r="AR1394" s="42"/>
      <c r="AS1394" s="42"/>
    </row>
    <row r="1395" spans="1:45" ht="15" customHeight="1">
      <c r="A1395" s="21" t="s">
        <v>260</v>
      </c>
      <c r="B1395" s="21" t="s">
        <v>46</v>
      </c>
      <c r="C1395" s="21" t="s">
        <v>188</v>
      </c>
      <c r="D1395" s="21" t="s">
        <v>48</v>
      </c>
      <c r="E1395" s="80" t="s">
        <v>1636</v>
      </c>
      <c r="F1395" s="21" t="s">
        <v>920</v>
      </c>
      <c r="G1395" s="101" t="s">
        <v>77</v>
      </c>
      <c r="H1395" s="25" t="s">
        <v>1637</v>
      </c>
      <c r="I1395" s="102" t="s">
        <v>78</v>
      </c>
      <c r="J1395" s="65" t="s">
        <v>1773</v>
      </c>
      <c r="K1395" s="104"/>
      <c r="L1395" s="48" t="s">
        <v>923</v>
      </c>
      <c r="M1395" s="27">
        <v>44405</v>
      </c>
      <c r="N1395" s="105" t="s">
        <v>182</v>
      </c>
      <c r="O1395" s="68">
        <v>8186</v>
      </c>
      <c r="P1395" s="106">
        <v>-1</v>
      </c>
      <c r="Q1395" s="51">
        <f t="shared" si="32"/>
        <v>-8186</v>
      </c>
      <c r="R1395" s="31">
        <v>202310</v>
      </c>
      <c r="S1395" s="54" t="s">
        <v>1774</v>
      </c>
      <c r="T1395" s="33"/>
      <c r="U1395" s="109"/>
      <c r="V1395" s="54"/>
      <c r="W1395" s="67"/>
      <c r="X1395" s="67"/>
      <c r="Y1395" s="36"/>
      <c r="Z1395" s="36"/>
      <c r="AA1395" s="36"/>
      <c r="AB1395" s="36"/>
      <c r="AC1395" s="36"/>
      <c r="AD1395" s="36"/>
      <c r="AE1395" s="36"/>
      <c r="AF1395" s="53" t="s">
        <v>68</v>
      </c>
      <c r="AG1395" s="42"/>
      <c r="AH1395" s="42"/>
      <c r="AI1395" s="43"/>
      <c r="AJ1395" s="43"/>
      <c r="AK1395" s="43"/>
      <c r="AL1395" s="43"/>
      <c r="AM1395" s="43"/>
      <c r="AN1395" s="42"/>
      <c r="AO1395" s="42"/>
      <c r="AP1395" s="42"/>
      <c r="AQ1395" s="43"/>
      <c r="AR1395" s="42"/>
      <c r="AS1395" s="42"/>
    </row>
    <row r="1396" spans="1:45" ht="15" customHeight="1">
      <c r="A1396" s="21" t="s">
        <v>260</v>
      </c>
      <c r="B1396" s="21" t="s">
        <v>46</v>
      </c>
      <c r="C1396" s="21" t="s">
        <v>188</v>
      </c>
      <c r="D1396" s="21" t="s">
        <v>48</v>
      </c>
      <c r="E1396" s="80" t="s">
        <v>1636</v>
      </c>
      <c r="F1396" s="21" t="s">
        <v>920</v>
      </c>
      <c r="G1396" s="101" t="s">
        <v>77</v>
      </c>
      <c r="H1396" s="25" t="s">
        <v>1637</v>
      </c>
      <c r="I1396" s="102" t="s">
        <v>78</v>
      </c>
      <c r="J1396" s="65" t="s">
        <v>1773</v>
      </c>
      <c r="K1396" s="104"/>
      <c r="L1396" s="48" t="s">
        <v>923</v>
      </c>
      <c r="M1396" s="27">
        <v>44482</v>
      </c>
      <c r="N1396" s="105" t="s">
        <v>177</v>
      </c>
      <c r="O1396" s="68">
        <v>5900</v>
      </c>
      <c r="P1396" s="106">
        <v>1</v>
      </c>
      <c r="Q1396" s="51">
        <f t="shared" si="32"/>
        <v>5900</v>
      </c>
      <c r="R1396" s="31">
        <v>202310</v>
      </c>
      <c r="S1396" s="54" t="s">
        <v>1775</v>
      </c>
      <c r="T1396" s="33"/>
      <c r="U1396" s="183"/>
      <c r="V1396" s="54"/>
      <c r="W1396" s="67"/>
      <c r="X1396" s="67"/>
      <c r="Y1396" s="36"/>
      <c r="Z1396" s="36"/>
      <c r="AA1396" s="36"/>
      <c r="AB1396" s="36"/>
      <c r="AC1396" s="36"/>
      <c r="AD1396" s="36"/>
      <c r="AE1396" s="36"/>
      <c r="AF1396" s="53" t="s">
        <v>68</v>
      </c>
      <c r="AG1396" s="42"/>
      <c r="AH1396" s="42"/>
      <c r="AI1396" s="43"/>
      <c r="AJ1396" s="43"/>
      <c r="AK1396" s="43"/>
      <c r="AL1396" s="43"/>
      <c r="AM1396" s="43"/>
      <c r="AN1396" s="42"/>
      <c r="AO1396" s="42"/>
      <c r="AP1396" s="42"/>
      <c r="AQ1396" s="43"/>
      <c r="AR1396" s="42"/>
      <c r="AS1396" s="42"/>
    </row>
    <row r="1397" spans="1:45" ht="15" customHeight="1">
      <c r="A1397" s="21" t="s">
        <v>260</v>
      </c>
      <c r="B1397" s="21" t="s">
        <v>46</v>
      </c>
      <c r="C1397" s="21" t="s">
        <v>188</v>
      </c>
      <c r="D1397" s="21" t="s">
        <v>48</v>
      </c>
      <c r="E1397" s="80" t="s">
        <v>1636</v>
      </c>
      <c r="F1397" s="21" t="s">
        <v>920</v>
      </c>
      <c r="G1397" s="101" t="s">
        <v>77</v>
      </c>
      <c r="H1397" s="25" t="s">
        <v>1637</v>
      </c>
      <c r="I1397" s="102" t="s">
        <v>78</v>
      </c>
      <c r="J1397" s="65" t="s">
        <v>1773</v>
      </c>
      <c r="K1397" s="104"/>
      <c r="L1397" s="48" t="s">
        <v>923</v>
      </c>
      <c r="M1397" s="27">
        <v>43710</v>
      </c>
      <c r="N1397" s="105" t="s">
        <v>182</v>
      </c>
      <c r="O1397" s="68">
        <v>8186</v>
      </c>
      <c r="P1397" s="106">
        <v>3</v>
      </c>
      <c r="Q1397" s="51">
        <f t="shared" si="32"/>
        <v>24558</v>
      </c>
      <c r="R1397" s="31">
        <v>202310</v>
      </c>
      <c r="S1397" s="54" t="s">
        <v>1776</v>
      </c>
      <c r="T1397" s="33"/>
      <c r="U1397" s="109"/>
      <c r="V1397" s="54"/>
      <c r="W1397" s="67"/>
      <c r="X1397" s="67"/>
      <c r="Y1397" s="36"/>
      <c r="Z1397" s="36"/>
      <c r="AA1397" s="36"/>
      <c r="AB1397" s="36"/>
      <c r="AC1397" s="36"/>
      <c r="AD1397" s="36"/>
      <c r="AE1397" s="36"/>
      <c r="AF1397" s="53" t="s">
        <v>68</v>
      </c>
      <c r="AG1397" s="42"/>
      <c r="AH1397" s="42"/>
      <c r="AI1397" s="43"/>
      <c r="AJ1397" s="43"/>
      <c r="AK1397" s="43"/>
      <c r="AL1397" s="43"/>
      <c r="AM1397" s="43"/>
      <c r="AN1397" s="42"/>
      <c r="AO1397" s="42"/>
      <c r="AP1397" s="42"/>
      <c r="AQ1397" s="43"/>
      <c r="AR1397" s="42"/>
      <c r="AS1397" s="42"/>
    </row>
    <row r="1398" spans="1:45" ht="15" customHeight="1">
      <c r="A1398" s="21" t="s">
        <v>260</v>
      </c>
      <c r="B1398" s="21" t="s">
        <v>46</v>
      </c>
      <c r="C1398" s="21" t="s">
        <v>188</v>
      </c>
      <c r="D1398" s="21" t="s">
        <v>48</v>
      </c>
      <c r="E1398" s="80" t="s">
        <v>1636</v>
      </c>
      <c r="F1398" s="21" t="s">
        <v>920</v>
      </c>
      <c r="G1398" s="101" t="s">
        <v>77</v>
      </c>
      <c r="H1398" s="25" t="s">
        <v>1637</v>
      </c>
      <c r="I1398" s="102" t="s">
        <v>78</v>
      </c>
      <c r="J1398" s="65" t="s">
        <v>1771</v>
      </c>
      <c r="K1398" s="104"/>
      <c r="L1398" s="48" t="s">
        <v>923</v>
      </c>
      <c r="M1398" s="27">
        <v>44818</v>
      </c>
      <c r="N1398" s="105" t="s">
        <v>177</v>
      </c>
      <c r="O1398" s="68">
        <v>5900</v>
      </c>
      <c r="P1398" s="106">
        <v>1</v>
      </c>
      <c r="Q1398" s="51">
        <f t="shared" si="32"/>
        <v>5900</v>
      </c>
      <c r="R1398" s="31">
        <v>202310</v>
      </c>
      <c r="S1398" s="54" t="s">
        <v>1777</v>
      </c>
      <c r="T1398" s="33"/>
      <c r="U1398" s="183"/>
      <c r="V1398" s="54"/>
      <c r="W1398" s="67"/>
      <c r="X1398" s="67"/>
      <c r="Y1398" s="36"/>
      <c r="Z1398" s="36"/>
      <c r="AA1398" s="36"/>
      <c r="AB1398" s="36"/>
      <c r="AC1398" s="36"/>
      <c r="AD1398" s="36"/>
      <c r="AE1398" s="36"/>
      <c r="AF1398" s="53" t="s">
        <v>68</v>
      </c>
      <c r="AG1398" s="42"/>
      <c r="AH1398" s="42"/>
      <c r="AI1398" s="43"/>
      <c r="AJ1398" s="43"/>
      <c r="AK1398" s="43"/>
      <c r="AL1398" s="43"/>
      <c r="AM1398" s="43"/>
      <c r="AN1398" s="42"/>
      <c r="AO1398" s="42"/>
      <c r="AP1398" s="42"/>
      <c r="AQ1398" s="43"/>
      <c r="AR1398" s="42"/>
      <c r="AS1398" s="42"/>
    </row>
    <row r="1399" spans="1:45" ht="15" customHeight="1">
      <c r="A1399" s="21" t="s">
        <v>260</v>
      </c>
      <c r="B1399" s="21" t="s">
        <v>46</v>
      </c>
      <c r="C1399" s="21" t="s">
        <v>188</v>
      </c>
      <c r="D1399" s="21" t="s">
        <v>48</v>
      </c>
      <c r="E1399" s="80" t="s">
        <v>1636</v>
      </c>
      <c r="F1399" s="21" t="s">
        <v>920</v>
      </c>
      <c r="G1399" s="101" t="s">
        <v>77</v>
      </c>
      <c r="H1399" s="25" t="s">
        <v>1637</v>
      </c>
      <c r="I1399" s="102" t="s">
        <v>78</v>
      </c>
      <c r="J1399" s="65" t="s">
        <v>1773</v>
      </c>
      <c r="K1399" s="104"/>
      <c r="L1399" s="48" t="s">
        <v>923</v>
      </c>
      <c r="M1399" s="27">
        <v>44862</v>
      </c>
      <c r="N1399" s="105" t="s">
        <v>182</v>
      </c>
      <c r="O1399" s="68">
        <v>8186</v>
      </c>
      <c r="P1399" s="106">
        <v>-4</v>
      </c>
      <c r="Q1399" s="51">
        <f t="shared" si="32"/>
        <v>-32744</v>
      </c>
      <c r="R1399" s="31">
        <v>202310</v>
      </c>
      <c r="S1399" s="54" t="s">
        <v>1778</v>
      </c>
      <c r="T1399" s="33"/>
      <c r="U1399" s="109"/>
      <c r="V1399" s="54"/>
      <c r="W1399" s="67"/>
      <c r="X1399" s="67"/>
      <c r="Y1399" s="36"/>
      <c r="Z1399" s="36"/>
      <c r="AA1399" s="36"/>
      <c r="AB1399" s="36"/>
      <c r="AC1399" s="36"/>
      <c r="AD1399" s="36"/>
      <c r="AE1399" s="36"/>
      <c r="AF1399" s="53" t="s">
        <v>68</v>
      </c>
      <c r="AG1399" s="42"/>
      <c r="AH1399" s="42"/>
      <c r="AI1399" s="43"/>
      <c r="AJ1399" s="43"/>
      <c r="AK1399" s="43"/>
      <c r="AL1399" s="43"/>
      <c r="AM1399" s="43"/>
      <c r="AN1399" s="42"/>
      <c r="AO1399" s="42"/>
      <c r="AP1399" s="42"/>
      <c r="AQ1399" s="43"/>
      <c r="AR1399" s="42"/>
      <c r="AS1399" s="42"/>
    </row>
    <row r="1400" spans="1:45" ht="15" customHeight="1">
      <c r="A1400" s="21" t="s">
        <v>260</v>
      </c>
      <c r="B1400" s="21" t="s">
        <v>46</v>
      </c>
      <c r="C1400" s="21" t="s">
        <v>188</v>
      </c>
      <c r="D1400" s="21" t="s">
        <v>48</v>
      </c>
      <c r="E1400" s="80" t="s">
        <v>1636</v>
      </c>
      <c r="F1400" s="21" t="s">
        <v>920</v>
      </c>
      <c r="G1400" s="101" t="s">
        <v>77</v>
      </c>
      <c r="H1400" s="25" t="s">
        <v>1637</v>
      </c>
      <c r="I1400" s="102" t="s">
        <v>78</v>
      </c>
      <c r="J1400" s="65" t="s">
        <v>1771</v>
      </c>
      <c r="K1400" s="104"/>
      <c r="L1400" s="48" t="s">
        <v>923</v>
      </c>
      <c r="M1400" s="27">
        <v>44862</v>
      </c>
      <c r="N1400" s="105" t="s">
        <v>182</v>
      </c>
      <c r="O1400" s="68">
        <v>8186</v>
      </c>
      <c r="P1400" s="106">
        <v>-8</v>
      </c>
      <c r="Q1400" s="51">
        <f t="shared" si="32"/>
        <v>-65488</v>
      </c>
      <c r="R1400" s="31">
        <v>202310</v>
      </c>
      <c r="S1400" s="54" t="s">
        <v>1779</v>
      </c>
      <c r="T1400" s="33"/>
      <c r="U1400" s="109"/>
      <c r="V1400" s="54"/>
      <c r="W1400" s="67"/>
      <c r="X1400" s="67"/>
      <c r="Y1400" s="36"/>
      <c r="Z1400" s="36"/>
      <c r="AA1400" s="36"/>
      <c r="AB1400" s="36"/>
      <c r="AC1400" s="36"/>
      <c r="AD1400" s="36"/>
      <c r="AE1400" s="36"/>
      <c r="AF1400" s="53" t="s">
        <v>68</v>
      </c>
      <c r="AG1400" s="42"/>
      <c r="AH1400" s="42"/>
      <c r="AI1400" s="43"/>
      <c r="AJ1400" s="43"/>
      <c r="AK1400" s="43"/>
      <c r="AL1400" s="43"/>
      <c r="AM1400" s="43"/>
      <c r="AN1400" s="42"/>
      <c r="AO1400" s="42"/>
      <c r="AP1400" s="42"/>
      <c r="AQ1400" s="43"/>
      <c r="AR1400" s="42"/>
      <c r="AS1400" s="42"/>
    </row>
    <row r="1401" spans="1:45" ht="15" customHeight="1">
      <c r="A1401" s="21" t="s">
        <v>260</v>
      </c>
      <c r="B1401" s="21" t="s">
        <v>46</v>
      </c>
      <c r="C1401" s="21" t="s">
        <v>188</v>
      </c>
      <c r="D1401" s="21" t="s">
        <v>48</v>
      </c>
      <c r="E1401" s="80" t="s">
        <v>1636</v>
      </c>
      <c r="F1401" s="21" t="s">
        <v>920</v>
      </c>
      <c r="G1401" s="101" t="s">
        <v>77</v>
      </c>
      <c r="H1401" s="25" t="s">
        <v>1637</v>
      </c>
      <c r="I1401" s="102" t="s">
        <v>78</v>
      </c>
      <c r="J1401" s="65" t="s">
        <v>1771</v>
      </c>
      <c r="K1401" s="104"/>
      <c r="L1401" s="48" t="s">
        <v>923</v>
      </c>
      <c r="M1401" s="27">
        <v>44862</v>
      </c>
      <c r="N1401" s="105" t="s">
        <v>177</v>
      </c>
      <c r="O1401" s="68">
        <v>5900</v>
      </c>
      <c r="P1401" s="106">
        <v>-1</v>
      </c>
      <c r="Q1401" s="51">
        <f t="shared" si="32"/>
        <v>-5900</v>
      </c>
      <c r="R1401" s="31">
        <v>202310</v>
      </c>
      <c r="S1401" s="54" t="s">
        <v>1780</v>
      </c>
      <c r="T1401" s="33"/>
      <c r="U1401" s="183"/>
      <c r="V1401" s="54"/>
      <c r="W1401" s="67"/>
      <c r="X1401" s="67"/>
      <c r="Y1401" s="36"/>
      <c r="Z1401" s="36"/>
      <c r="AA1401" s="36"/>
      <c r="AB1401" s="36"/>
      <c r="AC1401" s="36"/>
      <c r="AD1401" s="36"/>
      <c r="AE1401" s="36"/>
      <c r="AF1401" s="53" t="s">
        <v>68</v>
      </c>
      <c r="AG1401" s="42"/>
      <c r="AH1401" s="42"/>
      <c r="AI1401" s="43"/>
      <c r="AJ1401" s="43"/>
      <c r="AK1401" s="43"/>
      <c r="AL1401" s="43"/>
      <c r="AM1401" s="43"/>
      <c r="AN1401" s="42"/>
      <c r="AO1401" s="42"/>
      <c r="AP1401" s="42"/>
      <c r="AQ1401" s="43"/>
      <c r="AR1401" s="42"/>
      <c r="AS1401" s="42"/>
    </row>
    <row r="1402" spans="1:45" ht="15" customHeight="1">
      <c r="A1402" s="21" t="s">
        <v>260</v>
      </c>
      <c r="B1402" s="21" t="s">
        <v>46</v>
      </c>
      <c r="C1402" s="21" t="s">
        <v>188</v>
      </c>
      <c r="D1402" s="21" t="s">
        <v>48</v>
      </c>
      <c r="E1402" s="80" t="s">
        <v>1636</v>
      </c>
      <c r="F1402" s="21" t="s">
        <v>920</v>
      </c>
      <c r="G1402" s="101" t="s">
        <v>77</v>
      </c>
      <c r="H1402" s="25" t="s">
        <v>1637</v>
      </c>
      <c r="I1402" s="102" t="s">
        <v>78</v>
      </c>
      <c r="J1402" s="65" t="s">
        <v>1773</v>
      </c>
      <c r="K1402" s="104"/>
      <c r="L1402" s="48" t="s">
        <v>1724</v>
      </c>
      <c r="M1402" s="27">
        <v>44874</v>
      </c>
      <c r="N1402" s="105" t="s">
        <v>182</v>
      </c>
      <c r="O1402" s="68">
        <v>8186</v>
      </c>
      <c r="P1402" s="106">
        <v>-1</v>
      </c>
      <c r="Q1402" s="51">
        <f t="shared" si="32"/>
        <v>-8186</v>
      </c>
      <c r="R1402" s="31">
        <v>202310</v>
      </c>
      <c r="S1402" s="54" t="s">
        <v>1725</v>
      </c>
      <c r="T1402" s="33"/>
      <c r="U1402" s="109"/>
      <c r="V1402" s="54"/>
      <c r="W1402" s="67"/>
      <c r="X1402" s="67"/>
      <c r="Y1402" s="36"/>
      <c r="Z1402" s="36"/>
      <c r="AA1402" s="36"/>
      <c r="AB1402" s="36"/>
      <c r="AC1402" s="36"/>
      <c r="AD1402" s="36"/>
      <c r="AE1402" s="36"/>
      <c r="AF1402" s="53" t="s">
        <v>68</v>
      </c>
      <c r="AG1402" s="42"/>
      <c r="AH1402" s="42"/>
      <c r="AI1402" s="43"/>
      <c r="AJ1402" s="43"/>
      <c r="AK1402" s="43"/>
      <c r="AL1402" s="43"/>
      <c r="AM1402" s="43"/>
      <c r="AN1402" s="42"/>
      <c r="AO1402" s="42"/>
      <c r="AP1402" s="42"/>
      <c r="AQ1402" s="43"/>
      <c r="AR1402" s="42"/>
      <c r="AS1402" s="42"/>
    </row>
    <row r="1403" spans="1:45" ht="15" customHeight="1">
      <c r="A1403" s="21" t="s">
        <v>260</v>
      </c>
      <c r="B1403" s="21" t="s">
        <v>46</v>
      </c>
      <c r="C1403" s="21" t="s">
        <v>188</v>
      </c>
      <c r="D1403" s="21" t="s">
        <v>48</v>
      </c>
      <c r="E1403" s="80" t="s">
        <v>1636</v>
      </c>
      <c r="F1403" s="21" t="s">
        <v>920</v>
      </c>
      <c r="G1403" s="101" t="s">
        <v>77</v>
      </c>
      <c r="H1403" s="25" t="s">
        <v>1637</v>
      </c>
      <c r="I1403" s="102" t="s">
        <v>78</v>
      </c>
      <c r="J1403" s="65" t="s">
        <v>1773</v>
      </c>
      <c r="K1403" s="104"/>
      <c r="L1403" s="48" t="s">
        <v>923</v>
      </c>
      <c r="M1403" s="27">
        <v>44874</v>
      </c>
      <c r="N1403" s="105" t="s">
        <v>177</v>
      </c>
      <c r="O1403" s="68">
        <v>5900</v>
      </c>
      <c r="P1403" s="106">
        <v>-1</v>
      </c>
      <c r="Q1403" s="51">
        <f t="shared" si="32"/>
        <v>-5900</v>
      </c>
      <c r="R1403" s="31">
        <v>202310</v>
      </c>
      <c r="S1403" s="54" t="s">
        <v>1726</v>
      </c>
      <c r="T1403" s="33"/>
      <c r="U1403" s="183"/>
      <c r="V1403" s="54"/>
      <c r="W1403" s="67"/>
      <c r="X1403" s="67"/>
      <c r="Y1403" s="36"/>
      <c r="Z1403" s="36"/>
      <c r="AA1403" s="36"/>
      <c r="AB1403" s="36"/>
      <c r="AC1403" s="36"/>
      <c r="AD1403" s="36"/>
      <c r="AE1403" s="36"/>
      <c r="AF1403" s="53" t="s">
        <v>68</v>
      </c>
      <c r="AG1403" s="42"/>
      <c r="AH1403" s="42"/>
      <c r="AI1403" s="43"/>
      <c r="AJ1403" s="43"/>
      <c r="AK1403" s="43"/>
      <c r="AL1403" s="43"/>
      <c r="AM1403" s="43"/>
      <c r="AN1403" s="42"/>
      <c r="AO1403" s="42"/>
      <c r="AP1403" s="42"/>
      <c r="AQ1403" s="43"/>
      <c r="AR1403" s="42"/>
      <c r="AS1403" s="42"/>
    </row>
    <row r="1404" spans="1:45" ht="15" customHeight="1">
      <c r="A1404" s="21" t="s">
        <v>260</v>
      </c>
      <c r="B1404" s="21" t="s">
        <v>46</v>
      </c>
      <c r="C1404" s="21" t="s">
        <v>188</v>
      </c>
      <c r="D1404" s="21" t="s">
        <v>48</v>
      </c>
      <c r="E1404" s="80" t="s">
        <v>1636</v>
      </c>
      <c r="F1404" s="21" t="s">
        <v>920</v>
      </c>
      <c r="G1404" s="101" t="s">
        <v>77</v>
      </c>
      <c r="H1404" s="25" t="s">
        <v>1637</v>
      </c>
      <c r="I1404" s="102" t="s">
        <v>78</v>
      </c>
      <c r="J1404" s="65" t="s">
        <v>1773</v>
      </c>
      <c r="K1404" s="104"/>
      <c r="L1404" s="48" t="s">
        <v>923</v>
      </c>
      <c r="M1404" s="27">
        <v>44874</v>
      </c>
      <c r="N1404" s="105" t="s">
        <v>182</v>
      </c>
      <c r="O1404" s="68">
        <v>8186</v>
      </c>
      <c r="P1404" s="106">
        <v>-1</v>
      </c>
      <c r="Q1404" s="51">
        <f t="shared" si="32"/>
        <v>-8186</v>
      </c>
      <c r="R1404" s="31">
        <v>202310</v>
      </c>
      <c r="S1404" s="54" t="s">
        <v>1781</v>
      </c>
      <c r="T1404" s="33"/>
      <c r="U1404" s="109"/>
      <c r="V1404" s="54"/>
      <c r="W1404" s="67"/>
      <c r="X1404" s="67"/>
      <c r="Y1404" s="36"/>
      <c r="Z1404" s="36"/>
      <c r="AA1404" s="36"/>
      <c r="AB1404" s="36"/>
      <c r="AC1404" s="36"/>
      <c r="AD1404" s="36"/>
      <c r="AE1404" s="36"/>
      <c r="AF1404" s="53" t="s">
        <v>68</v>
      </c>
      <c r="AG1404" s="42"/>
      <c r="AH1404" s="42"/>
      <c r="AI1404" s="43"/>
      <c r="AJ1404" s="43"/>
      <c r="AK1404" s="43"/>
      <c r="AL1404" s="43"/>
      <c r="AM1404" s="43"/>
      <c r="AN1404" s="42"/>
      <c r="AO1404" s="42"/>
      <c r="AP1404" s="42"/>
      <c r="AQ1404" s="43"/>
      <c r="AR1404" s="42"/>
      <c r="AS1404" s="42"/>
    </row>
    <row r="1405" spans="1:45" ht="15" customHeight="1">
      <c r="A1405" s="21" t="s">
        <v>260</v>
      </c>
      <c r="B1405" s="21" t="s">
        <v>46</v>
      </c>
      <c r="C1405" s="21" t="s">
        <v>188</v>
      </c>
      <c r="D1405" s="21" t="s">
        <v>48</v>
      </c>
      <c r="E1405" s="80" t="s">
        <v>1636</v>
      </c>
      <c r="F1405" s="21" t="s">
        <v>920</v>
      </c>
      <c r="G1405" s="101" t="s">
        <v>77</v>
      </c>
      <c r="H1405" s="25" t="s">
        <v>1637</v>
      </c>
      <c r="I1405" s="102" t="s">
        <v>78</v>
      </c>
      <c r="J1405" s="65" t="s">
        <v>1773</v>
      </c>
      <c r="K1405" s="104"/>
      <c r="L1405" s="48" t="s">
        <v>923</v>
      </c>
      <c r="M1405" s="27">
        <v>44912</v>
      </c>
      <c r="N1405" s="105" t="s">
        <v>182</v>
      </c>
      <c r="O1405" s="68">
        <v>8186</v>
      </c>
      <c r="P1405" s="106">
        <v>-55</v>
      </c>
      <c r="Q1405" s="51">
        <f t="shared" si="32"/>
        <v>-450230</v>
      </c>
      <c r="R1405" s="31">
        <v>202310</v>
      </c>
      <c r="S1405" s="54" t="s">
        <v>1782</v>
      </c>
      <c r="T1405" s="33"/>
      <c r="U1405" s="109"/>
      <c r="V1405" s="54"/>
      <c r="W1405" s="67"/>
      <c r="X1405" s="67"/>
      <c r="Y1405" s="36"/>
      <c r="Z1405" s="36"/>
      <c r="AA1405" s="36"/>
      <c r="AB1405" s="36"/>
      <c r="AC1405" s="36"/>
      <c r="AD1405" s="36"/>
      <c r="AE1405" s="36"/>
      <c r="AF1405" s="53" t="s">
        <v>68</v>
      </c>
      <c r="AG1405" s="42"/>
      <c r="AH1405" s="42"/>
      <c r="AI1405" s="43"/>
      <c r="AJ1405" s="43"/>
      <c r="AK1405" s="43"/>
      <c r="AL1405" s="43"/>
      <c r="AM1405" s="43"/>
      <c r="AN1405" s="42"/>
      <c r="AO1405" s="42"/>
      <c r="AP1405" s="42"/>
      <c r="AQ1405" s="43"/>
      <c r="AR1405" s="42"/>
      <c r="AS1405" s="42"/>
    </row>
    <row r="1406" spans="1:45" ht="15" customHeight="1">
      <c r="A1406" s="21" t="s">
        <v>260</v>
      </c>
      <c r="B1406" s="21" t="s">
        <v>46</v>
      </c>
      <c r="C1406" s="21" t="s">
        <v>188</v>
      </c>
      <c r="D1406" s="21" t="s">
        <v>48</v>
      </c>
      <c r="E1406" s="80" t="s">
        <v>1636</v>
      </c>
      <c r="F1406" s="21" t="s">
        <v>920</v>
      </c>
      <c r="G1406" s="101" t="s">
        <v>77</v>
      </c>
      <c r="H1406" s="25" t="s">
        <v>1637</v>
      </c>
      <c r="I1406" s="102" t="s">
        <v>78</v>
      </c>
      <c r="J1406" s="65" t="s">
        <v>1773</v>
      </c>
      <c r="K1406" s="104"/>
      <c r="L1406" s="48" t="s">
        <v>923</v>
      </c>
      <c r="M1406" s="27">
        <v>44916</v>
      </c>
      <c r="N1406" s="105" t="s">
        <v>182</v>
      </c>
      <c r="O1406" s="68">
        <v>8186</v>
      </c>
      <c r="P1406" s="106">
        <v>-25</v>
      </c>
      <c r="Q1406" s="51">
        <f t="shared" si="32"/>
        <v>-204650</v>
      </c>
      <c r="R1406" s="31">
        <v>202310</v>
      </c>
      <c r="S1406" s="54" t="s">
        <v>1783</v>
      </c>
      <c r="T1406" s="33"/>
      <c r="U1406" s="109"/>
      <c r="V1406" s="54"/>
      <c r="W1406" s="67"/>
      <c r="X1406" s="67"/>
      <c r="Y1406" s="36"/>
      <c r="Z1406" s="36"/>
      <c r="AA1406" s="36"/>
      <c r="AB1406" s="36"/>
      <c r="AC1406" s="36"/>
      <c r="AD1406" s="36"/>
      <c r="AE1406" s="36"/>
      <c r="AF1406" s="53" t="s">
        <v>68</v>
      </c>
      <c r="AG1406" s="42"/>
      <c r="AH1406" s="42"/>
      <c r="AI1406" s="43"/>
      <c r="AJ1406" s="43"/>
      <c r="AK1406" s="43"/>
      <c r="AL1406" s="43"/>
      <c r="AM1406" s="43"/>
      <c r="AN1406" s="42"/>
      <c r="AO1406" s="42"/>
      <c r="AP1406" s="42"/>
      <c r="AQ1406" s="43"/>
      <c r="AR1406" s="42"/>
      <c r="AS1406" s="42"/>
    </row>
    <row r="1407" spans="1:45" ht="15" customHeight="1">
      <c r="A1407" s="21" t="s">
        <v>260</v>
      </c>
      <c r="B1407" s="21" t="s">
        <v>46</v>
      </c>
      <c r="C1407" s="21" t="s">
        <v>188</v>
      </c>
      <c r="D1407" s="21" t="s">
        <v>48</v>
      </c>
      <c r="E1407" s="80" t="s">
        <v>1636</v>
      </c>
      <c r="F1407" s="21" t="s">
        <v>920</v>
      </c>
      <c r="G1407" s="101" t="s">
        <v>77</v>
      </c>
      <c r="H1407" s="25" t="s">
        <v>1637</v>
      </c>
      <c r="I1407" s="102" t="s">
        <v>78</v>
      </c>
      <c r="J1407" s="65" t="s">
        <v>1773</v>
      </c>
      <c r="K1407" s="104"/>
      <c r="L1407" s="48" t="s">
        <v>923</v>
      </c>
      <c r="M1407" s="27">
        <v>44924</v>
      </c>
      <c r="N1407" s="105" t="s">
        <v>182</v>
      </c>
      <c r="O1407" s="68">
        <v>8186</v>
      </c>
      <c r="P1407" s="106">
        <v>1</v>
      </c>
      <c r="Q1407" s="51">
        <f t="shared" si="32"/>
        <v>8186</v>
      </c>
      <c r="R1407" s="31">
        <v>202310</v>
      </c>
      <c r="S1407" s="54" t="s">
        <v>1731</v>
      </c>
      <c r="T1407" s="33"/>
      <c r="U1407" s="109"/>
      <c r="V1407" s="54"/>
      <c r="W1407" s="67"/>
      <c r="X1407" s="67"/>
      <c r="Y1407" s="36"/>
      <c r="Z1407" s="36"/>
      <c r="AA1407" s="36"/>
      <c r="AB1407" s="36"/>
      <c r="AC1407" s="36"/>
      <c r="AD1407" s="36"/>
      <c r="AE1407" s="36"/>
      <c r="AF1407" s="53" t="s">
        <v>68</v>
      </c>
      <c r="AG1407" s="42"/>
      <c r="AH1407" s="42"/>
      <c r="AI1407" s="43"/>
      <c r="AJ1407" s="43"/>
      <c r="AK1407" s="43"/>
      <c r="AL1407" s="43"/>
      <c r="AM1407" s="43"/>
      <c r="AN1407" s="42"/>
      <c r="AO1407" s="42"/>
      <c r="AP1407" s="42"/>
      <c r="AQ1407" s="43"/>
      <c r="AR1407" s="42"/>
      <c r="AS1407" s="42"/>
    </row>
    <row r="1408" spans="1:45" ht="15" customHeight="1">
      <c r="A1408" s="21" t="s">
        <v>260</v>
      </c>
      <c r="B1408" s="21" t="s">
        <v>46</v>
      </c>
      <c r="C1408" s="21" t="s">
        <v>188</v>
      </c>
      <c r="D1408" s="21" t="s">
        <v>48</v>
      </c>
      <c r="E1408" s="80" t="s">
        <v>1636</v>
      </c>
      <c r="F1408" s="21" t="s">
        <v>920</v>
      </c>
      <c r="G1408" s="101" t="s">
        <v>77</v>
      </c>
      <c r="H1408" s="25" t="s">
        <v>1637</v>
      </c>
      <c r="I1408" s="102" t="s">
        <v>78</v>
      </c>
      <c r="J1408" s="65" t="s">
        <v>1773</v>
      </c>
      <c r="K1408" s="104"/>
      <c r="L1408" s="48" t="s">
        <v>923</v>
      </c>
      <c r="M1408" s="27">
        <v>44922</v>
      </c>
      <c r="N1408" s="105" t="s">
        <v>182</v>
      </c>
      <c r="O1408" s="68">
        <v>8186</v>
      </c>
      <c r="P1408" s="106">
        <v>-169</v>
      </c>
      <c r="Q1408" s="51">
        <f t="shared" si="32"/>
        <v>-1383434</v>
      </c>
      <c r="R1408" s="31">
        <v>202310</v>
      </c>
      <c r="S1408" s="54" t="s">
        <v>1784</v>
      </c>
      <c r="T1408" s="33"/>
      <c r="U1408" s="109"/>
      <c r="V1408" s="54"/>
      <c r="W1408" s="67"/>
      <c r="X1408" s="67"/>
      <c r="Y1408" s="36"/>
      <c r="Z1408" s="36"/>
      <c r="AA1408" s="36"/>
      <c r="AB1408" s="36"/>
      <c r="AC1408" s="36"/>
      <c r="AD1408" s="36"/>
      <c r="AE1408" s="36"/>
      <c r="AF1408" s="53" t="s">
        <v>68</v>
      </c>
      <c r="AG1408" s="42"/>
      <c r="AH1408" s="42"/>
      <c r="AI1408" s="43"/>
      <c r="AJ1408" s="43"/>
      <c r="AK1408" s="43"/>
      <c r="AL1408" s="43"/>
      <c r="AM1408" s="43"/>
      <c r="AN1408" s="42"/>
      <c r="AO1408" s="42"/>
      <c r="AP1408" s="42"/>
      <c r="AQ1408" s="43"/>
      <c r="AR1408" s="42"/>
      <c r="AS1408" s="42"/>
    </row>
    <row r="1409" spans="1:45" ht="15" customHeight="1">
      <c r="A1409" s="21" t="s">
        <v>260</v>
      </c>
      <c r="B1409" s="21" t="s">
        <v>46</v>
      </c>
      <c r="C1409" s="21" t="s">
        <v>188</v>
      </c>
      <c r="D1409" s="21" t="s">
        <v>48</v>
      </c>
      <c r="E1409" s="80" t="s">
        <v>1636</v>
      </c>
      <c r="F1409" s="21" t="s">
        <v>920</v>
      </c>
      <c r="G1409" s="101" t="s">
        <v>77</v>
      </c>
      <c r="H1409" s="25" t="s">
        <v>1637</v>
      </c>
      <c r="I1409" s="102" t="s">
        <v>78</v>
      </c>
      <c r="J1409" s="65" t="s">
        <v>1773</v>
      </c>
      <c r="K1409" s="104"/>
      <c r="L1409" s="48" t="s">
        <v>923</v>
      </c>
      <c r="M1409" s="27">
        <v>44967</v>
      </c>
      <c r="N1409" s="105" t="s">
        <v>177</v>
      </c>
      <c r="O1409" s="68">
        <v>5900</v>
      </c>
      <c r="P1409" s="106">
        <v>-8</v>
      </c>
      <c r="Q1409" s="51">
        <f t="shared" si="32"/>
        <v>-47200</v>
      </c>
      <c r="R1409" s="31">
        <v>202310</v>
      </c>
      <c r="S1409" s="54" t="s">
        <v>1785</v>
      </c>
      <c r="T1409" s="33"/>
      <c r="U1409" s="183"/>
      <c r="V1409" s="54"/>
      <c r="W1409" s="67"/>
      <c r="X1409" s="67"/>
      <c r="Y1409" s="36"/>
      <c r="Z1409" s="36"/>
      <c r="AA1409" s="36"/>
      <c r="AB1409" s="36"/>
      <c r="AC1409" s="36"/>
      <c r="AD1409" s="36"/>
      <c r="AE1409" s="36"/>
      <c r="AF1409" s="53" t="s">
        <v>68</v>
      </c>
      <c r="AG1409" s="42"/>
      <c r="AH1409" s="42"/>
      <c r="AI1409" s="43"/>
      <c r="AJ1409" s="43"/>
      <c r="AK1409" s="43"/>
      <c r="AL1409" s="43"/>
      <c r="AM1409" s="43"/>
      <c r="AN1409" s="42"/>
      <c r="AO1409" s="42"/>
      <c r="AP1409" s="42"/>
      <c r="AQ1409" s="43"/>
      <c r="AR1409" s="42"/>
      <c r="AS1409" s="42"/>
    </row>
    <row r="1410" spans="1:45" ht="15" customHeight="1">
      <c r="A1410" s="21" t="s">
        <v>260</v>
      </c>
      <c r="B1410" s="21" t="s">
        <v>46</v>
      </c>
      <c r="C1410" s="21" t="s">
        <v>188</v>
      </c>
      <c r="D1410" s="21" t="s">
        <v>48</v>
      </c>
      <c r="E1410" s="80" t="s">
        <v>1636</v>
      </c>
      <c r="F1410" s="21" t="s">
        <v>920</v>
      </c>
      <c r="G1410" s="101" t="s">
        <v>77</v>
      </c>
      <c r="H1410" s="25" t="s">
        <v>1637</v>
      </c>
      <c r="I1410" s="102" t="s">
        <v>78</v>
      </c>
      <c r="J1410" s="65" t="s">
        <v>1771</v>
      </c>
      <c r="K1410" s="104"/>
      <c r="L1410" s="48" t="s">
        <v>923</v>
      </c>
      <c r="M1410" s="27">
        <v>44967</v>
      </c>
      <c r="N1410" s="105" t="s">
        <v>182</v>
      </c>
      <c r="O1410" s="68">
        <v>8186</v>
      </c>
      <c r="P1410" s="106">
        <v>-71</v>
      </c>
      <c r="Q1410" s="51">
        <f t="shared" si="32"/>
        <v>-581206</v>
      </c>
      <c r="R1410" s="31">
        <v>202310</v>
      </c>
      <c r="S1410" s="54" t="s">
        <v>1786</v>
      </c>
      <c r="T1410" s="33"/>
      <c r="U1410" s="109"/>
      <c r="V1410" s="54"/>
      <c r="W1410" s="67"/>
      <c r="X1410" s="67"/>
      <c r="Y1410" s="36"/>
      <c r="Z1410" s="36"/>
      <c r="AA1410" s="36"/>
      <c r="AB1410" s="36"/>
      <c r="AC1410" s="36"/>
      <c r="AD1410" s="36"/>
      <c r="AE1410" s="36"/>
      <c r="AF1410" s="53" t="s">
        <v>68</v>
      </c>
      <c r="AG1410" s="42"/>
      <c r="AH1410" s="42"/>
      <c r="AI1410" s="43"/>
      <c r="AJ1410" s="43"/>
      <c r="AK1410" s="43"/>
      <c r="AL1410" s="43"/>
      <c r="AM1410" s="43"/>
      <c r="AN1410" s="42"/>
      <c r="AO1410" s="42"/>
      <c r="AP1410" s="42"/>
      <c r="AQ1410" s="43"/>
      <c r="AR1410" s="42"/>
      <c r="AS1410" s="42"/>
    </row>
    <row r="1411" spans="1:45" ht="15" customHeight="1">
      <c r="A1411" s="21" t="s">
        <v>260</v>
      </c>
      <c r="B1411" s="21" t="s">
        <v>46</v>
      </c>
      <c r="C1411" s="21" t="s">
        <v>188</v>
      </c>
      <c r="D1411" s="21" t="s">
        <v>48</v>
      </c>
      <c r="E1411" s="80" t="s">
        <v>1636</v>
      </c>
      <c r="F1411" s="21" t="s">
        <v>920</v>
      </c>
      <c r="G1411" s="101" t="s">
        <v>77</v>
      </c>
      <c r="H1411" s="25" t="s">
        <v>1637</v>
      </c>
      <c r="I1411" s="102" t="s">
        <v>78</v>
      </c>
      <c r="J1411" s="65" t="s">
        <v>1771</v>
      </c>
      <c r="K1411" s="104"/>
      <c r="L1411" s="48" t="s">
        <v>923</v>
      </c>
      <c r="M1411" s="27">
        <v>44972</v>
      </c>
      <c r="N1411" s="105" t="s">
        <v>182</v>
      </c>
      <c r="O1411" s="68">
        <v>8186</v>
      </c>
      <c r="P1411" s="106">
        <v>-14</v>
      </c>
      <c r="Q1411" s="51">
        <f t="shared" si="32"/>
        <v>-114604</v>
      </c>
      <c r="R1411" s="31">
        <v>202310</v>
      </c>
      <c r="S1411" s="54" t="s">
        <v>1787</v>
      </c>
      <c r="T1411" s="33"/>
      <c r="U1411" s="109"/>
      <c r="V1411" s="54"/>
      <c r="W1411" s="67"/>
      <c r="X1411" s="67"/>
      <c r="Y1411" s="36"/>
      <c r="Z1411" s="36"/>
      <c r="AA1411" s="36"/>
      <c r="AB1411" s="36"/>
      <c r="AC1411" s="36"/>
      <c r="AD1411" s="36"/>
      <c r="AE1411" s="36"/>
      <c r="AF1411" s="53" t="s">
        <v>68</v>
      </c>
      <c r="AG1411" s="42"/>
      <c r="AH1411" s="42"/>
      <c r="AI1411" s="43"/>
      <c r="AJ1411" s="43"/>
      <c r="AK1411" s="43"/>
      <c r="AL1411" s="43"/>
      <c r="AM1411" s="43"/>
      <c r="AN1411" s="42"/>
      <c r="AO1411" s="42"/>
      <c r="AP1411" s="42"/>
      <c r="AQ1411" s="43"/>
      <c r="AR1411" s="42"/>
      <c r="AS1411" s="42"/>
    </row>
    <row r="1412" spans="1:45" ht="15" customHeight="1">
      <c r="A1412" s="21" t="s">
        <v>260</v>
      </c>
      <c r="B1412" s="21" t="s">
        <v>46</v>
      </c>
      <c r="C1412" s="21" t="s">
        <v>188</v>
      </c>
      <c r="D1412" s="21" t="s">
        <v>48</v>
      </c>
      <c r="E1412" s="80" t="s">
        <v>1636</v>
      </c>
      <c r="F1412" s="21" t="s">
        <v>920</v>
      </c>
      <c r="G1412" s="101" t="s">
        <v>77</v>
      </c>
      <c r="H1412" s="25" t="s">
        <v>1637</v>
      </c>
      <c r="I1412" s="102" t="s">
        <v>78</v>
      </c>
      <c r="J1412" s="65" t="s">
        <v>1771</v>
      </c>
      <c r="K1412" s="104"/>
      <c r="L1412" s="48" t="s">
        <v>923</v>
      </c>
      <c r="M1412" s="27">
        <v>44973</v>
      </c>
      <c r="N1412" s="105" t="s">
        <v>182</v>
      </c>
      <c r="O1412" s="68">
        <v>8186</v>
      </c>
      <c r="P1412" s="106">
        <v>-228</v>
      </c>
      <c r="Q1412" s="51">
        <f t="shared" si="32"/>
        <v>-1866408</v>
      </c>
      <c r="R1412" s="31">
        <v>202310</v>
      </c>
      <c r="S1412" s="54" t="s">
        <v>1788</v>
      </c>
      <c r="T1412" s="33"/>
      <c r="U1412" s="109"/>
      <c r="V1412" s="54"/>
      <c r="W1412" s="67"/>
      <c r="X1412" s="67"/>
      <c r="Y1412" s="36"/>
      <c r="Z1412" s="36"/>
      <c r="AA1412" s="36"/>
      <c r="AB1412" s="36"/>
      <c r="AC1412" s="36"/>
      <c r="AD1412" s="36"/>
      <c r="AE1412" s="36"/>
      <c r="AF1412" s="53" t="s">
        <v>68</v>
      </c>
      <c r="AG1412" s="42"/>
      <c r="AH1412" s="42"/>
      <c r="AI1412" s="43"/>
      <c r="AJ1412" s="43"/>
      <c r="AK1412" s="43"/>
      <c r="AL1412" s="43"/>
      <c r="AM1412" s="43"/>
      <c r="AN1412" s="42"/>
      <c r="AO1412" s="42"/>
      <c r="AP1412" s="42"/>
      <c r="AQ1412" s="43"/>
      <c r="AR1412" s="42"/>
      <c r="AS1412" s="42"/>
    </row>
    <row r="1413" spans="1:45" ht="15" customHeight="1">
      <c r="A1413" s="21" t="s">
        <v>260</v>
      </c>
      <c r="B1413" s="21" t="s">
        <v>46</v>
      </c>
      <c r="C1413" s="21" t="s">
        <v>188</v>
      </c>
      <c r="D1413" s="21" t="s">
        <v>48</v>
      </c>
      <c r="E1413" s="80" t="s">
        <v>1636</v>
      </c>
      <c r="F1413" s="21" t="s">
        <v>920</v>
      </c>
      <c r="G1413" s="101" t="s">
        <v>77</v>
      </c>
      <c r="H1413" s="25" t="s">
        <v>1637</v>
      </c>
      <c r="I1413" s="102" t="s">
        <v>78</v>
      </c>
      <c r="J1413" s="65" t="s">
        <v>1771</v>
      </c>
      <c r="K1413" s="104"/>
      <c r="L1413" s="48" t="s">
        <v>923</v>
      </c>
      <c r="M1413" s="27">
        <v>44981</v>
      </c>
      <c r="N1413" s="105" t="s">
        <v>182</v>
      </c>
      <c r="O1413" s="68">
        <v>8186</v>
      </c>
      <c r="P1413" s="106">
        <v>-12</v>
      </c>
      <c r="Q1413" s="51">
        <f t="shared" si="32"/>
        <v>-98232</v>
      </c>
      <c r="R1413" s="31">
        <v>202310</v>
      </c>
      <c r="S1413" s="54" t="s">
        <v>1789</v>
      </c>
      <c r="T1413" s="33"/>
      <c r="U1413" s="109"/>
      <c r="V1413" s="54"/>
      <c r="W1413" s="67"/>
      <c r="X1413" s="67"/>
      <c r="Y1413" s="36"/>
      <c r="Z1413" s="36"/>
      <c r="AA1413" s="36"/>
      <c r="AB1413" s="36"/>
      <c r="AC1413" s="36"/>
      <c r="AD1413" s="36"/>
      <c r="AE1413" s="36"/>
      <c r="AF1413" s="53" t="s">
        <v>68</v>
      </c>
      <c r="AG1413" s="42"/>
      <c r="AH1413" s="42"/>
      <c r="AI1413" s="43"/>
      <c r="AJ1413" s="43"/>
      <c r="AK1413" s="43"/>
      <c r="AL1413" s="43"/>
      <c r="AM1413" s="43"/>
      <c r="AN1413" s="42"/>
      <c r="AO1413" s="42"/>
      <c r="AP1413" s="42"/>
      <c r="AQ1413" s="43"/>
      <c r="AR1413" s="42"/>
      <c r="AS1413" s="42"/>
    </row>
    <row r="1414" spans="1:45" ht="15" customHeight="1">
      <c r="A1414" s="21" t="s">
        <v>260</v>
      </c>
      <c r="B1414" s="21" t="s">
        <v>46</v>
      </c>
      <c r="C1414" s="21" t="s">
        <v>188</v>
      </c>
      <c r="D1414" s="21" t="s">
        <v>48</v>
      </c>
      <c r="E1414" s="80" t="s">
        <v>1636</v>
      </c>
      <c r="F1414" s="21" t="s">
        <v>920</v>
      </c>
      <c r="G1414" s="101" t="s">
        <v>77</v>
      </c>
      <c r="H1414" s="25" t="s">
        <v>1637</v>
      </c>
      <c r="I1414" s="102" t="s">
        <v>78</v>
      </c>
      <c r="J1414" s="65" t="s">
        <v>1771</v>
      </c>
      <c r="K1414" s="104"/>
      <c r="L1414" s="48" t="s">
        <v>923</v>
      </c>
      <c r="M1414" s="27">
        <v>44967</v>
      </c>
      <c r="N1414" s="105" t="s">
        <v>182</v>
      </c>
      <c r="O1414" s="68">
        <v>8186</v>
      </c>
      <c r="P1414" s="106">
        <v>-1</v>
      </c>
      <c r="Q1414" s="51">
        <f t="shared" si="32"/>
        <v>-8186</v>
      </c>
      <c r="R1414" s="31">
        <v>202310</v>
      </c>
      <c r="S1414" s="54" t="s">
        <v>1790</v>
      </c>
      <c r="T1414" s="33"/>
      <c r="U1414" s="109"/>
      <c r="V1414" s="54"/>
      <c r="W1414" s="67"/>
      <c r="X1414" s="67"/>
      <c r="Y1414" s="36"/>
      <c r="Z1414" s="36"/>
      <c r="AA1414" s="36"/>
      <c r="AB1414" s="36"/>
      <c r="AC1414" s="36"/>
      <c r="AD1414" s="36"/>
      <c r="AE1414" s="36"/>
      <c r="AF1414" s="53" t="s">
        <v>68</v>
      </c>
      <c r="AG1414" s="42"/>
      <c r="AH1414" s="42"/>
      <c r="AI1414" s="43"/>
      <c r="AJ1414" s="43"/>
      <c r="AK1414" s="43"/>
      <c r="AL1414" s="43"/>
      <c r="AM1414" s="43"/>
      <c r="AN1414" s="42"/>
      <c r="AO1414" s="42"/>
      <c r="AP1414" s="42"/>
      <c r="AQ1414" s="43"/>
      <c r="AR1414" s="42"/>
      <c r="AS1414" s="42"/>
    </row>
    <row r="1415" spans="1:45" ht="15" customHeight="1">
      <c r="A1415" s="21" t="s">
        <v>260</v>
      </c>
      <c r="B1415" s="21" t="s">
        <v>46</v>
      </c>
      <c r="C1415" s="21" t="s">
        <v>188</v>
      </c>
      <c r="D1415" s="21" t="s">
        <v>48</v>
      </c>
      <c r="E1415" s="80" t="s">
        <v>1636</v>
      </c>
      <c r="F1415" s="21" t="s">
        <v>920</v>
      </c>
      <c r="G1415" s="101" t="s">
        <v>77</v>
      </c>
      <c r="H1415" s="25" t="s">
        <v>1637</v>
      </c>
      <c r="I1415" s="102" t="s">
        <v>78</v>
      </c>
      <c r="J1415" s="65" t="s">
        <v>1773</v>
      </c>
      <c r="K1415" s="104"/>
      <c r="L1415" s="48" t="s">
        <v>923</v>
      </c>
      <c r="M1415" s="27">
        <v>45057</v>
      </c>
      <c r="N1415" s="105" t="s">
        <v>182</v>
      </c>
      <c r="O1415" s="68">
        <v>8186</v>
      </c>
      <c r="P1415" s="106">
        <v>-1</v>
      </c>
      <c r="Q1415" s="51">
        <f t="shared" si="32"/>
        <v>-8186</v>
      </c>
      <c r="R1415" s="31">
        <v>202310</v>
      </c>
      <c r="S1415" s="54" t="s">
        <v>1728</v>
      </c>
      <c r="T1415" s="33"/>
      <c r="U1415" s="109"/>
      <c r="V1415" s="54"/>
      <c r="W1415" s="67"/>
      <c r="X1415" s="67"/>
      <c r="Y1415" s="36"/>
      <c r="Z1415" s="36"/>
      <c r="AA1415" s="36"/>
      <c r="AB1415" s="36"/>
      <c r="AC1415" s="36"/>
      <c r="AD1415" s="36"/>
      <c r="AE1415" s="36"/>
      <c r="AF1415" s="53" t="s">
        <v>68</v>
      </c>
      <c r="AG1415" s="42"/>
      <c r="AH1415" s="42"/>
      <c r="AI1415" s="43"/>
      <c r="AJ1415" s="43"/>
      <c r="AK1415" s="43"/>
      <c r="AL1415" s="43"/>
      <c r="AM1415" s="43"/>
      <c r="AN1415" s="42"/>
      <c r="AO1415" s="42"/>
      <c r="AP1415" s="42"/>
      <c r="AQ1415" s="43"/>
      <c r="AR1415" s="42"/>
      <c r="AS1415" s="42"/>
    </row>
    <row r="1416" spans="1:45" ht="15" customHeight="1">
      <c r="A1416" s="21" t="s">
        <v>260</v>
      </c>
      <c r="B1416" s="21" t="s">
        <v>46</v>
      </c>
      <c r="C1416" s="21" t="s">
        <v>188</v>
      </c>
      <c r="D1416" s="21" t="s">
        <v>48</v>
      </c>
      <c r="E1416" s="80" t="s">
        <v>1636</v>
      </c>
      <c r="F1416" s="21" t="s">
        <v>920</v>
      </c>
      <c r="G1416" s="101" t="s">
        <v>77</v>
      </c>
      <c r="H1416" s="25" t="s">
        <v>1637</v>
      </c>
      <c r="I1416" s="102" t="s">
        <v>78</v>
      </c>
      <c r="J1416" s="65" t="s">
        <v>1771</v>
      </c>
      <c r="K1416" s="104"/>
      <c r="L1416" s="48" t="s">
        <v>923</v>
      </c>
      <c r="M1416" s="27">
        <v>44985</v>
      </c>
      <c r="N1416" s="105" t="s">
        <v>177</v>
      </c>
      <c r="O1416" s="68">
        <v>5900</v>
      </c>
      <c r="P1416" s="106">
        <v>-1</v>
      </c>
      <c r="Q1416" s="51">
        <f t="shared" si="32"/>
        <v>-5900</v>
      </c>
      <c r="R1416" s="31">
        <v>202310</v>
      </c>
      <c r="S1416" s="54" t="s">
        <v>1791</v>
      </c>
      <c r="T1416" s="33"/>
      <c r="U1416" s="183"/>
      <c r="V1416" s="54"/>
      <c r="W1416" s="67"/>
      <c r="X1416" s="67"/>
      <c r="Y1416" s="36"/>
      <c r="Z1416" s="36"/>
      <c r="AA1416" s="36"/>
      <c r="AB1416" s="36"/>
      <c r="AC1416" s="36"/>
      <c r="AD1416" s="36"/>
      <c r="AE1416" s="36"/>
      <c r="AF1416" s="53" t="s">
        <v>68</v>
      </c>
      <c r="AG1416" s="42"/>
      <c r="AH1416" s="42"/>
      <c r="AI1416" s="43"/>
      <c r="AJ1416" s="43"/>
      <c r="AK1416" s="43"/>
      <c r="AL1416" s="43"/>
      <c r="AM1416" s="43"/>
      <c r="AN1416" s="42"/>
      <c r="AO1416" s="42"/>
      <c r="AP1416" s="42"/>
      <c r="AQ1416" s="43"/>
      <c r="AR1416" s="42"/>
      <c r="AS1416" s="42"/>
    </row>
    <row r="1417" spans="1:45" ht="15" customHeight="1">
      <c r="A1417" s="21" t="s">
        <v>260</v>
      </c>
      <c r="B1417" s="21" t="s">
        <v>46</v>
      </c>
      <c r="C1417" s="21" t="s">
        <v>188</v>
      </c>
      <c r="D1417" s="21" t="s">
        <v>48</v>
      </c>
      <c r="E1417" s="80" t="s">
        <v>1636</v>
      </c>
      <c r="F1417" s="21" t="s">
        <v>920</v>
      </c>
      <c r="G1417" s="101" t="s">
        <v>77</v>
      </c>
      <c r="H1417" s="25" t="s">
        <v>1637</v>
      </c>
      <c r="I1417" s="102" t="s">
        <v>78</v>
      </c>
      <c r="J1417" s="65" t="s">
        <v>1773</v>
      </c>
      <c r="K1417" s="104"/>
      <c r="L1417" s="48" t="s">
        <v>923</v>
      </c>
      <c r="M1417" s="27">
        <v>44985</v>
      </c>
      <c r="N1417" s="105" t="s">
        <v>177</v>
      </c>
      <c r="O1417" s="68">
        <v>5900</v>
      </c>
      <c r="P1417" s="106">
        <v>-2</v>
      </c>
      <c r="Q1417" s="51">
        <f t="shared" si="32"/>
        <v>-11800</v>
      </c>
      <c r="R1417" s="31">
        <v>202310</v>
      </c>
      <c r="S1417" s="54" t="s">
        <v>1792</v>
      </c>
      <c r="T1417" s="33"/>
      <c r="U1417" s="183"/>
      <c r="V1417" s="54"/>
      <c r="W1417" s="67"/>
      <c r="X1417" s="67"/>
      <c r="Y1417" s="36"/>
      <c r="Z1417" s="36"/>
      <c r="AA1417" s="36"/>
      <c r="AB1417" s="36"/>
      <c r="AC1417" s="36"/>
      <c r="AD1417" s="36"/>
      <c r="AE1417" s="36"/>
      <c r="AF1417" s="53" t="s">
        <v>68</v>
      </c>
      <c r="AG1417" s="42"/>
      <c r="AH1417" s="42"/>
      <c r="AI1417" s="43"/>
      <c r="AJ1417" s="43"/>
      <c r="AK1417" s="43"/>
      <c r="AL1417" s="43"/>
      <c r="AM1417" s="43"/>
      <c r="AN1417" s="42"/>
      <c r="AO1417" s="42"/>
      <c r="AP1417" s="42"/>
      <c r="AQ1417" s="43"/>
      <c r="AR1417" s="42"/>
      <c r="AS1417" s="42"/>
    </row>
    <row r="1418" spans="1:45" ht="15" customHeight="1">
      <c r="A1418" s="21" t="s">
        <v>260</v>
      </c>
      <c r="B1418" s="21" t="s">
        <v>46</v>
      </c>
      <c r="C1418" s="21" t="s">
        <v>188</v>
      </c>
      <c r="D1418" s="21" t="s">
        <v>48</v>
      </c>
      <c r="E1418" s="80" t="s">
        <v>1636</v>
      </c>
      <c r="F1418" s="21" t="s">
        <v>920</v>
      </c>
      <c r="G1418" s="101" t="s">
        <v>77</v>
      </c>
      <c r="H1418" s="25" t="s">
        <v>1637</v>
      </c>
      <c r="I1418" s="102" t="s">
        <v>78</v>
      </c>
      <c r="J1418" s="65" t="s">
        <v>1773</v>
      </c>
      <c r="K1418" s="104"/>
      <c r="L1418" s="48" t="s">
        <v>923</v>
      </c>
      <c r="M1418" s="27">
        <v>44875</v>
      </c>
      <c r="N1418" s="105" t="s">
        <v>177</v>
      </c>
      <c r="O1418" s="68">
        <v>5900</v>
      </c>
      <c r="P1418" s="106">
        <v>1</v>
      </c>
      <c r="Q1418" s="51">
        <f t="shared" si="32"/>
        <v>5900</v>
      </c>
      <c r="R1418" s="31">
        <v>202310</v>
      </c>
      <c r="S1418" s="54" t="s">
        <v>1793</v>
      </c>
      <c r="T1418" s="33"/>
      <c r="U1418" s="183"/>
      <c r="V1418" s="54"/>
      <c r="W1418" s="67"/>
      <c r="X1418" s="67"/>
      <c r="Y1418" s="36"/>
      <c r="Z1418" s="36"/>
      <c r="AA1418" s="36"/>
      <c r="AB1418" s="36"/>
      <c r="AC1418" s="36"/>
      <c r="AD1418" s="36"/>
      <c r="AE1418" s="36"/>
      <c r="AF1418" s="53" t="s">
        <v>68</v>
      </c>
      <c r="AG1418" s="40"/>
      <c r="AH1418" s="42"/>
      <c r="AI1418" s="42"/>
      <c r="AJ1418" s="43"/>
      <c r="AK1418" s="43"/>
      <c r="AL1418" s="43"/>
      <c r="AM1418" s="43"/>
      <c r="AN1418" s="42"/>
      <c r="AO1418" s="42"/>
      <c r="AP1418" s="42"/>
      <c r="AQ1418" s="42"/>
      <c r="AR1418" s="42"/>
      <c r="AS1418" s="42"/>
    </row>
    <row r="1419" spans="1:45" ht="15" customHeight="1">
      <c r="A1419" s="21" t="s">
        <v>260</v>
      </c>
      <c r="B1419" s="21" t="s">
        <v>46</v>
      </c>
      <c r="C1419" s="21" t="s">
        <v>188</v>
      </c>
      <c r="D1419" s="21" t="s">
        <v>48</v>
      </c>
      <c r="E1419" s="80" t="s">
        <v>1636</v>
      </c>
      <c r="F1419" s="21" t="s">
        <v>920</v>
      </c>
      <c r="G1419" s="101" t="s">
        <v>77</v>
      </c>
      <c r="H1419" s="25" t="s">
        <v>1637</v>
      </c>
      <c r="I1419" s="102" t="s">
        <v>78</v>
      </c>
      <c r="J1419" s="65" t="s">
        <v>1773</v>
      </c>
      <c r="K1419" s="104"/>
      <c r="L1419" s="48" t="s">
        <v>923</v>
      </c>
      <c r="M1419" s="27">
        <v>44875</v>
      </c>
      <c r="N1419" s="105" t="s">
        <v>182</v>
      </c>
      <c r="O1419" s="68">
        <v>8186</v>
      </c>
      <c r="P1419" s="106">
        <v>1</v>
      </c>
      <c r="Q1419" s="51">
        <f t="shared" si="32"/>
        <v>8186</v>
      </c>
      <c r="R1419" s="31">
        <v>202310</v>
      </c>
      <c r="S1419" s="54" t="s">
        <v>1794</v>
      </c>
      <c r="T1419" s="33"/>
      <c r="U1419" s="109"/>
      <c r="V1419" s="54"/>
      <c r="W1419" s="67"/>
      <c r="X1419" s="67"/>
      <c r="Y1419" s="36"/>
      <c r="Z1419" s="36"/>
      <c r="AA1419" s="36"/>
      <c r="AB1419" s="36"/>
      <c r="AC1419" s="36"/>
      <c r="AD1419" s="36"/>
      <c r="AE1419" s="36"/>
      <c r="AF1419" s="53" t="s">
        <v>68</v>
      </c>
      <c r="AG1419" s="40"/>
      <c r="AH1419" s="42"/>
      <c r="AI1419" s="42"/>
      <c r="AJ1419" s="43"/>
      <c r="AK1419" s="43"/>
      <c r="AL1419" s="43"/>
      <c r="AM1419" s="43"/>
      <c r="AN1419" s="42"/>
      <c r="AO1419" s="42"/>
      <c r="AP1419" s="42"/>
      <c r="AQ1419" s="42"/>
      <c r="AR1419" s="42"/>
      <c r="AS1419" s="42"/>
    </row>
    <row r="1420" spans="1:45" ht="15" customHeight="1">
      <c r="A1420" s="21" t="s">
        <v>260</v>
      </c>
      <c r="B1420" s="21" t="s">
        <v>46</v>
      </c>
      <c r="C1420" s="21" t="s">
        <v>188</v>
      </c>
      <c r="D1420" s="21" t="s">
        <v>48</v>
      </c>
      <c r="E1420" s="80" t="s">
        <v>1636</v>
      </c>
      <c r="F1420" s="21" t="s">
        <v>920</v>
      </c>
      <c r="G1420" s="101" t="s">
        <v>77</v>
      </c>
      <c r="H1420" s="25" t="s">
        <v>1637</v>
      </c>
      <c r="I1420" s="102" t="s">
        <v>78</v>
      </c>
      <c r="J1420" s="65" t="s">
        <v>1773</v>
      </c>
      <c r="K1420" s="104"/>
      <c r="L1420" s="48" t="s">
        <v>923</v>
      </c>
      <c r="M1420" s="156">
        <v>45055</v>
      </c>
      <c r="N1420" s="105" t="s">
        <v>182</v>
      </c>
      <c r="O1420" s="68">
        <v>8186</v>
      </c>
      <c r="P1420" s="106">
        <v>-1</v>
      </c>
      <c r="Q1420" s="51">
        <f t="shared" si="32"/>
        <v>-8186</v>
      </c>
      <c r="R1420" s="31">
        <v>202310</v>
      </c>
      <c r="S1420" s="54" t="s">
        <v>1795</v>
      </c>
      <c r="T1420" s="33"/>
      <c r="U1420" s="109"/>
      <c r="V1420" s="54"/>
      <c r="W1420" s="67"/>
      <c r="X1420" s="67"/>
      <c r="Y1420" s="36"/>
      <c r="Z1420" s="36"/>
      <c r="AA1420" s="36"/>
      <c r="AB1420" s="36"/>
      <c r="AC1420" s="36"/>
      <c r="AD1420" s="36"/>
      <c r="AE1420" s="36"/>
      <c r="AF1420" s="53" t="s">
        <v>68</v>
      </c>
      <c r="AG1420" s="40"/>
      <c r="AH1420" s="42"/>
      <c r="AI1420" s="42"/>
      <c r="AJ1420" s="43"/>
      <c r="AK1420" s="43"/>
      <c r="AL1420" s="43"/>
      <c r="AM1420" s="43"/>
      <c r="AN1420" s="42"/>
      <c r="AO1420" s="42"/>
      <c r="AP1420" s="42"/>
      <c r="AQ1420" s="42"/>
      <c r="AR1420" s="42"/>
      <c r="AS1420" s="42"/>
    </row>
    <row r="1421" spans="1:45" ht="15" customHeight="1">
      <c r="A1421" s="20" t="s">
        <v>260</v>
      </c>
      <c r="B1421" s="21" t="s">
        <v>46</v>
      </c>
      <c r="C1421" s="22" t="s">
        <v>188</v>
      </c>
      <c r="D1421" s="22" t="s">
        <v>48</v>
      </c>
      <c r="E1421" s="23" t="s">
        <v>1636</v>
      </c>
      <c r="F1421" s="20" t="s">
        <v>920</v>
      </c>
      <c r="G1421" s="47" t="s">
        <v>165</v>
      </c>
      <c r="H1421" s="45" t="s">
        <v>1796</v>
      </c>
      <c r="I1421" s="24" t="s">
        <v>491</v>
      </c>
      <c r="J1421" s="20" t="s">
        <v>649</v>
      </c>
      <c r="K1421" s="26" t="s">
        <v>1797</v>
      </c>
      <c r="L1421" s="48"/>
      <c r="M1421" s="49">
        <v>43889</v>
      </c>
      <c r="N1421" s="47"/>
      <c r="O1421" s="50">
        <v>0</v>
      </c>
      <c r="P1421" s="51">
        <v>288</v>
      </c>
      <c r="Q1421" s="30">
        <f t="shared" si="32"/>
        <v>0</v>
      </c>
      <c r="R1421" s="31">
        <v>202310</v>
      </c>
      <c r="S1421" s="32" t="s">
        <v>1798</v>
      </c>
      <c r="T1421" s="33"/>
      <c r="U1421" s="32"/>
      <c r="V1421" s="32"/>
      <c r="W1421" s="52"/>
      <c r="X1421" s="52"/>
      <c r="Y1421" s="36">
        <v>43825</v>
      </c>
      <c r="Z1421" s="36">
        <v>45549</v>
      </c>
      <c r="AA1421" s="36"/>
      <c r="AB1421" s="36"/>
      <c r="AC1421" s="36"/>
      <c r="AD1421" s="36"/>
      <c r="AE1421" s="36"/>
      <c r="AF1421" s="40" t="s">
        <v>503</v>
      </c>
      <c r="AG1421" s="42"/>
      <c r="AH1421" s="42"/>
      <c r="AI1421" s="43"/>
      <c r="AJ1421" s="43"/>
      <c r="AK1421" s="43"/>
      <c r="AL1421" s="43"/>
      <c r="AM1421" s="43"/>
      <c r="AN1421" s="42"/>
      <c r="AO1421" s="42"/>
      <c r="AP1421" s="42"/>
      <c r="AQ1421" s="43"/>
      <c r="AR1421" s="42"/>
      <c r="AS1421" s="42"/>
    </row>
    <row r="1422" spans="1:45" ht="15" customHeight="1">
      <c r="A1422" s="21" t="s">
        <v>260</v>
      </c>
      <c r="B1422" s="21" t="s">
        <v>46</v>
      </c>
      <c r="C1422" s="21" t="s">
        <v>188</v>
      </c>
      <c r="D1422" s="21" t="s">
        <v>48</v>
      </c>
      <c r="E1422" s="80" t="s">
        <v>1636</v>
      </c>
      <c r="F1422" s="21" t="s">
        <v>920</v>
      </c>
      <c r="G1422" s="26" t="s">
        <v>62</v>
      </c>
      <c r="H1422" s="133" t="s">
        <v>1799</v>
      </c>
      <c r="I1422" s="26" t="s">
        <v>64</v>
      </c>
      <c r="J1422" s="65" t="s">
        <v>1800</v>
      </c>
      <c r="K1422" s="104"/>
      <c r="L1422" s="48"/>
      <c r="M1422" s="156">
        <v>44418</v>
      </c>
      <c r="N1422" s="116" t="s">
        <v>1801</v>
      </c>
      <c r="O1422" s="68">
        <v>160000</v>
      </c>
      <c r="P1422" s="30">
        <v>1</v>
      </c>
      <c r="Q1422" s="51">
        <f t="shared" si="32"/>
        <v>160000</v>
      </c>
      <c r="R1422" s="31">
        <v>202310</v>
      </c>
      <c r="S1422" s="117" t="s">
        <v>1802</v>
      </c>
      <c r="T1422" s="33"/>
      <c r="U1422" s="117"/>
      <c r="V1422" s="118"/>
      <c r="W1422" s="67"/>
      <c r="X1422" s="67"/>
      <c r="Y1422" s="36">
        <v>44418</v>
      </c>
      <c r="Z1422" s="36">
        <v>45513</v>
      </c>
      <c r="AA1422" s="36"/>
      <c r="AB1422" s="36"/>
      <c r="AC1422" s="36"/>
      <c r="AD1422" s="36"/>
      <c r="AE1422" s="36"/>
      <c r="AF1422" s="53" t="s">
        <v>68</v>
      </c>
      <c r="AG1422" s="42"/>
      <c r="AH1422" s="42"/>
      <c r="AI1422" s="43"/>
      <c r="AJ1422" s="43"/>
      <c r="AK1422" s="43"/>
      <c r="AL1422" s="43"/>
      <c r="AM1422" s="43"/>
      <c r="AN1422" s="42"/>
      <c r="AO1422" s="42"/>
      <c r="AP1422" s="42"/>
      <c r="AQ1422" s="43"/>
      <c r="AR1422" s="42"/>
      <c r="AS1422" s="42"/>
    </row>
    <row r="1423" spans="1:45" ht="15" customHeight="1">
      <c r="A1423" s="21" t="s">
        <v>260</v>
      </c>
      <c r="B1423" s="21" t="s">
        <v>46</v>
      </c>
      <c r="C1423" s="21" t="s">
        <v>188</v>
      </c>
      <c r="D1423" s="21" t="s">
        <v>48</v>
      </c>
      <c r="E1423" s="80" t="s">
        <v>1636</v>
      </c>
      <c r="F1423" s="21" t="s">
        <v>920</v>
      </c>
      <c r="G1423" s="101" t="s">
        <v>77</v>
      </c>
      <c r="H1423" s="25" t="s">
        <v>1637</v>
      </c>
      <c r="I1423" s="102" t="s">
        <v>78</v>
      </c>
      <c r="J1423" s="65" t="s">
        <v>1771</v>
      </c>
      <c r="K1423" s="104"/>
      <c r="L1423" s="48" t="s">
        <v>923</v>
      </c>
      <c r="M1423" s="27">
        <v>44973</v>
      </c>
      <c r="N1423" s="105" t="s">
        <v>182</v>
      </c>
      <c r="O1423" s="68">
        <v>8186</v>
      </c>
      <c r="P1423" s="106">
        <v>-9</v>
      </c>
      <c r="Q1423" s="51">
        <f t="shared" si="32"/>
        <v>-73674</v>
      </c>
      <c r="R1423" s="31">
        <v>202310</v>
      </c>
      <c r="S1423" s="54" t="s">
        <v>1803</v>
      </c>
      <c r="T1423" s="33"/>
      <c r="U1423" s="109"/>
      <c r="V1423" s="54"/>
      <c r="W1423" s="67"/>
      <c r="X1423" s="67"/>
      <c r="Y1423" s="36"/>
      <c r="Z1423" s="36"/>
      <c r="AA1423" s="36"/>
      <c r="AB1423" s="36"/>
      <c r="AC1423" s="36"/>
      <c r="AD1423" s="36"/>
      <c r="AE1423" s="36"/>
      <c r="AF1423" s="53" t="s">
        <v>68</v>
      </c>
      <c r="AG1423" s="42"/>
      <c r="AH1423" s="42"/>
      <c r="AI1423" s="43"/>
      <c r="AJ1423" s="43"/>
      <c r="AK1423" s="43"/>
      <c r="AL1423" s="43"/>
      <c r="AM1423" s="43"/>
      <c r="AN1423" s="42"/>
      <c r="AO1423" s="42"/>
      <c r="AP1423" s="42"/>
      <c r="AQ1423" s="43"/>
      <c r="AR1423" s="42"/>
      <c r="AS1423" s="42"/>
    </row>
    <row r="1424" spans="1:45" ht="15" customHeight="1">
      <c r="A1424" s="21" t="s">
        <v>260</v>
      </c>
      <c r="B1424" s="21" t="s">
        <v>46</v>
      </c>
      <c r="C1424" s="21" t="s">
        <v>188</v>
      </c>
      <c r="D1424" s="21" t="s">
        <v>48</v>
      </c>
      <c r="E1424" s="80" t="s">
        <v>1636</v>
      </c>
      <c r="F1424" s="21" t="s">
        <v>920</v>
      </c>
      <c r="G1424" s="21" t="s">
        <v>77</v>
      </c>
      <c r="H1424" s="25" t="s">
        <v>1637</v>
      </c>
      <c r="I1424" s="102" t="s">
        <v>78</v>
      </c>
      <c r="J1424" s="65" t="s">
        <v>1638</v>
      </c>
      <c r="K1424" s="21"/>
      <c r="L1424" s="48" t="s">
        <v>923</v>
      </c>
      <c r="M1424" s="27" t="s">
        <v>851</v>
      </c>
      <c r="N1424" s="105" t="s">
        <v>382</v>
      </c>
      <c r="O1424" s="68">
        <v>0</v>
      </c>
      <c r="P1424" s="68">
        <v>20</v>
      </c>
      <c r="Q1424" s="51">
        <f t="shared" si="32"/>
        <v>0</v>
      </c>
      <c r="R1424" s="31">
        <v>202310</v>
      </c>
      <c r="S1424" s="109" t="s">
        <v>1804</v>
      </c>
      <c r="T1424" s="33"/>
      <c r="U1424" s="109"/>
      <c r="V1424" s="120"/>
      <c r="W1424" s="67"/>
      <c r="X1424" s="67"/>
      <c r="Y1424" s="36"/>
      <c r="Z1424" s="36"/>
      <c r="AA1424" s="36"/>
      <c r="AB1424" s="36"/>
      <c r="AC1424" s="36"/>
      <c r="AD1424" s="36"/>
      <c r="AE1424" s="36"/>
      <c r="AF1424" s="53" t="s">
        <v>68</v>
      </c>
      <c r="AG1424" s="42"/>
      <c r="AH1424" s="42"/>
      <c r="AI1424" s="43"/>
      <c r="AJ1424" s="43"/>
      <c r="AK1424" s="43"/>
      <c r="AL1424" s="43"/>
      <c r="AM1424" s="43"/>
      <c r="AN1424" s="42"/>
      <c r="AO1424" s="42"/>
      <c r="AP1424" s="42"/>
      <c r="AQ1424" s="43"/>
      <c r="AR1424" s="42"/>
      <c r="AS1424" s="42"/>
    </row>
    <row r="1425" spans="1:45" ht="15" customHeight="1">
      <c r="A1425" s="21" t="s">
        <v>260</v>
      </c>
      <c r="B1425" s="21" t="s">
        <v>46</v>
      </c>
      <c r="C1425" s="21" t="s">
        <v>188</v>
      </c>
      <c r="D1425" s="21" t="s">
        <v>48</v>
      </c>
      <c r="E1425" s="80" t="s">
        <v>1636</v>
      </c>
      <c r="F1425" s="21" t="s">
        <v>920</v>
      </c>
      <c r="G1425" s="101" t="s">
        <v>77</v>
      </c>
      <c r="H1425" s="25" t="s">
        <v>1637</v>
      </c>
      <c r="I1425" s="102" t="s">
        <v>78</v>
      </c>
      <c r="J1425" s="65" t="s">
        <v>1771</v>
      </c>
      <c r="K1425" s="104"/>
      <c r="L1425" s="48" t="s">
        <v>923</v>
      </c>
      <c r="M1425" s="27">
        <v>44301</v>
      </c>
      <c r="N1425" s="105" t="s">
        <v>182</v>
      </c>
      <c r="O1425" s="68">
        <v>8186</v>
      </c>
      <c r="P1425" s="106">
        <v>13</v>
      </c>
      <c r="Q1425" s="51">
        <f t="shared" si="32"/>
        <v>106418</v>
      </c>
      <c r="R1425" s="31">
        <v>202310</v>
      </c>
      <c r="S1425" s="54" t="s">
        <v>1805</v>
      </c>
      <c r="T1425" s="33"/>
      <c r="U1425" s="109"/>
      <c r="V1425" s="54"/>
      <c r="W1425" s="67"/>
      <c r="X1425" s="67"/>
      <c r="Y1425" s="36"/>
      <c r="Z1425" s="36"/>
      <c r="AA1425" s="36"/>
      <c r="AB1425" s="36"/>
      <c r="AC1425" s="36"/>
      <c r="AD1425" s="36"/>
      <c r="AE1425" s="36"/>
      <c r="AF1425" s="53" t="s">
        <v>68</v>
      </c>
      <c r="AG1425" s="42"/>
      <c r="AH1425" s="42"/>
      <c r="AI1425" s="43"/>
      <c r="AJ1425" s="43"/>
      <c r="AK1425" s="43"/>
      <c r="AL1425" s="43"/>
      <c r="AM1425" s="43"/>
      <c r="AN1425" s="42"/>
      <c r="AO1425" s="42"/>
      <c r="AP1425" s="42"/>
      <c r="AQ1425" s="43"/>
      <c r="AR1425" s="42"/>
      <c r="AS1425" s="42"/>
    </row>
    <row r="1426" spans="1:45" ht="15" customHeight="1">
      <c r="A1426" s="21" t="s">
        <v>260</v>
      </c>
      <c r="B1426" s="21" t="s">
        <v>46</v>
      </c>
      <c r="C1426" s="21" t="s">
        <v>188</v>
      </c>
      <c r="D1426" s="21" t="s">
        <v>48</v>
      </c>
      <c r="E1426" s="80" t="s">
        <v>1636</v>
      </c>
      <c r="F1426" s="21" t="s">
        <v>920</v>
      </c>
      <c r="G1426" s="101" t="s">
        <v>77</v>
      </c>
      <c r="H1426" s="25" t="s">
        <v>1637</v>
      </c>
      <c r="I1426" s="102" t="s">
        <v>78</v>
      </c>
      <c r="J1426" s="65" t="s">
        <v>1771</v>
      </c>
      <c r="K1426" s="104"/>
      <c r="L1426" s="48" t="s">
        <v>923</v>
      </c>
      <c r="M1426" s="27">
        <v>44302</v>
      </c>
      <c r="N1426" s="105" t="s">
        <v>182</v>
      </c>
      <c r="O1426" s="68">
        <v>8186</v>
      </c>
      <c r="P1426" s="106">
        <v>15</v>
      </c>
      <c r="Q1426" s="51">
        <f t="shared" si="32"/>
        <v>122790</v>
      </c>
      <c r="R1426" s="31">
        <v>202310</v>
      </c>
      <c r="S1426" s="54" t="s">
        <v>1806</v>
      </c>
      <c r="T1426" s="33"/>
      <c r="U1426" s="109"/>
      <c r="V1426" s="54"/>
      <c r="W1426" s="67"/>
      <c r="X1426" s="67"/>
      <c r="Y1426" s="36"/>
      <c r="Z1426" s="36"/>
      <c r="AA1426" s="36"/>
      <c r="AB1426" s="36"/>
      <c r="AC1426" s="36"/>
      <c r="AD1426" s="36"/>
      <c r="AE1426" s="36"/>
      <c r="AF1426" s="53" t="s">
        <v>68</v>
      </c>
      <c r="AG1426" s="42"/>
      <c r="AH1426" s="42"/>
      <c r="AI1426" s="43"/>
      <c r="AJ1426" s="43"/>
      <c r="AK1426" s="43"/>
      <c r="AL1426" s="43"/>
      <c r="AM1426" s="43"/>
      <c r="AN1426" s="42"/>
      <c r="AO1426" s="42"/>
      <c r="AP1426" s="42"/>
      <c r="AQ1426" s="43"/>
      <c r="AR1426" s="42"/>
      <c r="AS1426" s="42"/>
    </row>
    <row r="1427" spans="1:45" ht="15" customHeight="1">
      <c r="A1427" s="21" t="s">
        <v>260</v>
      </c>
      <c r="B1427" s="21" t="s">
        <v>46</v>
      </c>
      <c r="C1427" s="21" t="s">
        <v>188</v>
      </c>
      <c r="D1427" s="21" t="s">
        <v>48</v>
      </c>
      <c r="E1427" s="80" t="s">
        <v>1636</v>
      </c>
      <c r="F1427" s="21" t="s">
        <v>920</v>
      </c>
      <c r="G1427" s="101" t="s">
        <v>77</v>
      </c>
      <c r="H1427" s="25" t="s">
        <v>1637</v>
      </c>
      <c r="I1427" s="102" t="s">
        <v>78</v>
      </c>
      <c r="J1427" s="65" t="s">
        <v>1771</v>
      </c>
      <c r="K1427" s="104"/>
      <c r="L1427" s="48" t="s">
        <v>923</v>
      </c>
      <c r="M1427" s="27">
        <v>44311</v>
      </c>
      <c r="N1427" s="105" t="s">
        <v>182</v>
      </c>
      <c r="O1427" s="68">
        <v>8186</v>
      </c>
      <c r="P1427" s="106">
        <v>2</v>
      </c>
      <c r="Q1427" s="51">
        <f t="shared" si="32"/>
        <v>16372</v>
      </c>
      <c r="R1427" s="31">
        <v>202310</v>
      </c>
      <c r="S1427" s="54" t="s">
        <v>1807</v>
      </c>
      <c r="T1427" s="33"/>
      <c r="U1427" s="109"/>
      <c r="V1427" s="54"/>
      <c r="W1427" s="67"/>
      <c r="X1427" s="67"/>
      <c r="Y1427" s="36"/>
      <c r="Z1427" s="36"/>
      <c r="AA1427" s="36"/>
      <c r="AB1427" s="36"/>
      <c r="AC1427" s="36"/>
      <c r="AD1427" s="36"/>
      <c r="AE1427" s="36"/>
      <c r="AF1427" s="53" t="s">
        <v>68</v>
      </c>
      <c r="AG1427" s="42"/>
      <c r="AH1427" s="42"/>
      <c r="AI1427" s="43"/>
      <c r="AJ1427" s="43"/>
      <c r="AK1427" s="43"/>
      <c r="AL1427" s="43"/>
      <c r="AM1427" s="43"/>
      <c r="AN1427" s="42"/>
      <c r="AO1427" s="42"/>
      <c r="AP1427" s="42"/>
      <c r="AQ1427" s="43"/>
      <c r="AR1427" s="42"/>
      <c r="AS1427" s="42"/>
    </row>
    <row r="1428" spans="1:45" ht="15" customHeight="1">
      <c r="A1428" s="21" t="s">
        <v>260</v>
      </c>
      <c r="B1428" s="21" t="s">
        <v>46</v>
      </c>
      <c r="C1428" s="21" t="s">
        <v>188</v>
      </c>
      <c r="D1428" s="21" t="s">
        <v>48</v>
      </c>
      <c r="E1428" s="80" t="s">
        <v>1636</v>
      </c>
      <c r="F1428" s="21" t="s">
        <v>920</v>
      </c>
      <c r="G1428" s="101" t="s">
        <v>77</v>
      </c>
      <c r="H1428" s="25" t="s">
        <v>1637</v>
      </c>
      <c r="I1428" s="102" t="s">
        <v>78</v>
      </c>
      <c r="J1428" s="65" t="s">
        <v>1771</v>
      </c>
      <c r="K1428" s="104"/>
      <c r="L1428" s="48" t="s">
        <v>923</v>
      </c>
      <c r="M1428" s="27">
        <v>44312</v>
      </c>
      <c r="N1428" s="105" t="s">
        <v>182</v>
      </c>
      <c r="O1428" s="68">
        <v>8186</v>
      </c>
      <c r="P1428" s="106">
        <v>2</v>
      </c>
      <c r="Q1428" s="51">
        <f t="shared" si="32"/>
        <v>16372</v>
      </c>
      <c r="R1428" s="31">
        <v>202310</v>
      </c>
      <c r="S1428" s="54" t="s">
        <v>1808</v>
      </c>
      <c r="T1428" s="33"/>
      <c r="U1428" s="109"/>
      <c r="V1428" s="54"/>
      <c r="W1428" s="67"/>
      <c r="X1428" s="67"/>
      <c r="Y1428" s="36"/>
      <c r="Z1428" s="36"/>
      <c r="AA1428" s="36"/>
      <c r="AB1428" s="36"/>
      <c r="AC1428" s="36"/>
      <c r="AD1428" s="36"/>
      <c r="AE1428" s="36"/>
      <c r="AF1428" s="53" t="s">
        <v>68</v>
      </c>
      <c r="AG1428" s="42"/>
      <c r="AH1428" s="42"/>
      <c r="AI1428" s="43"/>
      <c r="AJ1428" s="43"/>
      <c r="AK1428" s="43"/>
      <c r="AL1428" s="43"/>
      <c r="AM1428" s="43"/>
      <c r="AN1428" s="42"/>
      <c r="AO1428" s="42"/>
      <c r="AP1428" s="42"/>
      <c r="AQ1428" s="43"/>
      <c r="AR1428" s="42"/>
      <c r="AS1428" s="42"/>
    </row>
    <row r="1429" spans="1:45" ht="15" customHeight="1">
      <c r="A1429" s="21" t="s">
        <v>260</v>
      </c>
      <c r="B1429" s="21" t="s">
        <v>46</v>
      </c>
      <c r="C1429" s="21" t="s">
        <v>188</v>
      </c>
      <c r="D1429" s="21" t="s">
        <v>48</v>
      </c>
      <c r="E1429" s="80" t="s">
        <v>1636</v>
      </c>
      <c r="F1429" s="21" t="s">
        <v>920</v>
      </c>
      <c r="G1429" s="101" t="s">
        <v>77</v>
      </c>
      <c r="H1429" s="25" t="s">
        <v>1637</v>
      </c>
      <c r="I1429" s="102" t="s">
        <v>78</v>
      </c>
      <c r="J1429" s="65" t="s">
        <v>1773</v>
      </c>
      <c r="K1429" s="104"/>
      <c r="L1429" s="48" t="s">
        <v>923</v>
      </c>
      <c r="M1429" s="27">
        <v>44334</v>
      </c>
      <c r="N1429" s="105" t="s">
        <v>182</v>
      </c>
      <c r="O1429" s="68">
        <v>8186</v>
      </c>
      <c r="P1429" s="106">
        <v>1</v>
      </c>
      <c r="Q1429" s="51">
        <f t="shared" si="32"/>
        <v>8186</v>
      </c>
      <c r="R1429" s="31">
        <v>202310</v>
      </c>
      <c r="S1429" s="54" t="s">
        <v>1809</v>
      </c>
      <c r="T1429" s="33"/>
      <c r="U1429" s="109"/>
      <c r="V1429" s="54"/>
      <c r="W1429" s="67"/>
      <c r="X1429" s="67"/>
      <c r="Y1429" s="36"/>
      <c r="Z1429" s="36"/>
      <c r="AA1429" s="36"/>
      <c r="AB1429" s="36"/>
      <c r="AC1429" s="36"/>
      <c r="AD1429" s="36"/>
      <c r="AE1429" s="36"/>
      <c r="AF1429" s="53" t="s">
        <v>68</v>
      </c>
      <c r="AG1429" s="42"/>
      <c r="AH1429" s="42"/>
      <c r="AI1429" s="43"/>
      <c r="AJ1429" s="43"/>
      <c r="AK1429" s="43"/>
      <c r="AL1429" s="43"/>
      <c r="AM1429" s="43"/>
      <c r="AN1429" s="42"/>
      <c r="AO1429" s="42"/>
      <c r="AP1429" s="42"/>
      <c r="AQ1429" s="43"/>
      <c r="AR1429" s="42"/>
      <c r="AS1429" s="42"/>
    </row>
    <row r="1430" spans="1:45" ht="15" customHeight="1">
      <c r="A1430" s="21" t="s">
        <v>260</v>
      </c>
      <c r="B1430" s="21" t="s">
        <v>46</v>
      </c>
      <c r="C1430" s="21" t="s">
        <v>188</v>
      </c>
      <c r="D1430" s="21" t="s">
        <v>48</v>
      </c>
      <c r="E1430" s="80" t="s">
        <v>1636</v>
      </c>
      <c r="F1430" s="21" t="s">
        <v>920</v>
      </c>
      <c r="G1430" s="101" t="s">
        <v>77</v>
      </c>
      <c r="H1430" s="25" t="s">
        <v>1637</v>
      </c>
      <c r="I1430" s="102" t="s">
        <v>78</v>
      </c>
      <c r="J1430" s="65" t="s">
        <v>1771</v>
      </c>
      <c r="K1430" s="104"/>
      <c r="L1430" s="48" t="s">
        <v>923</v>
      </c>
      <c r="M1430" s="27">
        <v>44340</v>
      </c>
      <c r="N1430" s="105" t="s">
        <v>182</v>
      </c>
      <c r="O1430" s="68">
        <v>8186</v>
      </c>
      <c r="P1430" s="106">
        <v>1</v>
      </c>
      <c r="Q1430" s="51">
        <f t="shared" si="32"/>
        <v>8186</v>
      </c>
      <c r="R1430" s="31">
        <v>202310</v>
      </c>
      <c r="S1430" s="54" t="s">
        <v>1810</v>
      </c>
      <c r="T1430" s="33"/>
      <c r="U1430" s="109"/>
      <c r="V1430" s="54"/>
      <c r="W1430" s="67"/>
      <c r="X1430" s="67"/>
      <c r="Y1430" s="36"/>
      <c r="Z1430" s="36"/>
      <c r="AA1430" s="36"/>
      <c r="AB1430" s="36"/>
      <c r="AC1430" s="36"/>
      <c r="AD1430" s="36"/>
      <c r="AE1430" s="36"/>
      <c r="AF1430" s="53" t="s">
        <v>68</v>
      </c>
      <c r="AG1430" s="42"/>
      <c r="AH1430" s="42"/>
      <c r="AI1430" s="43"/>
      <c r="AJ1430" s="43"/>
      <c r="AK1430" s="43"/>
      <c r="AL1430" s="43"/>
      <c r="AM1430" s="43"/>
      <c r="AN1430" s="42"/>
      <c r="AO1430" s="42"/>
      <c r="AP1430" s="42"/>
      <c r="AQ1430" s="43"/>
      <c r="AR1430" s="42"/>
      <c r="AS1430" s="42"/>
    </row>
    <row r="1431" spans="1:45" ht="15" customHeight="1">
      <c r="A1431" s="21" t="s">
        <v>260</v>
      </c>
      <c r="B1431" s="21" t="s">
        <v>46</v>
      </c>
      <c r="C1431" s="21" t="s">
        <v>188</v>
      </c>
      <c r="D1431" s="21" t="s">
        <v>48</v>
      </c>
      <c r="E1431" s="80" t="s">
        <v>1636</v>
      </c>
      <c r="F1431" s="21" t="s">
        <v>920</v>
      </c>
      <c r="G1431" s="101" t="s">
        <v>77</v>
      </c>
      <c r="H1431" s="25" t="s">
        <v>1637</v>
      </c>
      <c r="I1431" s="102" t="s">
        <v>78</v>
      </c>
      <c r="J1431" s="65" t="s">
        <v>1773</v>
      </c>
      <c r="K1431" s="104"/>
      <c r="L1431" s="48" t="s">
        <v>923</v>
      </c>
      <c r="M1431" s="27">
        <v>44342</v>
      </c>
      <c r="N1431" s="105" t="s">
        <v>182</v>
      </c>
      <c r="O1431" s="68">
        <v>8186</v>
      </c>
      <c r="P1431" s="106">
        <v>15</v>
      </c>
      <c r="Q1431" s="51">
        <f t="shared" si="32"/>
        <v>122790</v>
      </c>
      <c r="R1431" s="31">
        <v>202310</v>
      </c>
      <c r="S1431" s="54" t="s">
        <v>1811</v>
      </c>
      <c r="T1431" s="33"/>
      <c r="U1431" s="109"/>
      <c r="V1431" s="54"/>
      <c r="W1431" s="67"/>
      <c r="X1431" s="67"/>
      <c r="Y1431" s="36"/>
      <c r="Z1431" s="36"/>
      <c r="AA1431" s="36"/>
      <c r="AB1431" s="36"/>
      <c r="AC1431" s="36"/>
      <c r="AD1431" s="36"/>
      <c r="AE1431" s="36"/>
      <c r="AF1431" s="53" t="s">
        <v>68</v>
      </c>
      <c r="AG1431" s="42"/>
      <c r="AH1431" s="42"/>
      <c r="AI1431" s="43"/>
      <c r="AJ1431" s="43"/>
      <c r="AK1431" s="43"/>
      <c r="AL1431" s="43"/>
      <c r="AM1431" s="43"/>
      <c r="AN1431" s="42"/>
      <c r="AO1431" s="42"/>
      <c r="AP1431" s="42"/>
      <c r="AQ1431" s="43"/>
      <c r="AR1431" s="42"/>
      <c r="AS1431" s="42"/>
    </row>
    <row r="1432" spans="1:45" ht="15" customHeight="1">
      <c r="A1432" s="21" t="s">
        <v>260</v>
      </c>
      <c r="B1432" s="21" t="s">
        <v>46</v>
      </c>
      <c r="C1432" s="21" t="s">
        <v>188</v>
      </c>
      <c r="D1432" s="21" t="s">
        <v>48</v>
      </c>
      <c r="E1432" s="80" t="s">
        <v>1636</v>
      </c>
      <c r="F1432" s="21" t="s">
        <v>920</v>
      </c>
      <c r="G1432" s="101" t="s">
        <v>77</v>
      </c>
      <c r="H1432" s="25" t="s">
        <v>1637</v>
      </c>
      <c r="I1432" s="102" t="s">
        <v>78</v>
      </c>
      <c r="J1432" s="65" t="s">
        <v>1771</v>
      </c>
      <c r="K1432" s="104"/>
      <c r="L1432" s="48" t="s">
        <v>923</v>
      </c>
      <c r="M1432" s="27">
        <v>45077</v>
      </c>
      <c r="N1432" s="105" t="s">
        <v>182</v>
      </c>
      <c r="O1432" s="68">
        <v>8186</v>
      </c>
      <c r="P1432" s="106">
        <v>-1</v>
      </c>
      <c r="Q1432" s="51">
        <f t="shared" si="32"/>
        <v>-8186</v>
      </c>
      <c r="R1432" s="31">
        <v>202310</v>
      </c>
      <c r="S1432" s="54" t="s">
        <v>1812</v>
      </c>
      <c r="T1432" s="33"/>
      <c r="U1432" s="109"/>
      <c r="V1432" s="54"/>
      <c r="W1432" s="67"/>
      <c r="X1432" s="67"/>
      <c r="Y1432" s="36"/>
      <c r="Z1432" s="36"/>
      <c r="AA1432" s="36"/>
      <c r="AB1432" s="36"/>
      <c r="AC1432" s="36"/>
      <c r="AD1432" s="36"/>
      <c r="AE1432" s="36"/>
      <c r="AF1432" s="53" t="s">
        <v>68</v>
      </c>
      <c r="AG1432" s="42"/>
      <c r="AH1432" s="42"/>
      <c r="AI1432" s="43"/>
      <c r="AJ1432" s="43"/>
      <c r="AK1432" s="43"/>
      <c r="AL1432" s="43"/>
      <c r="AM1432" s="43"/>
      <c r="AN1432" s="42"/>
      <c r="AO1432" s="42"/>
      <c r="AP1432" s="42"/>
      <c r="AQ1432" s="43"/>
      <c r="AR1432" s="42"/>
      <c r="AS1432" s="42"/>
    </row>
    <row r="1433" spans="1:45" ht="15" customHeight="1">
      <c r="A1433" s="21" t="s">
        <v>260</v>
      </c>
      <c r="B1433" s="21" t="s">
        <v>46</v>
      </c>
      <c r="C1433" s="21" t="s">
        <v>188</v>
      </c>
      <c r="D1433" s="21" t="s">
        <v>48</v>
      </c>
      <c r="E1433" s="80" t="s">
        <v>1636</v>
      </c>
      <c r="F1433" s="21" t="s">
        <v>920</v>
      </c>
      <c r="G1433" s="101" t="s">
        <v>77</v>
      </c>
      <c r="H1433" s="25" t="s">
        <v>1637</v>
      </c>
      <c r="I1433" s="102" t="s">
        <v>78</v>
      </c>
      <c r="J1433" s="65" t="s">
        <v>1773</v>
      </c>
      <c r="K1433" s="104"/>
      <c r="L1433" s="48" t="s">
        <v>923</v>
      </c>
      <c r="M1433" s="27">
        <v>45077</v>
      </c>
      <c r="N1433" s="105" t="s">
        <v>177</v>
      </c>
      <c r="O1433" s="68">
        <v>5900</v>
      </c>
      <c r="P1433" s="106">
        <v>-1</v>
      </c>
      <c r="Q1433" s="51">
        <f t="shared" si="32"/>
        <v>-5900</v>
      </c>
      <c r="R1433" s="31">
        <v>202310</v>
      </c>
      <c r="S1433" s="54" t="s">
        <v>1813</v>
      </c>
      <c r="T1433" s="33"/>
      <c r="U1433" s="54"/>
      <c r="V1433" s="54"/>
      <c r="W1433" s="67"/>
      <c r="X1433" s="67"/>
      <c r="Y1433" s="36"/>
      <c r="Z1433" s="36"/>
      <c r="AA1433" s="36"/>
      <c r="AB1433" s="36"/>
      <c r="AC1433" s="36"/>
      <c r="AD1433" s="36"/>
      <c r="AE1433" s="36"/>
      <c r="AF1433" s="53" t="s">
        <v>68</v>
      </c>
      <c r="AG1433" s="42"/>
      <c r="AH1433" s="42"/>
      <c r="AI1433" s="43"/>
      <c r="AJ1433" s="43"/>
      <c r="AK1433" s="43"/>
      <c r="AL1433" s="43"/>
      <c r="AM1433" s="43"/>
      <c r="AN1433" s="42"/>
      <c r="AO1433" s="42"/>
      <c r="AP1433" s="42"/>
      <c r="AQ1433" s="43"/>
      <c r="AR1433" s="42"/>
      <c r="AS1433" s="42"/>
    </row>
    <row r="1434" spans="1:45" ht="15" customHeight="1">
      <c r="A1434" s="21" t="s">
        <v>260</v>
      </c>
      <c r="B1434" s="21" t="s">
        <v>46</v>
      </c>
      <c r="C1434" s="21" t="s">
        <v>188</v>
      </c>
      <c r="D1434" s="21" t="s">
        <v>48</v>
      </c>
      <c r="E1434" s="80" t="s">
        <v>1636</v>
      </c>
      <c r="F1434" s="21" t="s">
        <v>920</v>
      </c>
      <c r="G1434" s="101" t="s">
        <v>77</v>
      </c>
      <c r="H1434" s="25" t="s">
        <v>1637</v>
      </c>
      <c r="I1434" s="102" t="s">
        <v>78</v>
      </c>
      <c r="J1434" s="65" t="s">
        <v>1814</v>
      </c>
      <c r="K1434" s="104"/>
      <c r="L1434" s="48" t="s">
        <v>923</v>
      </c>
      <c r="M1434" s="27">
        <v>45070</v>
      </c>
      <c r="N1434" s="105" t="s">
        <v>177</v>
      </c>
      <c r="O1434" s="68">
        <v>5900</v>
      </c>
      <c r="P1434" s="106">
        <v>-1</v>
      </c>
      <c r="Q1434" s="51">
        <f t="shared" si="32"/>
        <v>-5900</v>
      </c>
      <c r="R1434" s="31">
        <v>202310</v>
      </c>
      <c r="S1434" s="54" t="s">
        <v>1815</v>
      </c>
      <c r="T1434" s="33"/>
      <c r="U1434" s="54"/>
      <c r="V1434" s="54"/>
      <c r="W1434" s="67"/>
      <c r="X1434" s="67"/>
      <c r="Y1434" s="36"/>
      <c r="Z1434" s="36"/>
      <c r="AA1434" s="36"/>
      <c r="AB1434" s="36"/>
      <c r="AC1434" s="36"/>
      <c r="AD1434" s="36"/>
      <c r="AE1434" s="36"/>
      <c r="AF1434" s="53" t="s">
        <v>68</v>
      </c>
      <c r="AG1434" s="42"/>
      <c r="AH1434" s="42"/>
      <c r="AI1434" s="43"/>
      <c r="AJ1434" s="43"/>
      <c r="AK1434" s="43"/>
      <c r="AL1434" s="43"/>
      <c r="AM1434" s="43"/>
      <c r="AN1434" s="42"/>
      <c r="AO1434" s="42"/>
      <c r="AP1434" s="42"/>
      <c r="AQ1434" s="43"/>
      <c r="AR1434" s="42"/>
      <c r="AS1434" s="42"/>
    </row>
    <row r="1435" spans="1:45" ht="15" customHeight="1">
      <c r="A1435" s="21" t="s">
        <v>260</v>
      </c>
      <c r="B1435" s="21" t="s">
        <v>46</v>
      </c>
      <c r="C1435" s="21" t="s">
        <v>188</v>
      </c>
      <c r="D1435" s="21" t="s">
        <v>48</v>
      </c>
      <c r="E1435" s="80" t="s">
        <v>1636</v>
      </c>
      <c r="F1435" s="21" t="s">
        <v>920</v>
      </c>
      <c r="G1435" s="101" t="s">
        <v>77</v>
      </c>
      <c r="H1435" s="25" t="s">
        <v>1816</v>
      </c>
      <c r="I1435" s="102" t="s">
        <v>78</v>
      </c>
      <c r="J1435" s="65" t="s">
        <v>1817</v>
      </c>
      <c r="K1435" s="104"/>
      <c r="L1435" s="48" t="s">
        <v>923</v>
      </c>
      <c r="M1435" s="156">
        <v>42663</v>
      </c>
      <c r="N1435" s="116" t="s">
        <v>81</v>
      </c>
      <c r="O1435" s="68">
        <v>9600</v>
      </c>
      <c r="P1435" s="68">
        <v>135</v>
      </c>
      <c r="Q1435" s="51">
        <f t="shared" si="32"/>
        <v>1296000</v>
      </c>
      <c r="R1435" s="31">
        <v>202310</v>
      </c>
      <c r="S1435" s="117" t="s">
        <v>1818</v>
      </c>
      <c r="T1435" s="33" t="s">
        <v>1819</v>
      </c>
      <c r="U1435" s="117"/>
      <c r="V1435" s="118"/>
      <c r="W1435" s="67"/>
      <c r="X1435" s="67"/>
      <c r="Y1435" s="36"/>
      <c r="Z1435" s="36"/>
      <c r="AA1435" s="36"/>
      <c r="AB1435" s="36"/>
      <c r="AC1435" s="36"/>
      <c r="AD1435" s="36"/>
      <c r="AE1435" s="36"/>
      <c r="AF1435" s="53" t="s">
        <v>68</v>
      </c>
      <c r="AG1435" s="42"/>
      <c r="AH1435" s="42"/>
      <c r="AI1435" s="43"/>
      <c r="AJ1435" s="43"/>
      <c r="AK1435" s="43"/>
      <c r="AL1435" s="43"/>
      <c r="AM1435" s="43"/>
      <c r="AN1435" s="42"/>
      <c r="AO1435" s="42"/>
      <c r="AP1435" s="42"/>
      <c r="AQ1435" s="43"/>
      <c r="AR1435" s="42"/>
      <c r="AS1435" s="42" t="s">
        <v>1820</v>
      </c>
    </row>
    <row r="1436" spans="1:45" ht="15" customHeight="1">
      <c r="A1436" s="21" t="s">
        <v>260</v>
      </c>
      <c r="B1436" s="21" t="s">
        <v>46</v>
      </c>
      <c r="C1436" s="21" t="s">
        <v>188</v>
      </c>
      <c r="D1436" s="21" t="s">
        <v>48</v>
      </c>
      <c r="E1436" s="80" t="s">
        <v>1636</v>
      </c>
      <c r="F1436" s="21" t="s">
        <v>920</v>
      </c>
      <c r="G1436" s="101" t="s">
        <v>77</v>
      </c>
      <c r="H1436" s="133" t="s">
        <v>1816</v>
      </c>
      <c r="I1436" s="102" t="s">
        <v>78</v>
      </c>
      <c r="J1436" s="65" t="s">
        <v>1817</v>
      </c>
      <c r="K1436" s="104"/>
      <c r="L1436" s="48" t="s">
        <v>923</v>
      </c>
      <c r="M1436" s="156">
        <v>42856</v>
      </c>
      <c r="N1436" s="116" t="s">
        <v>1821</v>
      </c>
      <c r="O1436" s="68">
        <v>8400</v>
      </c>
      <c r="P1436" s="68">
        <v>4</v>
      </c>
      <c r="Q1436" s="51">
        <f t="shared" si="32"/>
        <v>33600</v>
      </c>
      <c r="R1436" s="31">
        <v>202310</v>
      </c>
      <c r="S1436" s="117"/>
      <c r="T1436" s="33"/>
      <c r="U1436" s="117"/>
      <c r="V1436" s="118"/>
      <c r="W1436" s="67"/>
      <c r="X1436" s="67"/>
      <c r="Y1436" s="36"/>
      <c r="Z1436" s="36"/>
      <c r="AA1436" s="36"/>
      <c r="AB1436" s="36"/>
      <c r="AC1436" s="36"/>
      <c r="AD1436" s="36"/>
      <c r="AE1436" s="36"/>
      <c r="AF1436" s="53" t="s">
        <v>68</v>
      </c>
      <c r="AG1436" s="42"/>
      <c r="AH1436" s="42"/>
      <c r="AI1436" s="43"/>
      <c r="AJ1436" s="43"/>
      <c r="AK1436" s="43"/>
      <c r="AL1436" s="43"/>
      <c r="AM1436" s="43"/>
      <c r="AN1436" s="42"/>
      <c r="AO1436" s="42"/>
      <c r="AP1436" s="42"/>
      <c r="AQ1436" s="43"/>
      <c r="AR1436" s="42"/>
      <c r="AS1436" s="42" t="s">
        <v>1820</v>
      </c>
    </row>
    <row r="1437" spans="1:45" ht="15" customHeight="1">
      <c r="A1437" s="21" t="s">
        <v>260</v>
      </c>
      <c r="B1437" s="21" t="s">
        <v>46</v>
      </c>
      <c r="C1437" s="21" t="s">
        <v>188</v>
      </c>
      <c r="D1437" s="21" t="s">
        <v>48</v>
      </c>
      <c r="E1437" s="80" t="s">
        <v>1636</v>
      </c>
      <c r="F1437" s="21" t="s">
        <v>920</v>
      </c>
      <c r="G1437" s="101" t="s">
        <v>77</v>
      </c>
      <c r="H1437" s="133" t="s">
        <v>1816</v>
      </c>
      <c r="I1437" s="102" t="s">
        <v>78</v>
      </c>
      <c r="J1437" s="65" t="s">
        <v>1817</v>
      </c>
      <c r="K1437" s="104"/>
      <c r="L1437" s="48" t="s">
        <v>923</v>
      </c>
      <c r="M1437" s="156">
        <v>42856</v>
      </c>
      <c r="N1437" s="116" t="s">
        <v>1425</v>
      </c>
      <c r="O1437" s="68">
        <v>18900</v>
      </c>
      <c r="P1437" s="68">
        <v>10</v>
      </c>
      <c r="Q1437" s="51">
        <f t="shared" si="32"/>
        <v>189000</v>
      </c>
      <c r="R1437" s="31">
        <v>202310</v>
      </c>
      <c r="S1437" s="117"/>
      <c r="T1437" s="33"/>
      <c r="U1437" s="117"/>
      <c r="V1437" s="118"/>
      <c r="W1437" s="67"/>
      <c r="X1437" s="67"/>
      <c r="Y1437" s="36"/>
      <c r="Z1437" s="36"/>
      <c r="AA1437" s="36"/>
      <c r="AB1437" s="36"/>
      <c r="AC1437" s="36"/>
      <c r="AD1437" s="36"/>
      <c r="AE1437" s="36"/>
      <c r="AF1437" s="53" t="s">
        <v>68</v>
      </c>
      <c r="AG1437" s="42"/>
      <c r="AH1437" s="42"/>
      <c r="AI1437" s="43"/>
      <c r="AJ1437" s="43"/>
      <c r="AK1437" s="43"/>
      <c r="AL1437" s="43"/>
      <c r="AM1437" s="43"/>
      <c r="AN1437" s="42"/>
      <c r="AO1437" s="42"/>
      <c r="AP1437" s="42"/>
      <c r="AQ1437" s="43"/>
      <c r="AR1437" s="42"/>
      <c r="AS1437" s="42" t="s">
        <v>1820</v>
      </c>
    </row>
    <row r="1438" spans="1:45" ht="15" customHeight="1">
      <c r="A1438" s="21" t="s">
        <v>260</v>
      </c>
      <c r="B1438" s="21" t="s">
        <v>46</v>
      </c>
      <c r="C1438" s="21" t="s">
        <v>188</v>
      </c>
      <c r="D1438" s="21" t="s">
        <v>48</v>
      </c>
      <c r="E1438" s="80" t="s">
        <v>1636</v>
      </c>
      <c r="F1438" s="21" t="s">
        <v>920</v>
      </c>
      <c r="G1438" s="101" t="s">
        <v>77</v>
      </c>
      <c r="H1438" s="133" t="s">
        <v>1816</v>
      </c>
      <c r="I1438" s="102" t="s">
        <v>78</v>
      </c>
      <c r="J1438" s="65" t="s">
        <v>1817</v>
      </c>
      <c r="K1438" s="104"/>
      <c r="L1438" s="48" t="s">
        <v>923</v>
      </c>
      <c r="M1438" s="156">
        <v>42856</v>
      </c>
      <c r="N1438" s="116" t="s">
        <v>177</v>
      </c>
      <c r="O1438" s="68">
        <v>6000</v>
      </c>
      <c r="P1438" s="68">
        <v>33</v>
      </c>
      <c r="Q1438" s="51">
        <f t="shared" si="32"/>
        <v>198000</v>
      </c>
      <c r="R1438" s="31">
        <v>202310</v>
      </c>
      <c r="S1438" s="117"/>
      <c r="T1438" s="33"/>
      <c r="U1438" s="117"/>
      <c r="V1438" s="118"/>
      <c r="W1438" s="67"/>
      <c r="X1438" s="67"/>
      <c r="Y1438" s="36"/>
      <c r="Z1438" s="36"/>
      <c r="AA1438" s="36"/>
      <c r="AB1438" s="36"/>
      <c r="AC1438" s="36"/>
      <c r="AD1438" s="36"/>
      <c r="AE1438" s="36"/>
      <c r="AF1438" s="53" t="s">
        <v>68</v>
      </c>
      <c r="AG1438" s="42"/>
      <c r="AH1438" s="42"/>
      <c r="AI1438" s="43"/>
      <c r="AJ1438" s="43"/>
      <c r="AK1438" s="43"/>
      <c r="AL1438" s="43"/>
      <c r="AM1438" s="43"/>
      <c r="AN1438" s="42"/>
      <c r="AO1438" s="42"/>
      <c r="AP1438" s="42"/>
      <c r="AQ1438" s="43"/>
      <c r="AR1438" s="42"/>
      <c r="AS1438" s="42" t="s">
        <v>1820</v>
      </c>
    </row>
    <row r="1439" spans="1:45" ht="15" customHeight="1">
      <c r="A1439" s="21" t="s">
        <v>260</v>
      </c>
      <c r="B1439" s="21" t="s">
        <v>46</v>
      </c>
      <c r="C1439" s="21" t="s">
        <v>188</v>
      </c>
      <c r="D1439" s="21" t="s">
        <v>48</v>
      </c>
      <c r="E1439" s="80" t="s">
        <v>1636</v>
      </c>
      <c r="F1439" s="21" t="s">
        <v>920</v>
      </c>
      <c r="G1439" s="101" t="s">
        <v>77</v>
      </c>
      <c r="H1439" s="133" t="s">
        <v>1816</v>
      </c>
      <c r="I1439" s="102" t="s">
        <v>78</v>
      </c>
      <c r="J1439" s="65" t="s">
        <v>1817</v>
      </c>
      <c r="K1439" s="104"/>
      <c r="L1439" s="48" t="s">
        <v>923</v>
      </c>
      <c r="M1439" s="156">
        <v>42856</v>
      </c>
      <c r="N1439" s="116" t="s">
        <v>1822</v>
      </c>
      <c r="O1439" s="68">
        <v>11100</v>
      </c>
      <c r="P1439" s="68">
        <v>2</v>
      </c>
      <c r="Q1439" s="51">
        <f t="shared" si="32"/>
        <v>22200</v>
      </c>
      <c r="R1439" s="31">
        <v>202310</v>
      </c>
      <c r="S1439" s="117"/>
      <c r="T1439" s="33"/>
      <c r="U1439" s="117"/>
      <c r="V1439" s="118"/>
      <c r="W1439" s="67"/>
      <c r="X1439" s="67"/>
      <c r="Y1439" s="36"/>
      <c r="Z1439" s="36"/>
      <c r="AA1439" s="36"/>
      <c r="AB1439" s="36"/>
      <c r="AC1439" s="36"/>
      <c r="AD1439" s="36"/>
      <c r="AE1439" s="36"/>
      <c r="AF1439" s="53" t="s">
        <v>68</v>
      </c>
      <c r="AG1439" s="42"/>
      <c r="AH1439" s="42"/>
      <c r="AI1439" s="43"/>
      <c r="AJ1439" s="43"/>
      <c r="AK1439" s="43"/>
      <c r="AL1439" s="43"/>
      <c r="AM1439" s="43"/>
      <c r="AN1439" s="42"/>
      <c r="AO1439" s="42"/>
      <c r="AP1439" s="42"/>
      <c r="AQ1439" s="43"/>
      <c r="AR1439" s="42"/>
      <c r="AS1439" s="42" t="s">
        <v>1820</v>
      </c>
    </row>
    <row r="1440" spans="1:45" ht="15" customHeight="1">
      <c r="A1440" s="21" t="s">
        <v>260</v>
      </c>
      <c r="B1440" s="21" t="s">
        <v>46</v>
      </c>
      <c r="C1440" s="21" t="s">
        <v>188</v>
      </c>
      <c r="D1440" s="21" t="s">
        <v>48</v>
      </c>
      <c r="E1440" s="80" t="s">
        <v>1636</v>
      </c>
      <c r="F1440" s="21" t="s">
        <v>920</v>
      </c>
      <c r="G1440" s="101" t="s">
        <v>77</v>
      </c>
      <c r="H1440" s="133" t="s">
        <v>1816</v>
      </c>
      <c r="I1440" s="102" t="s">
        <v>78</v>
      </c>
      <c r="J1440" s="65" t="s">
        <v>1817</v>
      </c>
      <c r="K1440" s="104"/>
      <c r="L1440" s="48" t="s">
        <v>923</v>
      </c>
      <c r="M1440" s="156">
        <v>42942</v>
      </c>
      <c r="N1440" s="116" t="s">
        <v>81</v>
      </c>
      <c r="O1440" s="68">
        <v>9600</v>
      </c>
      <c r="P1440" s="68">
        <v>1</v>
      </c>
      <c r="Q1440" s="51">
        <f t="shared" si="32"/>
        <v>9600</v>
      </c>
      <c r="R1440" s="31">
        <v>202310</v>
      </c>
      <c r="S1440" s="117" t="s">
        <v>1823</v>
      </c>
      <c r="T1440" s="33"/>
      <c r="U1440" s="117"/>
      <c r="V1440" s="118"/>
      <c r="W1440" s="67"/>
      <c r="X1440" s="67"/>
      <c r="Y1440" s="36"/>
      <c r="Z1440" s="36"/>
      <c r="AA1440" s="36"/>
      <c r="AB1440" s="36"/>
      <c r="AC1440" s="36"/>
      <c r="AD1440" s="36"/>
      <c r="AE1440" s="36"/>
      <c r="AF1440" s="53" t="s">
        <v>68</v>
      </c>
      <c r="AG1440" s="42"/>
      <c r="AH1440" s="42"/>
      <c r="AI1440" s="43"/>
      <c r="AJ1440" s="43"/>
      <c r="AK1440" s="43"/>
      <c r="AL1440" s="43"/>
      <c r="AM1440" s="43"/>
      <c r="AN1440" s="42"/>
      <c r="AO1440" s="42"/>
      <c r="AP1440" s="42"/>
      <c r="AQ1440" s="43"/>
      <c r="AR1440" s="42"/>
      <c r="AS1440" s="42" t="s">
        <v>1820</v>
      </c>
    </row>
    <row r="1441" spans="1:45" ht="15" customHeight="1">
      <c r="A1441" s="21" t="s">
        <v>260</v>
      </c>
      <c r="B1441" s="21" t="s">
        <v>46</v>
      </c>
      <c r="C1441" s="21" t="s">
        <v>188</v>
      </c>
      <c r="D1441" s="21" t="s">
        <v>48</v>
      </c>
      <c r="E1441" s="80" t="s">
        <v>1636</v>
      </c>
      <c r="F1441" s="21" t="s">
        <v>920</v>
      </c>
      <c r="G1441" s="101" t="s">
        <v>77</v>
      </c>
      <c r="H1441" s="133" t="s">
        <v>1816</v>
      </c>
      <c r="I1441" s="102" t="s">
        <v>78</v>
      </c>
      <c r="J1441" s="65" t="s">
        <v>1817</v>
      </c>
      <c r="K1441" s="104"/>
      <c r="L1441" s="48" t="s">
        <v>923</v>
      </c>
      <c r="M1441" s="156">
        <v>42947</v>
      </c>
      <c r="N1441" s="116" t="s">
        <v>81</v>
      </c>
      <c r="O1441" s="68">
        <v>9600</v>
      </c>
      <c r="P1441" s="68">
        <v>10</v>
      </c>
      <c r="Q1441" s="51">
        <f t="shared" si="32"/>
        <v>96000</v>
      </c>
      <c r="R1441" s="31">
        <v>202310</v>
      </c>
      <c r="S1441" s="117" t="s">
        <v>1824</v>
      </c>
      <c r="T1441" s="33"/>
      <c r="U1441" s="117"/>
      <c r="V1441" s="118"/>
      <c r="W1441" s="67"/>
      <c r="X1441" s="67"/>
      <c r="Y1441" s="36"/>
      <c r="Z1441" s="36"/>
      <c r="AA1441" s="36"/>
      <c r="AB1441" s="36"/>
      <c r="AC1441" s="36"/>
      <c r="AD1441" s="36"/>
      <c r="AE1441" s="36"/>
      <c r="AF1441" s="53" t="s">
        <v>68</v>
      </c>
      <c r="AG1441" s="42"/>
      <c r="AH1441" s="42"/>
      <c r="AI1441" s="43"/>
      <c r="AJ1441" s="43"/>
      <c r="AK1441" s="43"/>
      <c r="AL1441" s="43"/>
      <c r="AM1441" s="43"/>
      <c r="AN1441" s="42"/>
      <c r="AO1441" s="42"/>
      <c r="AP1441" s="42"/>
      <c r="AQ1441" s="43"/>
      <c r="AR1441" s="42"/>
      <c r="AS1441" s="42" t="s">
        <v>1820</v>
      </c>
    </row>
    <row r="1442" spans="1:45" ht="15" customHeight="1">
      <c r="A1442" s="21" t="s">
        <v>260</v>
      </c>
      <c r="B1442" s="21" t="s">
        <v>46</v>
      </c>
      <c r="C1442" s="21" t="s">
        <v>188</v>
      </c>
      <c r="D1442" s="21" t="s">
        <v>48</v>
      </c>
      <c r="E1442" s="80" t="s">
        <v>1636</v>
      </c>
      <c r="F1442" s="21" t="s">
        <v>920</v>
      </c>
      <c r="G1442" s="101" t="s">
        <v>77</v>
      </c>
      <c r="H1442" s="133" t="s">
        <v>1816</v>
      </c>
      <c r="I1442" s="102" t="s">
        <v>78</v>
      </c>
      <c r="J1442" s="65" t="s">
        <v>1817</v>
      </c>
      <c r="K1442" s="104"/>
      <c r="L1442" s="48" t="s">
        <v>923</v>
      </c>
      <c r="M1442" s="156">
        <v>42947</v>
      </c>
      <c r="N1442" s="116" t="s">
        <v>81</v>
      </c>
      <c r="O1442" s="68">
        <v>9600</v>
      </c>
      <c r="P1442" s="68">
        <v>6</v>
      </c>
      <c r="Q1442" s="51">
        <f t="shared" si="32"/>
        <v>57600</v>
      </c>
      <c r="R1442" s="31">
        <v>202310</v>
      </c>
      <c r="S1442" s="117" t="s">
        <v>1825</v>
      </c>
      <c r="T1442" s="33"/>
      <c r="U1442" s="117"/>
      <c r="V1442" s="118"/>
      <c r="W1442" s="67"/>
      <c r="X1442" s="67"/>
      <c r="Y1442" s="36"/>
      <c r="Z1442" s="36"/>
      <c r="AA1442" s="36"/>
      <c r="AB1442" s="36"/>
      <c r="AC1442" s="36"/>
      <c r="AD1442" s="36"/>
      <c r="AE1442" s="36"/>
      <c r="AF1442" s="53" t="s">
        <v>68</v>
      </c>
      <c r="AG1442" s="42"/>
      <c r="AH1442" s="42"/>
      <c r="AI1442" s="43"/>
      <c r="AJ1442" s="43"/>
      <c r="AK1442" s="43"/>
      <c r="AL1442" s="43"/>
      <c r="AM1442" s="43"/>
      <c r="AN1442" s="42"/>
      <c r="AO1442" s="42"/>
      <c r="AP1442" s="42"/>
      <c r="AQ1442" s="43"/>
      <c r="AR1442" s="42"/>
      <c r="AS1442" s="42" t="s">
        <v>1820</v>
      </c>
    </row>
    <row r="1443" spans="1:45" ht="15" customHeight="1">
      <c r="A1443" s="21" t="s">
        <v>260</v>
      </c>
      <c r="B1443" s="21" t="s">
        <v>46</v>
      </c>
      <c r="C1443" s="21" t="s">
        <v>188</v>
      </c>
      <c r="D1443" s="21" t="s">
        <v>48</v>
      </c>
      <c r="E1443" s="80" t="s">
        <v>1636</v>
      </c>
      <c r="F1443" s="21" t="s">
        <v>920</v>
      </c>
      <c r="G1443" s="101" t="s">
        <v>77</v>
      </c>
      <c r="H1443" s="133" t="s">
        <v>1816</v>
      </c>
      <c r="I1443" s="102" t="s">
        <v>78</v>
      </c>
      <c r="J1443" s="65" t="s">
        <v>1817</v>
      </c>
      <c r="K1443" s="104"/>
      <c r="L1443" s="48" t="s">
        <v>923</v>
      </c>
      <c r="M1443" s="156">
        <v>42947</v>
      </c>
      <c r="N1443" s="116" t="s">
        <v>81</v>
      </c>
      <c r="O1443" s="68">
        <v>9600</v>
      </c>
      <c r="P1443" s="68">
        <v>5</v>
      </c>
      <c r="Q1443" s="51">
        <f t="shared" si="32"/>
        <v>48000</v>
      </c>
      <c r="R1443" s="31">
        <v>202310</v>
      </c>
      <c r="S1443" s="117" t="s">
        <v>1826</v>
      </c>
      <c r="T1443" s="33"/>
      <c r="U1443" s="117"/>
      <c r="V1443" s="118"/>
      <c r="W1443" s="67"/>
      <c r="X1443" s="67"/>
      <c r="Y1443" s="36"/>
      <c r="Z1443" s="36"/>
      <c r="AA1443" s="36"/>
      <c r="AB1443" s="36"/>
      <c r="AC1443" s="36"/>
      <c r="AD1443" s="36"/>
      <c r="AE1443" s="36"/>
      <c r="AF1443" s="53" t="s">
        <v>68</v>
      </c>
      <c r="AG1443" s="42"/>
      <c r="AH1443" s="42"/>
      <c r="AI1443" s="43"/>
      <c r="AJ1443" s="43"/>
      <c r="AK1443" s="43"/>
      <c r="AL1443" s="43"/>
      <c r="AM1443" s="43"/>
      <c r="AN1443" s="42"/>
      <c r="AO1443" s="42"/>
      <c r="AP1443" s="42"/>
      <c r="AQ1443" s="43"/>
      <c r="AR1443" s="42"/>
      <c r="AS1443" s="42" t="s">
        <v>1820</v>
      </c>
    </row>
    <row r="1444" spans="1:45" ht="15" customHeight="1">
      <c r="A1444" s="21" t="s">
        <v>260</v>
      </c>
      <c r="B1444" s="21" t="s">
        <v>46</v>
      </c>
      <c r="C1444" s="21" t="s">
        <v>188</v>
      </c>
      <c r="D1444" s="21" t="s">
        <v>48</v>
      </c>
      <c r="E1444" s="80" t="s">
        <v>1636</v>
      </c>
      <c r="F1444" s="21" t="s">
        <v>920</v>
      </c>
      <c r="G1444" s="101" t="s">
        <v>77</v>
      </c>
      <c r="H1444" s="133" t="s">
        <v>1816</v>
      </c>
      <c r="I1444" s="102" t="s">
        <v>78</v>
      </c>
      <c r="J1444" s="65" t="s">
        <v>1817</v>
      </c>
      <c r="K1444" s="104"/>
      <c r="L1444" s="48" t="s">
        <v>923</v>
      </c>
      <c r="M1444" s="156">
        <v>42948</v>
      </c>
      <c r="N1444" s="116" t="s">
        <v>81</v>
      </c>
      <c r="O1444" s="68">
        <v>9600</v>
      </c>
      <c r="P1444" s="68">
        <v>7</v>
      </c>
      <c r="Q1444" s="51">
        <f t="shared" si="32"/>
        <v>67200</v>
      </c>
      <c r="R1444" s="31">
        <v>202310</v>
      </c>
      <c r="S1444" s="117" t="s">
        <v>1827</v>
      </c>
      <c r="T1444" s="33"/>
      <c r="U1444" s="117"/>
      <c r="V1444" s="118"/>
      <c r="W1444" s="67"/>
      <c r="X1444" s="67"/>
      <c r="Y1444" s="36"/>
      <c r="Z1444" s="36"/>
      <c r="AA1444" s="36"/>
      <c r="AB1444" s="36"/>
      <c r="AC1444" s="36"/>
      <c r="AD1444" s="36"/>
      <c r="AE1444" s="36"/>
      <c r="AF1444" s="53" t="s">
        <v>68</v>
      </c>
      <c r="AG1444" s="42"/>
      <c r="AH1444" s="42"/>
      <c r="AI1444" s="43"/>
      <c r="AJ1444" s="43"/>
      <c r="AK1444" s="43"/>
      <c r="AL1444" s="43"/>
      <c r="AM1444" s="43"/>
      <c r="AN1444" s="42"/>
      <c r="AO1444" s="42"/>
      <c r="AP1444" s="42"/>
      <c r="AQ1444" s="43"/>
      <c r="AR1444" s="42"/>
      <c r="AS1444" s="42" t="s">
        <v>1820</v>
      </c>
    </row>
    <row r="1445" spans="1:45" ht="15" customHeight="1">
      <c r="A1445" s="21" t="s">
        <v>260</v>
      </c>
      <c r="B1445" s="21" t="s">
        <v>46</v>
      </c>
      <c r="C1445" s="21" t="s">
        <v>188</v>
      </c>
      <c r="D1445" s="21" t="s">
        <v>48</v>
      </c>
      <c r="E1445" s="80" t="s">
        <v>1636</v>
      </c>
      <c r="F1445" s="21" t="s">
        <v>920</v>
      </c>
      <c r="G1445" s="101" t="s">
        <v>77</v>
      </c>
      <c r="H1445" s="133" t="s">
        <v>1816</v>
      </c>
      <c r="I1445" s="102" t="s">
        <v>78</v>
      </c>
      <c r="J1445" s="65" t="s">
        <v>1817</v>
      </c>
      <c r="K1445" s="104"/>
      <c r="L1445" s="48" t="s">
        <v>923</v>
      </c>
      <c r="M1445" s="156">
        <v>42948</v>
      </c>
      <c r="N1445" s="116" t="s">
        <v>81</v>
      </c>
      <c r="O1445" s="68">
        <v>9600</v>
      </c>
      <c r="P1445" s="68">
        <v>2</v>
      </c>
      <c r="Q1445" s="51">
        <f t="shared" si="32"/>
        <v>19200</v>
      </c>
      <c r="R1445" s="31">
        <v>202310</v>
      </c>
      <c r="S1445" s="117" t="s">
        <v>1828</v>
      </c>
      <c r="T1445" s="33"/>
      <c r="U1445" s="117"/>
      <c r="V1445" s="118"/>
      <c r="W1445" s="67"/>
      <c r="X1445" s="67"/>
      <c r="Y1445" s="36"/>
      <c r="Z1445" s="36"/>
      <c r="AA1445" s="36"/>
      <c r="AB1445" s="36"/>
      <c r="AC1445" s="36"/>
      <c r="AD1445" s="36"/>
      <c r="AE1445" s="36"/>
      <c r="AF1445" s="53" t="s">
        <v>68</v>
      </c>
      <c r="AG1445" s="42"/>
      <c r="AH1445" s="42"/>
      <c r="AI1445" s="43"/>
      <c r="AJ1445" s="43"/>
      <c r="AK1445" s="43"/>
      <c r="AL1445" s="43"/>
      <c r="AM1445" s="43"/>
      <c r="AN1445" s="42"/>
      <c r="AO1445" s="42"/>
      <c r="AP1445" s="42"/>
      <c r="AQ1445" s="43"/>
      <c r="AR1445" s="42"/>
      <c r="AS1445" s="42" t="s">
        <v>1820</v>
      </c>
    </row>
    <row r="1446" spans="1:45" ht="15" customHeight="1">
      <c r="A1446" s="21" t="s">
        <v>260</v>
      </c>
      <c r="B1446" s="21" t="s">
        <v>46</v>
      </c>
      <c r="C1446" s="21" t="s">
        <v>188</v>
      </c>
      <c r="D1446" s="21" t="s">
        <v>48</v>
      </c>
      <c r="E1446" s="80" t="s">
        <v>1636</v>
      </c>
      <c r="F1446" s="21" t="s">
        <v>920</v>
      </c>
      <c r="G1446" s="101" t="s">
        <v>77</v>
      </c>
      <c r="H1446" s="133" t="s">
        <v>1816</v>
      </c>
      <c r="I1446" s="102" t="s">
        <v>78</v>
      </c>
      <c r="J1446" s="65" t="s">
        <v>1817</v>
      </c>
      <c r="K1446" s="104"/>
      <c r="L1446" s="48" t="s">
        <v>923</v>
      </c>
      <c r="M1446" s="156">
        <v>42949</v>
      </c>
      <c r="N1446" s="116" t="s">
        <v>81</v>
      </c>
      <c r="O1446" s="68">
        <v>9600</v>
      </c>
      <c r="P1446" s="68">
        <v>3</v>
      </c>
      <c r="Q1446" s="51">
        <f t="shared" si="32"/>
        <v>28800</v>
      </c>
      <c r="R1446" s="31">
        <v>202310</v>
      </c>
      <c r="S1446" s="117" t="s">
        <v>1829</v>
      </c>
      <c r="T1446" s="33"/>
      <c r="U1446" s="117"/>
      <c r="V1446" s="118"/>
      <c r="W1446" s="67"/>
      <c r="X1446" s="67"/>
      <c r="Y1446" s="36"/>
      <c r="Z1446" s="36"/>
      <c r="AA1446" s="36"/>
      <c r="AB1446" s="36"/>
      <c r="AC1446" s="36"/>
      <c r="AD1446" s="36"/>
      <c r="AE1446" s="36"/>
      <c r="AF1446" s="53" t="s">
        <v>68</v>
      </c>
      <c r="AG1446" s="42"/>
      <c r="AH1446" s="42"/>
      <c r="AI1446" s="43"/>
      <c r="AJ1446" s="43"/>
      <c r="AK1446" s="43"/>
      <c r="AL1446" s="43"/>
      <c r="AM1446" s="43"/>
      <c r="AN1446" s="42"/>
      <c r="AO1446" s="42"/>
      <c r="AP1446" s="42"/>
      <c r="AQ1446" s="43"/>
      <c r="AR1446" s="42"/>
      <c r="AS1446" s="42" t="s">
        <v>1820</v>
      </c>
    </row>
    <row r="1447" spans="1:45" ht="15" customHeight="1">
      <c r="A1447" s="21" t="s">
        <v>260</v>
      </c>
      <c r="B1447" s="21" t="s">
        <v>46</v>
      </c>
      <c r="C1447" s="21" t="s">
        <v>188</v>
      </c>
      <c r="D1447" s="21" t="s">
        <v>48</v>
      </c>
      <c r="E1447" s="80" t="s">
        <v>1636</v>
      </c>
      <c r="F1447" s="21" t="s">
        <v>920</v>
      </c>
      <c r="G1447" s="101" t="s">
        <v>77</v>
      </c>
      <c r="H1447" s="133" t="s">
        <v>1816</v>
      </c>
      <c r="I1447" s="102" t="s">
        <v>78</v>
      </c>
      <c r="J1447" s="65" t="s">
        <v>1817</v>
      </c>
      <c r="K1447" s="104"/>
      <c r="L1447" s="48" t="s">
        <v>923</v>
      </c>
      <c r="M1447" s="156">
        <v>42949</v>
      </c>
      <c r="N1447" s="116" t="s">
        <v>81</v>
      </c>
      <c r="O1447" s="68">
        <v>9600</v>
      </c>
      <c r="P1447" s="68">
        <v>1</v>
      </c>
      <c r="Q1447" s="51">
        <f t="shared" si="32"/>
        <v>9600</v>
      </c>
      <c r="R1447" s="31">
        <v>202310</v>
      </c>
      <c r="S1447" s="117" t="s">
        <v>1830</v>
      </c>
      <c r="T1447" s="33"/>
      <c r="U1447" s="117"/>
      <c r="V1447" s="118"/>
      <c r="W1447" s="67"/>
      <c r="X1447" s="67"/>
      <c r="Y1447" s="36"/>
      <c r="Z1447" s="36"/>
      <c r="AA1447" s="36"/>
      <c r="AB1447" s="36"/>
      <c r="AC1447" s="36"/>
      <c r="AD1447" s="36"/>
      <c r="AE1447" s="36"/>
      <c r="AF1447" s="53" t="s">
        <v>68</v>
      </c>
      <c r="AG1447" s="42"/>
      <c r="AH1447" s="42"/>
      <c r="AI1447" s="43"/>
      <c r="AJ1447" s="43"/>
      <c r="AK1447" s="43"/>
      <c r="AL1447" s="43"/>
      <c r="AM1447" s="43"/>
      <c r="AN1447" s="42"/>
      <c r="AO1447" s="42"/>
      <c r="AP1447" s="42"/>
      <c r="AQ1447" s="43"/>
      <c r="AR1447" s="42"/>
      <c r="AS1447" s="42" t="s">
        <v>1820</v>
      </c>
    </row>
    <row r="1448" spans="1:45" ht="15" customHeight="1">
      <c r="A1448" s="21" t="s">
        <v>260</v>
      </c>
      <c r="B1448" s="21" t="s">
        <v>46</v>
      </c>
      <c r="C1448" s="21" t="s">
        <v>188</v>
      </c>
      <c r="D1448" s="21" t="s">
        <v>48</v>
      </c>
      <c r="E1448" s="80" t="s">
        <v>1636</v>
      </c>
      <c r="F1448" s="21" t="s">
        <v>920</v>
      </c>
      <c r="G1448" s="101" t="s">
        <v>77</v>
      </c>
      <c r="H1448" s="133" t="s">
        <v>1816</v>
      </c>
      <c r="I1448" s="102" t="s">
        <v>78</v>
      </c>
      <c r="J1448" s="65" t="s">
        <v>1817</v>
      </c>
      <c r="K1448" s="104"/>
      <c r="L1448" s="48" t="s">
        <v>923</v>
      </c>
      <c r="M1448" s="156">
        <v>42949</v>
      </c>
      <c r="N1448" s="116" t="s">
        <v>81</v>
      </c>
      <c r="O1448" s="68">
        <v>9600</v>
      </c>
      <c r="P1448" s="68">
        <v>3</v>
      </c>
      <c r="Q1448" s="51">
        <f t="shared" si="32"/>
        <v>28800</v>
      </c>
      <c r="R1448" s="31">
        <v>202310</v>
      </c>
      <c r="S1448" s="117" t="s">
        <v>1831</v>
      </c>
      <c r="T1448" s="33"/>
      <c r="U1448" s="117"/>
      <c r="V1448" s="118"/>
      <c r="W1448" s="67"/>
      <c r="X1448" s="67"/>
      <c r="Y1448" s="36"/>
      <c r="Z1448" s="36"/>
      <c r="AA1448" s="36"/>
      <c r="AB1448" s="36"/>
      <c r="AC1448" s="36"/>
      <c r="AD1448" s="36"/>
      <c r="AE1448" s="36"/>
      <c r="AF1448" s="53" t="s">
        <v>68</v>
      </c>
      <c r="AG1448" s="42"/>
      <c r="AH1448" s="42"/>
      <c r="AI1448" s="43"/>
      <c r="AJ1448" s="43"/>
      <c r="AK1448" s="43"/>
      <c r="AL1448" s="43"/>
      <c r="AM1448" s="43"/>
      <c r="AN1448" s="42"/>
      <c r="AO1448" s="42"/>
      <c r="AP1448" s="42"/>
      <c r="AQ1448" s="43"/>
      <c r="AR1448" s="42"/>
      <c r="AS1448" s="42" t="s">
        <v>1820</v>
      </c>
    </row>
    <row r="1449" spans="1:45" ht="15" customHeight="1">
      <c r="A1449" s="21" t="s">
        <v>260</v>
      </c>
      <c r="B1449" s="21" t="s">
        <v>46</v>
      </c>
      <c r="C1449" s="21" t="s">
        <v>188</v>
      </c>
      <c r="D1449" s="21" t="s">
        <v>48</v>
      </c>
      <c r="E1449" s="80" t="s">
        <v>1636</v>
      </c>
      <c r="F1449" s="21" t="s">
        <v>920</v>
      </c>
      <c r="G1449" s="101" t="s">
        <v>77</v>
      </c>
      <c r="H1449" s="133" t="s">
        <v>1816</v>
      </c>
      <c r="I1449" s="102" t="s">
        <v>78</v>
      </c>
      <c r="J1449" s="65" t="s">
        <v>1817</v>
      </c>
      <c r="K1449" s="104"/>
      <c r="L1449" s="48" t="s">
        <v>923</v>
      </c>
      <c r="M1449" s="156">
        <v>42954</v>
      </c>
      <c r="N1449" s="116" t="s">
        <v>81</v>
      </c>
      <c r="O1449" s="68">
        <v>9600</v>
      </c>
      <c r="P1449" s="68">
        <v>3</v>
      </c>
      <c r="Q1449" s="51">
        <f t="shared" si="32"/>
        <v>28800</v>
      </c>
      <c r="R1449" s="31">
        <v>202310</v>
      </c>
      <c r="S1449" s="117" t="s">
        <v>1832</v>
      </c>
      <c r="T1449" s="33"/>
      <c r="U1449" s="117"/>
      <c r="V1449" s="118"/>
      <c r="W1449" s="67"/>
      <c r="X1449" s="67"/>
      <c r="Y1449" s="36"/>
      <c r="Z1449" s="36"/>
      <c r="AA1449" s="36"/>
      <c r="AB1449" s="36"/>
      <c r="AC1449" s="36"/>
      <c r="AD1449" s="36"/>
      <c r="AE1449" s="36"/>
      <c r="AF1449" s="53" t="s">
        <v>68</v>
      </c>
      <c r="AG1449" s="42"/>
      <c r="AH1449" s="42"/>
      <c r="AI1449" s="43"/>
      <c r="AJ1449" s="43"/>
      <c r="AK1449" s="43"/>
      <c r="AL1449" s="43"/>
      <c r="AM1449" s="43"/>
      <c r="AN1449" s="42"/>
      <c r="AO1449" s="42"/>
      <c r="AP1449" s="42"/>
      <c r="AQ1449" s="43"/>
      <c r="AR1449" s="42"/>
      <c r="AS1449" s="42" t="s">
        <v>1820</v>
      </c>
    </row>
    <row r="1450" spans="1:45" ht="15" customHeight="1">
      <c r="A1450" s="21" t="s">
        <v>260</v>
      </c>
      <c r="B1450" s="21" t="s">
        <v>46</v>
      </c>
      <c r="C1450" s="21" t="s">
        <v>188</v>
      </c>
      <c r="D1450" s="21" t="s">
        <v>48</v>
      </c>
      <c r="E1450" s="80" t="s">
        <v>1636</v>
      </c>
      <c r="F1450" s="21" t="s">
        <v>920</v>
      </c>
      <c r="G1450" s="101" t="s">
        <v>77</v>
      </c>
      <c r="H1450" s="133" t="s">
        <v>1816</v>
      </c>
      <c r="I1450" s="102" t="s">
        <v>78</v>
      </c>
      <c r="J1450" s="65" t="s">
        <v>1817</v>
      </c>
      <c r="K1450" s="104"/>
      <c r="L1450" s="48" t="s">
        <v>923</v>
      </c>
      <c r="M1450" s="156">
        <v>42958</v>
      </c>
      <c r="N1450" s="116" t="s">
        <v>81</v>
      </c>
      <c r="O1450" s="68">
        <v>9600</v>
      </c>
      <c r="P1450" s="68">
        <v>3</v>
      </c>
      <c r="Q1450" s="51">
        <f t="shared" si="32"/>
        <v>28800</v>
      </c>
      <c r="R1450" s="31">
        <v>202310</v>
      </c>
      <c r="S1450" s="117" t="s">
        <v>1833</v>
      </c>
      <c r="T1450" s="33"/>
      <c r="U1450" s="117"/>
      <c r="V1450" s="118"/>
      <c r="W1450" s="67"/>
      <c r="X1450" s="67"/>
      <c r="Y1450" s="36"/>
      <c r="Z1450" s="36"/>
      <c r="AA1450" s="36"/>
      <c r="AB1450" s="36"/>
      <c r="AC1450" s="36"/>
      <c r="AD1450" s="36"/>
      <c r="AE1450" s="36"/>
      <c r="AF1450" s="53" t="s">
        <v>68</v>
      </c>
      <c r="AG1450" s="42"/>
      <c r="AH1450" s="42"/>
      <c r="AI1450" s="43"/>
      <c r="AJ1450" s="43"/>
      <c r="AK1450" s="43"/>
      <c r="AL1450" s="43"/>
      <c r="AM1450" s="43"/>
      <c r="AN1450" s="42"/>
      <c r="AO1450" s="42"/>
      <c r="AP1450" s="42"/>
      <c r="AQ1450" s="43"/>
      <c r="AR1450" s="42"/>
      <c r="AS1450" s="42" t="s">
        <v>1820</v>
      </c>
    </row>
    <row r="1451" spans="1:45" ht="15" customHeight="1">
      <c r="A1451" s="21" t="s">
        <v>260</v>
      </c>
      <c r="B1451" s="21" t="s">
        <v>46</v>
      </c>
      <c r="C1451" s="21" t="s">
        <v>188</v>
      </c>
      <c r="D1451" s="21" t="s">
        <v>48</v>
      </c>
      <c r="E1451" s="80" t="s">
        <v>1636</v>
      </c>
      <c r="F1451" s="21" t="s">
        <v>920</v>
      </c>
      <c r="G1451" s="101" t="s">
        <v>77</v>
      </c>
      <c r="H1451" s="133" t="s">
        <v>1816</v>
      </c>
      <c r="I1451" s="102" t="s">
        <v>78</v>
      </c>
      <c r="J1451" s="65" t="s">
        <v>1817</v>
      </c>
      <c r="K1451" s="104"/>
      <c r="L1451" s="48" t="s">
        <v>923</v>
      </c>
      <c r="M1451" s="156">
        <v>42964</v>
      </c>
      <c r="N1451" s="116" t="s">
        <v>81</v>
      </c>
      <c r="O1451" s="68">
        <v>9600</v>
      </c>
      <c r="P1451" s="68">
        <v>6</v>
      </c>
      <c r="Q1451" s="51">
        <f t="shared" si="32"/>
        <v>57600</v>
      </c>
      <c r="R1451" s="31">
        <v>202310</v>
      </c>
      <c r="S1451" s="117" t="s">
        <v>1834</v>
      </c>
      <c r="T1451" s="33"/>
      <c r="U1451" s="117"/>
      <c r="V1451" s="118"/>
      <c r="W1451" s="67"/>
      <c r="X1451" s="67"/>
      <c r="Y1451" s="36"/>
      <c r="Z1451" s="36"/>
      <c r="AA1451" s="36"/>
      <c r="AB1451" s="36"/>
      <c r="AC1451" s="36"/>
      <c r="AD1451" s="36"/>
      <c r="AE1451" s="36"/>
      <c r="AF1451" s="53" t="s">
        <v>68</v>
      </c>
      <c r="AG1451" s="42"/>
      <c r="AH1451" s="42"/>
      <c r="AI1451" s="43"/>
      <c r="AJ1451" s="43"/>
      <c r="AK1451" s="43"/>
      <c r="AL1451" s="43"/>
      <c r="AM1451" s="43"/>
      <c r="AN1451" s="42"/>
      <c r="AO1451" s="42"/>
      <c r="AP1451" s="42"/>
      <c r="AQ1451" s="43"/>
      <c r="AR1451" s="42"/>
      <c r="AS1451" s="42" t="s">
        <v>1820</v>
      </c>
    </row>
    <row r="1452" spans="1:45" ht="15" customHeight="1">
      <c r="A1452" s="21" t="s">
        <v>260</v>
      </c>
      <c r="B1452" s="21" t="s">
        <v>46</v>
      </c>
      <c r="C1452" s="21" t="s">
        <v>188</v>
      </c>
      <c r="D1452" s="21" t="s">
        <v>48</v>
      </c>
      <c r="E1452" s="80" t="s">
        <v>1636</v>
      </c>
      <c r="F1452" s="21" t="s">
        <v>920</v>
      </c>
      <c r="G1452" s="101" t="s">
        <v>77</v>
      </c>
      <c r="H1452" s="133" t="s">
        <v>1816</v>
      </c>
      <c r="I1452" s="102" t="s">
        <v>78</v>
      </c>
      <c r="J1452" s="65" t="s">
        <v>1817</v>
      </c>
      <c r="K1452" s="104"/>
      <c r="L1452" s="48" t="s">
        <v>923</v>
      </c>
      <c r="M1452" s="156">
        <v>42975</v>
      </c>
      <c r="N1452" s="116" t="s">
        <v>81</v>
      </c>
      <c r="O1452" s="68">
        <v>9600</v>
      </c>
      <c r="P1452" s="68">
        <v>1</v>
      </c>
      <c r="Q1452" s="51">
        <f t="shared" si="32"/>
        <v>9600</v>
      </c>
      <c r="R1452" s="31">
        <v>202310</v>
      </c>
      <c r="S1452" s="117" t="s">
        <v>1835</v>
      </c>
      <c r="T1452" s="33"/>
      <c r="U1452" s="117"/>
      <c r="V1452" s="118"/>
      <c r="W1452" s="67"/>
      <c r="X1452" s="67"/>
      <c r="Y1452" s="36"/>
      <c r="Z1452" s="36"/>
      <c r="AA1452" s="36"/>
      <c r="AB1452" s="36"/>
      <c r="AC1452" s="36"/>
      <c r="AD1452" s="36"/>
      <c r="AE1452" s="36"/>
      <c r="AF1452" s="53" t="s">
        <v>68</v>
      </c>
      <c r="AG1452" s="42"/>
      <c r="AH1452" s="42"/>
      <c r="AI1452" s="43"/>
      <c r="AJ1452" s="43"/>
      <c r="AK1452" s="43"/>
      <c r="AL1452" s="43"/>
      <c r="AM1452" s="43"/>
      <c r="AN1452" s="42"/>
      <c r="AO1452" s="42"/>
      <c r="AP1452" s="42"/>
      <c r="AQ1452" s="43"/>
      <c r="AR1452" s="42"/>
      <c r="AS1452" s="42" t="s">
        <v>1820</v>
      </c>
    </row>
    <row r="1453" spans="1:45" ht="15" customHeight="1">
      <c r="A1453" s="21" t="s">
        <v>260</v>
      </c>
      <c r="B1453" s="21" t="s">
        <v>46</v>
      </c>
      <c r="C1453" s="21" t="s">
        <v>188</v>
      </c>
      <c r="D1453" s="21" t="s">
        <v>48</v>
      </c>
      <c r="E1453" s="80" t="s">
        <v>1636</v>
      </c>
      <c r="F1453" s="21" t="s">
        <v>920</v>
      </c>
      <c r="G1453" s="101" t="s">
        <v>77</v>
      </c>
      <c r="H1453" s="133" t="s">
        <v>1816</v>
      </c>
      <c r="I1453" s="102" t="s">
        <v>78</v>
      </c>
      <c r="J1453" s="65" t="s">
        <v>1817</v>
      </c>
      <c r="K1453" s="104"/>
      <c r="L1453" s="48" t="s">
        <v>923</v>
      </c>
      <c r="M1453" s="156">
        <v>42979</v>
      </c>
      <c r="N1453" s="116" t="s">
        <v>81</v>
      </c>
      <c r="O1453" s="68">
        <v>9600</v>
      </c>
      <c r="P1453" s="68">
        <v>3</v>
      </c>
      <c r="Q1453" s="51">
        <f t="shared" ref="Q1453:Q1517" si="33">ROUND(O1453*P1453,2)</f>
        <v>28800</v>
      </c>
      <c r="R1453" s="31">
        <v>202310</v>
      </c>
      <c r="S1453" s="117" t="s">
        <v>1836</v>
      </c>
      <c r="T1453" s="33"/>
      <c r="U1453" s="117"/>
      <c r="V1453" s="118"/>
      <c r="W1453" s="67"/>
      <c r="X1453" s="67"/>
      <c r="Y1453" s="36"/>
      <c r="Z1453" s="36"/>
      <c r="AA1453" s="36"/>
      <c r="AB1453" s="36"/>
      <c r="AC1453" s="36"/>
      <c r="AD1453" s="36"/>
      <c r="AE1453" s="36"/>
      <c r="AF1453" s="53" t="s">
        <v>68</v>
      </c>
      <c r="AG1453" s="42"/>
      <c r="AH1453" s="42"/>
      <c r="AI1453" s="43"/>
      <c r="AJ1453" s="43"/>
      <c r="AK1453" s="43"/>
      <c r="AL1453" s="43"/>
      <c r="AM1453" s="43"/>
      <c r="AN1453" s="42"/>
      <c r="AO1453" s="42"/>
      <c r="AP1453" s="42"/>
      <c r="AQ1453" s="43"/>
      <c r="AR1453" s="42"/>
      <c r="AS1453" s="42" t="s">
        <v>1820</v>
      </c>
    </row>
    <row r="1454" spans="1:45" ht="15" customHeight="1">
      <c r="A1454" s="21" t="s">
        <v>260</v>
      </c>
      <c r="B1454" s="21" t="s">
        <v>46</v>
      </c>
      <c r="C1454" s="21" t="s">
        <v>188</v>
      </c>
      <c r="D1454" s="21" t="s">
        <v>48</v>
      </c>
      <c r="E1454" s="80" t="s">
        <v>1636</v>
      </c>
      <c r="F1454" s="21" t="s">
        <v>920</v>
      </c>
      <c r="G1454" s="101" t="s">
        <v>77</v>
      </c>
      <c r="H1454" s="133" t="s">
        <v>1816</v>
      </c>
      <c r="I1454" s="102" t="s">
        <v>78</v>
      </c>
      <c r="J1454" s="65" t="s">
        <v>1817</v>
      </c>
      <c r="K1454" s="104"/>
      <c r="L1454" s="48" t="s">
        <v>923</v>
      </c>
      <c r="M1454" s="156">
        <v>42979</v>
      </c>
      <c r="N1454" s="116" t="s">
        <v>81</v>
      </c>
      <c r="O1454" s="68">
        <v>9600</v>
      </c>
      <c r="P1454" s="68">
        <v>1</v>
      </c>
      <c r="Q1454" s="51">
        <f t="shared" si="33"/>
        <v>9600</v>
      </c>
      <c r="R1454" s="31">
        <v>202310</v>
      </c>
      <c r="S1454" s="117" t="s">
        <v>1837</v>
      </c>
      <c r="T1454" s="33"/>
      <c r="U1454" s="117"/>
      <c r="V1454" s="118"/>
      <c r="W1454" s="67"/>
      <c r="X1454" s="67"/>
      <c r="Y1454" s="36"/>
      <c r="Z1454" s="36"/>
      <c r="AA1454" s="36"/>
      <c r="AB1454" s="36"/>
      <c r="AC1454" s="36"/>
      <c r="AD1454" s="36"/>
      <c r="AE1454" s="36"/>
      <c r="AF1454" s="53" t="s">
        <v>68</v>
      </c>
      <c r="AG1454" s="42"/>
      <c r="AH1454" s="42"/>
      <c r="AI1454" s="43"/>
      <c r="AJ1454" s="43"/>
      <c r="AK1454" s="43"/>
      <c r="AL1454" s="43"/>
      <c r="AM1454" s="43"/>
      <c r="AN1454" s="42"/>
      <c r="AO1454" s="42"/>
      <c r="AP1454" s="42"/>
      <c r="AQ1454" s="43"/>
      <c r="AR1454" s="42"/>
      <c r="AS1454" s="42" t="s">
        <v>1820</v>
      </c>
    </row>
    <row r="1455" spans="1:45" ht="15" customHeight="1">
      <c r="A1455" s="21" t="s">
        <v>260</v>
      </c>
      <c r="B1455" s="21" t="s">
        <v>46</v>
      </c>
      <c r="C1455" s="21" t="s">
        <v>188</v>
      </c>
      <c r="D1455" s="21" t="s">
        <v>48</v>
      </c>
      <c r="E1455" s="80" t="s">
        <v>1636</v>
      </c>
      <c r="F1455" s="21" t="s">
        <v>920</v>
      </c>
      <c r="G1455" s="101" t="s">
        <v>77</v>
      </c>
      <c r="H1455" s="133" t="s">
        <v>1816</v>
      </c>
      <c r="I1455" s="102" t="s">
        <v>78</v>
      </c>
      <c r="J1455" s="65" t="s">
        <v>1817</v>
      </c>
      <c r="K1455" s="104"/>
      <c r="L1455" s="48" t="s">
        <v>923</v>
      </c>
      <c r="M1455" s="156">
        <v>42979</v>
      </c>
      <c r="N1455" s="116" t="s">
        <v>81</v>
      </c>
      <c r="O1455" s="68">
        <v>9600</v>
      </c>
      <c r="P1455" s="68">
        <v>6</v>
      </c>
      <c r="Q1455" s="51">
        <f t="shared" si="33"/>
        <v>57600</v>
      </c>
      <c r="R1455" s="31">
        <v>202310</v>
      </c>
      <c r="S1455" s="117" t="s">
        <v>1838</v>
      </c>
      <c r="T1455" s="33"/>
      <c r="U1455" s="117"/>
      <c r="V1455" s="118"/>
      <c r="W1455" s="67"/>
      <c r="X1455" s="67"/>
      <c r="Y1455" s="36"/>
      <c r="Z1455" s="36"/>
      <c r="AA1455" s="36"/>
      <c r="AB1455" s="36"/>
      <c r="AC1455" s="36"/>
      <c r="AD1455" s="36"/>
      <c r="AE1455" s="36"/>
      <c r="AF1455" s="53" t="s">
        <v>68</v>
      </c>
      <c r="AG1455" s="42"/>
      <c r="AH1455" s="42"/>
      <c r="AI1455" s="43"/>
      <c r="AJ1455" s="43"/>
      <c r="AK1455" s="43"/>
      <c r="AL1455" s="43"/>
      <c r="AM1455" s="43"/>
      <c r="AN1455" s="42"/>
      <c r="AO1455" s="42"/>
      <c r="AP1455" s="42"/>
      <c r="AQ1455" s="43"/>
      <c r="AR1455" s="42"/>
      <c r="AS1455" s="42" t="s">
        <v>1820</v>
      </c>
    </row>
    <row r="1456" spans="1:45" ht="15" customHeight="1">
      <c r="A1456" s="21" t="s">
        <v>260</v>
      </c>
      <c r="B1456" s="21" t="s">
        <v>46</v>
      </c>
      <c r="C1456" s="21" t="s">
        <v>188</v>
      </c>
      <c r="D1456" s="21" t="s">
        <v>48</v>
      </c>
      <c r="E1456" s="80" t="s">
        <v>1636</v>
      </c>
      <c r="F1456" s="21" t="s">
        <v>920</v>
      </c>
      <c r="G1456" s="101" t="s">
        <v>77</v>
      </c>
      <c r="H1456" s="133" t="s">
        <v>1816</v>
      </c>
      <c r="I1456" s="102" t="s">
        <v>78</v>
      </c>
      <c r="J1456" s="65" t="s">
        <v>1817</v>
      </c>
      <c r="K1456" s="104"/>
      <c r="L1456" s="48" t="s">
        <v>923</v>
      </c>
      <c r="M1456" s="156">
        <v>42979</v>
      </c>
      <c r="N1456" s="116" t="s">
        <v>81</v>
      </c>
      <c r="O1456" s="68">
        <v>9600</v>
      </c>
      <c r="P1456" s="68">
        <v>4</v>
      </c>
      <c r="Q1456" s="51">
        <f t="shared" si="33"/>
        <v>38400</v>
      </c>
      <c r="R1456" s="31">
        <v>202310</v>
      </c>
      <c r="S1456" s="117" t="s">
        <v>1839</v>
      </c>
      <c r="T1456" s="33"/>
      <c r="U1456" s="117"/>
      <c r="V1456" s="118"/>
      <c r="W1456" s="67"/>
      <c r="X1456" s="67"/>
      <c r="Y1456" s="36"/>
      <c r="Z1456" s="36"/>
      <c r="AA1456" s="36"/>
      <c r="AB1456" s="36"/>
      <c r="AC1456" s="36"/>
      <c r="AD1456" s="36"/>
      <c r="AE1456" s="36"/>
      <c r="AF1456" s="53" t="s">
        <v>68</v>
      </c>
      <c r="AG1456" s="42"/>
      <c r="AH1456" s="42"/>
      <c r="AI1456" s="43"/>
      <c r="AJ1456" s="43"/>
      <c r="AK1456" s="43"/>
      <c r="AL1456" s="43"/>
      <c r="AM1456" s="43"/>
      <c r="AN1456" s="42"/>
      <c r="AO1456" s="42"/>
      <c r="AP1456" s="42"/>
      <c r="AQ1456" s="43"/>
      <c r="AR1456" s="42"/>
      <c r="AS1456" s="42" t="s">
        <v>1820</v>
      </c>
    </row>
    <row r="1457" spans="1:45" ht="15" customHeight="1">
      <c r="A1457" s="21" t="s">
        <v>260</v>
      </c>
      <c r="B1457" s="21" t="s">
        <v>46</v>
      </c>
      <c r="C1457" s="21" t="s">
        <v>188</v>
      </c>
      <c r="D1457" s="21" t="s">
        <v>48</v>
      </c>
      <c r="E1457" s="80" t="s">
        <v>1636</v>
      </c>
      <c r="F1457" s="21" t="s">
        <v>920</v>
      </c>
      <c r="G1457" s="101" t="s">
        <v>77</v>
      </c>
      <c r="H1457" s="133" t="s">
        <v>1816</v>
      </c>
      <c r="I1457" s="102" t="s">
        <v>78</v>
      </c>
      <c r="J1457" s="65" t="s">
        <v>1817</v>
      </c>
      <c r="K1457" s="104"/>
      <c r="L1457" s="48" t="s">
        <v>923</v>
      </c>
      <c r="M1457" s="156">
        <v>42979</v>
      </c>
      <c r="N1457" s="116" t="s">
        <v>81</v>
      </c>
      <c r="O1457" s="68">
        <v>9600</v>
      </c>
      <c r="P1457" s="68">
        <v>4</v>
      </c>
      <c r="Q1457" s="51">
        <f t="shared" si="33"/>
        <v>38400</v>
      </c>
      <c r="R1457" s="31">
        <v>202310</v>
      </c>
      <c r="S1457" s="117" t="s">
        <v>1840</v>
      </c>
      <c r="T1457" s="33"/>
      <c r="U1457" s="117"/>
      <c r="V1457" s="118"/>
      <c r="W1457" s="67"/>
      <c r="X1457" s="67"/>
      <c r="Y1457" s="36"/>
      <c r="Z1457" s="36"/>
      <c r="AA1457" s="36"/>
      <c r="AB1457" s="36"/>
      <c r="AC1457" s="36"/>
      <c r="AD1457" s="36"/>
      <c r="AE1457" s="36"/>
      <c r="AF1457" s="53" t="s">
        <v>68</v>
      </c>
      <c r="AG1457" s="42"/>
      <c r="AH1457" s="42"/>
      <c r="AI1457" s="43"/>
      <c r="AJ1457" s="43"/>
      <c r="AK1457" s="43"/>
      <c r="AL1457" s="43"/>
      <c r="AM1457" s="43"/>
      <c r="AN1457" s="42"/>
      <c r="AO1457" s="42"/>
      <c r="AP1457" s="42"/>
      <c r="AQ1457" s="43"/>
      <c r="AR1457" s="42"/>
      <c r="AS1457" s="42" t="s">
        <v>1820</v>
      </c>
    </row>
    <row r="1458" spans="1:45" ht="15" customHeight="1">
      <c r="A1458" s="21" t="s">
        <v>260</v>
      </c>
      <c r="B1458" s="21" t="s">
        <v>46</v>
      </c>
      <c r="C1458" s="21" t="s">
        <v>188</v>
      </c>
      <c r="D1458" s="21" t="s">
        <v>48</v>
      </c>
      <c r="E1458" s="80" t="s">
        <v>1636</v>
      </c>
      <c r="F1458" s="21" t="s">
        <v>920</v>
      </c>
      <c r="G1458" s="101" t="s">
        <v>77</v>
      </c>
      <c r="H1458" s="133" t="s">
        <v>1816</v>
      </c>
      <c r="I1458" s="102" t="s">
        <v>78</v>
      </c>
      <c r="J1458" s="65" t="s">
        <v>1817</v>
      </c>
      <c r="K1458" s="104"/>
      <c r="L1458" s="48" t="s">
        <v>923</v>
      </c>
      <c r="M1458" s="156">
        <v>42979</v>
      </c>
      <c r="N1458" s="116" t="s">
        <v>81</v>
      </c>
      <c r="O1458" s="68">
        <v>9600</v>
      </c>
      <c r="P1458" s="68">
        <v>8</v>
      </c>
      <c r="Q1458" s="51">
        <f t="shared" si="33"/>
        <v>76800</v>
      </c>
      <c r="R1458" s="31">
        <v>202310</v>
      </c>
      <c r="S1458" s="117" t="s">
        <v>1841</v>
      </c>
      <c r="T1458" s="33"/>
      <c r="U1458" s="117"/>
      <c r="V1458" s="118"/>
      <c r="W1458" s="67"/>
      <c r="X1458" s="67"/>
      <c r="Y1458" s="36"/>
      <c r="Z1458" s="36"/>
      <c r="AA1458" s="36"/>
      <c r="AB1458" s="36"/>
      <c r="AC1458" s="36"/>
      <c r="AD1458" s="36"/>
      <c r="AE1458" s="36"/>
      <c r="AF1458" s="53" t="s">
        <v>68</v>
      </c>
      <c r="AG1458" s="42"/>
      <c r="AH1458" s="42"/>
      <c r="AI1458" s="43"/>
      <c r="AJ1458" s="43"/>
      <c r="AK1458" s="43"/>
      <c r="AL1458" s="43"/>
      <c r="AM1458" s="43"/>
      <c r="AN1458" s="42"/>
      <c r="AO1458" s="42"/>
      <c r="AP1458" s="42"/>
      <c r="AQ1458" s="43"/>
      <c r="AR1458" s="42"/>
      <c r="AS1458" s="42" t="s">
        <v>1820</v>
      </c>
    </row>
    <row r="1459" spans="1:45" ht="15" customHeight="1">
      <c r="A1459" s="21" t="s">
        <v>260</v>
      </c>
      <c r="B1459" s="21" t="s">
        <v>46</v>
      </c>
      <c r="C1459" s="21" t="s">
        <v>188</v>
      </c>
      <c r="D1459" s="21" t="s">
        <v>48</v>
      </c>
      <c r="E1459" s="80" t="s">
        <v>1636</v>
      </c>
      <c r="F1459" s="21" t="s">
        <v>920</v>
      </c>
      <c r="G1459" s="101" t="s">
        <v>77</v>
      </c>
      <c r="H1459" s="133" t="s">
        <v>1816</v>
      </c>
      <c r="I1459" s="102" t="s">
        <v>78</v>
      </c>
      <c r="J1459" s="65" t="s">
        <v>1817</v>
      </c>
      <c r="K1459" s="104"/>
      <c r="L1459" s="48" t="s">
        <v>923</v>
      </c>
      <c r="M1459" s="156">
        <v>42984</v>
      </c>
      <c r="N1459" s="116" t="s">
        <v>81</v>
      </c>
      <c r="O1459" s="68">
        <v>9600</v>
      </c>
      <c r="P1459" s="68">
        <v>4</v>
      </c>
      <c r="Q1459" s="51">
        <f t="shared" si="33"/>
        <v>38400</v>
      </c>
      <c r="R1459" s="31">
        <v>202310</v>
      </c>
      <c r="S1459" s="117" t="s">
        <v>1842</v>
      </c>
      <c r="T1459" s="33"/>
      <c r="U1459" s="117"/>
      <c r="V1459" s="118"/>
      <c r="W1459" s="67"/>
      <c r="X1459" s="67"/>
      <c r="Y1459" s="36"/>
      <c r="Z1459" s="36"/>
      <c r="AA1459" s="36"/>
      <c r="AB1459" s="36"/>
      <c r="AC1459" s="36"/>
      <c r="AD1459" s="36"/>
      <c r="AE1459" s="36"/>
      <c r="AF1459" s="53" t="s">
        <v>68</v>
      </c>
      <c r="AG1459" s="42"/>
      <c r="AH1459" s="42"/>
      <c r="AI1459" s="43"/>
      <c r="AJ1459" s="43"/>
      <c r="AK1459" s="43"/>
      <c r="AL1459" s="43"/>
      <c r="AM1459" s="43"/>
      <c r="AN1459" s="42"/>
      <c r="AO1459" s="42"/>
      <c r="AP1459" s="42"/>
      <c r="AQ1459" s="43"/>
      <c r="AR1459" s="42"/>
      <c r="AS1459" s="42" t="s">
        <v>1820</v>
      </c>
    </row>
    <row r="1460" spans="1:45" ht="15" customHeight="1">
      <c r="A1460" s="21" t="s">
        <v>260</v>
      </c>
      <c r="B1460" s="21" t="s">
        <v>46</v>
      </c>
      <c r="C1460" s="21" t="s">
        <v>188</v>
      </c>
      <c r="D1460" s="21" t="s">
        <v>48</v>
      </c>
      <c r="E1460" s="80" t="s">
        <v>1636</v>
      </c>
      <c r="F1460" s="21" t="s">
        <v>920</v>
      </c>
      <c r="G1460" s="101" t="s">
        <v>77</v>
      </c>
      <c r="H1460" s="133" t="s">
        <v>1816</v>
      </c>
      <c r="I1460" s="102" t="s">
        <v>78</v>
      </c>
      <c r="J1460" s="65" t="s">
        <v>1817</v>
      </c>
      <c r="K1460" s="104"/>
      <c r="L1460" s="48" t="s">
        <v>923</v>
      </c>
      <c r="M1460" s="156">
        <v>42990</v>
      </c>
      <c r="N1460" s="116" t="s">
        <v>81</v>
      </c>
      <c r="O1460" s="68">
        <v>9600</v>
      </c>
      <c r="P1460" s="68">
        <v>5</v>
      </c>
      <c r="Q1460" s="51">
        <f t="shared" si="33"/>
        <v>48000</v>
      </c>
      <c r="R1460" s="31">
        <v>202310</v>
      </c>
      <c r="S1460" s="117" t="s">
        <v>1843</v>
      </c>
      <c r="T1460" s="33"/>
      <c r="U1460" s="117"/>
      <c r="V1460" s="118"/>
      <c r="W1460" s="67"/>
      <c r="X1460" s="67"/>
      <c r="Y1460" s="36"/>
      <c r="Z1460" s="36"/>
      <c r="AA1460" s="36"/>
      <c r="AB1460" s="36"/>
      <c r="AC1460" s="36"/>
      <c r="AD1460" s="36"/>
      <c r="AE1460" s="36"/>
      <c r="AF1460" s="53" t="s">
        <v>68</v>
      </c>
      <c r="AG1460" s="42"/>
      <c r="AH1460" s="42"/>
      <c r="AI1460" s="43"/>
      <c r="AJ1460" s="43"/>
      <c r="AK1460" s="43"/>
      <c r="AL1460" s="43"/>
      <c r="AM1460" s="43"/>
      <c r="AN1460" s="42"/>
      <c r="AO1460" s="42"/>
      <c r="AP1460" s="42"/>
      <c r="AQ1460" s="43"/>
      <c r="AR1460" s="42"/>
      <c r="AS1460" s="42" t="s">
        <v>1820</v>
      </c>
    </row>
    <row r="1461" spans="1:45" ht="15" customHeight="1">
      <c r="A1461" s="21" t="s">
        <v>260</v>
      </c>
      <c r="B1461" s="21" t="s">
        <v>46</v>
      </c>
      <c r="C1461" s="21" t="s">
        <v>188</v>
      </c>
      <c r="D1461" s="21" t="s">
        <v>48</v>
      </c>
      <c r="E1461" s="80" t="s">
        <v>1636</v>
      </c>
      <c r="F1461" s="21" t="s">
        <v>920</v>
      </c>
      <c r="G1461" s="101" t="s">
        <v>77</v>
      </c>
      <c r="H1461" s="133" t="s">
        <v>1816</v>
      </c>
      <c r="I1461" s="102" t="s">
        <v>78</v>
      </c>
      <c r="J1461" s="65" t="s">
        <v>1817</v>
      </c>
      <c r="K1461" s="104"/>
      <c r="L1461" s="48" t="s">
        <v>923</v>
      </c>
      <c r="M1461" s="156">
        <v>42992</v>
      </c>
      <c r="N1461" s="116" t="s">
        <v>81</v>
      </c>
      <c r="O1461" s="68">
        <v>9600</v>
      </c>
      <c r="P1461" s="68">
        <v>7</v>
      </c>
      <c r="Q1461" s="51">
        <f t="shared" si="33"/>
        <v>67200</v>
      </c>
      <c r="R1461" s="31">
        <v>202310</v>
      </c>
      <c r="S1461" s="117" t="s">
        <v>1844</v>
      </c>
      <c r="T1461" s="33"/>
      <c r="U1461" s="117"/>
      <c r="V1461" s="118"/>
      <c r="W1461" s="67"/>
      <c r="X1461" s="67"/>
      <c r="Y1461" s="36"/>
      <c r="Z1461" s="36"/>
      <c r="AA1461" s="36"/>
      <c r="AB1461" s="36"/>
      <c r="AC1461" s="36"/>
      <c r="AD1461" s="36"/>
      <c r="AE1461" s="36"/>
      <c r="AF1461" s="53" t="s">
        <v>68</v>
      </c>
      <c r="AG1461" s="42"/>
      <c r="AH1461" s="42"/>
      <c r="AI1461" s="43"/>
      <c r="AJ1461" s="43"/>
      <c r="AK1461" s="43"/>
      <c r="AL1461" s="43"/>
      <c r="AM1461" s="43"/>
      <c r="AN1461" s="42"/>
      <c r="AO1461" s="42"/>
      <c r="AP1461" s="42"/>
      <c r="AQ1461" s="43"/>
      <c r="AR1461" s="42"/>
      <c r="AS1461" s="42" t="s">
        <v>1820</v>
      </c>
    </row>
    <row r="1462" spans="1:45" ht="15" customHeight="1">
      <c r="A1462" s="21" t="s">
        <v>260</v>
      </c>
      <c r="B1462" s="21" t="s">
        <v>46</v>
      </c>
      <c r="C1462" s="21" t="s">
        <v>188</v>
      </c>
      <c r="D1462" s="21" t="s">
        <v>48</v>
      </c>
      <c r="E1462" s="80" t="s">
        <v>1636</v>
      </c>
      <c r="F1462" s="21" t="s">
        <v>920</v>
      </c>
      <c r="G1462" s="101" t="s">
        <v>77</v>
      </c>
      <c r="H1462" s="133" t="s">
        <v>1816</v>
      </c>
      <c r="I1462" s="102" t="s">
        <v>78</v>
      </c>
      <c r="J1462" s="65" t="s">
        <v>1817</v>
      </c>
      <c r="K1462" s="104"/>
      <c r="L1462" s="48" t="s">
        <v>923</v>
      </c>
      <c r="M1462" s="156">
        <v>42996</v>
      </c>
      <c r="N1462" s="116" t="s">
        <v>81</v>
      </c>
      <c r="O1462" s="68">
        <v>9600</v>
      </c>
      <c r="P1462" s="68">
        <v>1</v>
      </c>
      <c r="Q1462" s="51">
        <f t="shared" si="33"/>
        <v>9600</v>
      </c>
      <c r="R1462" s="31">
        <v>202310</v>
      </c>
      <c r="S1462" s="117" t="s">
        <v>1845</v>
      </c>
      <c r="T1462" s="33"/>
      <c r="U1462" s="117"/>
      <c r="V1462" s="118"/>
      <c r="W1462" s="67"/>
      <c r="X1462" s="67"/>
      <c r="Y1462" s="36"/>
      <c r="Z1462" s="36"/>
      <c r="AA1462" s="36"/>
      <c r="AB1462" s="36"/>
      <c r="AC1462" s="36"/>
      <c r="AD1462" s="36"/>
      <c r="AE1462" s="36"/>
      <c r="AF1462" s="53" t="s">
        <v>68</v>
      </c>
      <c r="AG1462" s="42"/>
      <c r="AH1462" s="42"/>
      <c r="AI1462" s="43"/>
      <c r="AJ1462" s="43"/>
      <c r="AK1462" s="43"/>
      <c r="AL1462" s="43"/>
      <c r="AM1462" s="43"/>
      <c r="AN1462" s="42"/>
      <c r="AO1462" s="42"/>
      <c r="AP1462" s="42"/>
      <c r="AQ1462" s="43"/>
      <c r="AR1462" s="42"/>
      <c r="AS1462" s="42" t="s">
        <v>1820</v>
      </c>
    </row>
    <row r="1463" spans="1:45" ht="15" customHeight="1">
      <c r="A1463" s="21" t="s">
        <v>260</v>
      </c>
      <c r="B1463" s="21" t="s">
        <v>46</v>
      </c>
      <c r="C1463" s="21" t="s">
        <v>188</v>
      </c>
      <c r="D1463" s="21" t="s">
        <v>48</v>
      </c>
      <c r="E1463" s="80" t="s">
        <v>1636</v>
      </c>
      <c r="F1463" s="21" t="s">
        <v>920</v>
      </c>
      <c r="G1463" s="101" t="s">
        <v>77</v>
      </c>
      <c r="H1463" s="133" t="s">
        <v>1816</v>
      </c>
      <c r="I1463" s="102" t="s">
        <v>78</v>
      </c>
      <c r="J1463" s="65" t="s">
        <v>1817</v>
      </c>
      <c r="K1463" s="104"/>
      <c r="L1463" s="48" t="s">
        <v>923</v>
      </c>
      <c r="M1463" s="156">
        <v>43000</v>
      </c>
      <c r="N1463" s="116" t="s">
        <v>81</v>
      </c>
      <c r="O1463" s="68">
        <v>9600</v>
      </c>
      <c r="P1463" s="68">
        <v>10</v>
      </c>
      <c r="Q1463" s="51">
        <f t="shared" si="33"/>
        <v>96000</v>
      </c>
      <c r="R1463" s="31">
        <v>202310</v>
      </c>
      <c r="S1463" s="117" t="s">
        <v>1846</v>
      </c>
      <c r="T1463" s="33"/>
      <c r="U1463" s="117"/>
      <c r="V1463" s="118"/>
      <c r="W1463" s="67"/>
      <c r="X1463" s="67"/>
      <c r="Y1463" s="36"/>
      <c r="Z1463" s="36"/>
      <c r="AA1463" s="36"/>
      <c r="AB1463" s="36"/>
      <c r="AC1463" s="36"/>
      <c r="AD1463" s="36"/>
      <c r="AE1463" s="36"/>
      <c r="AF1463" s="53" t="s">
        <v>68</v>
      </c>
      <c r="AG1463" s="42"/>
      <c r="AH1463" s="42"/>
      <c r="AI1463" s="43"/>
      <c r="AJ1463" s="43"/>
      <c r="AK1463" s="43"/>
      <c r="AL1463" s="43"/>
      <c r="AM1463" s="43"/>
      <c r="AN1463" s="42"/>
      <c r="AO1463" s="42"/>
      <c r="AP1463" s="42"/>
      <c r="AQ1463" s="43"/>
      <c r="AR1463" s="42"/>
      <c r="AS1463" s="42" t="s">
        <v>1820</v>
      </c>
    </row>
    <row r="1464" spans="1:45" ht="15" customHeight="1">
      <c r="A1464" s="21" t="s">
        <v>260</v>
      </c>
      <c r="B1464" s="21" t="s">
        <v>46</v>
      </c>
      <c r="C1464" s="21" t="s">
        <v>188</v>
      </c>
      <c r="D1464" s="21" t="s">
        <v>48</v>
      </c>
      <c r="E1464" s="80" t="s">
        <v>1636</v>
      </c>
      <c r="F1464" s="21" t="s">
        <v>920</v>
      </c>
      <c r="G1464" s="101" t="s">
        <v>77</v>
      </c>
      <c r="H1464" s="133" t="s">
        <v>1816</v>
      </c>
      <c r="I1464" s="102" t="s">
        <v>78</v>
      </c>
      <c r="J1464" s="65" t="s">
        <v>1817</v>
      </c>
      <c r="K1464" s="104"/>
      <c r="L1464" s="48" t="s">
        <v>923</v>
      </c>
      <c r="M1464" s="156">
        <v>43005</v>
      </c>
      <c r="N1464" s="116" t="s">
        <v>81</v>
      </c>
      <c r="O1464" s="68">
        <v>9600</v>
      </c>
      <c r="P1464" s="68">
        <v>13</v>
      </c>
      <c r="Q1464" s="51">
        <f t="shared" si="33"/>
        <v>124800</v>
      </c>
      <c r="R1464" s="31">
        <v>202310</v>
      </c>
      <c r="S1464" s="117" t="s">
        <v>1847</v>
      </c>
      <c r="T1464" s="33"/>
      <c r="U1464" s="117"/>
      <c r="V1464" s="118"/>
      <c r="W1464" s="67"/>
      <c r="X1464" s="67"/>
      <c r="Y1464" s="36"/>
      <c r="Z1464" s="36"/>
      <c r="AA1464" s="36"/>
      <c r="AB1464" s="36"/>
      <c r="AC1464" s="36"/>
      <c r="AD1464" s="36"/>
      <c r="AE1464" s="36"/>
      <c r="AF1464" s="53" t="s">
        <v>68</v>
      </c>
      <c r="AG1464" s="42"/>
      <c r="AH1464" s="42"/>
      <c r="AI1464" s="43"/>
      <c r="AJ1464" s="43"/>
      <c r="AK1464" s="43"/>
      <c r="AL1464" s="43"/>
      <c r="AM1464" s="43"/>
      <c r="AN1464" s="42"/>
      <c r="AO1464" s="42"/>
      <c r="AP1464" s="42"/>
      <c r="AQ1464" s="43"/>
      <c r="AR1464" s="42"/>
      <c r="AS1464" s="42" t="s">
        <v>1820</v>
      </c>
    </row>
    <row r="1465" spans="1:45" ht="15" customHeight="1">
      <c r="A1465" s="21" t="s">
        <v>260</v>
      </c>
      <c r="B1465" s="21" t="s">
        <v>46</v>
      </c>
      <c r="C1465" s="21" t="s">
        <v>188</v>
      </c>
      <c r="D1465" s="21" t="s">
        <v>48</v>
      </c>
      <c r="E1465" s="80" t="s">
        <v>1636</v>
      </c>
      <c r="F1465" s="21" t="s">
        <v>920</v>
      </c>
      <c r="G1465" s="101" t="s">
        <v>77</v>
      </c>
      <c r="H1465" s="133" t="s">
        <v>1816</v>
      </c>
      <c r="I1465" s="102" t="s">
        <v>78</v>
      </c>
      <c r="J1465" s="65" t="s">
        <v>1817</v>
      </c>
      <c r="K1465" s="104"/>
      <c r="L1465" s="48" t="s">
        <v>923</v>
      </c>
      <c r="M1465" s="156">
        <v>43005</v>
      </c>
      <c r="N1465" s="116" t="s">
        <v>81</v>
      </c>
      <c r="O1465" s="68">
        <v>9600</v>
      </c>
      <c r="P1465" s="68">
        <v>4</v>
      </c>
      <c r="Q1465" s="51">
        <f t="shared" si="33"/>
        <v>38400</v>
      </c>
      <c r="R1465" s="31">
        <v>202310</v>
      </c>
      <c r="S1465" s="117" t="s">
        <v>1848</v>
      </c>
      <c r="T1465" s="33"/>
      <c r="U1465" s="117"/>
      <c r="V1465" s="118"/>
      <c r="W1465" s="67"/>
      <c r="X1465" s="67"/>
      <c r="Y1465" s="36"/>
      <c r="Z1465" s="36"/>
      <c r="AA1465" s="36"/>
      <c r="AB1465" s="36"/>
      <c r="AC1465" s="36"/>
      <c r="AD1465" s="36"/>
      <c r="AE1465" s="36"/>
      <c r="AF1465" s="53" t="s">
        <v>68</v>
      </c>
      <c r="AG1465" s="42"/>
      <c r="AH1465" s="42"/>
      <c r="AI1465" s="43"/>
      <c r="AJ1465" s="43"/>
      <c r="AK1465" s="43"/>
      <c r="AL1465" s="43"/>
      <c r="AM1465" s="43"/>
      <c r="AN1465" s="42"/>
      <c r="AO1465" s="42"/>
      <c r="AP1465" s="42"/>
      <c r="AQ1465" s="43"/>
      <c r="AR1465" s="42"/>
      <c r="AS1465" s="42" t="s">
        <v>1820</v>
      </c>
    </row>
    <row r="1466" spans="1:45" ht="15" customHeight="1">
      <c r="A1466" s="21" t="s">
        <v>260</v>
      </c>
      <c r="B1466" s="21" t="s">
        <v>46</v>
      </c>
      <c r="C1466" s="21" t="s">
        <v>188</v>
      </c>
      <c r="D1466" s="21" t="s">
        <v>48</v>
      </c>
      <c r="E1466" s="80" t="s">
        <v>1636</v>
      </c>
      <c r="F1466" s="21" t="s">
        <v>920</v>
      </c>
      <c r="G1466" s="101" t="s">
        <v>77</v>
      </c>
      <c r="H1466" s="133" t="s">
        <v>1816</v>
      </c>
      <c r="I1466" s="102" t="s">
        <v>78</v>
      </c>
      <c r="J1466" s="65" t="s">
        <v>1817</v>
      </c>
      <c r="K1466" s="104"/>
      <c r="L1466" s="48" t="s">
        <v>923</v>
      </c>
      <c r="M1466" s="156">
        <v>43005</v>
      </c>
      <c r="N1466" s="116" t="s">
        <v>81</v>
      </c>
      <c r="O1466" s="68">
        <v>9600</v>
      </c>
      <c r="P1466" s="68">
        <v>1</v>
      </c>
      <c r="Q1466" s="51">
        <f t="shared" si="33"/>
        <v>9600</v>
      </c>
      <c r="R1466" s="31">
        <v>202310</v>
      </c>
      <c r="S1466" s="117" t="s">
        <v>1849</v>
      </c>
      <c r="T1466" s="33"/>
      <c r="U1466" s="117"/>
      <c r="V1466" s="118"/>
      <c r="W1466" s="67"/>
      <c r="X1466" s="67"/>
      <c r="Y1466" s="36"/>
      <c r="Z1466" s="36"/>
      <c r="AA1466" s="36"/>
      <c r="AB1466" s="36"/>
      <c r="AC1466" s="36"/>
      <c r="AD1466" s="36"/>
      <c r="AE1466" s="36"/>
      <c r="AF1466" s="53" t="s">
        <v>68</v>
      </c>
      <c r="AG1466" s="42"/>
      <c r="AH1466" s="42"/>
      <c r="AI1466" s="43"/>
      <c r="AJ1466" s="43"/>
      <c r="AK1466" s="43"/>
      <c r="AL1466" s="43"/>
      <c r="AM1466" s="43"/>
      <c r="AN1466" s="42"/>
      <c r="AO1466" s="42"/>
      <c r="AP1466" s="42"/>
      <c r="AQ1466" s="43"/>
      <c r="AR1466" s="42"/>
      <c r="AS1466" s="42" t="s">
        <v>1820</v>
      </c>
    </row>
    <row r="1467" spans="1:45" ht="15" customHeight="1">
      <c r="A1467" s="21" t="s">
        <v>260</v>
      </c>
      <c r="B1467" s="21" t="s">
        <v>46</v>
      </c>
      <c r="C1467" s="21" t="s">
        <v>188</v>
      </c>
      <c r="D1467" s="21" t="s">
        <v>48</v>
      </c>
      <c r="E1467" s="80" t="s">
        <v>1636</v>
      </c>
      <c r="F1467" s="21" t="s">
        <v>920</v>
      </c>
      <c r="G1467" s="101" t="s">
        <v>77</v>
      </c>
      <c r="H1467" s="133" t="s">
        <v>1816</v>
      </c>
      <c r="I1467" s="102" t="s">
        <v>78</v>
      </c>
      <c r="J1467" s="65" t="s">
        <v>1817</v>
      </c>
      <c r="K1467" s="104"/>
      <c r="L1467" s="48" t="s">
        <v>923</v>
      </c>
      <c r="M1467" s="156">
        <v>43005</v>
      </c>
      <c r="N1467" s="116" t="s">
        <v>81</v>
      </c>
      <c r="O1467" s="68">
        <v>9600</v>
      </c>
      <c r="P1467" s="68">
        <v>6</v>
      </c>
      <c r="Q1467" s="51">
        <f t="shared" si="33"/>
        <v>57600</v>
      </c>
      <c r="R1467" s="31">
        <v>202310</v>
      </c>
      <c r="S1467" s="117" t="s">
        <v>1850</v>
      </c>
      <c r="T1467" s="33"/>
      <c r="U1467" s="117"/>
      <c r="V1467" s="118"/>
      <c r="W1467" s="67"/>
      <c r="X1467" s="67"/>
      <c r="Y1467" s="36"/>
      <c r="Z1467" s="36"/>
      <c r="AA1467" s="36"/>
      <c r="AB1467" s="36"/>
      <c r="AC1467" s="36"/>
      <c r="AD1467" s="36"/>
      <c r="AE1467" s="36"/>
      <c r="AF1467" s="53" t="s">
        <v>68</v>
      </c>
      <c r="AG1467" s="42"/>
      <c r="AH1467" s="42"/>
      <c r="AI1467" s="43"/>
      <c r="AJ1467" s="43"/>
      <c r="AK1467" s="43"/>
      <c r="AL1467" s="43"/>
      <c r="AM1467" s="43"/>
      <c r="AN1467" s="42"/>
      <c r="AO1467" s="42"/>
      <c r="AP1467" s="42"/>
      <c r="AQ1467" s="43"/>
      <c r="AR1467" s="42"/>
      <c r="AS1467" s="42" t="s">
        <v>1820</v>
      </c>
    </row>
    <row r="1468" spans="1:45" ht="15" customHeight="1">
      <c r="A1468" s="21" t="s">
        <v>260</v>
      </c>
      <c r="B1468" s="21" t="s">
        <v>46</v>
      </c>
      <c r="C1468" s="21" t="s">
        <v>188</v>
      </c>
      <c r="D1468" s="21" t="s">
        <v>48</v>
      </c>
      <c r="E1468" s="80" t="s">
        <v>1636</v>
      </c>
      <c r="F1468" s="21" t="s">
        <v>920</v>
      </c>
      <c r="G1468" s="101" t="s">
        <v>77</v>
      </c>
      <c r="H1468" s="133" t="s">
        <v>1816</v>
      </c>
      <c r="I1468" s="102" t="s">
        <v>78</v>
      </c>
      <c r="J1468" s="65" t="s">
        <v>1817</v>
      </c>
      <c r="K1468" s="104"/>
      <c r="L1468" s="48" t="s">
        <v>923</v>
      </c>
      <c r="M1468" s="156">
        <v>43008</v>
      </c>
      <c r="N1468" s="116" t="s">
        <v>81</v>
      </c>
      <c r="O1468" s="68">
        <v>9600</v>
      </c>
      <c r="P1468" s="68">
        <v>10</v>
      </c>
      <c r="Q1468" s="51">
        <f t="shared" si="33"/>
        <v>96000</v>
      </c>
      <c r="R1468" s="31">
        <v>202310</v>
      </c>
      <c r="S1468" s="117" t="s">
        <v>1851</v>
      </c>
      <c r="T1468" s="33"/>
      <c r="U1468" s="117"/>
      <c r="V1468" s="118"/>
      <c r="W1468" s="67"/>
      <c r="X1468" s="67"/>
      <c r="Y1468" s="36"/>
      <c r="Z1468" s="36"/>
      <c r="AA1468" s="36"/>
      <c r="AB1468" s="36"/>
      <c r="AC1468" s="36"/>
      <c r="AD1468" s="36"/>
      <c r="AE1468" s="36"/>
      <c r="AF1468" s="53" t="s">
        <v>68</v>
      </c>
      <c r="AG1468" s="42"/>
      <c r="AH1468" s="42"/>
      <c r="AI1468" s="43"/>
      <c r="AJ1468" s="43"/>
      <c r="AK1468" s="43"/>
      <c r="AL1468" s="43"/>
      <c r="AM1468" s="43"/>
      <c r="AN1468" s="42"/>
      <c r="AO1468" s="42"/>
      <c r="AP1468" s="42"/>
      <c r="AQ1468" s="43"/>
      <c r="AR1468" s="42"/>
      <c r="AS1468" s="42" t="s">
        <v>1820</v>
      </c>
    </row>
    <row r="1469" spans="1:45" ht="15" customHeight="1">
      <c r="A1469" s="21" t="s">
        <v>260</v>
      </c>
      <c r="B1469" s="21" t="s">
        <v>46</v>
      </c>
      <c r="C1469" s="21" t="s">
        <v>188</v>
      </c>
      <c r="D1469" s="21" t="s">
        <v>48</v>
      </c>
      <c r="E1469" s="80" t="s">
        <v>1636</v>
      </c>
      <c r="F1469" s="21" t="s">
        <v>920</v>
      </c>
      <c r="G1469" s="101" t="s">
        <v>77</v>
      </c>
      <c r="H1469" s="133" t="s">
        <v>1816</v>
      </c>
      <c r="I1469" s="102" t="s">
        <v>78</v>
      </c>
      <c r="J1469" s="65" t="s">
        <v>1817</v>
      </c>
      <c r="K1469" s="104"/>
      <c r="L1469" s="48" t="s">
        <v>923</v>
      </c>
      <c r="M1469" s="156">
        <v>43008</v>
      </c>
      <c r="N1469" s="116" t="s">
        <v>81</v>
      </c>
      <c r="O1469" s="68">
        <v>9600</v>
      </c>
      <c r="P1469" s="68">
        <v>14</v>
      </c>
      <c r="Q1469" s="51">
        <f t="shared" si="33"/>
        <v>134400</v>
      </c>
      <c r="R1469" s="31">
        <v>202310</v>
      </c>
      <c r="S1469" s="117" t="s">
        <v>1852</v>
      </c>
      <c r="T1469" s="33"/>
      <c r="U1469" s="117"/>
      <c r="V1469" s="118"/>
      <c r="W1469" s="67"/>
      <c r="X1469" s="67"/>
      <c r="Y1469" s="36"/>
      <c r="Z1469" s="36"/>
      <c r="AA1469" s="36"/>
      <c r="AB1469" s="36"/>
      <c r="AC1469" s="36"/>
      <c r="AD1469" s="36"/>
      <c r="AE1469" s="36"/>
      <c r="AF1469" s="53" t="s">
        <v>68</v>
      </c>
      <c r="AG1469" s="42"/>
      <c r="AH1469" s="42"/>
      <c r="AI1469" s="43"/>
      <c r="AJ1469" s="43"/>
      <c r="AK1469" s="43"/>
      <c r="AL1469" s="43"/>
      <c r="AM1469" s="43"/>
      <c r="AN1469" s="42"/>
      <c r="AO1469" s="42"/>
      <c r="AP1469" s="42"/>
      <c r="AQ1469" s="43"/>
      <c r="AR1469" s="42"/>
      <c r="AS1469" s="42" t="s">
        <v>1820</v>
      </c>
    </row>
    <row r="1470" spans="1:45" ht="15" customHeight="1">
      <c r="A1470" s="21" t="s">
        <v>260</v>
      </c>
      <c r="B1470" s="21" t="s">
        <v>46</v>
      </c>
      <c r="C1470" s="21" t="s">
        <v>188</v>
      </c>
      <c r="D1470" s="21" t="s">
        <v>48</v>
      </c>
      <c r="E1470" s="80" t="s">
        <v>1636</v>
      </c>
      <c r="F1470" s="21" t="s">
        <v>920</v>
      </c>
      <c r="G1470" s="101" t="s">
        <v>77</v>
      </c>
      <c r="H1470" s="133" t="s">
        <v>1816</v>
      </c>
      <c r="I1470" s="102" t="s">
        <v>78</v>
      </c>
      <c r="J1470" s="65" t="s">
        <v>1817</v>
      </c>
      <c r="K1470" s="104"/>
      <c r="L1470" s="48" t="s">
        <v>923</v>
      </c>
      <c r="M1470" s="156">
        <v>43018</v>
      </c>
      <c r="N1470" s="116" t="s">
        <v>81</v>
      </c>
      <c r="O1470" s="68">
        <v>9600</v>
      </c>
      <c r="P1470" s="68">
        <v>18</v>
      </c>
      <c r="Q1470" s="51">
        <f t="shared" si="33"/>
        <v>172800</v>
      </c>
      <c r="R1470" s="31">
        <v>202310</v>
      </c>
      <c r="S1470" s="117" t="s">
        <v>1853</v>
      </c>
      <c r="T1470" s="33"/>
      <c r="U1470" s="117"/>
      <c r="V1470" s="118"/>
      <c r="W1470" s="67"/>
      <c r="X1470" s="67"/>
      <c r="Y1470" s="36"/>
      <c r="Z1470" s="36"/>
      <c r="AA1470" s="36"/>
      <c r="AB1470" s="36"/>
      <c r="AC1470" s="36"/>
      <c r="AD1470" s="36"/>
      <c r="AE1470" s="36"/>
      <c r="AF1470" s="53" t="s">
        <v>68</v>
      </c>
      <c r="AG1470" s="42"/>
      <c r="AH1470" s="42"/>
      <c r="AI1470" s="43"/>
      <c r="AJ1470" s="43"/>
      <c r="AK1470" s="43"/>
      <c r="AL1470" s="43"/>
      <c r="AM1470" s="43"/>
      <c r="AN1470" s="42"/>
      <c r="AO1470" s="42"/>
      <c r="AP1470" s="42"/>
      <c r="AQ1470" s="43"/>
      <c r="AR1470" s="42"/>
      <c r="AS1470" s="42" t="s">
        <v>1820</v>
      </c>
    </row>
    <row r="1471" spans="1:45" ht="15" customHeight="1">
      <c r="A1471" s="21" t="s">
        <v>260</v>
      </c>
      <c r="B1471" s="21" t="s">
        <v>46</v>
      </c>
      <c r="C1471" s="21" t="s">
        <v>188</v>
      </c>
      <c r="D1471" s="21" t="s">
        <v>48</v>
      </c>
      <c r="E1471" s="80" t="s">
        <v>1636</v>
      </c>
      <c r="F1471" s="21" t="s">
        <v>920</v>
      </c>
      <c r="G1471" s="101" t="s">
        <v>77</v>
      </c>
      <c r="H1471" s="133" t="s">
        <v>1816</v>
      </c>
      <c r="I1471" s="102" t="s">
        <v>78</v>
      </c>
      <c r="J1471" s="65" t="s">
        <v>1817</v>
      </c>
      <c r="K1471" s="104"/>
      <c r="L1471" s="48" t="s">
        <v>923</v>
      </c>
      <c r="M1471" s="156">
        <v>43020</v>
      </c>
      <c r="N1471" s="116" t="s">
        <v>81</v>
      </c>
      <c r="O1471" s="68">
        <v>9600</v>
      </c>
      <c r="P1471" s="68">
        <v>1</v>
      </c>
      <c r="Q1471" s="51">
        <f t="shared" si="33"/>
        <v>9600</v>
      </c>
      <c r="R1471" s="31">
        <v>202310</v>
      </c>
      <c r="S1471" s="117" t="s">
        <v>1854</v>
      </c>
      <c r="T1471" s="33"/>
      <c r="U1471" s="117"/>
      <c r="V1471" s="118"/>
      <c r="W1471" s="67"/>
      <c r="X1471" s="67"/>
      <c r="Y1471" s="36"/>
      <c r="Z1471" s="36"/>
      <c r="AA1471" s="36"/>
      <c r="AB1471" s="36"/>
      <c r="AC1471" s="36"/>
      <c r="AD1471" s="36"/>
      <c r="AE1471" s="36"/>
      <c r="AF1471" s="53" t="s">
        <v>68</v>
      </c>
      <c r="AG1471" s="42"/>
      <c r="AH1471" s="42"/>
      <c r="AI1471" s="43"/>
      <c r="AJ1471" s="43"/>
      <c r="AK1471" s="43"/>
      <c r="AL1471" s="43"/>
      <c r="AM1471" s="43"/>
      <c r="AN1471" s="42"/>
      <c r="AO1471" s="42"/>
      <c r="AP1471" s="42"/>
      <c r="AQ1471" s="43"/>
      <c r="AR1471" s="42"/>
      <c r="AS1471" s="42" t="s">
        <v>1820</v>
      </c>
    </row>
    <row r="1472" spans="1:45" ht="15" customHeight="1">
      <c r="A1472" s="21" t="s">
        <v>260</v>
      </c>
      <c r="B1472" s="21" t="s">
        <v>46</v>
      </c>
      <c r="C1472" s="21" t="s">
        <v>188</v>
      </c>
      <c r="D1472" s="21" t="s">
        <v>48</v>
      </c>
      <c r="E1472" s="80" t="s">
        <v>1636</v>
      </c>
      <c r="F1472" s="21" t="s">
        <v>920</v>
      </c>
      <c r="G1472" s="101" t="s">
        <v>77</v>
      </c>
      <c r="H1472" s="133" t="s">
        <v>1816</v>
      </c>
      <c r="I1472" s="102" t="s">
        <v>78</v>
      </c>
      <c r="J1472" s="65" t="s">
        <v>1817</v>
      </c>
      <c r="K1472" s="104"/>
      <c r="L1472" s="48" t="s">
        <v>923</v>
      </c>
      <c r="M1472" s="156">
        <v>43020</v>
      </c>
      <c r="N1472" s="116" t="s">
        <v>81</v>
      </c>
      <c r="O1472" s="68">
        <v>9600</v>
      </c>
      <c r="P1472" s="68">
        <v>9</v>
      </c>
      <c r="Q1472" s="51">
        <f t="shared" si="33"/>
        <v>86400</v>
      </c>
      <c r="R1472" s="31">
        <v>202310</v>
      </c>
      <c r="S1472" s="117" t="s">
        <v>1855</v>
      </c>
      <c r="T1472" s="33"/>
      <c r="U1472" s="117"/>
      <c r="V1472" s="118"/>
      <c r="W1472" s="67"/>
      <c r="X1472" s="67"/>
      <c r="Y1472" s="36"/>
      <c r="Z1472" s="36"/>
      <c r="AA1472" s="36"/>
      <c r="AB1472" s="36"/>
      <c r="AC1472" s="36"/>
      <c r="AD1472" s="36"/>
      <c r="AE1472" s="36"/>
      <c r="AF1472" s="53" t="s">
        <v>68</v>
      </c>
      <c r="AG1472" s="42"/>
      <c r="AH1472" s="42"/>
      <c r="AI1472" s="43"/>
      <c r="AJ1472" s="43"/>
      <c r="AK1472" s="43"/>
      <c r="AL1472" s="43"/>
      <c r="AM1472" s="43"/>
      <c r="AN1472" s="42"/>
      <c r="AO1472" s="42"/>
      <c r="AP1472" s="42"/>
      <c r="AQ1472" s="43"/>
      <c r="AR1472" s="42"/>
      <c r="AS1472" s="42" t="s">
        <v>1820</v>
      </c>
    </row>
    <row r="1473" spans="1:45" ht="15" customHeight="1">
      <c r="A1473" s="21" t="s">
        <v>260</v>
      </c>
      <c r="B1473" s="21" t="s">
        <v>46</v>
      </c>
      <c r="C1473" s="21" t="s">
        <v>188</v>
      </c>
      <c r="D1473" s="21" t="s">
        <v>48</v>
      </c>
      <c r="E1473" s="80" t="s">
        <v>1636</v>
      </c>
      <c r="F1473" s="21" t="s">
        <v>920</v>
      </c>
      <c r="G1473" s="101" t="s">
        <v>77</v>
      </c>
      <c r="H1473" s="133" t="s">
        <v>1816</v>
      </c>
      <c r="I1473" s="102" t="s">
        <v>78</v>
      </c>
      <c r="J1473" s="65" t="s">
        <v>1817</v>
      </c>
      <c r="K1473" s="104"/>
      <c r="L1473" s="48" t="s">
        <v>923</v>
      </c>
      <c r="M1473" s="156">
        <v>43020</v>
      </c>
      <c r="N1473" s="116" t="s">
        <v>81</v>
      </c>
      <c r="O1473" s="68">
        <v>9600</v>
      </c>
      <c r="P1473" s="68">
        <v>9</v>
      </c>
      <c r="Q1473" s="51">
        <f t="shared" si="33"/>
        <v>86400</v>
      </c>
      <c r="R1473" s="31">
        <v>202310</v>
      </c>
      <c r="S1473" s="117" t="s">
        <v>1856</v>
      </c>
      <c r="T1473" s="33"/>
      <c r="U1473" s="117"/>
      <c r="V1473" s="118"/>
      <c r="W1473" s="67"/>
      <c r="X1473" s="67"/>
      <c r="Y1473" s="36"/>
      <c r="Z1473" s="36"/>
      <c r="AA1473" s="36"/>
      <c r="AB1473" s="36"/>
      <c r="AC1473" s="36"/>
      <c r="AD1473" s="36"/>
      <c r="AE1473" s="36"/>
      <c r="AF1473" s="53" t="s">
        <v>68</v>
      </c>
      <c r="AG1473" s="42"/>
      <c r="AH1473" s="42"/>
      <c r="AI1473" s="43"/>
      <c r="AJ1473" s="43"/>
      <c r="AK1473" s="43"/>
      <c r="AL1473" s="43"/>
      <c r="AM1473" s="43"/>
      <c r="AN1473" s="42"/>
      <c r="AO1473" s="42"/>
      <c r="AP1473" s="42"/>
      <c r="AQ1473" s="43"/>
      <c r="AR1473" s="42"/>
      <c r="AS1473" s="42" t="s">
        <v>1820</v>
      </c>
    </row>
    <row r="1474" spans="1:45" ht="15" customHeight="1">
      <c r="A1474" s="21" t="s">
        <v>260</v>
      </c>
      <c r="B1474" s="21" t="s">
        <v>46</v>
      </c>
      <c r="C1474" s="21" t="s">
        <v>188</v>
      </c>
      <c r="D1474" s="21" t="s">
        <v>48</v>
      </c>
      <c r="E1474" s="80" t="s">
        <v>1636</v>
      </c>
      <c r="F1474" s="21" t="s">
        <v>920</v>
      </c>
      <c r="G1474" s="101" t="s">
        <v>77</v>
      </c>
      <c r="H1474" s="133" t="s">
        <v>1816</v>
      </c>
      <c r="I1474" s="102" t="s">
        <v>78</v>
      </c>
      <c r="J1474" s="65" t="s">
        <v>1817</v>
      </c>
      <c r="K1474" s="104"/>
      <c r="L1474" s="48" t="s">
        <v>923</v>
      </c>
      <c r="M1474" s="156">
        <v>43024</v>
      </c>
      <c r="N1474" s="116" t="s">
        <v>81</v>
      </c>
      <c r="O1474" s="68">
        <v>9600</v>
      </c>
      <c r="P1474" s="68">
        <v>2</v>
      </c>
      <c r="Q1474" s="51">
        <f t="shared" si="33"/>
        <v>19200</v>
      </c>
      <c r="R1474" s="31">
        <v>202310</v>
      </c>
      <c r="S1474" s="117" t="s">
        <v>1857</v>
      </c>
      <c r="T1474" s="33"/>
      <c r="U1474" s="117"/>
      <c r="V1474" s="118"/>
      <c r="W1474" s="67"/>
      <c r="X1474" s="67"/>
      <c r="Y1474" s="36"/>
      <c r="Z1474" s="36"/>
      <c r="AA1474" s="36"/>
      <c r="AB1474" s="36"/>
      <c r="AC1474" s="36"/>
      <c r="AD1474" s="36"/>
      <c r="AE1474" s="36"/>
      <c r="AF1474" s="53" t="s">
        <v>68</v>
      </c>
      <c r="AG1474" s="42"/>
      <c r="AH1474" s="42"/>
      <c r="AI1474" s="43"/>
      <c r="AJ1474" s="43"/>
      <c r="AK1474" s="43"/>
      <c r="AL1474" s="43"/>
      <c r="AM1474" s="43"/>
      <c r="AN1474" s="42"/>
      <c r="AO1474" s="42"/>
      <c r="AP1474" s="42"/>
      <c r="AQ1474" s="43"/>
      <c r="AR1474" s="42"/>
      <c r="AS1474" s="42" t="s">
        <v>1820</v>
      </c>
    </row>
    <row r="1475" spans="1:45" ht="15" customHeight="1">
      <c r="A1475" s="21" t="s">
        <v>260</v>
      </c>
      <c r="B1475" s="21" t="s">
        <v>46</v>
      </c>
      <c r="C1475" s="21" t="s">
        <v>188</v>
      </c>
      <c r="D1475" s="21" t="s">
        <v>48</v>
      </c>
      <c r="E1475" s="80" t="s">
        <v>1636</v>
      </c>
      <c r="F1475" s="21" t="s">
        <v>920</v>
      </c>
      <c r="G1475" s="101" t="s">
        <v>77</v>
      </c>
      <c r="H1475" s="133" t="s">
        <v>1816</v>
      </c>
      <c r="I1475" s="102" t="s">
        <v>78</v>
      </c>
      <c r="J1475" s="65" t="s">
        <v>1817</v>
      </c>
      <c r="K1475" s="104"/>
      <c r="L1475" s="48" t="s">
        <v>923</v>
      </c>
      <c r="M1475" s="156">
        <v>43024</v>
      </c>
      <c r="N1475" s="116" t="s">
        <v>81</v>
      </c>
      <c r="O1475" s="68">
        <v>9600</v>
      </c>
      <c r="P1475" s="68">
        <v>1</v>
      </c>
      <c r="Q1475" s="51">
        <f t="shared" si="33"/>
        <v>9600</v>
      </c>
      <c r="R1475" s="31">
        <v>202310</v>
      </c>
      <c r="S1475" s="117" t="s">
        <v>1858</v>
      </c>
      <c r="T1475" s="33"/>
      <c r="U1475" s="117"/>
      <c r="V1475" s="118"/>
      <c r="W1475" s="67"/>
      <c r="X1475" s="67"/>
      <c r="Y1475" s="36"/>
      <c r="Z1475" s="36"/>
      <c r="AA1475" s="36"/>
      <c r="AB1475" s="36"/>
      <c r="AC1475" s="36"/>
      <c r="AD1475" s="36"/>
      <c r="AE1475" s="36"/>
      <c r="AF1475" s="53" t="s">
        <v>68</v>
      </c>
      <c r="AG1475" s="42"/>
      <c r="AH1475" s="42"/>
      <c r="AI1475" s="43"/>
      <c r="AJ1475" s="43"/>
      <c r="AK1475" s="43"/>
      <c r="AL1475" s="43"/>
      <c r="AM1475" s="43"/>
      <c r="AN1475" s="42"/>
      <c r="AO1475" s="42"/>
      <c r="AP1475" s="42"/>
      <c r="AQ1475" s="43"/>
      <c r="AR1475" s="42"/>
      <c r="AS1475" s="42" t="s">
        <v>1820</v>
      </c>
    </row>
    <row r="1476" spans="1:45" ht="15" customHeight="1">
      <c r="A1476" s="21" t="s">
        <v>260</v>
      </c>
      <c r="B1476" s="21" t="s">
        <v>46</v>
      </c>
      <c r="C1476" s="21" t="s">
        <v>188</v>
      </c>
      <c r="D1476" s="21" t="s">
        <v>48</v>
      </c>
      <c r="E1476" s="80" t="s">
        <v>1636</v>
      </c>
      <c r="F1476" s="21" t="s">
        <v>920</v>
      </c>
      <c r="G1476" s="101" t="s">
        <v>77</v>
      </c>
      <c r="H1476" s="133" t="s">
        <v>1816</v>
      </c>
      <c r="I1476" s="102" t="s">
        <v>78</v>
      </c>
      <c r="J1476" s="65" t="s">
        <v>1817</v>
      </c>
      <c r="K1476" s="104"/>
      <c r="L1476" s="48" t="s">
        <v>923</v>
      </c>
      <c r="M1476" s="156">
        <v>43024</v>
      </c>
      <c r="N1476" s="116" t="s">
        <v>81</v>
      </c>
      <c r="O1476" s="68">
        <v>9600</v>
      </c>
      <c r="P1476" s="68">
        <v>2</v>
      </c>
      <c r="Q1476" s="51">
        <f t="shared" si="33"/>
        <v>19200</v>
      </c>
      <c r="R1476" s="31">
        <v>202310</v>
      </c>
      <c r="S1476" s="117" t="s">
        <v>1859</v>
      </c>
      <c r="T1476" s="33"/>
      <c r="U1476" s="117"/>
      <c r="V1476" s="118"/>
      <c r="W1476" s="67"/>
      <c r="X1476" s="67"/>
      <c r="Y1476" s="36"/>
      <c r="Z1476" s="36"/>
      <c r="AA1476" s="36"/>
      <c r="AB1476" s="36"/>
      <c r="AC1476" s="36"/>
      <c r="AD1476" s="36"/>
      <c r="AE1476" s="36"/>
      <c r="AF1476" s="53" t="s">
        <v>68</v>
      </c>
      <c r="AG1476" s="42"/>
      <c r="AH1476" s="42"/>
      <c r="AI1476" s="43"/>
      <c r="AJ1476" s="43"/>
      <c r="AK1476" s="43"/>
      <c r="AL1476" s="43"/>
      <c r="AM1476" s="43"/>
      <c r="AN1476" s="42"/>
      <c r="AO1476" s="42"/>
      <c r="AP1476" s="42"/>
      <c r="AQ1476" s="43"/>
      <c r="AR1476" s="42"/>
      <c r="AS1476" s="42" t="s">
        <v>1820</v>
      </c>
    </row>
    <row r="1477" spans="1:45" ht="15" customHeight="1">
      <c r="A1477" s="21" t="s">
        <v>260</v>
      </c>
      <c r="B1477" s="21" t="s">
        <v>46</v>
      </c>
      <c r="C1477" s="21" t="s">
        <v>188</v>
      </c>
      <c r="D1477" s="21" t="s">
        <v>48</v>
      </c>
      <c r="E1477" s="80" t="s">
        <v>1636</v>
      </c>
      <c r="F1477" s="21" t="s">
        <v>920</v>
      </c>
      <c r="G1477" s="101" t="s">
        <v>77</v>
      </c>
      <c r="H1477" s="133" t="s">
        <v>1816</v>
      </c>
      <c r="I1477" s="102" t="s">
        <v>78</v>
      </c>
      <c r="J1477" s="65" t="s">
        <v>1817</v>
      </c>
      <c r="K1477" s="104"/>
      <c r="L1477" s="48" t="s">
        <v>923</v>
      </c>
      <c r="M1477" s="156">
        <v>43038</v>
      </c>
      <c r="N1477" s="116" t="s">
        <v>81</v>
      </c>
      <c r="O1477" s="68">
        <v>9600</v>
      </c>
      <c r="P1477" s="68">
        <v>6</v>
      </c>
      <c r="Q1477" s="51">
        <f t="shared" si="33"/>
        <v>57600</v>
      </c>
      <c r="R1477" s="31">
        <v>202310</v>
      </c>
      <c r="S1477" s="117" t="s">
        <v>1860</v>
      </c>
      <c r="T1477" s="33"/>
      <c r="U1477" s="117"/>
      <c r="V1477" s="118"/>
      <c r="W1477" s="67"/>
      <c r="X1477" s="67"/>
      <c r="Y1477" s="36"/>
      <c r="Z1477" s="36"/>
      <c r="AA1477" s="36"/>
      <c r="AB1477" s="36"/>
      <c r="AC1477" s="36"/>
      <c r="AD1477" s="36"/>
      <c r="AE1477" s="36"/>
      <c r="AF1477" s="53" t="s">
        <v>68</v>
      </c>
      <c r="AG1477" s="42"/>
      <c r="AH1477" s="42"/>
      <c r="AI1477" s="43"/>
      <c r="AJ1477" s="43"/>
      <c r="AK1477" s="43"/>
      <c r="AL1477" s="43"/>
      <c r="AM1477" s="43"/>
      <c r="AN1477" s="42"/>
      <c r="AO1477" s="42"/>
      <c r="AP1477" s="42"/>
      <c r="AQ1477" s="43"/>
      <c r="AR1477" s="42"/>
      <c r="AS1477" s="42" t="s">
        <v>1820</v>
      </c>
    </row>
    <row r="1478" spans="1:45" ht="15" customHeight="1">
      <c r="A1478" s="21" t="s">
        <v>260</v>
      </c>
      <c r="B1478" s="21" t="s">
        <v>46</v>
      </c>
      <c r="C1478" s="21" t="s">
        <v>188</v>
      </c>
      <c r="D1478" s="21" t="s">
        <v>48</v>
      </c>
      <c r="E1478" s="80" t="s">
        <v>1636</v>
      </c>
      <c r="F1478" s="21" t="s">
        <v>920</v>
      </c>
      <c r="G1478" s="101" t="s">
        <v>77</v>
      </c>
      <c r="H1478" s="133" t="s">
        <v>1816</v>
      </c>
      <c r="I1478" s="102" t="s">
        <v>78</v>
      </c>
      <c r="J1478" s="65" t="s">
        <v>1817</v>
      </c>
      <c r="K1478" s="104"/>
      <c r="L1478" s="48" t="s">
        <v>923</v>
      </c>
      <c r="M1478" s="156">
        <v>43038</v>
      </c>
      <c r="N1478" s="116" t="s">
        <v>81</v>
      </c>
      <c r="O1478" s="68">
        <v>9600</v>
      </c>
      <c r="P1478" s="68">
        <v>5</v>
      </c>
      <c r="Q1478" s="51">
        <f t="shared" si="33"/>
        <v>48000</v>
      </c>
      <c r="R1478" s="31">
        <v>202310</v>
      </c>
      <c r="S1478" s="117" t="s">
        <v>1861</v>
      </c>
      <c r="T1478" s="33"/>
      <c r="U1478" s="117"/>
      <c r="V1478" s="118"/>
      <c r="W1478" s="67"/>
      <c r="X1478" s="67"/>
      <c r="Y1478" s="36"/>
      <c r="Z1478" s="36"/>
      <c r="AA1478" s="36"/>
      <c r="AB1478" s="36"/>
      <c r="AC1478" s="36"/>
      <c r="AD1478" s="36"/>
      <c r="AE1478" s="36"/>
      <c r="AF1478" s="53" t="s">
        <v>68</v>
      </c>
      <c r="AG1478" s="42"/>
      <c r="AH1478" s="42"/>
      <c r="AI1478" s="43"/>
      <c r="AJ1478" s="43"/>
      <c r="AK1478" s="43"/>
      <c r="AL1478" s="43"/>
      <c r="AM1478" s="43"/>
      <c r="AN1478" s="42"/>
      <c r="AO1478" s="42"/>
      <c r="AP1478" s="42"/>
      <c r="AQ1478" s="43"/>
      <c r="AR1478" s="42"/>
      <c r="AS1478" s="42" t="s">
        <v>1820</v>
      </c>
    </row>
    <row r="1479" spans="1:45" ht="15" customHeight="1">
      <c r="A1479" s="21" t="s">
        <v>260</v>
      </c>
      <c r="B1479" s="21" t="s">
        <v>46</v>
      </c>
      <c r="C1479" s="21" t="s">
        <v>188</v>
      </c>
      <c r="D1479" s="21" t="s">
        <v>48</v>
      </c>
      <c r="E1479" s="80" t="s">
        <v>1636</v>
      </c>
      <c r="F1479" s="21" t="s">
        <v>920</v>
      </c>
      <c r="G1479" s="101" t="s">
        <v>77</v>
      </c>
      <c r="H1479" s="133" t="s">
        <v>1816</v>
      </c>
      <c r="I1479" s="102" t="s">
        <v>78</v>
      </c>
      <c r="J1479" s="65" t="s">
        <v>1817</v>
      </c>
      <c r="K1479" s="104"/>
      <c r="L1479" s="48" t="s">
        <v>923</v>
      </c>
      <c r="M1479" s="156">
        <v>43038</v>
      </c>
      <c r="N1479" s="116" t="s">
        <v>81</v>
      </c>
      <c r="O1479" s="68">
        <v>9600</v>
      </c>
      <c r="P1479" s="68">
        <v>2</v>
      </c>
      <c r="Q1479" s="51">
        <f t="shared" si="33"/>
        <v>19200</v>
      </c>
      <c r="R1479" s="31">
        <v>202310</v>
      </c>
      <c r="S1479" s="117" t="s">
        <v>1862</v>
      </c>
      <c r="T1479" s="33"/>
      <c r="U1479" s="117"/>
      <c r="V1479" s="118"/>
      <c r="W1479" s="67"/>
      <c r="X1479" s="67"/>
      <c r="Y1479" s="36"/>
      <c r="Z1479" s="36"/>
      <c r="AA1479" s="36"/>
      <c r="AB1479" s="36"/>
      <c r="AC1479" s="36"/>
      <c r="AD1479" s="36"/>
      <c r="AE1479" s="36"/>
      <c r="AF1479" s="53" t="s">
        <v>68</v>
      </c>
      <c r="AG1479" s="42"/>
      <c r="AH1479" s="42"/>
      <c r="AI1479" s="43"/>
      <c r="AJ1479" s="43"/>
      <c r="AK1479" s="43"/>
      <c r="AL1479" s="43"/>
      <c r="AM1479" s="43"/>
      <c r="AN1479" s="42"/>
      <c r="AO1479" s="42"/>
      <c r="AP1479" s="42"/>
      <c r="AQ1479" s="43"/>
      <c r="AR1479" s="42"/>
      <c r="AS1479" s="42" t="s">
        <v>1820</v>
      </c>
    </row>
    <row r="1480" spans="1:45" ht="15" customHeight="1">
      <c r="A1480" s="21" t="s">
        <v>260</v>
      </c>
      <c r="B1480" s="21" t="s">
        <v>46</v>
      </c>
      <c r="C1480" s="21" t="s">
        <v>188</v>
      </c>
      <c r="D1480" s="21" t="s">
        <v>48</v>
      </c>
      <c r="E1480" s="80" t="s">
        <v>1636</v>
      </c>
      <c r="F1480" s="21" t="s">
        <v>920</v>
      </c>
      <c r="G1480" s="101" t="s">
        <v>77</v>
      </c>
      <c r="H1480" s="133" t="s">
        <v>1816</v>
      </c>
      <c r="I1480" s="102" t="s">
        <v>78</v>
      </c>
      <c r="J1480" s="65" t="s">
        <v>1817</v>
      </c>
      <c r="K1480" s="104"/>
      <c r="L1480" s="48" t="s">
        <v>923</v>
      </c>
      <c r="M1480" s="156">
        <v>43038</v>
      </c>
      <c r="N1480" s="116" t="s">
        <v>81</v>
      </c>
      <c r="O1480" s="68">
        <v>9600</v>
      </c>
      <c r="P1480" s="68">
        <v>2</v>
      </c>
      <c r="Q1480" s="51">
        <f t="shared" si="33"/>
        <v>19200</v>
      </c>
      <c r="R1480" s="31">
        <v>202310</v>
      </c>
      <c r="S1480" s="117" t="s">
        <v>1863</v>
      </c>
      <c r="T1480" s="33"/>
      <c r="U1480" s="117"/>
      <c r="V1480" s="118"/>
      <c r="W1480" s="67"/>
      <c r="X1480" s="67"/>
      <c r="Y1480" s="36"/>
      <c r="Z1480" s="36"/>
      <c r="AA1480" s="36"/>
      <c r="AB1480" s="36"/>
      <c r="AC1480" s="36"/>
      <c r="AD1480" s="36"/>
      <c r="AE1480" s="36"/>
      <c r="AF1480" s="53" t="s">
        <v>68</v>
      </c>
      <c r="AG1480" s="42"/>
      <c r="AH1480" s="42"/>
      <c r="AI1480" s="43"/>
      <c r="AJ1480" s="43"/>
      <c r="AK1480" s="43"/>
      <c r="AL1480" s="43"/>
      <c r="AM1480" s="43"/>
      <c r="AN1480" s="42"/>
      <c r="AO1480" s="42"/>
      <c r="AP1480" s="42"/>
      <c r="AQ1480" s="43"/>
      <c r="AR1480" s="42"/>
      <c r="AS1480" s="42" t="s">
        <v>1820</v>
      </c>
    </row>
    <row r="1481" spans="1:45" ht="15" customHeight="1">
      <c r="A1481" s="21" t="s">
        <v>260</v>
      </c>
      <c r="B1481" s="21" t="s">
        <v>46</v>
      </c>
      <c r="C1481" s="21" t="s">
        <v>188</v>
      </c>
      <c r="D1481" s="21" t="s">
        <v>48</v>
      </c>
      <c r="E1481" s="80" t="s">
        <v>1636</v>
      </c>
      <c r="F1481" s="21" t="s">
        <v>920</v>
      </c>
      <c r="G1481" s="101" t="s">
        <v>77</v>
      </c>
      <c r="H1481" s="133" t="s">
        <v>1816</v>
      </c>
      <c r="I1481" s="102" t="s">
        <v>78</v>
      </c>
      <c r="J1481" s="65" t="s">
        <v>1817</v>
      </c>
      <c r="K1481" s="104"/>
      <c r="L1481" s="48" t="s">
        <v>923</v>
      </c>
      <c r="M1481" s="156">
        <v>43038</v>
      </c>
      <c r="N1481" s="116" t="s">
        <v>81</v>
      </c>
      <c r="O1481" s="68">
        <v>9600</v>
      </c>
      <c r="P1481" s="68">
        <v>2</v>
      </c>
      <c r="Q1481" s="51">
        <f t="shared" si="33"/>
        <v>19200</v>
      </c>
      <c r="R1481" s="31">
        <v>202310</v>
      </c>
      <c r="S1481" s="117" t="s">
        <v>1864</v>
      </c>
      <c r="T1481" s="33"/>
      <c r="U1481" s="117"/>
      <c r="V1481" s="118"/>
      <c r="W1481" s="67"/>
      <c r="X1481" s="67"/>
      <c r="Y1481" s="36"/>
      <c r="Z1481" s="36"/>
      <c r="AA1481" s="36"/>
      <c r="AB1481" s="36"/>
      <c r="AC1481" s="36"/>
      <c r="AD1481" s="36"/>
      <c r="AE1481" s="36"/>
      <c r="AF1481" s="53" t="s">
        <v>68</v>
      </c>
      <c r="AG1481" s="42"/>
      <c r="AH1481" s="42"/>
      <c r="AI1481" s="43"/>
      <c r="AJ1481" s="43"/>
      <c r="AK1481" s="43"/>
      <c r="AL1481" s="43"/>
      <c r="AM1481" s="43"/>
      <c r="AN1481" s="42"/>
      <c r="AO1481" s="42"/>
      <c r="AP1481" s="42"/>
      <c r="AQ1481" s="43"/>
      <c r="AR1481" s="42"/>
      <c r="AS1481" s="42" t="s">
        <v>1820</v>
      </c>
    </row>
    <row r="1482" spans="1:45" ht="15" customHeight="1">
      <c r="A1482" s="21" t="s">
        <v>260</v>
      </c>
      <c r="B1482" s="21" t="s">
        <v>46</v>
      </c>
      <c r="C1482" s="21" t="s">
        <v>188</v>
      </c>
      <c r="D1482" s="21" t="s">
        <v>48</v>
      </c>
      <c r="E1482" s="80" t="s">
        <v>1636</v>
      </c>
      <c r="F1482" s="21" t="s">
        <v>920</v>
      </c>
      <c r="G1482" s="101" t="s">
        <v>77</v>
      </c>
      <c r="H1482" s="133" t="s">
        <v>1816</v>
      </c>
      <c r="I1482" s="102" t="s">
        <v>78</v>
      </c>
      <c r="J1482" s="65" t="s">
        <v>1817</v>
      </c>
      <c r="K1482" s="104"/>
      <c r="L1482" s="48" t="s">
        <v>923</v>
      </c>
      <c r="M1482" s="156">
        <v>43042</v>
      </c>
      <c r="N1482" s="116" t="s">
        <v>81</v>
      </c>
      <c r="O1482" s="68">
        <v>9600</v>
      </c>
      <c r="P1482" s="68">
        <v>4</v>
      </c>
      <c r="Q1482" s="51">
        <f t="shared" si="33"/>
        <v>38400</v>
      </c>
      <c r="R1482" s="31">
        <v>202310</v>
      </c>
      <c r="S1482" s="117" t="s">
        <v>1865</v>
      </c>
      <c r="T1482" s="33"/>
      <c r="U1482" s="117"/>
      <c r="V1482" s="118"/>
      <c r="W1482" s="67"/>
      <c r="X1482" s="67"/>
      <c r="Y1482" s="36"/>
      <c r="Z1482" s="36"/>
      <c r="AA1482" s="36"/>
      <c r="AB1482" s="36"/>
      <c r="AC1482" s="36"/>
      <c r="AD1482" s="36"/>
      <c r="AE1482" s="36"/>
      <c r="AF1482" s="53" t="s">
        <v>68</v>
      </c>
      <c r="AG1482" s="42"/>
      <c r="AH1482" s="42"/>
      <c r="AI1482" s="43"/>
      <c r="AJ1482" s="43"/>
      <c r="AK1482" s="43"/>
      <c r="AL1482" s="43"/>
      <c r="AM1482" s="43"/>
      <c r="AN1482" s="42"/>
      <c r="AO1482" s="42"/>
      <c r="AP1482" s="42"/>
      <c r="AQ1482" s="43"/>
      <c r="AR1482" s="42"/>
      <c r="AS1482" s="42" t="s">
        <v>1820</v>
      </c>
    </row>
    <row r="1483" spans="1:45" ht="15" customHeight="1">
      <c r="A1483" s="21" t="s">
        <v>260</v>
      </c>
      <c r="B1483" s="21" t="s">
        <v>46</v>
      </c>
      <c r="C1483" s="21" t="s">
        <v>188</v>
      </c>
      <c r="D1483" s="21" t="s">
        <v>48</v>
      </c>
      <c r="E1483" s="80" t="s">
        <v>1636</v>
      </c>
      <c r="F1483" s="21" t="s">
        <v>920</v>
      </c>
      <c r="G1483" s="101" t="s">
        <v>77</v>
      </c>
      <c r="H1483" s="133" t="s">
        <v>1816</v>
      </c>
      <c r="I1483" s="102" t="s">
        <v>78</v>
      </c>
      <c r="J1483" s="65" t="s">
        <v>1817</v>
      </c>
      <c r="K1483" s="104"/>
      <c r="L1483" s="48" t="s">
        <v>923</v>
      </c>
      <c r="M1483" s="156">
        <v>43039</v>
      </c>
      <c r="N1483" s="116" t="s">
        <v>81</v>
      </c>
      <c r="O1483" s="68">
        <v>9600</v>
      </c>
      <c r="P1483" s="68">
        <v>3</v>
      </c>
      <c r="Q1483" s="51">
        <f t="shared" si="33"/>
        <v>28800</v>
      </c>
      <c r="R1483" s="31">
        <v>202310</v>
      </c>
      <c r="S1483" s="117" t="s">
        <v>1866</v>
      </c>
      <c r="T1483" s="33"/>
      <c r="U1483" s="117"/>
      <c r="V1483" s="118"/>
      <c r="W1483" s="67"/>
      <c r="X1483" s="67"/>
      <c r="Y1483" s="36"/>
      <c r="Z1483" s="36"/>
      <c r="AA1483" s="36"/>
      <c r="AB1483" s="36"/>
      <c r="AC1483" s="36"/>
      <c r="AD1483" s="36"/>
      <c r="AE1483" s="36"/>
      <c r="AF1483" s="53" t="s">
        <v>68</v>
      </c>
      <c r="AG1483" s="42"/>
      <c r="AH1483" s="42"/>
      <c r="AI1483" s="43"/>
      <c r="AJ1483" s="43"/>
      <c r="AK1483" s="43"/>
      <c r="AL1483" s="43"/>
      <c r="AM1483" s="43"/>
      <c r="AN1483" s="42"/>
      <c r="AO1483" s="42"/>
      <c r="AP1483" s="42"/>
      <c r="AQ1483" s="43"/>
      <c r="AR1483" s="42"/>
      <c r="AS1483" s="42" t="s">
        <v>1820</v>
      </c>
    </row>
    <row r="1484" spans="1:45" ht="15" customHeight="1">
      <c r="A1484" s="21" t="s">
        <v>260</v>
      </c>
      <c r="B1484" s="21" t="s">
        <v>46</v>
      </c>
      <c r="C1484" s="21" t="s">
        <v>188</v>
      </c>
      <c r="D1484" s="21" t="s">
        <v>48</v>
      </c>
      <c r="E1484" s="80" t="s">
        <v>1636</v>
      </c>
      <c r="F1484" s="21" t="s">
        <v>920</v>
      </c>
      <c r="G1484" s="101" t="s">
        <v>77</v>
      </c>
      <c r="H1484" s="133" t="s">
        <v>1816</v>
      </c>
      <c r="I1484" s="102" t="s">
        <v>78</v>
      </c>
      <c r="J1484" s="65" t="s">
        <v>1817</v>
      </c>
      <c r="K1484" s="104"/>
      <c r="L1484" s="48" t="s">
        <v>923</v>
      </c>
      <c r="M1484" s="156">
        <v>43041</v>
      </c>
      <c r="N1484" s="116" t="s">
        <v>81</v>
      </c>
      <c r="O1484" s="68">
        <v>9600</v>
      </c>
      <c r="P1484" s="68">
        <v>3</v>
      </c>
      <c r="Q1484" s="51">
        <f t="shared" si="33"/>
        <v>28800</v>
      </c>
      <c r="R1484" s="31">
        <v>202310</v>
      </c>
      <c r="S1484" s="117" t="s">
        <v>1867</v>
      </c>
      <c r="T1484" s="33"/>
      <c r="U1484" s="117"/>
      <c r="V1484" s="118"/>
      <c r="W1484" s="67"/>
      <c r="X1484" s="67"/>
      <c r="Y1484" s="36"/>
      <c r="Z1484" s="36"/>
      <c r="AA1484" s="36"/>
      <c r="AB1484" s="36"/>
      <c r="AC1484" s="36"/>
      <c r="AD1484" s="36"/>
      <c r="AE1484" s="36"/>
      <c r="AF1484" s="53" t="s">
        <v>68</v>
      </c>
      <c r="AG1484" s="42"/>
      <c r="AH1484" s="42"/>
      <c r="AI1484" s="43"/>
      <c r="AJ1484" s="43"/>
      <c r="AK1484" s="43"/>
      <c r="AL1484" s="43"/>
      <c r="AM1484" s="43"/>
      <c r="AN1484" s="42"/>
      <c r="AO1484" s="42"/>
      <c r="AP1484" s="42"/>
      <c r="AQ1484" s="43"/>
      <c r="AR1484" s="42"/>
      <c r="AS1484" s="42" t="s">
        <v>1820</v>
      </c>
    </row>
    <row r="1485" spans="1:45" ht="15" customHeight="1">
      <c r="A1485" s="21" t="s">
        <v>260</v>
      </c>
      <c r="B1485" s="21" t="s">
        <v>46</v>
      </c>
      <c r="C1485" s="21" t="s">
        <v>188</v>
      </c>
      <c r="D1485" s="21" t="s">
        <v>48</v>
      </c>
      <c r="E1485" s="80" t="s">
        <v>1636</v>
      </c>
      <c r="F1485" s="21" t="s">
        <v>920</v>
      </c>
      <c r="G1485" s="101" t="s">
        <v>77</v>
      </c>
      <c r="H1485" s="133" t="s">
        <v>1816</v>
      </c>
      <c r="I1485" s="102" t="s">
        <v>78</v>
      </c>
      <c r="J1485" s="65" t="s">
        <v>1817</v>
      </c>
      <c r="K1485" s="104"/>
      <c r="L1485" s="48" t="s">
        <v>923</v>
      </c>
      <c r="M1485" s="156">
        <v>43040</v>
      </c>
      <c r="N1485" s="116" t="s">
        <v>81</v>
      </c>
      <c r="O1485" s="68">
        <v>9600</v>
      </c>
      <c r="P1485" s="68">
        <v>2</v>
      </c>
      <c r="Q1485" s="51">
        <f t="shared" si="33"/>
        <v>19200</v>
      </c>
      <c r="R1485" s="31">
        <v>202310</v>
      </c>
      <c r="S1485" s="117" t="s">
        <v>1868</v>
      </c>
      <c r="T1485" s="33"/>
      <c r="U1485" s="117"/>
      <c r="V1485" s="118"/>
      <c r="W1485" s="67"/>
      <c r="X1485" s="67"/>
      <c r="Y1485" s="36"/>
      <c r="Z1485" s="36"/>
      <c r="AA1485" s="36"/>
      <c r="AB1485" s="36"/>
      <c r="AC1485" s="36"/>
      <c r="AD1485" s="36"/>
      <c r="AE1485" s="36"/>
      <c r="AF1485" s="53" t="s">
        <v>68</v>
      </c>
      <c r="AG1485" s="42"/>
      <c r="AH1485" s="42"/>
      <c r="AI1485" s="43"/>
      <c r="AJ1485" s="43"/>
      <c r="AK1485" s="43"/>
      <c r="AL1485" s="43"/>
      <c r="AM1485" s="43"/>
      <c r="AN1485" s="42"/>
      <c r="AO1485" s="42"/>
      <c r="AP1485" s="42"/>
      <c r="AQ1485" s="43"/>
      <c r="AR1485" s="42"/>
      <c r="AS1485" s="42" t="s">
        <v>1820</v>
      </c>
    </row>
    <row r="1486" spans="1:45" ht="15" customHeight="1">
      <c r="A1486" s="21" t="s">
        <v>260</v>
      </c>
      <c r="B1486" s="21" t="s">
        <v>46</v>
      </c>
      <c r="C1486" s="21" t="s">
        <v>188</v>
      </c>
      <c r="D1486" s="21" t="s">
        <v>48</v>
      </c>
      <c r="E1486" s="80" t="s">
        <v>1636</v>
      </c>
      <c r="F1486" s="21" t="s">
        <v>920</v>
      </c>
      <c r="G1486" s="101" t="s">
        <v>77</v>
      </c>
      <c r="H1486" s="133" t="s">
        <v>1816</v>
      </c>
      <c r="I1486" s="102" t="s">
        <v>78</v>
      </c>
      <c r="J1486" s="65" t="s">
        <v>1817</v>
      </c>
      <c r="K1486" s="104"/>
      <c r="L1486" s="48" t="s">
        <v>923</v>
      </c>
      <c r="M1486" s="156">
        <v>43040</v>
      </c>
      <c r="N1486" s="116" t="s">
        <v>81</v>
      </c>
      <c r="O1486" s="68">
        <v>9600</v>
      </c>
      <c r="P1486" s="68">
        <v>4</v>
      </c>
      <c r="Q1486" s="51">
        <f t="shared" si="33"/>
        <v>38400</v>
      </c>
      <c r="R1486" s="31">
        <v>202310</v>
      </c>
      <c r="S1486" s="117" t="s">
        <v>1869</v>
      </c>
      <c r="T1486" s="33"/>
      <c r="U1486" s="117"/>
      <c r="V1486" s="118"/>
      <c r="W1486" s="67"/>
      <c r="X1486" s="67"/>
      <c r="Y1486" s="36"/>
      <c r="Z1486" s="36"/>
      <c r="AA1486" s="36"/>
      <c r="AB1486" s="36"/>
      <c r="AC1486" s="36"/>
      <c r="AD1486" s="36"/>
      <c r="AE1486" s="36"/>
      <c r="AF1486" s="53" t="s">
        <v>68</v>
      </c>
      <c r="AG1486" s="42"/>
      <c r="AH1486" s="42"/>
      <c r="AI1486" s="43"/>
      <c r="AJ1486" s="43"/>
      <c r="AK1486" s="43"/>
      <c r="AL1486" s="43"/>
      <c r="AM1486" s="43"/>
      <c r="AN1486" s="42"/>
      <c r="AO1486" s="42"/>
      <c r="AP1486" s="42"/>
      <c r="AQ1486" s="43"/>
      <c r="AR1486" s="42"/>
      <c r="AS1486" s="42" t="s">
        <v>1820</v>
      </c>
    </row>
    <row r="1487" spans="1:45" ht="15" customHeight="1">
      <c r="A1487" s="21" t="s">
        <v>260</v>
      </c>
      <c r="B1487" s="21" t="s">
        <v>46</v>
      </c>
      <c r="C1487" s="21" t="s">
        <v>188</v>
      </c>
      <c r="D1487" s="21" t="s">
        <v>48</v>
      </c>
      <c r="E1487" s="80" t="s">
        <v>1636</v>
      </c>
      <c r="F1487" s="21" t="s">
        <v>920</v>
      </c>
      <c r="G1487" s="101" t="s">
        <v>77</v>
      </c>
      <c r="H1487" s="133" t="s">
        <v>1816</v>
      </c>
      <c r="I1487" s="102" t="s">
        <v>78</v>
      </c>
      <c r="J1487" s="65" t="s">
        <v>1817</v>
      </c>
      <c r="K1487" s="104"/>
      <c r="L1487" s="48" t="s">
        <v>923</v>
      </c>
      <c r="M1487" s="156">
        <v>43053</v>
      </c>
      <c r="N1487" s="116" t="s">
        <v>81</v>
      </c>
      <c r="O1487" s="68">
        <v>9600</v>
      </c>
      <c r="P1487" s="68">
        <v>1</v>
      </c>
      <c r="Q1487" s="51">
        <f t="shared" si="33"/>
        <v>9600</v>
      </c>
      <c r="R1487" s="31">
        <v>202310</v>
      </c>
      <c r="S1487" s="117" t="s">
        <v>1870</v>
      </c>
      <c r="T1487" s="33"/>
      <c r="U1487" s="117"/>
      <c r="V1487" s="118"/>
      <c r="W1487" s="67"/>
      <c r="X1487" s="67"/>
      <c r="Y1487" s="36"/>
      <c r="Z1487" s="36"/>
      <c r="AA1487" s="36"/>
      <c r="AB1487" s="36"/>
      <c r="AC1487" s="36"/>
      <c r="AD1487" s="36"/>
      <c r="AE1487" s="36"/>
      <c r="AF1487" s="53" t="s">
        <v>68</v>
      </c>
      <c r="AG1487" s="42"/>
      <c r="AH1487" s="42"/>
      <c r="AI1487" s="43"/>
      <c r="AJ1487" s="43"/>
      <c r="AK1487" s="43"/>
      <c r="AL1487" s="43"/>
      <c r="AM1487" s="43"/>
      <c r="AN1487" s="42"/>
      <c r="AO1487" s="42"/>
      <c r="AP1487" s="42"/>
      <c r="AQ1487" s="43"/>
      <c r="AR1487" s="42"/>
      <c r="AS1487" s="42" t="s">
        <v>1820</v>
      </c>
    </row>
    <row r="1488" spans="1:45" ht="15" customHeight="1">
      <c r="A1488" s="21" t="s">
        <v>260</v>
      </c>
      <c r="B1488" s="21" t="s">
        <v>46</v>
      </c>
      <c r="C1488" s="21" t="s">
        <v>188</v>
      </c>
      <c r="D1488" s="21" t="s">
        <v>48</v>
      </c>
      <c r="E1488" s="80" t="s">
        <v>1636</v>
      </c>
      <c r="F1488" s="21" t="s">
        <v>920</v>
      </c>
      <c r="G1488" s="101" t="s">
        <v>77</v>
      </c>
      <c r="H1488" s="133" t="s">
        <v>1816</v>
      </c>
      <c r="I1488" s="102" t="s">
        <v>78</v>
      </c>
      <c r="J1488" s="65" t="s">
        <v>1817</v>
      </c>
      <c r="K1488" s="104"/>
      <c r="L1488" s="48" t="s">
        <v>923</v>
      </c>
      <c r="M1488" s="156">
        <v>43055</v>
      </c>
      <c r="N1488" s="116" t="s">
        <v>81</v>
      </c>
      <c r="O1488" s="68">
        <v>9600</v>
      </c>
      <c r="P1488" s="68">
        <v>6</v>
      </c>
      <c r="Q1488" s="51">
        <f t="shared" si="33"/>
        <v>57600</v>
      </c>
      <c r="R1488" s="31">
        <v>202310</v>
      </c>
      <c r="S1488" s="117" t="s">
        <v>1871</v>
      </c>
      <c r="T1488" s="33"/>
      <c r="U1488" s="117"/>
      <c r="V1488" s="118"/>
      <c r="W1488" s="67"/>
      <c r="X1488" s="67"/>
      <c r="Y1488" s="36"/>
      <c r="Z1488" s="36"/>
      <c r="AA1488" s="36"/>
      <c r="AB1488" s="36"/>
      <c r="AC1488" s="36"/>
      <c r="AD1488" s="36"/>
      <c r="AE1488" s="36"/>
      <c r="AF1488" s="53" t="s">
        <v>68</v>
      </c>
      <c r="AG1488" s="42"/>
      <c r="AH1488" s="42"/>
      <c r="AI1488" s="43"/>
      <c r="AJ1488" s="43"/>
      <c r="AK1488" s="43"/>
      <c r="AL1488" s="43"/>
      <c r="AM1488" s="43"/>
      <c r="AN1488" s="42"/>
      <c r="AO1488" s="42"/>
      <c r="AP1488" s="42"/>
      <c r="AQ1488" s="43"/>
      <c r="AR1488" s="42"/>
      <c r="AS1488" s="42" t="s">
        <v>1820</v>
      </c>
    </row>
    <row r="1489" spans="1:45" ht="15" customHeight="1">
      <c r="A1489" s="21" t="s">
        <v>260</v>
      </c>
      <c r="B1489" s="21" t="s">
        <v>46</v>
      </c>
      <c r="C1489" s="21" t="s">
        <v>188</v>
      </c>
      <c r="D1489" s="21" t="s">
        <v>48</v>
      </c>
      <c r="E1489" s="80" t="s">
        <v>1636</v>
      </c>
      <c r="F1489" s="21" t="s">
        <v>920</v>
      </c>
      <c r="G1489" s="101" t="s">
        <v>77</v>
      </c>
      <c r="H1489" s="133" t="s">
        <v>1816</v>
      </c>
      <c r="I1489" s="102" t="s">
        <v>78</v>
      </c>
      <c r="J1489" s="65" t="s">
        <v>1817</v>
      </c>
      <c r="K1489" s="104"/>
      <c r="L1489" s="48" t="s">
        <v>923</v>
      </c>
      <c r="M1489" s="156">
        <v>43056</v>
      </c>
      <c r="N1489" s="116" t="s">
        <v>81</v>
      </c>
      <c r="O1489" s="68">
        <v>9600</v>
      </c>
      <c r="P1489" s="68">
        <v>1</v>
      </c>
      <c r="Q1489" s="51">
        <f t="shared" si="33"/>
        <v>9600</v>
      </c>
      <c r="R1489" s="31">
        <v>202310</v>
      </c>
      <c r="S1489" s="117" t="s">
        <v>1872</v>
      </c>
      <c r="T1489" s="33"/>
      <c r="U1489" s="117"/>
      <c r="V1489" s="118"/>
      <c r="W1489" s="67"/>
      <c r="X1489" s="67"/>
      <c r="Y1489" s="36"/>
      <c r="Z1489" s="36"/>
      <c r="AA1489" s="36"/>
      <c r="AB1489" s="36"/>
      <c r="AC1489" s="36"/>
      <c r="AD1489" s="36"/>
      <c r="AE1489" s="36"/>
      <c r="AF1489" s="53" t="s">
        <v>68</v>
      </c>
      <c r="AG1489" s="42"/>
      <c r="AH1489" s="42"/>
      <c r="AI1489" s="43"/>
      <c r="AJ1489" s="43"/>
      <c r="AK1489" s="43"/>
      <c r="AL1489" s="43"/>
      <c r="AM1489" s="43"/>
      <c r="AN1489" s="42"/>
      <c r="AO1489" s="42"/>
      <c r="AP1489" s="42"/>
      <c r="AQ1489" s="43"/>
      <c r="AR1489" s="42"/>
      <c r="AS1489" s="42" t="s">
        <v>1820</v>
      </c>
    </row>
    <row r="1490" spans="1:45" ht="15" customHeight="1">
      <c r="A1490" s="21" t="s">
        <v>260</v>
      </c>
      <c r="B1490" s="21" t="s">
        <v>46</v>
      </c>
      <c r="C1490" s="21" t="s">
        <v>188</v>
      </c>
      <c r="D1490" s="21" t="s">
        <v>48</v>
      </c>
      <c r="E1490" s="80" t="s">
        <v>1636</v>
      </c>
      <c r="F1490" s="21" t="s">
        <v>920</v>
      </c>
      <c r="G1490" s="101" t="s">
        <v>77</v>
      </c>
      <c r="H1490" s="133" t="s">
        <v>1816</v>
      </c>
      <c r="I1490" s="102" t="s">
        <v>78</v>
      </c>
      <c r="J1490" s="65" t="s">
        <v>1817</v>
      </c>
      <c r="K1490" s="104"/>
      <c r="L1490" s="48" t="s">
        <v>923</v>
      </c>
      <c r="M1490" s="156">
        <v>43056</v>
      </c>
      <c r="N1490" s="116" t="s">
        <v>81</v>
      </c>
      <c r="O1490" s="68">
        <v>9600</v>
      </c>
      <c r="P1490" s="68">
        <v>3</v>
      </c>
      <c r="Q1490" s="51">
        <f t="shared" si="33"/>
        <v>28800</v>
      </c>
      <c r="R1490" s="31">
        <v>202310</v>
      </c>
      <c r="S1490" s="183" t="s">
        <v>1873</v>
      </c>
      <c r="T1490" s="33"/>
      <c r="U1490" s="183"/>
      <c r="V1490" s="184"/>
      <c r="W1490" s="67"/>
      <c r="X1490" s="67"/>
      <c r="Y1490" s="36"/>
      <c r="Z1490" s="36"/>
      <c r="AA1490" s="36"/>
      <c r="AB1490" s="36"/>
      <c r="AC1490" s="36"/>
      <c r="AD1490" s="36"/>
      <c r="AE1490" s="36"/>
      <c r="AF1490" s="53" t="s">
        <v>68</v>
      </c>
      <c r="AG1490" s="42"/>
      <c r="AH1490" s="42"/>
      <c r="AI1490" s="43"/>
      <c r="AJ1490" s="43"/>
      <c r="AK1490" s="43"/>
      <c r="AL1490" s="43"/>
      <c r="AM1490" s="43"/>
      <c r="AN1490" s="42"/>
      <c r="AO1490" s="42"/>
      <c r="AP1490" s="42"/>
      <c r="AQ1490" s="43"/>
      <c r="AR1490" s="42"/>
      <c r="AS1490" s="42" t="s">
        <v>1820</v>
      </c>
    </row>
    <row r="1491" spans="1:45" ht="15" customHeight="1">
      <c r="A1491" s="21" t="s">
        <v>260</v>
      </c>
      <c r="B1491" s="21" t="s">
        <v>46</v>
      </c>
      <c r="C1491" s="21" t="s">
        <v>188</v>
      </c>
      <c r="D1491" s="21" t="s">
        <v>48</v>
      </c>
      <c r="E1491" s="80" t="s">
        <v>1636</v>
      </c>
      <c r="F1491" s="21" t="s">
        <v>920</v>
      </c>
      <c r="G1491" s="101" t="s">
        <v>77</v>
      </c>
      <c r="H1491" s="133" t="s">
        <v>1816</v>
      </c>
      <c r="I1491" s="102" t="s">
        <v>78</v>
      </c>
      <c r="J1491" s="65" t="s">
        <v>1817</v>
      </c>
      <c r="K1491" s="104"/>
      <c r="L1491" s="48" t="s">
        <v>923</v>
      </c>
      <c r="M1491" s="156">
        <v>43061</v>
      </c>
      <c r="N1491" s="116" t="s">
        <v>81</v>
      </c>
      <c r="O1491" s="68">
        <v>9600</v>
      </c>
      <c r="P1491" s="68">
        <v>4</v>
      </c>
      <c r="Q1491" s="51">
        <f t="shared" si="33"/>
        <v>38400</v>
      </c>
      <c r="R1491" s="31">
        <v>202310</v>
      </c>
      <c r="S1491" s="183" t="s">
        <v>1874</v>
      </c>
      <c r="T1491" s="33"/>
      <c r="U1491" s="183"/>
      <c r="V1491" s="184"/>
      <c r="W1491" s="67"/>
      <c r="X1491" s="67"/>
      <c r="Y1491" s="36"/>
      <c r="Z1491" s="36"/>
      <c r="AA1491" s="36"/>
      <c r="AB1491" s="36"/>
      <c r="AC1491" s="36"/>
      <c r="AD1491" s="36"/>
      <c r="AE1491" s="36"/>
      <c r="AF1491" s="53" t="s">
        <v>68</v>
      </c>
      <c r="AG1491" s="42"/>
      <c r="AH1491" s="42"/>
      <c r="AI1491" s="43"/>
      <c r="AJ1491" s="43"/>
      <c r="AK1491" s="43"/>
      <c r="AL1491" s="43"/>
      <c r="AM1491" s="43"/>
      <c r="AN1491" s="42"/>
      <c r="AO1491" s="42"/>
      <c r="AP1491" s="42"/>
      <c r="AQ1491" s="43"/>
      <c r="AR1491" s="42"/>
      <c r="AS1491" s="42" t="s">
        <v>1820</v>
      </c>
    </row>
    <row r="1492" spans="1:45" ht="15" customHeight="1">
      <c r="A1492" s="21" t="s">
        <v>260</v>
      </c>
      <c r="B1492" s="21" t="s">
        <v>46</v>
      </c>
      <c r="C1492" s="21" t="s">
        <v>188</v>
      </c>
      <c r="D1492" s="21" t="s">
        <v>48</v>
      </c>
      <c r="E1492" s="80" t="s">
        <v>1636</v>
      </c>
      <c r="F1492" s="21" t="s">
        <v>920</v>
      </c>
      <c r="G1492" s="101" t="s">
        <v>77</v>
      </c>
      <c r="H1492" s="133" t="s">
        <v>1816</v>
      </c>
      <c r="I1492" s="102" t="s">
        <v>78</v>
      </c>
      <c r="J1492" s="65" t="s">
        <v>1817</v>
      </c>
      <c r="K1492" s="104"/>
      <c r="L1492" s="48" t="s">
        <v>923</v>
      </c>
      <c r="M1492" s="156">
        <v>43067</v>
      </c>
      <c r="N1492" s="116" t="s">
        <v>81</v>
      </c>
      <c r="O1492" s="68">
        <v>9600</v>
      </c>
      <c r="P1492" s="68">
        <v>2</v>
      </c>
      <c r="Q1492" s="51">
        <f t="shared" si="33"/>
        <v>19200</v>
      </c>
      <c r="R1492" s="31">
        <v>202310</v>
      </c>
      <c r="S1492" s="183" t="s">
        <v>1875</v>
      </c>
      <c r="T1492" s="33"/>
      <c r="U1492" s="183"/>
      <c r="V1492" s="184"/>
      <c r="W1492" s="67"/>
      <c r="X1492" s="67"/>
      <c r="Y1492" s="36"/>
      <c r="Z1492" s="36"/>
      <c r="AA1492" s="36"/>
      <c r="AB1492" s="36"/>
      <c r="AC1492" s="36"/>
      <c r="AD1492" s="36"/>
      <c r="AE1492" s="36"/>
      <c r="AF1492" s="53" t="s">
        <v>68</v>
      </c>
      <c r="AG1492" s="42"/>
      <c r="AH1492" s="42"/>
      <c r="AI1492" s="43"/>
      <c r="AJ1492" s="43"/>
      <c r="AK1492" s="43"/>
      <c r="AL1492" s="43"/>
      <c r="AM1492" s="43"/>
      <c r="AN1492" s="42"/>
      <c r="AO1492" s="42"/>
      <c r="AP1492" s="42"/>
      <c r="AQ1492" s="43"/>
      <c r="AR1492" s="42"/>
      <c r="AS1492" s="42" t="s">
        <v>1820</v>
      </c>
    </row>
    <row r="1493" spans="1:45" ht="15" customHeight="1">
      <c r="A1493" s="21" t="s">
        <v>260</v>
      </c>
      <c r="B1493" s="21" t="s">
        <v>46</v>
      </c>
      <c r="C1493" s="21" t="s">
        <v>188</v>
      </c>
      <c r="D1493" s="21" t="s">
        <v>48</v>
      </c>
      <c r="E1493" s="80" t="s">
        <v>1636</v>
      </c>
      <c r="F1493" s="21" t="s">
        <v>920</v>
      </c>
      <c r="G1493" s="101" t="s">
        <v>77</v>
      </c>
      <c r="H1493" s="133" t="s">
        <v>1816</v>
      </c>
      <c r="I1493" s="102" t="s">
        <v>78</v>
      </c>
      <c r="J1493" s="65" t="s">
        <v>1817</v>
      </c>
      <c r="K1493" s="104"/>
      <c r="L1493" s="48" t="s">
        <v>923</v>
      </c>
      <c r="M1493" s="156">
        <v>43067</v>
      </c>
      <c r="N1493" s="116" t="s">
        <v>81</v>
      </c>
      <c r="O1493" s="68">
        <v>9600</v>
      </c>
      <c r="P1493" s="68">
        <v>5</v>
      </c>
      <c r="Q1493" s="51">
        <f t="shared" si="33"/>
        <v>48000</v>
      </c>
      <c r="R1493" s="31">
        <v>202310</v>
      </c>
      <c r="S1493" s="183" t="s">
        <v>1876</v>
      </c>
      <c r="T1493" s="33"/>
      <c r="U1493" s="183"/>
      <c r="V1493" s="184"/>
      <c r="W1493" s="67"/>
      <c r="X1493" s="67"/>
      <c r="Y1493" s="36"/>
      <c r="Z1493" s="36"/>
      <c r="AA1493" s="36"/>
      <c r="AB1493" s="36"/>
      <c r="AC1493" s="36"/>
      <c r="AD1493" s="36"/>
      <c r="AE1493" s="36"/>
      <c r="AF1493" s="53" t="s">
        <v>68</v>
      </c>
      <c r="AG1493" s="42"/>
      <c r="AH1493" s="42"/>
      <c r="AI1493" s="43"/>
      <c r="AJ1493" s="43"/>
      <c r="AK1493" s="43"/>
      <c r="AL1493" s="43"/>
      <c r="AM1493" s="43"/>
      <c r="AN1493" s="42"/>
      <c r="AO1493" s="42"/>
      <c r="AP1493" s="42"/>
      <c r="AQ1493" s="43"/>
      <c r="AR1493" s="42"/>
      <c r="AS1493" s="42" t="s">
        <v>1820</v>
      </c>
    </row>
    <row r="1494" spans="1:45" ht="15" customHeight="1">
      <c r="A1494" s="21" t="s">
        <v>260</v>
      </c>
      <c r="B1494" s="21" t="s">
        <v>46</v>
      </c>
      <c r="C1494" s="21" t="s">
        <v>188</v>
      </c>
      <c r="D1494" s="21" t="s">
        <v>48</v>
      </c>
      <c r="E1494" s="80" t="s">
        <v>1636</v>
      </c>
      <c r="F1494" s="21" t="s">
        <v>920</v>
      </c>
      <c r="G1494" s="101" t="s">
        <v>77</v>
      </c>
      <c r="H1494" s="133" t="s">
        <v>1816</v>
      </c>
      <c r="I1494" s="102" t="s">
        <v>78</v>
      </c>
      <c r="J1494" s="65" t="s">
        <v>1817</v>
      </c>
      <c r="K1494" s="104"/>
      <c r="L1494" s="48" t="s">
        <v>923</v>
      </c>
      <c r="M1494" s="156">
        <v>43081</v>
      </c>
      <c r="N1494" s="116" t="s">
        <v>81</v>
      </c>
      <c r="O1494" s="68">
        <v>9600</v>
      </c>
      <c r="P1494" s="68">
        <v>1</v>
      </c>
      <c r="Q1494" s="51">
        <f t="shared" si="33"/>
        <v>9600</v>
      </c>
      <c r="R1494" s="31">
        <v>202310</v>
      </c>
      <c r="S1494" s="183" t="s">
        <v>1877</v>
      </c>
      <c r="T1494" s="33"/>
      <c r="U1494" s="183"/>
      <c r="V1494" s="184"/>
      <c r="W1494" s="67"/>
      <c r="X1494" s="67"/>
      <c r="Y1494" s="36"/>
      <c r="Z1494" s="36"/>
      <c r="AA1494" s="36"/>
      <c r="AB1494" s="36"/>
      <c r="AC1494" s="36"/>
      <c r="AD1494" s="36"/>
      <c r="AE1494" s="36"/>
      <c r="AF1494" s="53" t="s">
        <v>68</v>
      </c>
      <c r="AG1494" s="42"/>
      <c r="AH1494" s="42"/>
      <c r="AI1494" s="43"/>
      <c r="AJ1494" s="43"/>
      <c r="AK1494" s="43"/>
      <c r="AL1494" s="43"/>
      <c r="AM1494" s="43"/>
      <c r="AN1494" s="42"/>
      <c r="AO1494" s="42"/>
      <c r="AP1494" s="42"/>
      <c r="AQ1494" s="43"/>
      <c r="AR1494" s="42"/>
      <c r="AS1494" s="42" t="s">
        <v>1820</v>
      </c>
    </row>
    <row r="1495" spans="1:45" ht="15" customHeight="1">
      <c r="A1495" s="21" t="s">
        <v>260</v>
      </c>
      <c r="B1495" s="21" t="s">
        <v>46</v>
      </c>
      <c r="C1495" s="21" t="s">
        <v>188</v>
      </c>
      <c r="D1495" s="21" t="s">
        <v>48</v>
      </c>
      <c r="E1495" s="80" t="s">
        <v>1636</v>
      </c>
      <c r="F1495" s="21" t="s">
        <v>920</v>
      </c>
      <c r="G1495" s="101" t="s">
        <v>77</v>
      </c>
      <c r="H1495" s="133" t="s">
        <v>1816</v>
      </c>
      <c r="I1495" s="102" t="s">
        <v>78</v>
      </c>
      <c r="J1495" s="65" t="s">
        <v>1817</v>
      </c>
      <c r="K1495" s="104"/>
      <c r="L1495" s="48" t="s">
        <v>923</v>
      </c>
      <c r="M1495" s="156">
        <v>43084</v>
      </c>
      <c r="N1495" s="116" t="s">
        <v>81</v>
      </c>
      <c r="O1495" s="68">
        <v>9600</v>
      </c>
      <c r="P1495" s="68">
        <v>2</v>
      </c>
      <c r="Q1495" s="51">
        <f t="shared" si="33"/>
        <v>19200</v>
      </c>
      <c r="R1495" s="31">
        <v>202310</v>
      </c>
      <c r="S1495" s="183" t="s">
        <v>1878</v>
      </c>
      <c r="T1495" s="33"/>
      <c r="U1495" s="183"/>
      <c r="V1495" s="184"/>
      <c r="W1495" s="67"/>
      <c r="X1495" s="67"/>
      <c r="Y1495" s="36"/>
      <c r="Z1495" s="36"/>
      <c r="AA1495" s="36"/>
      <c r="AB1495" s="36"/>
      <c r="AC1495" s="36"/>
      <c r="AD1495" s="36"/>
      <c r="AE1495" s="36"/>
      <c r="AF1495" s="53" t="s">
        <v>68</v>
      </c>
      <c r="AG1495" s="42"/>
      <c r="AH1495" s="42"/>
      <c r="AI1495" s="43"/>
      <c r="AJ1495" s="43"/>
      <c r="AK1495" s="43"/>
      <c r="AL1495" s="43"/>
      <c r="AM1495" s="43"/>
      <c r="AN1495" s="42"/>
      <c r="AO1495" s="42"/>
      <c r="AP1495" s="42"/>
      <c r="AQ1495" s="43"/>
      <c r="AR1495" s="42"/>
      <c r="AS1495" s="42" t="s">
        <v>1820</v>
      </c>
    </row>
    <row r="1496" spans="1:45" ht="15" customHeight="1">
      <c r="A1496" s="21" t="s">
        <v>260</v>
      </c>
      <c r="B1496" s="21" t="s">
        <v>46</v>
      </c>
      <c r="C1496" s="21" t="s">
        <v>188</v>
      </c>
      <c r="D1496" s="21" t="s">
        <v>48</v>
      </c>
      <c r="E1496" s="80" t="s">
        <v>1636</v>
      </c>
      <c r="F1496" s="21" t="s">
        <v>920</v>
      </c>
      <c r="G1496" s="101" t="s">
        <v>77</v>
      </c>
      <c r="H1496" s="133" t="s">
        <v>1816</v>
      </c>
      <c r="I1496" s="102" t="s">
        <v>78</v>
      </c>
      <c r="J1496" s="65" t="s">
        <v>1817</v>
      </c>
      <c r="K1496" s="104"/>
      <c r="L1496" s="48" t="s">
        <v>923</v>
      </c>
      <c r="M1496" s="156">
        <v>43091</v>
      </c>
      <c r="N1496" s="116" t="s">
        <v>81</v>
      </c>
      <c r="O1496" s="68">
        <v>9600</v>
      </c>
      <c r="P1496" s="68">
        <v>2</v>
      </c>
      <c r="Q1496" s="51">
        <f t="shared" si="33"/>
        <v>19200</v>
      </c>
      <c r="R1496" s="31">
        <v>202310</v>
      </c>
      <c r="S1496" s="183" t="s">
        <v>1879</v>
      </c>
      <c r="T1496" s="33"/>
      <c r="U1496" s="183"/>
      <c r="V1496" s="184"/>
      <c r="W1496" s="67"/>
      <c r="X1496" s="67"/>
      <c r="Y1496" s="36"/>
      <c r="Z1496" s="36"/>
      <c r="AA1496" s="36"/>
      <c r="AB1496" s="36"/>
      <c r="AC1496" s="36"/>
      <c r="AD1496" s="36"/>
      <c r="AE1496" s="36"/>
      <c r="AF1496" s="53" t="s">
        <v>68</v>
      </c>
      <c r="AG1496" s="42"/>
      <c r="AH1496" s="42"/>
      <c r="AI1496" s="43"/>
      <c r="AJ1496" s="43"/>
      <c r="AK1496" s="43"/>
      <c r="AL1496" s="43"/>
      <c r="AM1496" s="43"/>
      <c r="AN1496" s="42"/>
      <c r="AO1496" s="42"/>
      <c r="AP1496" s="42"/>
      <c r="AQ1496" s="43"/>
      <c r="AR1496" s="42"/>
      <c r="AS1496" s="42" t="s">
        <v>1820</v>
      </c>
    </row>
    <row r="1497" spans="1:45" ht="15" customHeight="1">
      <c r="A1497" s="21" t="s">
        <v>260</v>
      </c>
      <c r="B1497" s="21" t="s">
        <v>46</v>
      </c>
      <c r="C1497" s="21" t="s">
        <v>188</v>
      </c>
      <c r="D1497" s="21" t="s">
        <v>48</v>
      </c>
      <c r="E1497" s="80" t="s">
        <v>1636</v>
      </c>
      <c r="F1497" s="21" t="s">
        <v>920</v>
      </c>
      <c r="G1497" s="101" t="s">
        <v>77</v>
      </c>
      <c r="H1497" s="133" t="s">
        <v>1816</v>
      </c>
      <c r="I1497" s="102" t="s">
        <v>78</v>
      </c>
      <c r="J1497" s="65" t="s">
        <v>1817</v>
      </c>
      <c r="K1497" s="104"/>
      <c r="L1497" s="48" t="s">
        <v>923</v>
      </c>
      <c r="M1497" s="156">
        <v>43091</v>
      </c>
      <c r="N1497" s="116" t="s">
        <v>81</v>
      </c>
      <c r="O1497" s="68">
        <v>9600</v>
      </c>
      <c r="P1497" s="68">
        <v>5</v>
      </c>
      <c r="Q1497" s="51">
        <f t="shared" si="33"/>
        <v>48000</v>
      </c>
      <c r="R1497" s="31">
        <v>202310</v>
      </c>
      <c r="S1497" s="183" t="s">
        <v>1880</v>
      </c>
      <c r="T1497" s="33"/>
      <c r="U1497" s="183"/>
      <c r="V1497" s="184"/>
      <c r="W1497" s="67"/>
      <c r="X1497" s="67"/>
      <c r="Y1497" s="36"/>
      <c r="Z1497" s="36"/>
      <c r="AA1497" s="36"/>
      <c r="AB1497" s="36"/>
      <c r="AC1497" s="36"/>
      <c r="AD1497" s="36"/>
      <c r="AE1497" s="36"/>
      <c r="AF1497" s="53" t="s">
        <v>68</v>
      </c>
      <c r="AG1497" s="42"/>
      <c r="AH1497" s="42"/>
      <c r="AI1497" s="43"/>
      <c r="AJ1497" s="43"/>
      <c r="AK1497" s="43"/>
      <c r="AL1497" s="43"/>
      <c r="AM1497" s="43"/>
      <c r="AN1497" s="42"/>
      <c r="AO1497" s="42"/>
      <c r="AP1497" s="42"/>
      <c r="AQ1497" s="43"/>
      <c r="AR1497" s="42"/>
      <c r="AS1497" s="42" t="s">
        <v>1820</v>
      </c>
    </row>
    <row r="1498" spans="1:45" ht="15" customHeight="1">
      <c r="A1498" s="21" t="s">
        <v>260</v>
      </c>
      <c r="B1498" s="21" t="s">
        <v>46</v>
      </c>
      <c r="C1498" s="21" t="s">
        <v>188</v>
      </c>
      <c r="D1498" s="21" t="s">
        <v>48</v>
      </c>
      <c r="E1498" s="80" t="s">
        <v>1636</v>
      </c>
      <c r="F1498" s="21" t="s">
        <v>920</v>
      </c>
      <c r="G1498" s="101" t="s">
        <v>77</v>
      </c>
      <c r="H1498" s="133" t="s">
        <v>1816</v>
      </c>
      <c r="I1498" s="102" t="s">
        <v>78</v>
      </c>
      <c r="J1498" s="65" t="s">
        <v>1817</v>
      </c>
      <c r="K1498" s="104"/>
      <c r="L1498" s="48" t="s">
        <v>923</v>
      </c>
      <c r="M1498" s="156">
        <v>43091</v>
      </c>
      <c r="N1498" s="116" t="s">
        <v>81</v>
      </c>
      <c r="O1498" s="68">
        <v>9600</v>
      </c>
      <c r="P1498" s="68">
        <v>1</v>
      </c>
      <c r="Q1498" s="51">
        <f t="shared" si="33"/>
        <v>9600</v>
      </c>
      <c r="R1498" s="31">
        <v>202310</v>
      </c>
      <c r="S1498" s="183" t="s">
        <v>1881</v>
      </c>
      <c r="T1498" s="33"/>
      <c r="U1498" s="183"/>
      <c r="V1498" s="184"/>
      <c r="W1498" s="67"/>
      <c r="X1498" s="67"/>
      <c r="Y1498" s="36"/>
      <c r="Z1498" s="36"/>
      <c r="AA1498" s="36"/>
      <c r="AB1498" s="36"/>
      <c r="AC1498" s="36"/>
      <c r="AD1498" s="36"/>
      <c r="AE1498" s="36"/>
      <c r="AF1498" s="53" t="s">
        <v>68</v>
      </c>
      <c r="AG1498" s="42"/>
      <c r="AH1498" s="42"/>
      <c r="AI1498" s="43"/>
      <c r="AJ1498" s="43"/>
      <c r="AK1498" s="43"/>
      <c r="AL1498" s="43"/>
      <c r="AM1498" s="43"/>
      <c r="AN1498" s="42"/>
      <c r="AO1498" s="42"/>
      <c r="AP1498" s="42"/>
      <c r="AQ1498" s="43"/>
      <c r="AR1498" s="42"/>
      <c r="AS1498" s="42" t="s">
        <v>1820</v>
      </c>
    </row>
    <row r="1499" spans="1:45" ht="15" customHeight="1">
      <c r="A1499" s="21" t="s">
        <v>260</v>
      </c>
      <c r="B1499" s="21" t="s">
        <v>46</v>
      </c>
      <c r="C1499" s="21" t="s">
        <v>188</v>
      </c>
      <c r="D1499" s="21" t="s">
        <v>48</v>
      </c>
      <c r="E1499" s="80" t="s">
        <v>1636</v>
      </c>
      <c r="F1499" s="21" t="s">
        <v>920</v>
      </c>
      <c r="G1499" s="101" t="s">
        <v>77</v>
      </c>
      <c r="H1499" s="133" t="s">
        <v>1816</v>
      </c>
      <c r="I1499" s="102" t="s">
        <v>78</v>
      </c>
      <c r="J1499" s="65" t="s">
        <v>1817</v>
      </c>
      <c r="K1499" s="104"/>
      <c r="L1499" s="48" t="s">
        <v>923</v>
      </c>
      <c r="M1499" s="156">
        <v>43091</v>
      </c>
      <c r="N1499" s="116" t="s">
        <v>81</v>
      </c>
      <c r="O1499" s="68">
        <v>9600</v>
      </c>
      <c r="P1499" s="68">
        <v>6</v>
      </c>
      <c r="Q1499" s="51">
        <f t="shared" si="33"/>
        <v>57600</v>
      </c>
      <c r="R1499" s="31">
        <v>202310</v>
      </c>
      <c r="S1499" s="183" t="s">
        <v>1882</v>
      </c>
      <c r="T1499" s="33"/>
      <c r="U1499" s="183"/>
      <c r="V1499" s="184"/>
      <c r="W1499" s="67"/>
      <c r="X1499" s="67"/>
      <c r="Y1499" s="36"/>
      <c r="Z1499" s="36"/>
      <c r="AA1499" s="36"/>
      <c r="AB1499" s="36"/>
      <c r="AC1499" s="36"/>
      <c r="AD1499" s="36"/>
      <c r="AE1499" s="36"/>
      <c r="AF1499" s="53" t="s">
        <v>68</v>
      </c>
      <c r="AG1499" s="42"/>
      <c r="AH1499" s="42"/>
      <c r="AI1499" s="43"/>
      <c r="AJ1499" s="43"/>
      <c r="AK1499" s="43"/>
      <c r="AL1499" s="43"/>
      <c r="AM1499" s="43"/>
      <c r="AN1499" s="42"/>
      <c r="AO1499" s="42"/>
      <c r="AP1499" s="42"/>
      <c r="AQ1499" s="43"/>
      <c r="AR1499" s="42"/>
      <c r="AS1499" s="42" t="s">
        <v>1820</v>
      </c>
    </row>
    <row r="1500" spans="1:45" ht="15" customHeight="1">
      <c r="A1500" s="21" t="s">
        <v>260</v>
      </c>
      <c r="B1500" s="21" t="s">
        <v>46</v>
      </c>
      <c r="C1500" s="21" t="s">
        <v>188</v>
      </c>
      <c r="D1500" s="21" t="s">
        <v>48</v>
      </c>
      <c r="E1500" s="80" t="s">
        <v>1636</v>
      </c>
      <c r="F1500" s="21" t="s">
        <v>920</v>
      </c>
      <c r="G1500" s="101" t="s">
        <v>77</v>
      </c>
      <c r="H1500" s="133" t="s">
        <v>1816</v>
      </c>
      <c r="I1500" s="102" t="s">
        <v>78</v>
      </c>
      <c r="J1500" s="65" t="s">
        <v>1817</v>
      </c>
      <c r="K1500" s="104"/>
      <c r="L1500" s="48" t="s">
        <v>923</v>
      </c>
      <c r="M1500" s="156">
        <v>43096</v>
      </c>
      <c r="N1500" s="116" t="s">
        <v>81</v>
      </c>
      <c r="O1500" s="68">
        <v>9600</v>
      </c>
      <c r="P1500" s="68">
        <v>7</v>
      </c>
      <c r="Q1500" s="51">
        <f t="shared" si="33"/>
        <v>67200</v>
      </c>
      <c r="R1500" s="31">
        <v>202310</v>
      </c>
      <c r="S1500" s="183" t="s">
        <v>1883</v>
      </c>
      <c r="T1500" s="33"/>
      <c r="U1500" s="183"/>
      <c r="V1500" s="184"/>
      <c r="W1500" s="67"/>
      <c r="X1500" s="67"/>
      <c r="Y1500" s="36"/>
      <c r="Z1500" s="36"/>
      <c r="AA1500" s="36"/>
      <c r="AB1500" s="36"/>
      <c r="AC1500" s="36"/>
      <c r="AD1500" s="36"/>
      <c r="AE1500" s="36"/>
      <c r="AF1500" s="53" t="s">
        <v>68</v>
      </c>
      <c r="AG1500" s="42"/>
      <c r="AH1500" s="42"/>
      <c r="AI1500" s="43"/>
      <c r="AJ1500" s="43"/>
      <c r="AK1500" s="43"/>
      <c r="AL1500" s="43"/>
      <c r="AM1500" s="43"/>
      <c r="AN1500" s="42"/>
      <c r="AO1500" s="42"/>
      <c r="AP1500" s="42"/>
      <c r="AQ1500" s="43"/>
      <c r="AR1500" s="42"/>
      <c r="AS1500" s="42" t="s">
        <v>1820</v>
      </c>
    </row>
    <row r="1501" spans="1:45" ht="15" customHeight="1">
      <c r="A1501" s="21" t="s">
        <v>260</v>
      </c>
      <c r="B1501" s="21" t="s">
        <v>46</v>
      </c>
      <c r="C1501" s="21" t="s">
        <v>188</v>
      </c>
      <c r="D1501" s="21" t="s">
        <v>48</v>
      </c>
      <c r="E1501" s="80" t="s">
        <v>1636</v>
      </c>
      <c r="F1501" s="21" t="s">
        <v>920</v>
      </c>
      <c r="G1501" s="101" t="s">
        <v>77</v>
      </c>
      <c r="H1501" s="133" t="s">
        <v>1816</v>
      </c>
      <c r="I1501" s="102" t="s">
        <v>78</v>
      </c>
      <c r="J1501" s="65" t="s">
        <v>1817</v>
      </c>
      <c r="K1501" s="104"/>
      <c r="L1501" s="48" t="s">
        <v>923</v>
      </c>
      <c r="M1501" s="156">
        <v>43096</v>
      </c>
      <c r="N1501" s="116" t="s">
        <v>81</v>
      </c>
      <c r="O1501" s="68">
        <v>9600</v>
      </c>
      <c r="P1501" s="68">
        <v>6</v>
      </c>
      <c r="Q1501" s="51">
        <f t="shared" si="33"/>
        <v>57600</v>
      </c>
      <c r="R1501" s="31">
        <v>202310</v>
      </c>
      <c r="S1501" s="183" t="s">
        <v>1884</v>
      </c>
      <c r="T1501" s="33"/>
      <c r="U1501" s="183"/>
      <c r="V1501" s="184"/>
      <c r="W1501" s="67"/>
      <c r="X1501" s="67"/>
      <c r="Y1501" s="36"/>
      <c r="Z1501" s="36"/>
      <c r="AA1501" s="36"/>
      <c r="AB1501" s="36"/>
      <c r="AC1501" s="36"/>
      <c r="AD1501" s="36"/>
      <c r="AE1501" s="36"/>
      <c r="AF1501" s="53" t="s">
        <v>68</v>
      </c>
      <c r="AG1501" s="42"/>
      <c r="AH1501" s="42"/>
      <c r="AI1501" s="43"/>
      <c r="AJ1501" s="43"/>
      <c r="AK1501" s="43"/>
      <c r="AL1501" s="43"/>
      <c r="AM1501" s="43"/>
      <c r="AN1501" s="42"/>
      <c r="AO1501" s="42"/>
      <c r="AP1501" s="42"/>
      <c r="AQ1501" s="43"/>
      <c r="AR1501" s="42"/>
      <c r="AS1501" s="42" t="s">
        <v>1820</v>
      </c>
    </row>
    <row r="1502" spans="1:45" ht="15" customHeight="1">
      <c r="A1502" s="21" t="s">
        <v>260</v>
      </c>
      <c r="B1502" s="21" t="s">
        <v>46</v>
      </c>
      <c r="C1502" s="21" t="s">
        <v>188</v>
      </c>
      <c r="D1502" s="21" t="s">
        <v>48</v>
      </c>
      <c r="E1502" s="80" t="s">
        <v>1636</v>
      </c>
      <c r="F1502" s="21" t="s">
        <v>920</v>
      </c>
      <c r="G1502" s="101" t="s">
        <v>77</v>
      </c>
      <c r="H1502" s="133" t="s">
        <v>1816</v>
      </c>
      <c r="I1502" s="102" t="s">
        <v>78</v>
      </c>
      <c r="J1502" s="65" t="s">
        <v>1817</v>
      </c>
      <c r="K1502" s="104"/>
      <c r="L1502" s="48" t="s">
        <v>923</v>
      </c>
      <c r="M1502" s="156">
        <v>43097</v>
      </c>
      <c r="N1502" s="116" t="s">
        <v>81</v>
      </c>
      <c r="O1502" s="68">
        <v>9600</v>
      </c>
      <c r="P1502" s="68">
        <v>8</v>
      </c>
      <c r="Q1502" s="51">
        <f t="shared" si="33"/>
        <v>76800</v>
      </c>
      <c r="R1502" s="31">
        <v>202310</v>
      </c>
      <c r="S1502" s="183" t="s">
        <v>1885</v>
      </c>
      <c r="T1502" s="33"/>
      <c r="U1502" s="183"/>
      <c r="V1502" s="184"/>
      <c r="W1502" s="67"/>
      <c r="X1502" s="67"/>
      <c r="Y1502" s="36"/>
      <c r="Z1502" s="36"/>
      <c r="AA1502" s="36"/>
      <c r="AB1502" s="36"/>
      <c r="AC1502" s="36"/>
      <c r="AD1502" s="36"/>
      <c r="AE1502" s="36"/>
      <c r="AF1502" s="53" t="s">
        <v>68</v>
      </c>
      <c r="AG1502" s="42"/>
      <c r="AH1502" s="42"/>
      <c r="AI1502" s="43"/>
      <c r="AJ1502" s="43"/>
      <c r="AK1502" s="43"/>
      <c r="AL1502" s="43"/>
      <c r="AM1502" s="43"/>
      <c r="AN1502" s="42"/>
      <c r="AO1502" s="42"/>
      <c r="AP1502" s="42"/>
      <c r="AQ1502" s="43"/>
      <c r="AR1502" s="42"/>
      <c r="AS1502" s="42" t="s">
        <v>1820</v>
      </c>
    </row>
    <row r="1503" spans="1:45" ht="15" customHeight="1">
      <c r="A1503" s="21" t="s">
        <v>260</v>
      </c>
      <c r="B1503" s="21" t="s">
        <v>46</v>
      </c>
      <c r="C1503" s="21" t="s">
        <v>188</v>
      </c>
      <c r="D1503" s="21" t="s">
        <v>48</v>
      </c>
      <c r="E1503" s="80" t="s">
        <v>1636</v>
      </c>
      <c r="F1503" s="21" t="s">
        <v>920</v>
      </c>
      <c r="G1503" s="101" t="s">
        <v>77</v>
      </c>
      <c r="H1503" s="133" t="s">
        <v>1816</v>
      </c>
      <c r="I1503" s="102" t="s">
        <v>78</v>
      </c>
      <c r="J1503" s="65" t="s">
        <v>1817</v>
      </c>
      <c r="K1503" s="104"/>
      <c r="L1503" s="48" t="s">
        <v>923</v>
      </c>
      <c r="M1503" s="156">
        <v>43131</v>
      </c>
      <c r="N1503" s="116" t="s">
        <v>81</v>
      </c>
      <c r="O1503" s="68">
        <v>9600</v>
      </c>
      <c r="P1503" s="68">
        <v>3</v>
      </c>
      <c r="Q1503" s="51">
        <f t="shared" si="33"/>
        <v>28800</v>
      </c>
      <c r="R1503" s="31">
        <v>202310</v>
      </c>
      <c r="S1503" s="183" t="s">
        <v>1886</v>
      </c>
      <c r="T1503" s="33"/>
      <c r="U1503" s="183"/>
      <c r="V1503" s="184"/>
      <c r="W1503" s="67"/>
      <c r="X1503" s="67"/>
      <c r="Y1503" s="36"/>
      <c r="Z1503" s="36"/>
      <c r="AA1503" s="36"/>
      <c r="AB1503" s="36"/>
      <c r="AC1503" s="36"/>
      <c r="AD1503" s="36"/>
      <c r="AE1503" s="36"/>
      <c r="AF1503" s="53" t="s">
        <v>68</v>
      </c>
      <c r="AG1503" s="42"/>
      <c r="AH1503" s="42"/>
      <c r="AI1503" s="43"/>
      <c r="AJ1503" s="43"/>
      <c r="AK1503" s="43"/>
      <c r="AL1503" s="43"/>
      <c r="AM1503" s="43"/>
      <c r="AN1503" s="42"/>
      <c r="AO1503" s="42"/>
      <c r="AP1503" s="42"/>
      <c r="AQ1503" s="43"/>
      <c r="AR1503" s="42"/>
      <c r="AS1503" s="42" t="s">
        <v>1820</v>
      </c>
    </row>
    <row r="1504" spans="1:45" ht="15" customHeight="1">
      <c r="A1504" s="21" t="s">
        <v>260</v>
      </c>
      <c r="B1504" s="21" t="s">
        <v>46</v>
      </c>
      <c r="C1504" s="21" t="s">
        <v>188</v>
      </c>
      <c r="D1504" s="21" t="s">
        <v>48</v>
      </c>
      <c r="E1504" s="80" t="s">
        <v>1636</v>
      </c>
      <c r="F1504" s="21" t="s">
        <v>920</v>
      </c>
      <c r="G1504" s="101" t="s">
        <v>77</v>
      </c>
      <c r="H1504" s="133" t="s">
        <v>1816</v>
      </c>
      <c r="I1504" s="102" t="s">
        <v>78</v>
      </c>
      <c r="J1504" s="65" t="s">
        <v>1817</v>
      </c>
      <c r="K1504" s="104"/>
      <c r="L1504" s="48" t="s">
        <v>923</v>
      </c>
      <c r="M1504" s="156">
        <v>43130</v>
      </c>
      <c r="N1504" s="116" t="s">
        <v>81</v>
      </c>
      <c r="O1504" s="68">
        <v>9600</v>
      </c>
      <c r="P1504" s="68">
        <v>1</v>
      </c>
      <c r="Q1504" s="51">
        <f t="shared" si="33"/>
        <v>9600</v>
      </c>
      <c r="R1504" s="31">
        <v>202310</v>
      </c>
      <c r="S1504" s="183" t="s">
        <v>1887</v>
      </c>
      <c r="T1504" s="33"/>
      <c r="U1504" s="183"/>
      <c r="V1504" s="184"/>
      <c r="W1504" s="67"/>
      <c r="X1504" s="67"/>
      <c r="Y1504" s="36"/>
      <c r="Z1504" s="36"/>
      <c r="AA1504" s="36"/>
      <c r="AB1504" s="36"/>
      <c r="AC1504" s="36"/>
      <c r="AD1504" s="36"/>
      <c r="AE1504" s="36"/>
      <c r="AF1504" s="53" t="s">
        <v>68</v>
      </c>
      <c r="AG1504" s="42"/>
      <c r="AH1504" s="42"/>
      <c r="AI1504" s="43"/>
      <c r="AJ1504" s="43"/>
      <c r="AK1504" s="43"/>
      <c r="AL1504" s="43"/>
      <c r="AM1504" s="43"/>
      <c r="AN1504" s="42"/>
      <c r="AO1504" s="42"/>
      <c r="AP1504" s="42"/>
      <c r="AQ1504" s="43"/>
      <c r="AR1504" s="42"/>
      <c r="AS1504" s="42" t="s">
        <v>1820</v>
      </c>
    </row>
    <row r="1505" spans="1:45" ht="15" customHeight="1">
      <c r="A1505" s="21" t="s">
        <v>260</v>
      </c>
      <c r="B1505" s="21" t="s">
        <v>46</v>
      </c>
      <c r="C1505" s="21" t="s">
        <v>188</v>
      </c>
      <c r="D1505" s="21" t="s">
        <v>48</v>
      </c>
      <c r="E1505" s="80" t="s">
        <v>1636</v>
      </c>
      <c r="F1505" s="21" t="s">
        <v>920</v>
      </c>
      <c r="G1505" s="101" t="s">
        <v>77</v>
      </c>
      <c r="H1505" s="133" t="s">
        <v>1816</v>
      </c>
      <c r="I1505" s="102" t="s">
        <v>78</v>
      </c>
      <c r="J1505" s="65" t="s">
        <v>1817</v>
      </c>
      <c r="K1505" s="104"/>
      <c r="L1505" s="48" t="s">
        <v>923</v>
      </c>
      <c r="M1505" s="156">
        <v>43130</v>
      </c>
      <c r="N1505" s="116" t="s">
        <v>81</v>
      </c>
      <c r="O1505" s="68">
        <v>9600</v>
      </c>
      <c r="P1505" s="68">
        <v>1</v>
      </c>
      <c r="Q1505" s="51">
        <f t="shared" si="33"/>
        <v>9600</v>
      </c>
      <c r="R1505" s="31">
        <v>202310</v>
      </c>
      <c r="S1505" s="183" t="s">
        <v>1888</v>
      </c>
      <c r="T1505" s="33"/>
      <c r="U1505" s="183"/>
      <c r="V1505" s="184"/>
      <c r="W1505" s="67"/>
      <c r="X1505" s="67"/>
      <c r="Y1505" s="36"/>
      <c r="Z1505" s="36"/>
      <c r="AA1505" s="36"/>
      <c r="AB1505" s="36"/>
      <c r="AC1505" s="36"/>
      <c r="AD1505" s="36"/>
      <c r="AE1505" s="36"/>
      <c r="AF1505" s="53" t="s">
        <v>68</v>
      </c>
      <c r="AG1505" s="42"/>
      <c r="AH1505" s="42"/>
      <c r="AI1505" s="43"/>
      <c r="AJ1505" s="43"/>
      <c r="AK1505" s="43"/>
      <c r="AL1505" s="43"/>
      <c r="AM1505" s="43"/>
      <c r="AN1505" s="42"/>
      <c r="AO1505" s="42"/>
      <c r="AP1505" s="42"/>
      <c r="AQ1505" s="43"/>
      <c r="AR1505" s="42"/>
      <c r="AS1505" s="42" t="s">
        <v>1820</v>
      </c>
    </row>
    <row r="1506" spans="1:45" ht="15" customHeight="1">
      <c r="A1506" s="21" t="s">
        <v>260</v>
      </c>
      <c r="B1506" s="21" t="s">
        <v>46</v>
      </c>
      <c r="C1506" s="21" t="s">
        <v>188</v>
      </c>
      <c r="D1506" s="21" t="s">
        <v>48</v>
      </c>
      <c r="E1506" s="80" t="s">
        <v>1636</v>
      </c>
      <c r="F1506" s="21" t="s">
        <v>920</v>
      </c>
      <c r="G1506" s="101" t="s">
        <v>77</v>
      </c>
      <c r="H1506" s="133" t="s">
        <v>1816</v>
      </c>
      <c r="I1506" s="102" t="s">
        <v>78</v>
      </c>
      <c r="J1506" s="65" t="s">
        <v>1817</v>
      </c>
      <c r="K1506" s="104"/>
      <c r="L1506" s="48" t="s">
        <v>923</v>
      </c>
      <c r="M1506" s="156">
        <v>43100</v>
      </c>
      <c r="N1506" s="116" t="s">
        <v>81</v>
      </c>
      <c r="O1506" s="68">
        <v>9600</v>
      </c>
      <c r="P1506" s="68">
        <v>2</v>
      </c>
      <c r="Q1506" s="51">
        <f t="shared" si="33"/>
        <v>19200</v>
      </c>
      <c r="R1506" s="31">
        <v>202310</v>
      </c>
      <c r="S1506" s="183" t="s">
        <v>1889</v>
      </c>
      <c r="T1506" s="33"/>
      <c r="U1506" s="183"/>
      <c r="V1506" s="184"/>
      <c r="W1506" s="67"/>
      <c r="X1506" s="67"/>
      <c r="Y1506" s="36"/>
      <c r="Z1506" s="36"/>
      <c r="AA1506" s="36"/>
      <c r="AB1506" s="36"/>
      <c r="AC1506" s="36"/>
      <c r="AD1506" s="36"/>
      <c r="AE1506" s="36"/>
      <c r="AF1506" s="53" t="s">
        <v>68</v>
      </c>
      <c r="AG1506" s="42"/>
      <c r="AH1506" s="42"/>
      <c r="AI1506" s="43"/>
      <c r="AJ1506" s="43"/>
      <c r="AK1506" s="43"/>
      <c r="AL1506" s="43"/>
      <c r="AM1506" s="43"/>
      <c r="AN1506" s="42"/>
      <c r="AO1506" s="42"/>
      <c r="AP1506" s="42"/>
      <c r="AQ1506" s="43"/>
      <c r="AR1506" s="42"/>
      <c r="AS1506" s="42" t="s">
        <v>1820</v>
      </c>
    </row>
    <row r="1507" spans="1:45" ht="15" customHeight="1">
      <c r="A1507" s="21" t="s">
        <v>260</v>
      </c>
      <c r="B1507" s="21" t="s">
        <v>46</v>
      </c>
      <c r="C1507" s="21" t="s">
        <v>188</v>
      </c>
      <c r="D1507" s="21" t="s">
        <v>48</v>
      </c>
      <c r="E1507" s="80" t="s">
        <v>1636</v>
      </c>
      <c r="F1507" s="21" t="s">
        <v>920</v>
      </c>
      <c r="G1507" s="101" t="s">
        <v>77</v>
      </c>
      <c r="H1507" s="133" t="s">
        <v>1816</v>
      </c>
      <c r="I1507" s="102" t="s">
        <v>78</v>
      </c>
      <c r="J1507" s="65" t="s">
        <v>1817</v>
      </c>
      <c r="K1507" s="104"/>
      <c r="L1507" s="48" t="s">
        <v>923</v>
      </c>
      <c r="M1507" s="156">
        <v>43098</v>
      </c>
      <c r="N1507" s="116" t="s">
        <v>81</v>
      </c>
      <c r="O1507" s="68">
        <v>9600</v>
      </c>
      <c r="P1507" s="68">
        <v>13</v>
      </c>
      <c r="Q1507" s="51">
        <f t="shared" si="33"/>
        <v>124800</v>
      </c>
      <c r="R1507" s="31">
        <v>202310</v>
      </c>
      <c r="S1507" s="183" t="s">
        <v>1890</v>
      </c>
      <c r="T1507" s="33"/>
      <c r="U1507" s="183"/>
      <c r="V1507" s="184"/>
      <c r="W1507" s="67"/>
      <c r="X1507" s="67"/>
      <c r="Y1507" s="36"/>
      <c r="Z1507" s="36"/>
      <c r="AA1507" s="36"/>
      <c r="AB1507" s="36"/>
      <c r="AC1507" s="36"/>
      <c r="AD1507" s="36"/>
      <c r="AE1507" s="36"/>
      <c r="AF1507" s="53" t="s">
        <v>68</v>
      </c>
      <c r="AG1507" s="42"/>
      <c r="AH1507" s="42"/>
      <c r="AI1507" s="43"/>
      <c r="AJ1507" s="43"/>
      <c r="AK1507" s="43"/>
      <c r="AL1507" s="43"/>
      <c r="AM1507" s="43"/>
      <c r="AN1507" s="42"/>
      <c r="AO1507" s="42"/>
      <c r="AP1507" s="42"/>
      <c r="AQ1507" s="43"/>
      <c r="AR1507" s="42"/>
      <c r="AS1507" s="42" t="s">
        <v>1820</v>
      </c>
    </row>
    <row r="1508" spans="1:45" ht="15" customHeight="1">
      <c r="A1508" s="21" t="s">
        <v>260</v>
      </c>
      <c r="B1508" s="21" t="s">
        <v>46</v>
      </c>
      <c r="C1508" s="21" t="s">
        <v>188</v>
      </c>
      <c r="D1508" s="21" t="s">
        <v>48</v>
      </c>
      <c r="E1508" s="80" t="s">
        <v>1636</v>
      </c>
      <c r="F1508" s="21" t="s">
        <v>920</v>
      </c>
      <c r="G1508" s="101" t="s">
        <v>77</v>
      </c>
      <c r="H1508" s="133" t="s">
        <v>1816</v>
      </c>
      <c r="I1508" s="102" t="s">
        <v>78</v>
      </c>
      <c r="J1508" s="65" t="s">
        <v>1817</v>
      </c>
      <c r="K1508" s="104"/>
      <c r="L1508" s="48" t="s">
        <v>923</v>
      </c>
      <c r="M1508" s="156">
        <v>43101</v>
      </c>
      <c r="N1508" s="116" t="s">
        <v>81</v>
      </c>
      <c r="O1508" s="68">
        <v>9600</v>
      </c>
      <c r="P1508" s="68">
        <v>1</v>
      </c>
      <c r="Q1508" s="51">
        <f t="shared" si="33"/>
        <v>9600</v>
      </c>
      <c r="R1508" s="31">
        <v>202310</v>
      </c>
      <c r="S1508" s="183" t="s">
        <v>1891</v>
      </c>
      <c r="T1508" s="33"/>
      <c r="U1508" s="183"/>
      <c r="V1508" s="184"/>
      <c r="W1508" s="67"/>
      <c r="X1508" s="67"/>
      <c r="Y1508" s="36"/>
      <c r="Z1508" s="36"/>
      <c r="AA1508" s="36"/>
      <c r="AB1508" s="36"/>
      <c r="AC1508" s="36"/>
      <c r="AD1508" s="36"/>
      <c r="AE1508" s="36"/>
      <c r="AF1508" s="53" t="s">
        <v>68</v>
      </c>
      <c r="AG1508" s="42"/>
      <c r="AH1508" s="42"/>
      <c r="AI1508" s="43"/>
      <c r="AJ1508" s="43"/>
      <c r="AK1508" s="43"/>
      <c r="AL1508" s="43"/>
      <c r="AM1508" s="43"/>
      <c r="AN1508" s="42"/>
      <c r="AO1508" s="42"/>
      <c r="AP1508" s="42"/>
      <c r="AQ1508" s="43"/>
      <c r="AR1508" s="42"/>
      <c r="AS1508" s="42" t="s">
        <v>1820</v>
      </c>
    </row>
    <row r="1509" spans="1:45" ht="15" customHeight="1">
      <c r="A1509" s="21" t="s">
        <v>260</v>
      </c>
      <c r="B1509" s="21" t="s">
        <v>46</v>
      </c>
      <c r="C1509" s="21" t="s">
        <v>188</v>
      </c>
      <c r="D1509" s="21" t="s">
        <v>48</v>
      </c>
      <c r="E1509" s="80" t="s">
        <v>1636</v>
      </c>
      <c r="F1509" s="21" t="s">
        <v>920</v>
      </c>
      <c r="G1509" s="101" t="s">
        <v>77</v>
      </c>
      <c r="H1509" s="133" t="s">
        <v>1816</v>
      </c>
      <c r="I1509" s="102" t="s">
        <v>78</v>
      </c>
      <c r="J1509" s="65" t="s">
        <v>1817</v>
      </c>
      <c r="K1509" s="104"/>
      <c r="L1509" s="48" t="s">
        <v>923</v>
      </c>
      <c r="M1509" s="156">
        <v>43102</v>
      </c>
      <c r="N1509" s="116" t="s">
        <v>81</v>
      </c>
      <c r="O1509" s="68">
        <v>9600</v>
      </c>
      <c r="P1509" s="68">
        <v>3</v>
      </c>
      <c r="Q1509" s="51">
        <f t="shared" si="33"/>
        <v>28800</v>
      </c>
      <c r="R1509" s="31">
        <v>202310</v>
      </c>
      <c r="S1509" s="183" t="s">
        <v>1892</v>
      </c>
      <c r="T1509" s="33"/>
      <c r="U1509" s="183"/>
      <c r="V1509" s="184"/>
      <c r="W1509" s="67"/>
      <c r="X1509" s="67"/>
      <c r="Y1509" s="36"/>
      <c r="Z1509" s="36"/>
      <c r="AA1509" s="36"/>
      <c r="AB1509" s="36"/>
      <c r="AC1509" s="36"/>
      <c r="AD1509" s="36"/>
      <c r="AE1509" s="36"/>
      <c r="AF1509" s="53" t="s">
        <v>68</v>
      </c>
      <c r="AG1509" s="42"/>
      <c r="AH1509" s="42"/>
      <c r="AI1509" s="43"/>
      <c r="AJ1509" s="43"/>
      <c r="AK1509" s="43"/>
      <c r="AL1509" s="43"/>
      <c r="AM1509" s="43"/>
      <c r="AN1509" s="42"/>
      <c r="AO1509" s="42"/>
      <c r="AP1509" s="42"/>
      <c r="AQ1509" s="43"/>
      <c r="AR1509" s="42"/>
      <c r="AS1509" s="42" t="s">
        <v>1820</v>
      </c>
    </row>
    <row r="1510" spans="1:45" ht="15" customHeight="1">
      <c r="A1510" s="21" t="s">
        <v>260</v>
      </c>
      <c r="B1510" s="21" t="s">
        <v>46</v>
      </c>
      <c r="C1510" s="21" t="s">
        <v>188</v>
      </c>
      <c r="D1510" s="21" t="s">
        <v>48</v>
      </c>
      <c r="E1510" s="80" t="s">
        <v>1636</v>
      </c>
      <c r="F1510" s="21" t="s">
        <v>920</v>
      </c>
      <c r="G1510" s="101" t="s">
        <v>77</v>
      </c>
      <c r="H1510" s="133" t="s">
        <v>1816</v>
      </c>
      <c r="I1510" s="102" t="s">
        <v>78</v>
      </c>
      <c r="J1510" s="65" t="s">
        <v>1817</v>
      </c>
      <c r="K1510" s="104"/>
      <c r="L1510" s="48" t="s">
        <v>923</v>
      </c>
      <c r="M1510" s="156">
        <v>43107</v>
      </c>
      <c r="N1510" s="116" t="s">
        <v>81</v>
      </c>
      <c r="O1510" s="68">
        <v>9600</v>
      </c>
      <c r="P1510" s="68">
        <v>1</v>
      </c>
      <c r="Q1510" s="51">
        <f t="shared" si="33"/>
        <v>9600</v>
      </c>
      <c r="R1510" s="31">
        <v>202310</v>
      </c>
      <c r="S1510" s="183" t="s">
        <v>1893</v>
      </c>
      <c r="T1510" s="33"/>
      <c r="U1510" s="183"/>
      <c r="V1510" s="184"/>
      <c r="W1510" s="67"/>
      <c r="X1510" s="67"/>
      <c r="Y1510" s="36"/>
      <c r="Z1510" s="36"/>
      <c r="AA1510" s="36"/>
      <c r="AB1510" s="36"/>
      <c r="AC1510" s="36"/>
      <c r="AD1510" s="36"/>
      <c r="AE1510" s="36"/>
      <c r="AF1510" s="53" t="s">
        <v>68</v>
      </c>
      <c r="AG1510" s="42"/>
      <c r="AH1510" s="42"/>
      <c r="AI1510" s="43"/>
      <c r="AJ1510" s="43"/>
      <c r="AK1510" s="43"/>
      <c r="AL1510" s="43"/>
      <c r="AM1510" s="43"/>
      <c r="AN1510" s="42"/>
      <c r="AO1510" s="42"/>
      <c r="AP1510" s="42"/>
      <c r="AQ1510" s="43"/>
      <c r="AR1510" s="42"/>
      <c r="AS1510" s="42" t="s">
        <v>1820</v>
      </c>
    </row>
    <row r="1511" spans="1:45" ht="15" customHeight="1">
      <c r="A1511" s="21" t="s">
        <v>260</v>
      </c>
      <c r="B1511" s="21" t="s">
        <v>46</v>
      </c>
      <c r="C1511" s="21" t="s">
        <v>188</v>
      </c>
      <c r="D1511" s="21" t="s">
        <v>48</v>
      </c>
      <c r="E1511" s="80" t="s">
        <v>1636</v>
      </c>
      <c r="F1511" s="21" t="s">
        <v>920</v>
      </c>
      <c r="G1511" s="101" t="s">
        <v>77</v>
      </c>
      <c r="H1511" s="133" t="s">
        <v>1816</v>
      </c>
      <c r="I1511" s="102" t="s">
        <v>78</v>
      </c>
      <c r="J1511" s="65" t="s">
        <v>1817</v>
      </c>
      <c r="K1511" s="104"/>
      <c r="L1511" s="48" t="s">
        <v>923</v>
      </c>
      <c r="M1511" s="156">
        <v>43108</v>
      </c>
      <c r="N1511" s="116" t="s">
        <v>81</v>
      </c>
      <c r="O1511" s="68">
        <v>9600</v>
      </c>
      <c r="P1511" s="68">
        <v>12</v>
      </c>
      <c r="Q1511" s="51">
        <f t="shared" si="33"/>
        <v>115200</v>
      </c>
      <c r="R1511" s="31">
        <v>202310</v>
      </c>
      <c r="S1511" s="183" t="s">
        <v>1894</v>
      </c>
      <c r="T1511" s="33"/>
      <c r="U1511" s="183"/>
      <c r="V1511" s="184"/>
      <c r="W1511" s="67"/>
      <c r="X1511" s="67"/>
      <c r="Y1511" s="36"/>
      <c r="Z1511" s="36"/>
      <c r="AA1511" s="36"/>
      <c r="AB1511" s="36"/>
      <c r="AC1511" s="36"/>
      <c r="AD1511" s="36"/>
      <c r="AE1511" s="36"/>
      <c r="AF1511" s="53" t="s">
        <v>68</v>
      </c>
      <c r="AG1511" s="42"/>
      <c r="AH1511" s="42"/>
      <c r="AI1511" s="43"/>
      <c r="AJ1511" s="43"/>
      <c r="AK1511" s="43"/>
      <c r="AL1511" s="43"/>
      <c r="AM1511" s="43"/>
      <c r="AN1511" s="42"/>
      <c r="AO1511" s="42"/>
      <c r="AP1511" s="42"/>
      <c r="AQ1511" s="43"/>
      <c r="AR1511" s="42"/>
      <c r="AS1511" s="42" t="s">
        <v>1820</v>
      </c>
    </row>
    <row r="1512" spans="1:45" ht="15" customHeight="1">
      <c r="A1512" s="21" t="s">
        <v>260</v>
      </c>
      <c r="B1512" s="21" t="s">
        <v>46</v>
      </c>
      <c r="C1512" s="21" t="s">
        <v>188</v>
      </c>
      <c r="D1512" s="21" t="s">
        <v>48</v>
      </c>
      <c r="E1512" s="80" t="s">
        <v>1636</v>
      </c>
      <c r="F1512" s="21" t="s">
        <v>920</v>
      </c>
      <c r="G1512" s="101" t="s">
        <v>77</v>
      </c>
      <c r="H1512" s="133" t="s">
        <v>1816</v>
      </c>
      <c r="I1512" s="102" t="s">
        <v>78</v>
      </c>
      <c r="J1512" s="65" t="s">
        <v>1817</v>
      </c>
      <c r="K1512" s="104"/>
      <c r="L1512" s="48" t="s">
        <v>923</v>
      </c>
      <c r="M1512" s="156">
        <v>43109</v>
      </c>
      <c r="N1512" s="116" t="s">
        <v>81</v>
      </c>
      <c r="O1512" s="68">
        <v>9600</v>
      </c>
      <c r="P1512" s="68">
        <v>1</v>
      </c>
      <c r="Q1512" s="51">
        <f t="shared" si="33"/>
        <v>9600</v>
      </c>
      <c r="R1512" s="31">
        <v>202310</v>
      </c>
      <c r="S1512" s="183" t="s">
        <v>1895</v>
      </c>
      <c r="T1512" s="33"/>
      <c r="U1512" s="183"/>
      <c r="V1512" s="184"/>
      <c r="W1512" s="67"/>
      <c r="X1512" s="67"/>
      <c r="Y1512" s="36"/>
      <c r="Z1512" s="36"/>
      <c r="AA1512" s="36"/>
      <c r="AB1512" s="36"/>
      <c r="AC1512" s="36"/>
      <c r="AD1512" s="36"/>
      <c r="AE1512" s="36"/>
      <c r="AF1512" s="53" t="s">
        <v>68</v>
      </c>
      <c r="AG1512" s="42"/>
      <c r="AH1512" s="42"/>
      <c r="AI1512" s="43"/>
      <c r="AJ1512" s="43"/>
      <c r="AK1512" s="43"/>
      <c r="AL1512" s="43"/>
      <c r="AM1512" s="43"/>
      <c r="AN1512" s="42"/>
      <c r="AO1512" s="42"/>
      <c r="AP1512" s="42"/>
      <c r="AQ1512" s="43"/>
      <c r="AR1512" s="42"/>
      <c r="AS1512" s="42" t="s">
        <v>1820</v>
      </c>
    </row>
    <row r="1513" spans="1:45" ht="15" customHeight="1">
      <c r="A1513" s="21" t="s">
        <v>260</v>
      </c>
      <c r="B1513" s="21" t="s">
        <v>46</v>
      </c>
      <c r="C1513" s="21" t="s">
        <v>188</v>
      </c>
      <c r="D1513" s="21" t="s">
        <v>48</v>
      </c>
      <c r="E1513" s="80" t="s">
        <v>1636</v>
      </c>
      <c r="F1513" s="21" t="s">
        <v>920</v>
      </c>
      <c r="G1513" s="101" t="s">
        <v>77</v>
      </c>
      <c r="H1513" s="133" t="s">
        <v>1816</v>
      </c>
      <c r="I1513" s="102" t="s">
        <v>78</v>
      </c>
      <c r="J1513" s="65" t="s">
        <v>1817</v>
      </c>
      <c r="K1513" s="104"/>
      <c r="L1513" s="48" t="s">
        <v>923</v>
      </c>
      <c r="M1513" s="156">
        <v>43110</v>
      </c>
      <c r="N1513" s="116" t="s">
        <v>81</v>
      </c>
      <c r="O1513" s="68">
        <v>9600</v>
      </c>
      <c r="P1513" s="68">
        <v>1</v>
      </c>
      <c r="Q1513" s="51">
        <f t="shared" si="33"/>
        <v>9600</v>
      </c>
      <c r="R1513" s="31">
        <v>202310</v>
      </c>
      <c r="S1513" s="183" t="s">
        <v>1896</v>
      </c>
      <c r="T1513" s="33"/>
      <c r="U1513" s="183"/>
      <c r="V1513" s="184"/>
      <c r="W1513" s="67"/>
      <c r="X1513" s="67"/>
      <c r="Y1513" s="36"/>
      <c r="Z1513" s="36"/>
      <c r="AA1513" s="36"/>
      <c r="AB1513" s="36"/>
      <c r="AC1513" s="36"/>
      <c r="AD1513" s="36"/>
      <c r="AE1513" s="36"/>
      <c r="AF1513" s="53" t="s">
        <v>68</v>
      </c>
      <c r="AG1513" s="42"/>
      <c r="AH1513" s="42"/>
      <c r="AI1513" s="43"/>
      <c r="AJ1513" s="43"/>
      <c r="AK1513" s="43"/>
      <c r="AL1513" s="43"/>
      <c r="AM1513" s="43"/>
      <c r="AN1513" s="42"/>
      <c r="AO1513" s="42"/>
      <c r="AP1513" s="42"/>
      <c r="AQ1513" s="43"/>
      <c r="AR1513" s="42"/>
      <c r="AS1513" s="42" t="s">
        <v>1820</v>
      </c>
    </row>
    <row r="1514" spans="1:45" ht="15" customHeight="1">
      <c r="A1514" s="21" t="s">
        <v>260</v>
      </c>
      <c r="B1514" s="21" t="s">
        <v>46</v>
      </c>
      <c r="C1514" s="21" t="s">
        <v>188</v>
      </c>
      <c r="D1514" s="21" t="s">
        <v>48</v>
      </c>
      <c r="E1514" s="80" t="s">
        <v>1636</v>
      </c>
      <c r="F1514" s="21" t="s">
        <v>920</v>
      </c>
      <c r="G1514" s="101" t="s">
        <v>77</v>
      </c>
      <c r="H1514" s="133" t="s">
        <v>1816</v>
      </c>
      <c r="I1514" s="102" t="s">
        <v>78</v>
      </c>
      <c r="J1514" s="65" t="s">
        <v>1817</v>
      </c>
      <c r="K1514" s="104"/>
      <c r="L1514" s="48" t="s">
        <v>923</v>
      </c>
      <c r="M1514" s="156">
        <v>43110</v>
      </c>
      <c r="N1514" s="116" t="s">
        <v>81</v>
      </c>
      <c r="O1514" s="68">
        <v>9600</v>
      </c>
      <c r="P1514" s="68">
        <v>1</v>
      </c>
      <c r="Q1514" s="51">
        <f t="shared" si="33"/>
        <v>9600</v>
      </c>
      <c r="R1514" s="31">
        <v>202310</v>
      </c>
      <c r="S1514" s="183" t="s">
        <v>1897</v>
      </c>
      <c r="T1514" s="33"/>
      <c r="U1514" s="183"/>
      <c r="V1514" s="184"/>
      <c r="W1514" s="67"/>
      <c r="X1514" s="67"/>
      <c r="Y1514" s="36"/>
      <c r="Z1514" s="36"/>
      <c r="AA1514" s="36"/>
      <c r="AB1514" s="36"/>
      <c r="AC1514" s="36"/>
      <c r="AD1514" s="36"/>
      <c r="AE1514" s="36"/>
      <c r="AF1514" s="53" t="s">
        <v>68</v>
      </c>
      <c r="AG1514" s="42"/>
      <c r="AH1514" s="42"/>
      <c r="AI1514" s="43"/>
      <c r="AJ1514" s="43"/>
      <c r="AK1514" s="43"/>
      <c r="AL1514" s="43"/>
      <c r="AM1514" s="43"/>
      <c r="AN1514" s="42"/>
      <c r="AO1514" s="42"/>
      <c r="AP1514" s="42"/>
      <c r="AQ1514" s="43"/>
      <c r="AR1514" s="42"/>
      <c r="AS1514" s="42" t="s">
        <v>1820</v>
      </c>
    </row>
    <row r="1515" spans="1:45" ht="15" customHeight="1">
      <c r="A1515" s="21" t="s">
        <v>260</v>
      </c>
      <c r="B1515" s="21" t="s">
        <v>46</v>
      </c>
      <c r="C1515" s="21" t="s">
        <v>188</v>
      </c>
      <c r="D1515" s="21" t="s">
        <v>48</v>
      </c>
      <c r="E1515" s="80" t="s">
        <v>1636</v>
      </c>
      <c r="F1515" s="21" t="s">
        <v>920</v>
      </c>
      <c r="G1515" s="101" t="s">
        <v>77</v>
      </c>
      <c r="H1515" s="133" t="s">
        <v>1816</v>
      </c>
      <c r="I1515" s="102" t="s">
        <v>78</v>
      </c>
      <c r="J1515" s="65" t="s">
        <v>1817</v>
      </c>
      <c r="K1515" s="104"/>
      <c r="L1515" s="48" t="s">
        <v>923</v>
      </c>
      <c r="M1515" s="156">
        <v>43115</v>
      </c>
      <c r="N1515" s="116" t="s">
        <v>81</v>
      </c>
      <c r="O1515" s="68">
        <v>9600</v>
      </c>
      <c r="P1515" s="68">
        <v>2</v>
      </c>
      <c r="Q1515" s="51">
        <f t="shared" si="33"/>
        <v>19200</v>
      </c>
      <c r="R1515" s="31">
        <v>202310</v>
      </c>
      <c r="S1515" s="183" t="s">
        <v>1898</v>
      </c>
      <c r="T1515" s="33"/>
      <c r="U1515" s="183"/>
      <c r="V1515" s="184"/>
      <c r="W1515" s="67"/>
      <c r="X1515" s="67"/>
      <c r="Y1515" s="36"/>
      <c r="Z1515" s="36"/>
      <c r="AA1515" s="36"/>
      <c r="AB1515" s="36"/>
      <c r="AC1515" s="36"/>
      <c r="AD1515" s="36"/>
      <c r="AE1515" s="36"/>
      <c r="AF1515" s="53" t="s">
        <v>68</v>
      </c>
      <c r="AG1515" s="42"/>
      <c r="AH1515" s="42"/>
      <c r="AI1515" s="43"/>
      <c r="AJ1515" s="43"/>
      <c r="AK1515" s="43"/>
      <c r="AL1515" s="43"/>
      <c r="AM1515" s="43"/>
      <c r="AN1515" s="42"/>
      <c r="AO1515" s="42"/>
      <c r="AP1515" s="42"/>
      <c r="AQ1515" s="43"/>
      <c r="AR1515" s="42"/>
      <c r="AS1515" s="42" t="s">
        <v>1820</v>
      </c>
    </row>
    <row r="1516" spans="1:45" ht="15" customHeight="1">
      <c r="A1516" s="21" t="s">
        <v>260</v>
      </c>
      <c r="B1516" s="21" t="s">
        <v>46</v>
      </c>
      <c r="C1516" s="21" t="s">
        <v>188</v>
      </c>
      <c r="D1516" s="21" t="s">
        <v>48</v>
      </c>
      <c r="E1516" s="80" t="s">
        <v>1636</v>
      </c>
      <c r="F1516" s="21" t="s">
        <v>920</v>
      </c>
      <c r="G1516" s="101" t="s">
        <v>77</v>
      </c>
      <c r="H1516" s="133" t="s">
        <v>1816</v>
      </c>
      <c r="I1516" s="102" t="s">
        <v>78</v>
      </c>
      <c r="J1516" s="65" t="s">
        <v>1817</v>
      </c>
      <c r="K1516" s="104"/>
      <c r="L1516" s="48" t="s">
        <v>923</v>
      </c>
      <c r="M1516" s="156">
        <v>43115</v>
      </c>
      <c r="N1516" s="116" t="s">
        <v>81</v>
      </c>
      <c r="O1516" s="68">
        <v>9600</v>
      </c>
      <c r="P1516" s="68">
        <v>3</v>
      </c>
      <c r="Q1516" s="51">
        <f t="shared" si="33"/>
        <v>28800</v>
      </c>
      <c r="R1516" s="31">
        <v>202310</v>
      </c>
      <c r="S1516" s="183" t="s">
        <v>1899</v>
      </c>
      <c r="T1516" s="33"/>
      <c r="U1516" s="183"/>
      <c r="V1516" s="184"/>
      <c r="W1516" s="67"/>
      <c r="X1516" s="67"/>
      <c r="Y1516" s="36"/>
      <c r="Z1516" s="36"/>
      <c r="AA1516" s="36"/>
      <c r="AB1516" s="36"/>
      <c r="AC1516" s="36"/>
      <c r="AD1516" s="36"/>
      <c r="AE1516" s="36"/>
      <c r="AF1516" s="53" t="s">
        <v>68</v>
      </c>
      <c r="AG1516" s="42"/>
      <c r="AH1516" s="42"/>
      <c r="AI1516" s="43"/>
      <c r="AJ1516" s="43"/>
      <c r="AK1516" s="43"/>
      <c r="AL1516" s="43"/>
      <c r="AM1516" s="43"/>
      <c r="AN1516" s="42"/>
      <c r="AO1516" s="42"/>
      <c r="AP1516" s="42"/>
      <c r="AQ1516" s="43"/>
      <c r="AR1516" s="42"/>
      <c r="AS1516" s="42" t="s">
        <v>1820</v>
      </c>
    </row>
    <row r="1517" spans="1:45" ht="15" customHeight="1">
      <c r="A1517" s="21" t="s">
        <v>260</v>
      </c>
      <c r="B1517" s="21" t="s">
        <v>46</v>
      </c>
      <c r="C1517" s="21" t="s">
        <v>188</v>
      </c>
      <c r="D1517" s="21" t="s">
        <v>48</v>
      </c>
      <c r="E1517" s="80" t="s">
        <v>1636</v>
      </c>
      <c r="F1517" s="21" t="s">
        <v>920</v>
      </c>
      <c r="G1517" s="101" t="s">
        <v>77</v>
      </c>
      <c r="H1517" s="133" t="s">
        <v>1816</v>
      </c>
      <c r="I1517" s="102" t="s">
        <v>78</v>
      </c>
      <c r="J1517" s="65" t="s">
        <v>1817</v>
      </c>
      <c r="K1517" s="104"/>
      <c r="L1517" s="48" t="s">
        <v>923</v>
      </c>
      <c r="M1517" s="156">
        <v>43115</v>
      </c>
      <c r="N1517" s="116" t="s">
        <v>81</v>
      </c>
      <c r="O1517" s="68">
        <v>9600</v>
      </c>
      <c r="P1517" s="68">
        <v>1</v>
      </c>
      <c r="Q1517" s="51">
        <f t="shared" si="33"/>
        <v>9600</v>
      </c>
      <c r="R1517" s="31">
        <v>202310</v>
      </c>
      <c r="S1517" s="183" t="s">
        <v>1900</v>
      </c>
      <c r="T1517" s="33"/>
      <c r="U1517" s="183"/>
      <c r="V1517" s="184"/>
      <c r="W1517" s="67"/>
      <c r="X1517" s="67"/>
      <c r="Y1517" s="36"/>
      <c r="Z1517" s="36"/>
      <c r="AA1517" s="36"/>
      <c r="AB1517" s="36"/>
      <c r="AC1517" s="36"/>
      <c r="AD1517" s="36"/>
      <c r="AE1517" s="36"/>
      <c r="AF1517" s="53" t="s">
        <v>68</v>
      </c>
      <c r="AG1517" s="42"/>
      <c r="AH1517" s="42"/>
      <c r="AI1517" s="43"/>
      <c r="AJ1517" s="43"/>
      <c r="AK1517" s="43"/>
      <c r="AL1517" s="43"/>
      <c r="AM1517" s="43"/>
      <c r="AN1517" s="42"/>
      <c r="AO1517" s="42"/>
      <c r="AP1517" s="42"/>
      <c r="AQ1517" s="43"/>
      <c r="AR1517" s="42"/>
      <c r="AS1517" s="42" t="s">
        <v>1820</v>
      </c>
    </row>
    <row r="1518" spans="1:45" ht="15" customHeight="1">
      <c r="A1518" s="21" t="s">
        <v>260</v>
      </c>
      <c r="B1518" s="21" t="s">
        <v>46</v>
      </c>
      <c r="C1518" s="21" t="s">
        <v>188</v>
      </c>
      <c r="D1518" s="21" t="s">
        <v>48</v>
      </c>
      <c r="E1518" s="80" t="s">
        <v>1636</v>
      </c>
      <c r="F1518" s="21" t="s">
        <v>920</v>
      </c>
      <c r="G1518" s="101" t="s">
        <v>77</v>
      </c>
      <c r="H1518" s="133" t="s">
        <v>1816</v>
      </c>
      <c r="I1518" s="102" t="s">
        <v>78</v>
      </c>
      <c r="J1518" s="65" t="s">
        <v>1817</v>
      </c>
      <c r="K1518" s="104"/>
      <c r="L1518" s="48" t="s">
        <v>923</v>
      </c>
      <c r="M1518" s="156">
        <v>43115</v>
      </c>
      <c r="N1518" s="116" t="s">
        <v>81</v>
      </c>
      <c r="O1518" s="68">
        <v>9600</v>
      </c>
      <c r="P1518" s="68">
        <v>1</v>
      </c>
      <c r="Q1518" s="51">
        <f t="shared" ref="Q1518:Q1581" si="34">ROUND(O1518*P1518,2)</f>
        <v>9600</v>
      </c>
      <c r="R1518" s="31">
        <v>202310</v>
      </c>
      <c r="S1518" s="183" t="s">
        <v>1901</v>
      </c>
      <c r="T1518" s="33"/>
      <c r="U1518" s="183"/>
      <c r="V1518" s="184"/>
      <c r="W1518" s="67"/>
      <c r="X1518" s="67"/>
      <c r="Y1518" s="36"/>
      <c r="Z1518" s="36"/>
      <c r="AA1518" s="36"/>
      <c r="AB1518" s="36"/>
      <c r="AC1518" s="36"/>
      <c r="AD1518" s="36"/>
      <c r="AE1518" s="36"/>
      <c r="AF1518" s="53" t="s">
        <v>68</v>
      </c>
      <c r="AG1518" s="42"/>
      <c r="AH1518" s="42"/>
      <c r="AI1518" s="43"/>
      <c r="AJ1518" s="43"/>
      <c r="AK1518" s="43"/>
      <c r="AL1518" s="43"/>
      <c r="AM1518" s="43"/>
      <c r="AN1518" s="42"/>
      <c r="AO1518" s="42"/>
      <c r="AP1518" s="42"/>
      <c r="AQ1518" s="43"/>
      <c r="AR1518" s="42"/>
      <c r="AS1518" s="42" t="s">
        <v>1820</v>
      </c>
    </row>
    <row r="1519" spans="1:45" ht="15" customHeight="1">
      <c r="A1519" s="21" t="s">
        <v>260</v>
      </c>
      <c r="B1519" s="21" t="s">
        <v>46</v>
      </c>
      <c r="C1519" s="21" t="s">
        <v>188</v>
      </c>
      <c r="D1519" s="21" t="s">
        <v>48</v>
      </c>
      <c r="E1519" s="80" t="s">
        <v>1636</v>
      </c>
      <c r="F1519" s="21" t="s">
        <v>920</v>
      </c>
      <c r="G1519" s="101" t="s">
        <v>77</v>
      </c>
      <c r="H1519" s="133" t="s">
        <v>1816</v>
      </c>
      <c r="I1519" s="102" t="s">
        <v>78</v>
      </c>
      <c r="J1519" s="65" t="s">
        <v>1817</v>
      </c>
      <c r="K1519" s="104"/>
      <c r="L1519" s="48" t="s">
        <v>923</v>
      </c>
      <c r="M1519" s="156">
        <v>43115</v>
      </c>
      <c r="N1519" s="116" t="s">
        <v>81</v>
      </c>
      <c r="O1519" s="68">
        <v>9600</v>
      </c>
      <c r="P1519" s="68">
        <v>1</v>
      </c>
      <c r="Q1519" s="51">
        <f t="shared" si="34"/>
        <v>9600</v>
      </c>
      <c r="R1519" s="31">
        <v>202310</v>
      </c>
      <c r="S1519" s="183" t="s">
        <v>1902</v>
      </c>
      <c r="T1519" s="33"/>
      <c r="U1519" s="183"/>
      <c r="V1519" s="184"/>
      <c r="W1519" s="67"/>
      <c r="X1519" s="67"/>
      <c r="Y1519" s="36"/>
      <c r="Z1519" s="36"/>
      <c r="AA1519" s="36"/>
      <c r="AB1519" s="36"/>
      <c r="AC1519" s="36"/>
      <c r="AD1519" s="36"/>
      <c r="AE1519" s="36"/>
      <c r="AF1519" s="53" t="s">
        <v>68</v>
      </c>
      <c r="AG1519" s="42"/>
      <c r="AH1519" s="42"/>
      <c r="AI1519" s="43"/>
      <c r="AJ1519" s="43"/>
      <c r="AK1519" s="43"/>
      <c r="AL1519" s="43"/>
      <c r="AM1519" s="43"/>
      <c r="AN1519" s="42"/>
      <c r="AO1519" s="42"/>
      <c r="AP1519" s="42"/>
      <c r="AQ1519" s="43"/>
      <c r="AR1519" s="42"/>
      <c r="AS1519" s="42" t="s">
        <v>1820</v>
      </c>
    </row>
    <row r="1520" spans="1:45" ht="15" customHeight="1">
      <c r="A1520" s="21" t="s">
        <v>260</v>
      </c>
      <c r="B1520" s="21" t="s">
        <v>46</v>
      </c>
      <c r="C1520" s="21" t="s">
        <v>188</v>
      </c>
      <c r="D1520" s="21" t="s">
        <v>48</v>
      </c>
      <c r="E1520" s="80" t="s">
        <v>1636</v>
      </c>
      <c r="F1520" s="21" t="s">
        <v>920</v>
      </c>
      <c r="G1520" s="101" t="s">
        <v>77</v>
      </c>
      <c r="H1520" s="133" t="s">
        <v>1816</v>
      </c>
      <c r="I1520" s="102" t="s">
        <v>78</v>
      </c>
      <c r="J1520" s="65" t="s">
        <v>1817</v>
      </c>
      <c r="K1520" s="104"/>
      <c r="L1520" s="48" t="s">
        <v>923</v>
      </c>
      <c r="M1520" s="156">
        <v>43115</v>
      </c>
      <c r="N1520" s="116" t="s">
        <v>81</v>
      </c>
      <c r="O1520" s="68">
        <v>9600</v>
      </c>
      <c r="P1520" s="68">
        <v>1</v>
      </c>
      <c r="Q1520" s="51">
        <f t="shared" si="34"/>
        <v>9600</v>
      </c>
      <c r="R1520" s="31">
        <v>202310</v>
      </c>
      <c r="S1520" s="183" t="s">
        <v>1903</v>
      </c>
      <c r="T1520" s="33"/>
      <c r="U1520" s="183"/>
      <c r="V1520" s="184"/>
      <c r="W1520" s="67"/>
      <c r="X1520" s="67"/>
      <c r="Y1520" s="36"/>
      <c r="Z1520" s="36"/>
      <c r="AA1520" s="36"/>
      <c r="AB1520" s="36"/>
      <c r="AC1520" s="36"/>
      <c r="AD1520" s="36"/>
      <c r="AE1520" s="36"/>
      <c r="AF1520" s="53" t="s">
        <v>68</v>
      </c>
      <c r="AG1520" s="42"/>
      <c r="AH1520" s="42"/>
      <c r="AI1520" s="43"/>
      <c r="AJ1520" s="43"/>
      <c r="AK1520" s="43"/>
      <c r="AL1520" s="43"/>
      <c r="AM1520" s="43"/>
      <c r="AN1520" s="42"/>
      <c r="AO1520" s="42"/>
      <c r="AP1520" s="42"/>
      <c r="AQ1520" s="43"/>
      <c r="AR1520" s="42"/>
      <c r="AS1520" s="42" t="s">
        <v>1820</v>
      </c>
    </row>
    <row r="1521" spans="1:45" ht="15" customHeight="1">
      <c r="A1521" s="21" t="s">
        <v>260</v>
      </c>
      <c r="B1521" s="21" t="s">
        <v>46</v>
      </c>
      <c r="C1521" s="21" t="s">
        <v>188</v>
      </c>
      <c r="D1521" s="21" t="s">
        <v>48</v>
      </c>
      <c r="E1521" s="80" t="s">
        <v>1636</v>
      </c>
      <c r="F1521" s="21" t="s">
        <v>920</v>
      </c>
      <c r="G1521" s="101" t="s">
        <v>77</v>
      </c>
      <c r="H1521" s="133" t="s">
        <v>1816</v>
      </c>
      <c r="I1521" s="102" t="s">
        <v>78</v>
      </c>
      <c r="J1521" s="65" t="s">
        <v>1817</v>
      </c>
      <c r="K1521" s="104"/>
      <c r="L1521" s="48" t="s">
        <v>923</v>
      </c>
      <c r="M1521" s="156">
        <v>43115</v>
      </c>
      <c r="N1521" s="116" t="s">
        <v>81</v>
      </c>
      <c r="O1521" s="68">
        <v>9600</v>
      </c>
      <c r="P1521" s="68">
        <v>1</v>
      </c>
      <c r="Q1521" s="51">
        <f t="shared" si="34"/>
        <v>9600</v>
      </c>
      <c r="R1521" s="31">
        <v>202310</v>
      </c>
      <c r="S1521" s="183" t="s">
        <v>1904</v>
      </c>
      <c r="T1521" s="33"/>
      <c r="U1521" s="183"/>
      <c r="V1521" s="184"/>
      <c r="W1521" s="67"/>
      <c r="X1521" s="67"/>
      <c r="Y1521" s="36"/>
      <c r="Z1521" s="36"/>
      <c r="AA1521" s="36"/>
      <c r="AB1521" s="36"/>
      <c r="AC1521" s="36"/>
      <c r="AD1521" s="36"/>
      <c r="AE1521" s="36"/>
      <c r="AF1521" s="53" t="s">
        <v>68</v>
      </c>
      <c r="AG1521" s="42"/>
      <c r="AH1521" s="42"/>
      <c r="AI1521" s="43"/>
      <c r="AJ1521" s="43"/>
      <c r="AK1521" s="43"/>
      <c r="AL1521" s="43"/>
      <c r="AM1521" s="43"/>
      <c r="AN1521" s="42"/>
      <c r="AO1521" s="42"/>
      <c r="AP1521" s="42"/>
      <c r="AQ1521" s="43"/>
      <c r="AR1521" s="42"/>
      <c r="AS1521" s="42" t="s">
        <v>1820</v>
      </c>
    </row>
    <row r="1522" spans="1:45" ht="15" customHeight="1">
      <c r="A1522" s="21" t="s">
        <v>260</v>
      </c>
      <c r="B1522" s="21" t="s">
        <v>46</v>
      </c>
      <c r="C1522" s="21" t="s">
        <v>188</v>
      </c>
      <c r="D1522" s="21" t="s">
        <v>48</v>
      </c>
      <c r="E1522" s="80" t="s">
        <v>1636</v>
      </c>
      <c r="F1522" s="21" t="s">
        <v>920</v>
      </c>
      <c r="G1522" s="101" t="s">
        <v>77</v>
      </c>
      <c r="H1522" s="133" t="s">
        <v>1816</v>
      </c>
      <c r="I1522" s="102" t="s">
        <v>78</v>
      </c>
      <c r="J1522" s="65" t="s">
        <v>1817</v>
      </c>
      <c r="K1522" s="104"/>
      <c r="L1522" s="48" t="s">
        <v>923</v>
      </c>
      <c r="M1522" s="156">
        <v>43119</v>
      </c>
      <c r="N1522" s="116" t="s">
        <v>81</v>
      </c>
      <c r="O1522" s="68">
        <v>9600</v>
      </c>
      <c r="P1522" s="68">
        <v>2</v>
      </c>
      <c r="Q1522" s="51">
        <f t="shared" si="34"/>
        <v>19200</v>
      </c>
      <c r="R1522" s="31">
        <v>202310</v>
      </c>
      <c r="S1522" s="183" t="s">
        <v>1905</v>
      </c>
      <c r="T1522" s="33"/>
      <c r="U1522" s="183"/>
      <c r="V1522" s="184"/>
      <c r="W1522" s="67"/>
      <c r="X1522" s="67"/>
      <c r="Y1522" s="36"/>
      <c r="Z1522" s="36"/>
      <c r="AA1522" s="36"/>
      <c r="AB1522" s="36"/>
      <c r="AC1522" s="36"/>
      <c r="AD1522" s="36"/>
      <c r="AE1522" s="36"/>
      <c r="AF1522" s="53" t="s">
        <v>68</v>
      </c>
      <c r="AG1522" s="42"/>
      <c r="AH1522" s="42"/>
      <c r="AI1522" s="43"/>
      <c r="AJ1522" s="43"/>
      <c r="AK1522" s="43"/>
      <c r="AL1522" s="43"/>
      <c r="AM1522" s="43"/>
      <c r="AN1522" s="42"/>
      <c r="AO1522" s="42"/>
      <c r="AP1522" s="42"/>
      <c r="AQ1522" s="43"/>
      <c r="AR1522" s="42"/>
      <c r="AS1522" s="42" t="s">
        <v>1820</v>
      </c>
    </row>
    <row r="1523" spans="1:45" ht="15" customHeight="1">
      <c r="A1523" s="21" t="s">
        <v>260</v>
      </c>
      <c r="B1523" s="21" t="s">
        <v>46</v>
      </c>
      <c r="C1523" s="21" t="s">
        <v>188</v>
      </c>
      <c r="D1523" s="21" t="s">
        <v>48</v>
      </c>
      <c r="E1523" s="80" t="s">
        <v>1636</v>
      </c>
      <c r="F1523" s="21" t="s">
        <v>920</v>
      </c>
      <c r="G1523" s="101" t="s">
        <v>77</v>
      </c>
      <c r="H1523" s="133" t="s">
        <v>1816</v>
      </c>
      <c r="I1523" s="102" t="s">
        <v>78</v>
      </c>
      <c r="J1523" s="65" t="s">
        <v>1817</v>
      </c>
      <c r="K1523" s="104"/>
      <c r="L1523" s="48" t="s">
        <v>923</v>
      </c>
      <c r="M1523" s="156">
        <v>43119</v>
      </c>
      <c r="N1523" s="116" t="s">
        <v>81</v>
      </c>
      <c r="O1523" s="68">
        <v>9600</v>
      </c>
      <c r="P1523" s="68">
        <v>1</v>
      </c>
      <c r="Q1523" s="51">
        <f t="shared" si="34"/>
        <v>9600</v>
      </c>
      <c r="R1523" s="31">
        <v>202310</v>
      </c>
      <c r="S1523" s="183" t="s">
        <v>1906</v>
      </c>
      <c r="T1523" s="33"/>
      <c r="U1523" s="183"/>
      <c r="V1523" s="184"/>
      <c r="W1523" s="67"/>
      <c r="X1523" s="67"/>
      <c r="Y1523" s="36"/>
      <c r="Z1523" s="36"/>
      <c r="AA1523" s="36"/>
      <c r="AB1523" s="36"/>
      <c r="AC1523" s="36"/>
      <c r="AD1523" s="36"/>
      <c r="AE1523" s="36"/>
      <c r="AF1523" s="53" t="s">
        <v>68</v>
      </c>
      <c r="AG1523" s="42"/>
      <c r="AH1523" s="42"/>
      <c r="AI1523" s="43"/>
      <c r="AJ1523" s="43"/>
      <c r="AK1523" s="43"/>
      <c r="AL1523" s="43"/>
      <c r="AM1523" s="43"/>
      <c r="AN1523" s="42"/>
      <c r="AO1523" s="42"/>
      <c r="AP1523" s="42"/>
      <c r="AQ1523" s="43"/>
      <c r="AR1523" s="42"/>
      <c r="AS1523" s="42" t="s">
        <v>1820</v>
      </c>
    </row>
    <row r="1524" spans="1:45" ht="15" customHeight="1">
      <c r="A1524" s="21" t="s">
        <v>260</v>
      </c>
      <c r="B1524" s="21" t="s">
        <v>46</v>
      </c>
      <c r="C1524" s="21" t="s">
        <v>188</v>
      </c>
      <c r="D1524" s="21" t="s">
        <v>48</v>
      </c>
      <c r="E1524" s="80" t="s">
        <v>1636</v>
      </c>
      <c r="F1524" s="21" t="s">
        <v>920</v>
      </c>
      <c r="G1524" s="101" t="s">
        <v>77</v>
      </c>
      <c r="H1524" s="133" t="s">
        <v>1816</v>
      </c>
      <c r="I1524" s="102" t="s">
        <v>78</v>
      </c>
      <c r="J1524" s="65" t="s">
        <v>1817</v>
      </c>
      <c r="K1524" s="104"/>
      <c r="L1524" s="48" t="s">
        <v>923</v>
      </c>
      <c r="M1524" s="156">
        <v>43119</v>
      </c>
      <c r="N1524" s="116" t="s">
        <v>81</v>
      </c>
      <c r="O1524" s="68">
        <v>9600</v>
      </c>
      <c r="P1524" s="68">
        <v>1</v>
      </c>
      <c r="Q1524" s="51">
        <f t="shared" si="34"/>
        <v>9600</v>
      </c>
      <c r="R1524" s="31">
        <v>202310</v>
      </c>
      <c r="S1524" s="183" t="s">
        <v>1907</v>
      </c>
      <c r="T1524" s="33"/>
      <c r="U1524" s="183"/>
      <c r="V1524" s="184"/>
      <c r="W1524" s="67"/>
      <c r="X1524" s="67"/>
      <c r="Y1524" s="36"/>
      <c r="Z1524" s="36"/>
      <c r="AA1524" s="36"/>
      <c r="AB1524" s="36"/>
      <c r="AC1524" s="36"/>
      <c r="AD1524" s="36"/>
      <c r="AE1524" s="36"/>
      <c r="AF1524" s="53" t="s">
        <v>68</v>
      </c>
      <c r="AG1524" s="42"/>
      <c r="AH1524" s="42"/>
      <c r="AI1524" s="43"/>
      <c r="AJ1524" s="43"/>
      <c r="AK1524" s="43"/>
      <c r="AL1524" s="43"/>
      <c r="AM1524" s="43"/>
      <c r="AN1524" s="42"/>
      <c r="AO1524" s="42"/>
      <c r="AP1524" s="42"/>
      <c r="AQ1524" s="43"/>
      <c r="AR1524" s="42"/>
      <c r="AS1524" s="42" t="s">
        <v>1820</v>
      </c>
    </row>
    <row r="1525" spans="1:45" ht="15" customHeight="1">
      <c r="A1525" s="21" t="s">
        <v>260</v>
      </c>
      <c r="B1525" s="21" t="s">
        <v>46</v>
      </c>
      <c r="C1525" s="21" t="s">
        <v>188</v>
      </c>
      <c r="D1525" s="21" t="s">
        <v>48</v>
      </c>
      <c r="E1525" s="80" t="s">
        <v>1636</v>
      </c>
      <c r="F1525" s="21" t="s">
        <v>920</v>
      </c>
      <c r="G1525" s="101" t="s">
        <v>77</v>
      </c>
      <c r="H1525" s="133" t="s">
        <v>1816</v>
      </c>
      <c r="I1525" s="102" t="s">
        <v>78</v>
      </c>
      <c r="J1525" s="65" t="s">
        <v>1817</v>
      </c>
      <c r="K1525" s="104"/>
      <c r="L1525" s="48" t="s">
        <v>923</v>
      </c>
      <c r="M1525" s="156">
        <v>43119</v>
      </c>
      <c r="N1525" s="116" t="s">
        <v>81</v>
      </c>
      <c r="O1525" s="68">
        <v>9600</v>
      </c>
      <c r="P1525" s="68">
        <v>1</v>
      </c>
      <c r="Q1525" s="51">
        <f t="shared" si="34"/>
        <v>9600</v>
      </c>
      <c r="R1525" s="31">
        <v>202310</v>
      </c>
      <c r="S1525" s="183" t="s">
        <v>1908</v>
      </c>
      <c r="T1525" s="33"/>
      <c r="U1525" s="183"/>
      <c r="V1525" s="184"/>
      <c r="W1525" s="67"/>
      <c r="X1525" s="67"/>
      <c r="Y1525" s="36"/>
      <c r="Z1525" s="36"/>
      <c r="AA1525" s="36"/>
      <c r="AB1525" s="36"/>
      <c r="AC1525" s="36"/>
      <c r="AD1525" s="36"/>
      <c r="AE1525" s="36"/>
      <c r="AF1525" s="53" t="s">
        <v>68</v>
      </c>
      <c r="AG1525" s="42"/>
      <c r="AH1525" s="42"/>
      <c r="AI1525" s="43"/>
      <c r="AJ1525" s="43"/>
      <c r="AK1525" s="43"/>
      <c r="AL1525" s="43"/>
      <c r="AM1525" s="43"/>
      <c r="AN1525" s="42"/>
      <c r="AO1525" s="42"/>
      <c r="AP1525" s="42"/>
      <c r="AQ1525" s="43"/>
      <c r="AR1525" s="42"/>
      <c r="AS1525" s="42" t="s">
        <v>1820</v>
      </c>
    </row>
    <row r="1526" spans="1:45" ht="15" customHeight="1">
      <c r="A1526" s="21" t="s">
        <v>260</v>
      </c>
      <c r="B1526" s="21" t="s">
        <v>46</v>
      </c>
      <c r="C1526" s="21" t="s">
        <v>188</v>
      </c>
      <c r="D1526" s="21" t="s">
        <v>48</v>
      </c>
      <c r="E1526" s="80" t="s">
        <v>1636</v>
      </c>
      <c r="F1526" s="21" t="s">
        <v>920</v>
      </c>
      <c r="G1526" s="101" t="s">
        <v>77</v>
      </c>
      <c r="H1526" s="133" t="s">
        <v>1816</v>
      </c>
      <c r="I1526" s="102" t="s">
        <v>78</v>
      </c>
      <c r="J1526" s="65" t="s">
        <v>1817</v>
      </c>
      <c r="K1526" s="104"/>
      <c r="L1526" s="48" t="s">
        <v>923</v>
      </c>
      <c r="M1526" s="156">
        <v>43119</v>
      </c>
      <c r="N1526" s="116" t="s">
        <v>81</v>
      </c>
      <c r="O1526" s="68">
        <v>9600</v>
      </c>
      <c r="P1526" s="68">
        <v>1</v>
      </c>
      <c r="Q1526" s="51">
        <f t="shared" si="34"/>
        <v>9600</v>
      </c>
      <c r="R1526" s="31">
        <v>202310</v>
      </c>
      <c r="S1526" s="183" t="s">
        <v>1909</v>
      </c>
      <c r="T1526" s="33"/>
      <c r="U1526" s="183"/>
      <c r="V1526" s="184"/>
      <c r="W1526" s="67"/>
      <c r="X1526" s="67"/>
      <c r="Y1526" s="36"/>
      <c r="Z1526" s="36"/>
      <c r="AA1526" s="36"/>
      <c r="AB1526" s="36"/>
      <c r="AC1526" s="36"/>
      <c r="AD1526" s="36"/>
      <c r="AE1526" s="36"/>
      <c r="AF1526" s="53" t="s">
        <v>68</v>
      </c>
      <c r="AG1526" s="42"/>
      <c r="AH1526" s="42"/>
      <c r="AI1526" s="43"/>
      <c r="AJ1526" s="43"/>
      <c r="AK1526" s="43"/>
      <c r="AL1526" s="43"/>
      <c r="AM1526" s="43"/>
      <c r="AN1526" s="42"/>
      <c r="AO1526" s="42"/>
      <c r="AP1526" s="42"/>
      <c r="AQ1526" s="43"/>
      <c r="AR1526" s="42"/>
      <c r="AS1526" s="42" t="s">
        <v>1820</v>
      </c>
    </row>
    <row r="1527" spans="1:45" ht="15" customHeight="1">
      <c r="A1527" s="21" t="s">
        <v>260</v>
      </c>
      <c r="B1527" s="21" t="s">
        <v>46</v>
      </c>
      <c r="C1527" s="21" t="s">
        <v>188</v>
      </c>
      <c r="D1527" s="21" t="s">
        <v>48</v>
      </c>
      <c r="E1527" s="80" t="s">
        <v>1636</v>
      </c>
      <c r="F1527" s="21" t="s">
        <v>920</v>
      </c>
      <c r="G1527" s="101" t="s">
        <v>77</v>
      </c>
      <c r="H1527" s="133" t="s">
        <v>1816</v>
      </c>
      <c r="I1527" s="102" t="s">
        <v>78</v>
      </c>
      <c r="J1527" s="65" t="s">
        <v>1817</v>
      </c>
      <c r="K1527" s="104"/>
      <c r="L1527" s="48" t="s">
        <v>923</v>
      </c>
      <c r="M1527" s="156">
        <v>43123</v>
      </c>
      <c r="N1527" s="116" t="s">
        <v>81</v>
      </c>
      <c r="O1527" s="68">
        <v>9600</v>
      </c>
      <c r="P1527" s="68">
        <v>1</v>
      </c>
      <c r="Q1527" s="51">
        <f t="shared" si="34"/>
        <v>9600</v>
      </c>
      <c r="R1527" s="31">
        <v>202310</v>
      </c>
      <c r="S1527" s="183" t="s">
        <v>1910</v>
      </c>
      <c r="T1527" s="33"/>
      <c r="U1527" s="183"/>
      <c r="V1527" s="184"/>
      <c r="W1527" s="67"/>
      <c r="X1527" s="67"/>
      <c r="Y1527" s="36"/>
      <c r="Z1527" s="36"/>
      <c r="AA1527" s="36"/>
      <c r="AB1527" s="36"/>
      <c r="AC1527" s="36"/>
      <c r="AD1527" s="36"/>
      <c r="AE1527" s="36"/>
      <c r="AF1527" s="53" t="s">
        <v>68</v>
      </c>
      <c r="AG1527" s="42"/>
      <c r="AH1527" s="42"/>
      <c r="AI1527" s="43"/>
      <c r="AJ1527" s="43"/>
      <c r="AK1527" s="43"/>
      <c r="AL1527" s="43"/>
      <c r="AM1527" s="43"/>
      <c r="AN1527" s="42"/>
      <c r="AO1527" s="42"/>
      <c r="AP1527" s="42"/>
      <c r="AQ1527" s="43"/>
      <c r="AR1527" s="42"/>
      <c r="AS1527" s="42" t="s">
        <v>1820</v>
      </c>
    </row>
    <row r="1528" spans="1:45" ht="15" customHeight="1">
      <c r="A1528" s="21" t="s">
        <v>260</v>
      </c>
      <c r="B1528" s="21" t="s">
        <v>46</v>
      </c>
      <c r="C1528" s="21" t="s">
        <v>188</v>
      </c>
      <c r="D1528" s="21" t="s">
        <v>48</v>
      </c>
      <c r="E1528" s="80" t="s">
        <v>1636</v>
      </c>
      <c r="F1528" s="21" t="s">
        <v>920</v>
      </c>
      <c r="G1528" s="101" t="s">
        <v>77</v>
      </c>
      <c r="H1528" s="133" t="s">
        <v>1816</v>
      </c>
      <c r="I1528" s="102" t="s">
        <v>78</v>
      </c>
      <c r="J1528" s="65" t="s">
        <v>1817</v>
      </c>
      <c r="K1528" s="104"/>
      <c r="L1528" s="48" t="s">
        <v>923</v>
      </c>
      <c r="M1528" s="156">
        <v>43129</v>
      </c>
      <c r="N1528" s="116" t="s">
        <v>81</v>
      </c>
      <c r="O1528" s="68">
        <v>9600</v>
      </c>
      <c r="P1528" s="68">
        <v>1</v>
      </c>
      <c r="Q1528" s="51">
        <f t="shared" si="34"/>
        <v>9600</v>
      </c>
      <c r="R1528" s="31">
        <v>202310</v>
      </c>
      <c r="S1528" s="183" t="s">
        <v>1911</v>
      </c>
      <c r="T1528" s="33"/>
      <c r="U1528" s="183"/>
      <c r="V1528" s="184"/>
      <c r="W1528" s="67"/>
      <c r="X1528" s="67"/>
      <c r="Y1528" s="36"/>
      <c r="Z1528" s="36"/>
      <c r="AA1528" s="36"/>
      <c r="AB1528" s="36"/>
      <c r="AC1528" s="36"/>
      <c r="AD1528" s="36"/>
      <c r="AE1528" s="36"/>
      <c r="AF1528" s="53" t="s">
        <v>68</v>
      </c>
      <c r="AG1528" s="42"/>
      <c r="AH1528" s="42"/>
      <c r="AI1528" s="43"/>
      <c r="AJ1528" s="43"/>
      <c r="AK1528" s="43"/>
      <c r="AL1528" s="43"/>
      <c r="AM1528" s="43"/>
      <c r="AN1528" s="42"/>
      <c r="AO1528" s="42"/>
      <c r="AP1528" s="42"/>
      <c r="AQ1528" s="43"/>
      <c r="AR1528" s="42"/>
      <c r="AS1528" s="42" t="s">
        <v>1820</v>
      </c>
    </row>
    <row r="1529" spans="1:45" ht="15" customHeight="1">
      <c r="A1529" s="21" t="s">
        <v>260</v>
      </c>
      <c r="B1529" s="21" t="s">
        <v>46</v>
      </c>
      <c r="C1529" s="21" t="s">
        <v>188</v>
      </c>
      <c r="D1529" s="21" t="s">
        <v>48</v>
      </c>
      <c r="E1529" s="80" t="s">
        <v>1636</v>
      </c>
      <c r="F1529" s="21" t="s">
        <v>920</v>
      </c>
      <c r="G1529" s="101" t="s">
        <v>77</v>
      </c>
      <c r="H1529" s="133" t="s">
        <v>1816</v>
      </c>
      <c r="I1529" s="102" t="s">
        <v>78</v>
      </c>
      <c r="J1529" s="65" t="s">
        <v>1817</v>
      </c>
      <c r="K1529" s="104"/>
      <c r="L1529" s="48" t="s">
        <v>923</v>
      </c>
      <c r="M1529" s="156">
        <v>43129</v>
      </c>
      <c r="N1529" s="116" t="s">
        <v>81</v>
      </c>
      <c r="O1529" s="68">
        <v>9600</v>
      </c>
      <c r="P1529" s="68">
        <v>8</v>
      </c>
      <c r="Q1529" s="51">
        <f t="shared" si="34"/>
        <v>76800</v>
      </c>
      <c r="R1529" s="31">
        <v>202310</v>
      </c>
      <c r="S1529" s="183" t="s">
        <v>1912</v>
      </c>
      <c r="T1529" s="33"/>
      <c r="U1529" s="183"/>
      <c r="V1529" s="184"/>
      <c r="W1529" s="67"/>
      <c r="X1529" s="67"/>
      <c r="Y1529" s="36"/>
      <c r="Z1529" s="36"/>
      <c r="AA1529" s="36"/>
      <c r="AB1529" s="36"/>
      <c r="AC1529" s="36"/>
      <c r="AD1529" s="36"/>
      <c r="AE1529" s="36"/>
      <c r="AF1529" s="53" t="s">
        <v>68</v>
      </c>
      <c r="AG1529" s="42"/>
      <c r="AH1529" s="42"/>
      <c r="AI1529" s="43"/>
      <c r="AJ1529" s="43"/>
      <c r="AK1529" s="43"/>
      <c r="AL1529" s="43"/>
      <c r="AM1529" s="43"/>
      <c r="AN1529" s="42"/>
      <c r="AO1529" s="42"/>
      <c r="AP1529" s="42"/>
      <c r="AQ1529" s="43"/>
      <c r="AR1529" s="42"/>
      <c r="AS1529" s="42" t="s">
        <v>1820</v>
      </c>
    </row>
    <row r="1530" spans="1:45" ht="15" customHeight="1">
      <c r="A1530" s="21" t="s">
        <v>260</v>
      </c>
      <c r="B1530" s="21" t="s">
        <v>46</v>
      </c>
      <c r="C1530" s="21" t="s">
        <v>188</v>
      </c>
      <c r="D1530" s="21" t="s">
        <v>48</v>
      </c>
      <c r="E1530" s="80" t="s">
        <v>1636</v>
      </c>
      <c r="F1530" s="21" t="s">
        <v>920</v>
      </c>
      <c r="G1530" s="101" t="s">
        <v>77</v>
      </c>
      <c r="H1530" s="133" t="s">
        <v>1816</v>
      </c>
      <c r="I1530" s="102" t="s">
        <v>78</v>
      </c>
      <c r="J1530" s="65" t="s">
        <v>1817</v>
      </c>
      <c r="K1530" s="104"/>
      <c r="L1530" s="48" t="s">
        <v>923</v>
      </c>
      <c r="M1530" s="156">
        <v>43129</v>
      </c>
      <c r="N1530" s="116" t="s">
        <v>81</v>
      </c>
      <c r="O1530" s="68">
        <v>9600</v>
      </c>
      <c r="P1530" s="68">
        <v>1</v>
      </c>
      <c r="Q1530" s="51">
        <f t="shared" si="34"/>
        <v>9600</v>
      </c>
      <c r="R1530" s="31">
        <v>202310</v>
      </c>
      <c r="S1530" s="183" t="s">
        <v>1913</v>
      </c>
      <c r="T1530" s="33"/>
      <c r="U1530" s="183"/>
      <c r="V1530" s="184"/>
      <c r="W1530" s="67"/>
      <c r="X1530" s="67"/>
      <c r="Y1530" s="36"/>
      <c r="Z1530" s="36"/>
      <c r="AA1530" s="36"/>
      <c r="AB1530" s="36"/>
      <c r="AC1530" s="36"/>
      <c r="AD1530" s="36"/>
      <c r="AE1530" s="36"/>
      <c r="AF1530" s="53" t="s">
        <v>68</v>
      </c>
      <c r="AG1530" s="42"/>
      <c r="AH1530" s="42"/>
      <c r="AI1530" s="43"/>
      <c r="AJ1530" s="43"/>
      <c r="AK1530" s="43"/>
      <c r="AL1530" s="43"/>
      <c r="AM1530" s="43"/>
      <c r="AN1530" s="42"/>
      <c r="AO1530" s="42"/>
      <c r="AP1530" s="42"/>
      <c r="AQ1530" s="43"/>
      <c r="AR1530" s="42"/>
      <c r="AS1530" s="42" t="s">
        <v>1820</v>
      </c>
    </row>
    <row r="1531" spans="1:45" ht="15" customHeight="1">
      <c r="A1531" s="21" t="s">
        <v>260</v>
      </c>
      <c r="B1531" s="21" t="s">
        <v>46</v>
      </c>
      <c r="C1531" s="21" t="s">
        <v>188</v>
      </c>
      <c r="D1531" s="21" t="s">
        <v>48</v>
      </c>
      <c r="E1531" s="80" t="s">
        <v>1636</v>
      </c>
      <c r="F1531" s="21" t="s">
        <v>920</v>
      </c>
      <c r="G1531" s="101" t="s">
        <v>77</v>
      </c>
      <c r="H1531" s="133" t="s">
        <v>1816</v>
      </c>
      <c r="I1531" s="102" t="s">
        <v>78</v>
      </c>
      <c r="J1531" s="65" t="s">
        <v>1817</v>
      </c>
      <c r="K1531" s="104"/>
      <c r="L1531" s="48" t="s">
        <v>923</v>
      </c>
      <c r="M1531" s="156">
        <v>43125</v>
      </c>
      <c r="N1531" s="116" t="s">
        <v>81</v>
      </c>
      <c r="O1531" s="68">
        <v>9600</v>
      </c>
      <c r="P1531" s="68">
        <v>2</v>
      </c>
      <c r="Q1531" s="51">
        <f t="shared" si="34"/>
        <v>19200</v>
      </c>
      <c r="R1531" s="31">
        <v>202310</v>
      </c>
      <c r="S1531" s="183" t="s">
        <v>1914</v>
      </c>
      <c r="T1531" s="33"/>
      <c r="U1531" s="183"/>
      <c r="V1531" s="184"/>
      <c r="W1531" s="67"/>
      <c r="X1531" s="67"/>
      <c r="Y1531" s="36"/>
      <c r="Z1531" s="36"/>
      <c r="AA1531" s="36"/>
      <c r="AB1531" s="36"/>
      <c r="AC1531" s="36"/>
      <c r="AD1531" s="36"/>
      <c r="AE1531" s="36"/>
      <c r="AF1531" s="53" t="s">
        <v>68</v>
      </c>
      <c r="AG1531" s="42"/>
      <c r="AH1531" s="42"/>
      <c r="AI1531" s="43"/>
      <c r="AJ1531" s="43"/>
      <c r="AK1531" s="43"/>
      <c r="AL1531" s="43"/>
      <c r="AM1531" s="43"/>
      <c r="AN1531" s="42"/>
      <c r="AO1531" s="42"/>
      <c r="AP1531" s="42"/>
      <c r="AQ1531" s="43"/>
      <c r="AR1531" s="42"/>
      <c r="AS1531" s="42" t="s">
        <v>1820</v>
      </c>
    </row>
    <row r="1532" spans="1:45" ht="15" customHeight="1">
      <c r="A1532" s="21" t="s">
        <v>260</v>
      </c>
      <c r="B1532" s="21" t="s">
        <v>46</v>
      </c>
      <c r="C1532" s="21" t="s">
        <v>188</v>
      </c>
      <c r="D1532" s="21" t="s">
        <v>48</v>
      </c>
      <c r="E1532" s="80" t="s">
        <v>1636</v>
      </c>
      <c r="F1532" s="21" t="s">
        <v>920</v>
      </c>
      <c r="G1532" s="101" t="s">
        <v>77</v>
      </c>
      <c r="H1532" s="133" t="s">
        <v>1816</v>
      </c>
      <c r="I1532" s="102" t="s">
        <v>78</v>
      </c>
      <c r="J1532" s="65" t="s">
        <v>1817</v>
      </c>
      <c r="K1532" s="104"/>
      <c r="L1532" s="48" t="s">
        <v>923</v>
      </c>
      <c r="M1532" s="156">
        <v>43140</v>
      </c>
      <c r="N1532" s="116" t="s">
        <v>81</v>
      </c>
      <c r="O1532" s="68">
        <v>9600</v>
      </c>
      <c r="P1532" s="68">
        <v>1</v>
      </c>
      <c r="Q1532" s="51">
        <f t="shared" si="34"/>
        <v>9600</v>
      </c>
      <c r="R1532" s="31">
        <v>202310</v>
      </c>
      <c r="S1532" s="183" t="s">
        <v>1915</v>
      </c>
      <c r="T1532" s="33"/>
      <c r="U1532" s="183"/>
      <c r="V1532" s="184"/>
      <c r="W1532" s="67"/>
      <c r="X1532" s="67"/>
      <c r="Y1532" s="36"/>
      <c r="Z1532" s="36"/>
      <c r="AA1532" s="36"/>
      <c r="AB1532" s="36"/>
      <c r="AC1532" s="36"/>
      <c r="AD1532" s="36"/>
      <c r="AE1532" s="36"/>
      <c r="AF1532" s="53" t="s">
        <v>68</v>
      </c>
      <c r="AG1532" s="42"/>
      <c r="AH1532" s="42"/>
      <c r="AI1532" s="43"/>
      <c r="AJ1532" s="43"/>
      <c r="AK1532" s="43"/>
      <c r="AL1532" s="43"/>
      <c r="AM1532" s="43"/>
      <c r="AN1532" s="42"/>
      <c r="AO1532" s="42"/>
      <c r="AP1532" s="42"/>
      <c r="AQ1532" s="43"/>
      <c r="AR1532" s="42"/>
      <c r="AS1532" s="42" t="s">
        <v>1820</v>
      </c>
    </row>
    <row r="1533" spans="1:45" ht="15" customHeight="1">
      <c r="A1533" s="21" t="s">
        <v>260</v>
      </c>
      <c r="B1533" s="21" t="s">
        <v>46</v>
      </c>
      <c r="C1533" s="21" t="s">
        <v>188</v>
      </c>
      <c r="D1533" s="21" t="s">
        <v>48</v>
      </c>
      <c r="E1533" s="80" t="s">
        <v>1636</v>
      </c>
      <c r="F1533" s="21" t="s">
        <v>920</v>
      </c>
      <c r="G1533" s="101" t="s">
        <v>77</v>
      </c>
      <c r="H1533" s="133" t="s">
        <v>1816</v>
      </c>
      <c r="I1533" s="102" t="s">
        <v>78</v>
      </c>
      <c r="J1533" s="65" t="s">
        <v>1817</v>
      </c>
      <c r="K1533" s="104"/>
      <c r="L1533" s="48" t="s">
        <v>923</v>
      </c>
      <c r="M1533" s="156">
        <v>43138</v>
      </c>
      <c r="N1533" s="116" t="s">
        <v>81</v>
      </c>
      <c r="O1533" s="68">
        <v>9600</v>
      </c>
      <c r="P1533" s="68">
        <v>1</v>
      </c>
      <c r="Q1533" s="51">
        <f t="shared" si="34"/>
        <v>9600</v>
      </c>
      <c r="R1533" s="31">
        <v>202310</v>
      </c>
      <c r="S1533" s="183" t="s">
        <v>1916</v>
      </c>
      <c r="T1533" s="33"/>
      <c r="U1533" s="183"/>
      <c r="V1533" s="184"/>
      <c r="W1533" s="67"/>
      <c r="X1533" s="67"/>
      <c r="Y1533" s="36"/>
      <c r="Z1533" s="36"/>
      <c r="AA1533" s="36"/>
      <c r="AB1533" s="36"/>
      <c r="AC1533" s="36"/>
      <c r="AD1533" s="36"/>
      <c r="AE1533" s="36"/>
      <c r="AF1533" s="53" t="s">
        <v>68</v>
      </c>
      <c r="AG1533" s="42"/>
      <c r="AH1533" s="42"/>
      <c r="AI1533" s="43"/>
      <c r="AJ1533" s="43"/>
      <c r="AK1533" s="43"/>
      <c r="AL1533" s="43"/>
      <c r="AM1533" s="43"/>
      <c r="AN1533" s="42"/>
      <c r="AO1533" s="42"/>
      <c r="AP1533" s="42"/>
      <c r="AQ1533" s="43"/>
      <c r="AR1533" s="42"/>
      <c r="AS1533" s="42" t="s">
        <v>1820</v>
      </c>
    </row>
    <row r="1534" spans="1:45" ht="15" customHeight="1">
      <c r="A1534" s="21" t="s">
        <v>260</v>
      </c>
      <c r="B1534" s="21" t="s">
        <v>46</v>
      </c>
      <c r="C1534" s="21" t="s">
        <v>188</v>
      </c>
      <c r="D1534" s="21" t="s">
        <v>48</v>
      </c>
      <c r="E1534" s="80" t="s">
        <v>1636</v>
      </c>
      <c r="F1534" s="21" t="s">
        <v>920</v>
      </c>
      <c r="G1534" s="101" t="s">
        <v>77</v>
      </c>
      <c r="H1534" s="133" t="s">
        <v>1816</v>
      </c>
      <c r="I1534" s="102" t="s">
        <v>78</v>
      </c>
      <c r="J1534" s="65" t="s">
        <v>1817</v>
      </c>
      <c r="K1534" s="104"/>
      <c r="L1534" s="48" t="s">
        <v>923</v>
      </c>
      <c r="M1534" s="156">
        <v>43133</v>
      </c>
      <c r="N1534" s="116" t="s">
        <v>81</v>
      </c>
      <c r="O1534" s="68">
        <v>9600</v>
      </c>
      <c r="P1534" s="68">
        <v>3</v>
      </c>
      <c r="Q1534" s="51">
        <f t="shared" si="34"/>
        <v>28800</v>
      </c>
      <c r="R1534" s="31">
        <v>202310</v>
      </c>
      <c r="S1534" s="183" t="s">
        <v>1917</v>
      </c>
      <c r="T1534" s="33"/>
      <c r="U1534" s="183"/>
      <c r="V1534" s="184"/>
      <c r="W1534" s="67"/>
      <c r="X1534" s="67"/>
      <c r="Y1534" s="36"/>
      <c r="Z1534" s="36"/>
      <c r="AA1534" s="36"/>
      <c r="AB1534" s="36"/>
      <c r="AC1534" s="36"/>
      <c r="AD1534" s="36"/>
      <c r="AE1534" s="36"/>
      <c r="AF1534" s="53" t="s">
        <v>68</v>
      </c>
      <c r="AG1534" s="42"/>
      <c r="AH1534" s="42"/>
      <c r="AI1534" s="43"/>
      <c r="AJ1534" s="43"/>
      <c r="AK1534" s="43"/>
      <c r="AL1534" s="43"/>
      <c r="AM1534" s="43"/>
      <c r="AN1534" s="42"/>
      <c r="AO1534" s="42"/>
      <c r="AP1534" s="42"/>
      <c r="AQ1534" s="43"/>
      <c r="AR1534" s="42"/>
      <c r="AS1534" s="42" t="s">
        <v>1820</v>
      </c>
    </row>
    <row r="1535" spans="1:45" ht="15" customHeight="1">
      <c r="A1535" s="21" t="s">
        <v>260</v>
      </c>
      <c r="B1535" s="21" t="s">
        <v>46</v>
      </c>
      <c r="C1535" s="21" t="s">
        <v>188</v>
      </c>
      <c r="D1535" s="21" t="s">
        <v>48</v>
      </c>
      <c r="E1535" s="80" t="s">
        <v>1636</v>
      </c>
      <c r="F1535" s="21" t="s">
        <v>920</v>
      </c>
      <c r="G1535" s="101" t="s">
        <v>77</v>
      </c>
      <c r="H1535" s="133" t="s">
        <v>1816</v>
      </c>
      <c r="I1535" s="102" t="s">
        <v>78</v>
      </c>
      <c r="J1535" s="65" t="s">
        <v>1817</v>
      </c>
      <c r="K1535" s="104"/>
      <c r="L1535" s="48" t="s">
        <v>923</v>
      </c>
      <c r="M1535" s="156">
        <v>43159</v>
      </c>
      <c r="N1535" s="116" t="s">
        <v>81</v>
      </c>
      <c r="O1535" s="68">
        <v>9600</v>
      </c>
      <c r="P1535" s="68">
        <v>2</v>
      </c>
      <c r="Q1535" s="51">
        <f t="shared" si="34"/>
        <v>19200</v>
      </c>
      <c r="R1535" s="31">
        <v>202310</v>
      </c>
      <c r="S1535" s="183" t="s">
        <v>1918</v>
      </c>
      <c r="T1535" s="33"/>
      <c r="U1535" s="183"/>
      <c r="V1535" s="184"/>
      <c r="W1535" s="67"/>
      <c r="X1535" s="67"/>
      <c r="Y1535" s="36"/>
      <c r="Z1535" s="36"/>
      <c r="AA1535" s="36"/>
      <c r="AB1535" s="36"/>
      <c r="AC1535" s="36"/>
      <c r="AD1535" s="36"/>
      <c r="AE1535" s="36"/>
      <c r="AF1535" s="53" t="s">
        <v>68</v>
      </c>
      <c r="AG1535" s="42"/>
      <c r="AH1535" s="42"/>
      <c r="AI1535" s="43"/>
      <c r="AJ1535" s="43"/>
      <c r="AK1535" s="43"/>
      <c r="AL1535" s="43"/>
      <c r="AM1535" s="43"/>
      <c r="AN1535" s="42"/>
      <c r="AO1535" s="42"/>
      <c r="AP1535" s="42"/>
      <c r="AQ1535" s="43"/>
      <c r="AR1535" s="42"/>
      <c r="AS1535" s="42" t="s">
        <v>1820</v>
      </c>
    </row>
    <row r="1536" spans="1:45" ht="15" customHeight="1">
      <c r="A1536" s="21" t="s">
        <v>260</v>
      </c>
      <c r="B1536" s="21" t="s">
        <v>46</v>
      </c>
      <c r="C1536" s="21" t="s">
        <v>188</v>
      </c>
      <c r="D1536" s="21" t="s">
        <v>48</v>
      </c>
      <c r="E1536" s="80" t="s">
        <v>1636</v>
      </c>
      <c r="F1536" s="21" t="s">
        <v>920</v>
      </c>
      <c r="G1536" s="101" t="s">
        <v>77</v>
      </c>
      <c r="H1536" s="133" t="s">
        <v>1816</v>
      </c>
      <c r="I1536" s="102" t="s">
        <v>78</v>
      </c>
      <c r="J1536" s="65" t="s">
        <v>1817</v>
      </c>
      <c r="K1536" s="104"/>
      <c r="L1536" s="48" t="s">
        <v>923</v>
      </c>
      <c r="M1536" s="156">
        <v>43167</v>
      </c>
      <c r="N1536" s="116" t="s">
        <v>81</v>
      </c>
      <c r="O1536" s="68">
        <v>9600</v>
      </c>
      <c r="P1536" s="68">
        <v>1</v>
      </c>
      <c r="Q1536" s="51">
        <f t="shared" si="34"/>
        <v>9600</v>
      </c>
      <c r="R1536" s="31">
        <v>202310</v>
      </c>
      <c r="S1536" s="183" t="s">
        <v>1919</v>
      </c>
      <c r="T1536" s="33"/>
      <c r="U1536" s="183"/>
      <c r="V1536" s="184"/>
      <c r="W1536" s="67"/>
      <c r="X1536" s="67"/>
      <c r="Y1536" s="36"/>
      <c r="Z1536" s="36"/>
      <c r="AA1536" s="36"/>
      <c r="AB1536" s="36"/>
      <c r="AC1536" s="36"/>
      <c r="AD1536" s="36"/>
      <c r="AE1536" s="36"/>
      <c r="AF1536" s="53" t="s">
        <v>68</v>
      </c>
      <c r="AG1536" s="42"/>
      <c r="AH1536" s="42"/>
      <c r="AI1536" s="43"/>
      <c r="AJ1536" s="43"/>
      <c r="AK1536" s="43"/>
      <c r="AL1536" s="43"/>
      <c r="AM1536" s="43"/>
      <c r="AN1536" s="42"/>
      <c r="AO1536" s="42"/>
      <c r="AP1536" s="42"/>
      <c r="AQ1536" s="43"/>
      <c r="AR1536" s="42"/>
      <c r="AS1536" s="42" t="s">
        <v>1820</v>
      </c>
    </row>
    <row r="1537" spans="1:45" ht="15" customHeight="1">
      <c r="A1537" s="21" t="s">
        <v>260</v>
      </c>
      <c r="B1537" s="21" t="s">
        <v>46</v>
      </c>
      <c r="C1537" s="21" t="s">
        <v>188</v>
      </c>
      <c r="D1537" s="21" t="s">
        <v>48</v>
      </c>
      <c r="E1537" s="80" t="s">
        <v>1636</v>
      </c>
      <c r="F1537" s="21" t="s">
        <v>920</v>
      </c>
      <c r="G1537" s="101" t="s">
        <v>77</v>
      </c>
      <c r="H1537" s="133" t="s">
        <v>1816</v>
      </c>
      <c r="I1537" s="102" t="s">
        <v>78</v>
      </c>
      <c r="J1537" s="65" t="s">
        <v>1817</v>
      </c>
      <c r="K1537" s="104"/>
      <c r="L1537" s="48" t="s">
        <v>923</v>
      </c>
      <c r="M1537" s="156">
        <v>43174</v>
      </c>
      <c r="N1537" s="116" t="s">
        <v>81</v>
      </c>
      <c r="O1537" s="68">
        <v>9600</v>
      </c>
      <c r="P1537" s="68">
        <v>2</v>
      </c>
      <c r="Q1537" s="51">
        <f t="shared" si="34"/>
        <v>19200</v>
      </c>
      <c r="R1537" s="31">
        <v>202310</v>
      </c>
      <c r="S1537" s="183" t="s">
        <v>1920</v>
      </c>
      <c r="T1537" s="33"/>
      <c r="U1537" s="183"/>
      <c r="V1537" s="184"/>
      <c r="W1537" s="67"/>
      <c r="X1537" s="67"/>
      <c r="Y1537" s="36"/>
      <c r="Z1537" s="36"/>
      <c r="AA1537" s="36"/>
      <c r="AB1537" s="36"/>
      <c r="AC1537" s="36"/>
      <c r="AD1537" s="36"/>
      <c r="AE1537" s="36"/>
      <c r="AF1537" s="53" t="s">
        <v>68</v>
      </c>
      <c r="AG1537" s="42"/>
      <c r="AH1537" s="42"/>
      <c r="AI1537" s="43"/>
      <c r="AJ1537" s="43"/>
      <c r="AK1537" s="43"/>
      <c r="AL1537" s="43"/>
      <c r="AM1537" s="43"/>
      <c r="AN1537" s="42"/>
      <c r="AO1537" s="42"/>
      <c r="AP1537" s="42"/>
      <c r="AQ1537" s="43"/>
      <c r="AR1537" s="42"/>
      <c r="AS1537" s="42" t="s">
        <v>1820</v>
      </c>
    </row>
    <row r="1538" spans="1:45" ht="15" customHeight="1">
      <c r="A1538" s="21" t="s">
        <v>260</v>
      </c>
      <c r="B1538" s="21" t="s">
        <v>46</v>
      </c>
      <c r="C1538" s="21" t="s">
        <v>188</v>
      </c>
      <c r="D1538" s="21" t="s">
        <v>48</v>
      </c>
      <c r="E1538" s="80" t="s">
        <v>1636</v>
      </c>
      <c r="F1538" s="21" t="s">
        <v>920</v>
      </c>
      <c r="G1538" s="101" t="s">
        <v>77</v>
      </c>
      <c r="H1538" s="133" t="s">
        <v>1816</v>
      </c>
      <c r="I1538" s="102" t="s">
        <v>78</v>
      </c>
      <c r="J1538" s="65" t="s">
        <v>1817</v>
      </c>
      <c r="K1538" s="104"/>
      <c r="L1538" s="48" t="s">
        <v>923</v>
      </c>
      <c r="M1538" s="156">
        <v>43175</v>
      </c>
      <c r="N1538" s="116" t="s">
        <v>81</v>
      </c>
      <c r="O1538" s="68">
        <v>9600</v>
      </c>
      <c r="P1538" s="68">
        <v>1</v>
      </c>
      <c r="Q1538" s="51">
        <f t="shared" si="34"/>
        <v>9600</v>
      </c>
      <c r="R1538" s="31">
        <v>202310</v>
      </c>
      <c r="S1538" s="183" t="s">
        <v>1921</v>
      </c>
      <c r="T1538" s="33"/>
      <c r="U1538" s="183"/>
      <c r="V1538" s="184"/>
      <c r="W1538" s="67"/>
      <c r="X1538" s="67"/>
      <c r="Y1538" s="36"/>
      <c r="Z1538" s="36"/>
      <c r="AA1538" s="36"/>
      <c r="AB1538" s="36"/>
      <c r="AC1538" s="36"/>
      <c r="AD1538" s="36"/>
      <c r="AE1538" s="36"/>
      <c r="AF1538" s="53" t="s">
        <v>68</v>
      </c>
      <c r="AG1538" s="42"/>
      <c r="AH1538" s="42"/>
      <c r="AI1538" s="43"/>
      <c r="AJ1538" s="43"/>
      <c r="AK1538" s="43"/>
      <c r="AL1538" s="43"/>
      <c r="AM1538" s="43"/>
      <c r="AN1538" s="42"/>
      <c r="AO1538" s="42"/>
      <c r="AP1538" s="42"/>
      <c r="AQ1538" s="43"/>
      <c r="AR1538" s="42"/>
      <c r="AS1538" s="42" t="s">
        <v>1820</v>
      </c>
    </row>
    <row r="1539" spans="1:45" ht="15" customHeight="1">
      <c r="A1539" s="21" t="s">
        <v>260</v>
      </c>
      <c r="B1539" s="21" t="s">
        <v>46</v>
      </c>
      <c r="C1539" s="21" t="s">
        <v>188</v>
      </c>
      <c r="D1539" s="21" t="s">
        <v>48</v>
      </c>
      <c r="E1539" s="80" t="s">
        <v>1636</v>
      </c>
      <c r="F1539" s="21" t="s">
        <v>920</v>
      </c>
      <c r="G1539" s="101" t="s">
        <v>77</v>
      </c>
      <c r="H1539" s="133" t="s">
        <v>1816</v>
      </c>
      <c r="I1539" s="102" t="s">
        <v>78</v>
      </c>
      <c r="J1539" s="65" t="s">
        <v>1817</v>
      </c>
      <c r="K1539" s="104"/>
      <c r="L1539" s="48" t="s">
        <v>923</v>
      </c>
      <c r="M1539" s="156">
        <v>43180</v>
      </c>
      <c r="N1539" s="116" t="s">
        <v>81</v>
      </c>
      <c r="O1539" s="68">
        <v>9600</v>
      </c>
      <c r="P1539" s="68">
        <v>1</v>
      </c>
      <c r="Q1539" s="51">
        <f t="shared" si="34"/>
        <v>9600</v>
      </c>
      <c r="R1539" s="31">
        <v>202310</v>
      </c>
      <c r="S1539" s="183" t="s">
        <v>1922</v>
      </c>
      <c r="T1539" s="33"/>
      <c r="U1539" s="183"/>
      <c r="V1539" s="184"/>
      <c r="W1539" s="67"/>
      <c r="X1539" s="67"/>
      <c r="Y1539" s="36"/>
      <c r="Z1539" s="36"/>
      <c r="AA1539" s="36"/>
      <c r="AB1539" s="36"/>
      <c r="AC1539" s="36"/>
      <c r="AD1539" s="36"/>
      <c r="AE1539" s="36"/>
      <c r="AF1539" s="53" t="s">
        <v>68</v>
      </c>
      <c r="AG1539" s="42"/>
      <c r="AH1539" s="42"/>
      <c r="AI1539" s="43"/>
      <c r="AJ1539" s="43"/>
      <c r="AK1539" s="43"/>
      <c r="AL1539" s="43"/>
      <c r="AM1539" s="43"/>
      <c r="AN1539" s="42"/>
      <c r="AO1539" s="42"/>
      <c r="AP1539" s="42"/>
      <c r="AQ1539" s="43"/>
      <c r="AR1539" s="42"/>
      <c r="AS1539" s="42" t="s">
        <v>1820</v>
      </c>
    </row>
    <row r="1540" spans="1:45" ht="15" customHeight="1">
      <c r="A1540" s="21" t="s">
        <v>260</v>
      </c>
      <c r="B1540" s="21" t="s">
        <v>46</v>
      </c>
      <c r="C1540" s="21" t="s">
        <v>188</v>
      </c>
      <c r="D1540" s="21" t="s">
        <v>48</v>
      </c>
      <c r="E1540" s="80" t="s">
        <v>1636</v>
      </c>
      <c r="F1540" s="21" t="s">
        <v>920</v>
      </c>
      <c r="G1540" s="101" t="s">
        <v>77</v>
      </c>
      <c r="H1540" s="133" t="s">
        <v>1816</v>
      </c>
      <c r="I1540" s="102" t="s">
        <v>78</v>
      </c>
      <c r="J1540" s="65" t="s">
        <v>1817</v>
      </c>
      <c r="K1540" s="104"/>
      <c r="L1540" s="48" t="s">
        <v>923</v>
      </c>
      <c r="M1540" s="156">
        <v>43189</v>
      </c>
      <c r="N1540" s="116" t="s">
        <v>81</v>
      </c>
      <c r="O1540" s="68">
        <v>9600</v>
      </c>
      <c r="P1540" s="68">
        <v>3</v>
      </c>
      <c r="Q1540" s="51">
        <f t="shared" si="34"/>
        <v>28800</v>
      </c>
      <c r="R1540" s="31">
        <v>202310</v>
      </c>
      <c r="S1540" s="183" t="s">
        <v>1923</v>
      </c>
      <c r="T1540" s="33"/>
      <c r="U1540" s="183"/>
      <c r="V1540" s="184"/>
      <c r="W1540" s="67"/>
      <c r="X1540" s="67"/>
      <c r="Y1540" s="36"/>
      <c r="Z1540" s="36"/>
      <c r="AA1540" s="36"/>
      <c r="AB1540" s="36"/>
      <c r="AC1540" s="36"/>
      <c r="AD1540" s="36"/>
      <c r="AE1540" s="36"/>
      <c r="AF1540" s="53" t="s">
        <v>68</v>
      </c>
      <c r="AG1540" s="42"/>
      <c r="AH1540" s="42"/>
      <c r="AI1540" s="43"/>
      <c r="AJ1540" s="43"/>
      <c r="AK1540" s="43"/>
      <c r="AL1540" s="43"/>
      <c r="AM1540" s="43"/>
      <c r="AN1540" s="42"/>
      <c r="AO1540" s="42"/>
      <c r="AP1540" s="42"/>
      <c r="AQ1540" s="43"/>
      <c r="AR1540" s="42"/>
      <c r="AS1540" s="42" t="s">
        <v>1820</v>
      </c>
    </row>
    <row r="1541" spans="1:45" ht="15" customHeight="1">
      <c r="A1541" s="21" t="s">
        <v>260</v>
      </c>
      <c r="B1541" s="21" t="s">
        <v>46</v>
      </c>
      <c r="C1541" s="21" t="s">
        <v>188</v>
      </c>
      <c r="D1541" s="21" t="s">
        <v>48</v>
      </c>
      <c r="E1541" s="80" t="s">
        <v>1636</v>
      </c>
      <c r="F1541" s="21" t="s">
        <v>920</v>
      </c>
      <c r="G1541" s="101" t="s">
        <v>77</v>
      </c>
      <c r="H1541" s="133" t="s">
        <v>1816</v>
      </c>
      <c r="I1541" s="102" t="s">
        <v>78</v>
      </c>
      <c r="J1541" s="65" t="s">
        <v>1817</v>
      </c>
      <c r="K1541" s="104"/>
      <c r="L1541" s="48" t="s">
        <v>923</v>
      </c>
      <c r="M1541" s="156">
        <v>43237</v>
      </c>
      <c r="N1541" s="116" t="s">
        <v>81</v>
      </c>
      <c r="O1541" s="68">
        <v>9600</v>
      </c>
      <c r="P1541" s="68">
        <v>3</v>
      </c>
      <c r="Q1541" s="51">
        <f t="shared" si="34"/>
        <v>28800</v>
      </c>
      <c r="R1541" s="31">
        <v>202310</v>
      </c>
      <c r="S1541" s="183" t="s">
        <v>1924</v>
      </c>
      <c r="T1541" s="33"/>
      <c r="U1541" s="183"/>
      <c r="V1541" s="184"/>
      <c r="W1541" s="67"/>
      <c r="X1541" s="67"/>
      <c r="Y1541" s="36"/>
      <c r="Z1541" s="36"/>
      <c r="AA1541" s="36"/>
      <c r="AB1541" s="36"/>
      <c r="AC1541" s="36"/>
      <c r="AD1541" s="36"/>
      <c r="AE1541" s="36"/>
      <c r="AF1541" s="53" t="s">
        <v>68</v>
      </c>
      <c r="AG1541" s="42"/>
      <c r="AH1541" s="42"/>
      <c r="AI1541" s="43"/>
      <c r="AJ1541" s="43"/>
      <c r="AK1541" s="43"/>
      <c r="AL1541" s="43"/>
      <c r="AM1541" s="43"/>
      <c r="AN1541" s="42"/>
      <c r="AO1541" s="42"/>
      <c r="AP1541" s="42"/>
      <c r="AQ1541" s="43"/>
      <c r="AR1541" s="42"/>
      <c r="AS1541" s="42" t="s">
        <v>1820</v>
      </c>
    </row>
    <row r="1542" spans="1:45" ht="15" customHeight="1">
      <c r="A1542" s="21" t="s">
        <v>260</v>
      </c>
      <c r="B1542" s="21" t="s">
        <v>46</v>
      </c>
      <c r="C1542" s="21" t="s">
        <v>188</v>
      </c>
      <c r="D1542" s="21" t="s">
        <v>48</v>
      </c>
      <c r="E1542" s="80" t="s">
        <v>1636</v>
      </c>
      <c r="F1542" s="21" t="s">
        <v>920</v>
      </c>
      <c r="G1542" s="101" t="s">
        <v>77</v>
      </c>
      <c r="H1542" s="133" t="s">
        <v>1816</v>
      </c>
      <c r="I1542" s="102" t="s">
        <v>78</v>
      </c>
      <c r="J1542" s="65" t="s">
        <v>1817</v>
      </c>
      <c r="K1542" s="104"/>
      <c r="L1542" s="48" t="s">
        <v>923</v>
      </c>
      <c r="M1542" s="156">
        <v>43235</v>
      </c>
      <c r="N1542" s="116" t="s">
        <v>81</v>
      </c>
      <c r="O1542" s="68">
        <v>9600</v>
      </c>
      <c r="P1542" s="68">
        <v>3</v>
      </c>
      <c r="Q1542" s="51">
        <f t="shared" si="34"/>
        <v>28800</v>
      </c>
      <c r="R1542" s="31">
        <v>202310</v>
      </c>
      <c r="S1542" s="183" t="s">
        <v>1925</v>
      </c>
      <c r="T1542" s="33"/>
      <c r="U1542" s="183"/>
      <c r="V1542" s="184"/>
      <c r="W1542" s="67"/>
      <c r="X1542" s="67"/>
      <c r="Y1542" s="36"/>
      <c r="Z1542" s="36"/>
      <c r="AA1542" s="36"/>
      <c r="AB1542" s="36"/>
      <c r="AC1542" s="36"/>
      <c r="AD1542" s="36"/>
      <c r="AE1542" s="36"/>
      <c r="AF1542" s="53" t="s">
        <v>68</v>
      </c>
      <c r="AG1542" s="42"/>
      <c r="AH1542" s="42"/>
      <c r="AI1542" s="43"/>
      <c r="AJ1542" s="43"/>
      <c r="AK1542" s="43"/>
      <c r="AL1542" s="43"/>
      <c r="AM1542" s="43"/>
      <c r="AN1542" s="42"/>
      <c r="AO1542" s="42"/>
      <c r="AP1542" s="42"/>
      <c r="AQ1542" s="43"/>
      <c r="AR1542" s="42"/>
      <c r="AS1542" s="42" t="s">
        <v>1820</v>
      </c>
    </row>
    <row r="1543" spans="1:45" ht="15" customHeight="1">
      <c r="A1543" s="21" t="s">
        <v>260</v>
      </c>
      <c r="B1543" s="21" t="s">
        <v>46</v>
      </c>
      <c r="C1543" s="21" t="s">
        <v>188</v>
      </c>
      <c r="D1543" s="21" t="s">
        <v>48</v>
      </c>
      <c r="E1543" s="80" t="s">
        <v>1636</v>
      </c>
      <c r="F1543" s="21" t="s">
        <v>920</v>
      </c>
      <c r="G1543" s="101" t="s">
        <v>77</v>
      </c>
      <c r="H1543" s="133" t="s">
        <v>1816</v>
      </c>
      <c r="I1543" s="102" t="s">
        <v>78</v>
      </c>
      <c r="J1543" s="65" t="s">
        <v>1817</v>
      </c>
      <c r="K1543" s="104"/>
      <c r="L1543" s="48" t="s">
        <v>923</v>
      </c>
      <c r="M1543" s="156">
        <v>43243</v>
      </c>
      <c r="N1543" s="116" t="s">
        <v>81</v>
      </c>
      <c r="O1543" s="68">
        <v>9600</v>
      </c>
      <c r="P1543" s="68">
        <v>2</v>
      </c>
      <c r="Q1543" s="51">
        <f t="shared" si="34"/>
        <v>19200</v>
      </c>
      <c r="R1543" s="31">
        <v>202310</v>
      </c>
      <c r="S1543" s="183" t="s">
        <v>1926</v>
      </c>
      <c r="T1543" s="33"/>
      <c r="U1543" s="183"/>
      <c r="V1543" s="184"/>
      <c r="W1543" s="67"/>
      <c r="X1543" s="67"/>
      <c r="Y1543" s="36"/>
      <c r="Z1543" s="36"/>
      <c r="AA1543" s="36"/>
      <c r="AB1543" s="36"/>
      <c r="AC1543" s="36"/>
      <c r="AD1543" s="36"/>
      <c r="AE1543" s="36"/>
      <c r="AF1543" s="53" t="s">
        <v>68</v>
      </c>
      <c r="AG1543" s="42"/>
      <c r="AH1543" s="42"/>
      <c r="AI1543" s="43"/>
      <c r="AJ1543" s="43"/>
      <c r="AK1543" s="43"/>
      <c r="AL1543" s="43"/>
      <c r="AM1543" s="43"/>
      <c r="AN1543" s="42"/>
      <c r="AO1543" s="42"/>
      <c r="AP1543" s="42"/>
      <c r="AQ1543" s="43"/>
      <c r="AR1543" s="42"/>
      <c r="AS1543" s="42" t="s">
        <v>1820</v>
      </c>
    </row>
    <row r="1544" spans="1:45" ht="15" customHeight="1">
      <c r="A1544" s="21" t="s">
        <v>260</v>
      </c>
      <c r="B1544" s="21" t="s">
        <v>46</v>
      </c>
      <c r="C1544" s="21" t="s">
        <v>188</v>
      </c>
      <c r="D1544" s="21" t="s">
        <v>48</v>
      </c>
      <c r="E1544" s="80" t="s">
        <v>1636</v>
      </c>
      <c r="F1544" s="21" t="s">
        <v>920</v>
      </c>
      <c r="G1544" s="101" t="s">
        <v>77</v>
      </c>
      <c r="H1544" s="133" t="s">
        <v>1816</v>
      </c>
      <c r="I1544" s="102" t="s">
        <v>78</v>
      </c>
      <c r="J1544" s="65" t="s">
        <v>1817</v>
      </c>
      <c r="K1544" s="104"/>
      <c r="L1544" s="48" t="s">
        <v>923</v>
      </c>
      <c r="M1544" s="156">
        <v>43249</v>
      </c>
      <c r="N1544" s="116" t="s">
        <v>81</v>
      </c>
      <c r="O1544" s="68">
        <v>9600</v>
      </c>
      <c r="P1544" s="68">
        <v>2</v>
      </c>
      <c r="Q1544" s="51">
        <f t="shared" si="34"/>
        <v>19200</v>
      </c>
      <c r="R1544" s="31">
        <v>202310</v>
      </c>
      <c r="S1544" s="183" t="s">
        <v>1927</v>
      </c>
      <c r="T1544" s="33"/>
      <c r="U1544" s="183"/>
      <c r="V1544" s="184"/>
      <c r="W1544" s="67"/>
      <c r="X1544" s="67"/>
      <c r="Y1544" s="36"/>
      <c r="Z1544" s="36"/>
      <c r="AA1544" s="36"/>
      <c r="AB1544" s="36"/>
      <c r="AC1544" s="36"/>
      <c r="AD1544" s="36"/>
      <c r="AE1544" s="36"/>
      <c r="AF1544" s="53" t="s">
        <v>68</v>
      </c>
      <c r="AG1544" s="42"/>
      <c r="AH1544" s="42"/>
      <c r="AI1544" s="43"/>
      <c r="AJ1544" s="43"/>
      <c r="AK1544" s="43"/>
      <c r="AL1544" s="43"/>
      <c r="AM1544" s="43"/>
      <c r="AN1544" s="42"/>
      <c r="AO1544" s="42"/>
      <c r="AP1544" s="42"/>
      <c r="AQ1544" s="43"/>
      <c r="AR1544" s="42"/>
      <c r="AS1544" s="42" t="s">
        <v>1820</v>
      </c>
    </row>
    <row r="1545" spans="1:45" ht="15" customHeight="1">
      <c r="A1545" s="21" t="s">
        <v>260</v>
      </c>
      <c r="B1545" s="21" t="s">
        <v>46</v>
      </c>
      <c r="C1545" s="21" t="s">
        <v>188</v>
      </c>
      <c r="D1545" s="21" t="s">
        <v>48</v>
      </c>
      <c r="E1545" s="80" t="s">
        <v>1636</v>
      </c>
      <c r="F1545" s="21" t="s">
        <v>920</v>
      </c>
      <c r="G1545" s="101" t="s">
        <v>77</v>
      </c>
      <c r="H1545" s="133" t="s">
        <v>1816</v>
      </c>
      <c r="I1545" s="102" t="s">
        <v>78</v>
      </c>
      <c r="J1545" s="65" t="s">
        <v>1817</v>
      </c>
      <c r="K1545" s="104"/>
      <c r="L1545" s="48" t="s">
        <v>923</v>
      </c>
      <c r="M1545" s="156">
        <v>43250</v>
      </c>
      <c r="N1545" s="116" t="s">
        <v>81</v>
      </c>
      <c r="O1545" s="68">
        <v>9600</v>
      </c>
      <c r="P1545" s="68">
        <v>3</v>
      </c>
      <c r="Q1545" s="51">
        <f t="shared" si="34"/>
        <v>28800</v>
      </c>
      <c r="R1545" s="31">
        <v>202310</v>
      </c>
      <c r="S1545" s="183" t="s">
        <v>1928</v>
      </c>
      <c r="T1545" s="33"/>
      <c r="U1545" s="183"/>
      <c r="V1545" s="184"/>
      <c r="W1545" s="67"/>
      <c r="X1545" s="67"/>
      <c r="Y1545" s="36"/>
      <c r="Z1545" s="36"/>
      <c r="AA1545" s="36"/>
      <c r="AB1545" s="36"/>
      <c r="AC1545" s="36"/>
      <c r="AD1545" s="36"/>
      <c r="AE1545" s="36"/>
      <c r="AF1545" s="53" t="s">
        <v>68</v>
      </c>
      <c r="AG1545" s="42"/>
      <c r="AH1545" s="42"/>
      <c r="AI1545" s="43"/>
      <c r="AJ1545" s="43"/>
      <c r="AK1545" s="43"/>
      <c r="AL1545" s="43"/>
      <c r="AM1545" s="43"/>
      <c r="AN1545" s="42"/>
      <c r="AO1545" s="42"/>
      <c r="AP1545" s="42"/>
      <c r="AQ1545" s="43"/>
      <c r="AR1545" s="42"/>
      <c r="AS1545" s="42" t="s">
        <v>1820</v>
      </c>
    </row>
    <row r="1546" spans="1:45" ht="15" customHeight="1">
      <c r="A1546" s="21" t="s">
        <v>260</v>
      </c>
      <c r="B1546" s="21" t="s">
        <v>46</v>
      </c>
      <c r="C1546" s="21" t="s">
        <v>188</v>
      </c>
      <c r="D1546" s="21" t="s">
        <v>48</v>
      </c>
      <c r="E1546" s="80" t="s">
        <v>1636</v>
      </c>
      <c r="F1546" s="21" t="s">
        <v>920</v>
      </c>
      <c r="G1546" s="101" t="s">
        <v>77</v>
      </c>
      <c r="H1546" s="133" t="s">
        <v>1816</v>
      </c>
      <c r="I1546" s="102" t="s">
        <v>78</v>
      </c>
      <c r="J1546" s="65" t="s">
        <v>1817</v>
      </c>
      <c r="K1546" s="104"/>
      <c r="L1546" s="48" t="s">
        <v>923</v>
      </c>
      <c r="M1546" s="156">
        <v>43251</v>
      </c>
      <c r="N1546" s="116" t="s">
        <v>81</v>
      </c>
      <c r="O1546" s="68">
        <v>9600</v>
      </c>
      <c r="P1546" s="68">
        <v>1</v>
      </c>
      <c r="Q1546" s="51">
        <f t="shared" si="34"/>
        <v>9600</v>
      </c>
      <c r="R1546" s="31">
        <v>202310</v>
      </c>
      <c r="S1546" s="183" t="s">
        <v>1929</v>
      </c>
      <c r="T1546" s="33"/>
      <c r="U1546" s="183"/>
      <c r="V1546" s="184"/>
      <c r="W1546" s="67"/>
      <c r="X1546" s="67"/>
      <c r="Y1546" s="36"/>
      <c r="Z1546" s="36"/>
      <c r="AA1546" s="36"/>
      <c r="AB1546" s="36"/>
      <c r="AC1546" s="36"/>
      <c r="AD1546" s="36"/>
      <c r="AE1546" s="36"/>
      <c r="AF1546" s="53" t="s">
        <v>68</v>
      </c>
      <c r="AG1546" s="42"/>
      <c r="AH1546" s="42"/>
      <c r="AI1546" s="43"/>
      <c r="AJ1546" s="43"/>
      <c r="AK1546" s="43"/>
      <c r="AL1546" s="43"/>
      <c r="AM1546" s="43"/>
      <c r="AN1546" s="42"/>
      <c r="AO1546" s="42"/>
      <c r="AP1546" s="42"/>
      <c r="AQ1546" s="43"/>
      <c r="AR1546" s="42"/>
      <c r="AS1546" s="42" t="s">
        <v>1820</v>
      </c>
    </row>
    <row r="1547" spans="1:45" ht="15" customHeight="1">
      <c r="A1547" s="21" t="s">
        <v>260</v>
      </c>
      <c r="B1547" s="21" t="s">
        <v>46</v>
      </c>
      <c r="C1547" s="21" t="s">
        <v>188</v>
      </c>
      <c r="D1547" s="21" t="s">
        <v>48</v>
      </c>
      <c r="E1547" s="80" t="s">
        <v>1636</v>
      </c>
      <c r="F1547" s="21" t="s">
        <v>920</v>
      </c>
      <c r="G1547" s="101" t="s">
        <v>77</v>
      </c>
      <c r="H1547" s="133" t="s">
        <v>1816</v>
      </c>
      <c r="I1547" s="102" t="s">
        <v>78</v>
      </c>
      <c r="J1547" s="65" t="s">
        <v>1817</v>
      </c>
      <c r="K1547" s="104"/>
      <c r="L1547" s="48" t="s">
        <v>923</v>
      </c>
      <c r="M1547" s="156">
        <v>43256</v>
      </c>
      <c r="N1547" s="116" t="s">
        <v>81</v>
      </c>
      <c r="O1547" s="68">
        <v>9600</v>
      </c>
      <c r="P1547" s="68">
        <v>2</v>
      </c>
      <c r="Q1547" s="51">
        <f t="shared" si="34"/>
        <v>19200</v>
      </c>
      <c r="R1547" s="31">
        <v>202310</v>
      </c>
      <c r="S1547" s="183" t="s">
        <v>1930</v>
      </c>
      <c r="T1547" s="33"/>
      <c r="U1547" s="183"/>
      <c r="V1547" s="184"/>
      <c r="W1547" s="67"/>
      <c r="X1547" s="67"/>
      <c r="Y1547" s="36"/>
      <c r="Z1547" s="36"/>
      <c r="AA1547" s="36"/>
      <c r="AB1547" s="36"/>
      <c r="AC1547" s="36"/>
      <c r="AD1547" s="36"/>
      <c r="AE1547" s="36"/>
      <c r="AF1547" s="53" t="s">
        <v>68</v>
      </c>
      <c r="AG1547" s="42"/>
      <c r="AH1547" s="42"/>
      <c r="AI1547" s="43"/>
      <c r="AJ1547" s="43"/>
      <c r="AK1547" s="43"/>
      <c r="AL1547" s="43"/>
      <c r="AM1547" s="43"/>
      <c r="AN1547" s="42"/>
      <c r="AO1547" s="42"/>
      <c r="AP1547" s="42"/>
      <c r="AQ1547" s="43"/>
      <c r="AR1547" s="42"/>
      <c r="AS1547" s="42" t="s">
        <v>1820</v>
      </c>
    </row>
    <row r="1548" spans="1:45" ht="15" customHeight="1">
      <c r="A1548" s="21" t="s">
        <v>260</v>
      </c>
      <c r="B1548" s="21" t="s">
        <v>46</v>
      </c>
      <c r="C1548" s="21" t="s">
        <v>188</v>
      </c>
      <c r="D1548" s="21" t="s">
        <v>48</v>
      </c>
      <c r="E1548" s="80" t="s">
        <v>1636</v>
      </c>
      <c r="F1548" s="21" t="s">
        <v>920</v>
      </c>
      <c r="G1548" s="101" t="s">
        <v>77</v>
      </c>
      <c r="H1548" s="133" t="s">
        <v>1816</v>
      </c>
      <c r="I1548" s="102" t="s">
        <v>78</v>
      </c>
      <c r="J1548" s="65" t="s">
        <v>1817</v>
      </c>
      <c r="K1548" s="104"/>
      <c r="L1548" s="48" t="s">
        <v>923</v>
      </c>
      <c r="M1548" s="156">
        <v>43257</v>
      </c>
      <c r="N1548" s="116" t="s">
        <v>81</v>
      </c>
      <c r="O1548" s="68">
        <v>9600</v>
      </c>
      <c r="P1548" s="68">
        <v>1</v>
      </c>
      <c r="Q1548" s="51">
        <f t="shared" si="34"/>
        <v>9600</v>
      </c>
      <c r="R1548" s="31">
        <v>202310</v>
      </c>
      <c r="S1548" s="183" t="s">
        <v>1931</v>
      </c>
      <c r="T1548" s="33"/>
      <c r="U1548" s="183"/>
      <c r="V1548" s="184"/>
      <c r="W1548" s="67"/>
      <c r="X1548" s="67"/>
      <c r="Y1548" s="36"/>
      <c r="Z1548" s="36"/>
      <c r="AA1548" s="36"/>
      <c r="AB1548" s="36"/>
      <c r="AC1548" s="36"/>
      <c r="AD1548" s="36"/>
      <c r="AE1548" s="36"/>
      <c r="AF1548" s="53" t="s">
        <v>68</v>
      </c>
      <c r="AG1548" s="42"/>
      <c r="AH1548" s="42"/>
      <c r="AI1548" s="43"/>
      <c r="AJ1548" s="43"/>
      <c r="AK1548" s="43"/>
      <c r="AL1548" s="43"/>
      <c r="AM1548" s="43"/>
      <c r="AN1548" s="42"/>
      <c r="AO1548" s="42"/>
      <c r="AP1548" s="42"/>
      <c r="AQ1548" s="43"/>
      <c r="AR1548" s="42"/>
      <c r="AS1548" s="42" t="s">
        <v>1820</v>
      </c>
    </row>
    <row r="1549" spans="1:45" ht="15" customHeight="1">
      <c r="A1549" s="21" t="s">
        <v>260</v>
      </c>
      <c r="B1549" s="21" t="s">
        <v>46</v>
      </c>
      <c r="C1549" s="21" t="s">
        <v>188</v>
      </c>
      <c r="D1549" s="21" t="s">
        <v>48</v>
      </c>
      <c r="E1549" s="80" t="s">
        <v>1636</v>
      </c>
      <c r="F1549" s="21" t="s">
        <v>920</v>
      </c>
      <c r="G1549" s="101" t="s">
        <v>77</v>
      </c>
      <c r="H1549" s="133" t="s">
        <v>1816</v>
      </c>
      <c r="I1549" s="102" t="s">
        <v>78</v>
      </c>
      <c r="J1549" s="65" t="s">
        <v>1817</v>
      </c>
      <c r="K1549" s="104"/>
      <c r="L1549" s="48" t="s">
        <v>923</v>
      </c>
      <c r="M1549" s="156">
        <v>43258</v>
      </c>
      <c r="N1549" s="116" t="s">
        <v>81</v>
      </c>
      <c r="O1549" s="68">
        <v>9600</v>
      </c>
      <c r="P1549" s="68">
        <v>7</v>
      </c>
      <c r="Q1549" s="51">
        <f t="shared" si="34"/>
        <v>67200</v>
      </c>
      <c r="R1549" s="31">
        <v>202310</v>
      </c>
      <c r="S1549" s="183" t="s">
        <v>1932</v>
      </c>
      <c r="T1549" s="33"/>
      <c r="U1549" s="183"/>
      <c r="V1549" s="184"/>
      <c r="W1549" s="67"/>
      <c r="X1549" s="67"/>
      <c r="Y1549" s="36"/>
      <c r="Z1549" s="36"/>
      <c r="AA1549" s="36"/>
      <c r="AB1549" s="36"/>
      <c r="AC1549" s="36"/>
      <c r="AD1549" s="36"/>
      <c r="AE1549" s="36"/>
      <c r="AF1549" s="53" t="s">
        <v>68</v>
      </c>
      <c r="AG1549" s="42"/>
      <c r="AH1549" s="42"/>
      <c r="AI1549" s="43"/>
      <c r="AJ1549" s="43"/>
      <c r="AK1549" s="43"/>
      <c r="AL1549" s="43"/>
      <c r="AM1549" s="43"/>
      <c r="AN1549" s="42"/>
      <c r="AO1549" s="42"/>
      <c r="AP1549" s="42"/>
      <c r="AQ1549" s="43"/>
      <c r="AR1549" s="42"/>
      <c r="AS1549" s="42" t="s">
        <v>1820</v>
      </c>
    </row>
    <row r="1550" spans="1:45" ht="15" customHeight="1">
      <c r="A1550" s="21" t="s">
        <v>260</v>
      </c>
      <c r="B1550" s="21" t="s">
        <v>46</v>
      </c>
      <c r="C1550" s="21" t="s">
        <v>188</v>
      </c>
      <c r="D1550" s="21" t="s">
        <v>48</v>
      </c>
      <c r="E1550" s="80" t="s">
        <v>1636</v>
      </c>
      <c r="F1550" s="21" t="s">
        <v>920</v>
      </c>
      <c r="G1550" s="101" t="s">
        <v>77</v>
      </c>
      <c r="H1550" s="133" t="s">
        <v>1816</v>
      </c>
      <c r="I1550" s="102" t="s">
        <v>78</v>
      </c>
      <c r="J1550" s="65" t="s">
        <v>1817</v>
      </c>
      <c r="K1550" s="104"/>
      <c r="L1550" s="48" t="s">
        <v>923</v>
      </c>
      <c r="M1550" s="156">
        <v>43259</v>
      </c>
      <c r="N1550" s="116" t="s">
        <v>81</v>
      </c>
      <c r="O1550" s="68">
        <v>9600</v>
      </c>
      <c r="P1550" s="68">
        <v>13</v>
      </c>
      <c r="Q1550" s="51">
        <f t="shared" si="34"/>
        <v>124800</v>
      </c>
      <c r="R1550" s="31">
        <v>202310</v>
      </c>
      <c r="S1550" s="183" t="s">
        <v>1933</v>
      </c>
      <c r="T1550" s="33"/>
      <c r="U1550" s="183"/>
      <c r="V1550" s="184"/>
      <c r="W1550" s="67"/>
      <c r="X1550" s="67"/>
      <c r="Y1550" s="36"/>
      <c r="Z1550" s="36"/>
      <c r="AA1550" s="36"/>
      <c r="AB1550" s="36"/>
      <c r="AC1550" s="36"/>
      <c r="AD1550" s="36"/>
      <c r="AE1550" s="36"/>
      <c r="AF1550" s="53" t="s">
        <v>68</v>
      </c>
      <c r="AG1550" s="42"/>
      <c r="AH1550" s="42"/>
      <c r="AI1550" s="43"/>
      <c r="AJ1550" s="43"/>
      <c r="AK1550" s="43"/>
      <c r="AL1550" s="43"/>
      <c r="AM1550" s="43"/>
      <c r="AN1550" s="42"/>
      <c r="AO1550" s="42"/>
      <c r="AP1550" s="42"/>
      <c r="AQ1550" s="43"/>
      <c r="AR1550" s="42"/>
      <c r="AS1550" s="42" t="s">
        <v>1820</v>
      </c>
    </row>
    <row r="1551" spans="1:45" ht="15" customHeight="1">
      <c r="A1551" s="21" t="s">
        <v>260</v>
      </c>
      <c r="B1551" s="21" t="s">
        <v>46</v>
      </c>
      <c r="C1551" s="21" t="s">
        <v>188</v>
      </c>
      <c r="D1551" s="21" t="s">
        <v>48</v>
      </c>
      <c r="E1551" s="80" t="s">
        <v>1636</v>
      </c>
      <c r="F1551" s="21" t="s">
        <v>920</v>
      </c>
      <c r="G1551" s="101" t="s">
        <v>77</v>
      </c>
      <c r="H1551" s="133" t="s">
        <v>1816</v>
      </c>
      <c r="I1551" s="102" t="s">
        <v>78</v>
      </c>
      <c r="J1551" s="65" t="s">
        <v>1817</v>
      </c>
      <c r="K1551" s="104"/>
      <c r="L1551" s="48" t="s">
        <v>923</v>
      </c>
      <c r="M1551" s="156">
        <v>43284</v>
      </c>
      <c r="N1551" s="116" t="s">
        <v>81</v>
      </c>
      <c r="O1551" s="68">
        <v>9600</v>
      </c>
      <c r="P1551" s="68">
        <v>2</v>
      </c>
      <c r="Q1551" s="51">
        <f t="shared" si="34"/>
        <v>19200</v>
      </c>
      <c r="R1551" s="31">
        <v>202310</v>
      </c>
      <c r="S1551" s="183"/>
      <c r="T1551" s="33"/>
      <c r="U1551" s="183"/>
      <c r="V1551" s="184"/>
      <c r="W1551" s="67"/>
      <c r="X1551" s="67"/>
      <c r="Y1551" s="36"/>
      <c r="Z1551" s="36"/>
      <c r="AA1551" s="36"/>
      <c r="AB1551" s="36"/>
      <c r="AC1551" s="36"/>
      <c r="AD1551" s="36"/>
      <c r="AE1551" s="36"/>
      <c r="AF1551" s="53" t="s">
        <v>68</v>
      </c>
      <c r="AG1551" s="42"/>
      <c r="AH1551" s="42"/>
      <c r="AI1551" s="43"/>
      <c r="AJ1551" s="43"/>
      <c r="AK1551" s="43"/>
      <c r="AL1551" s="43"/>
      <c r="AM1551" s="43"/>
      <c r="AN1551" s="42"/>
      <c r="AO1551" s="42"/>
      <c r="AP1551" s="42"/>
      <c r="AQ1551" s="43"/>
      <c r="AR1551" s="42"/>
      <c r="AS1551" s="42" t="s">
        <v>1820</v>
      </c>
    </row>
    <row r="1552" spans="1:45" ht="15" customHeight="1">
      <c r="A1552" s="21" t="s">
        <v>260</v>
      </c>
      <c r="B1552" s="21" t="s">
        <v>46</v>
      </c>
      <c r="C1552" s="21" t="s">
        <v>188</v>
      </c>
      <c r="D1552" s="21" t="s">
        <v>48</v>
      </c>
      <c r="E1552" s="80" t="s">
        <v>1636</v>
      </c>
      <c r="F1552" s="21" t="s">
        <v>920</v>
      </c>
      <c r="G1552" s="101" t="s">
        <v>77</v>
      </c>
      <c r="H1552" s="133" t="s">
        <v>1816</v>
      </c>
      <c r="I1552" s="102" t="s">
        <v>78</v>
      </c>
      <c r="J1552" s="65" t="s">
        <v>1817</v>
      </c>
      <c r="K1552" s="104"/>
      <c r="L1552" s="48" t="s">
        <v>923</v>
      </c>
      <c r="M1552" s="156">
        <v>43286</v>
      </c>
      <c r="N1552" s="116" t="s">
        <v>81</v>
      </c>
      <c r="O1552" s="68">
        <v>9600</v>
      </c>
      <c r="P1552" s="68">
        <v>3</v>
      </c>
      <c r="Q1552" s="51">
        <f t="shared" si="34"/>
        <v>28800</v>
      </c>
      <c r="R1552" s="31">
        <v>202310</v>
      </c>
      <c r="S1552" s="183"/>
      <c r="T1552" s="33"/>
      <c r="U1552" s="183"/>
      <c r="V1552" s="184"/>
      <c r="W1552" s="67"/>
      <c r="X1552" s="67"/>
      <c r="Y1552" s="36"/>
      <c r="Z1552" s="36"/>
      <c r="AA1552" s="36"/>
      <c r="AB1552" s="36"/>
      <c r="AC1552" s="36"/>
      <c r="AD1552" s="36"/>
      <c r="AE1552" s="36"/>
      <c r="AF1552" s="53" t="s">
        <v>68</v>
      </c>
      <c r="AG1552" s="42"/>
      <c r="AH1552" s="42"/>
      <c r="AI1552" s="43"/>
      <c r="AJ1552" s="43"/>
      <c r="AK1552" s="43"/>
      <c r="AL1552" s="43"/>
      <c r="AM1552" s="43"/>
      <c r="AN1552" s="42"/>
      <c r="AO1552" s="42"/>
      <c r="AP1552" s="42"/>
      <c r="AQ1552" s="43"/>
      <c r="AR1552" s="42"/>
      <c r="AS1552" s="42" t="s">
        <v>1820</v>
      </c>
    </row>
    <row r="1553" spans="1:45" ht="15" customHeight="1">
      <c r="A1553" s="21" t="s">
        <v>260</v>
      </c>
      <c r="B1553" s="21" t="s">
        <v>46</v>
      </c>
      <c r="C1553" s="21" t="s">
        <v>188</v>
      </c>
      <c r="D1553" s="21" t="s">
        <v>48</v>
      </c>
      <c r="E1553" s="80" t="s">
        <v>1636</v>
      </c>
      <c r="F1553" s="21" t="s">
        <v>920</v>
      </c>
      <c r="G1553" s="101" t="s">
        <v>77</v>
      </c>
      <c r="H1553" s="133" t="s">
        <v>1816</v>
      </c>
      <c r="I1553" s="102" t="s">
        <v>78</v>
      </c>
      <c r="J1553" s="65" t="s">
        <v>1817</v>
      </c>
      <c r="K1553" s="104"/>
      <c r="L1553" s="48" t="s">
        <v>923</v>
      </c>
      <c r="M1553" s="156">
        <v>43287</v>
      </c>
      <c r="N1553" s="116" t="s">
        <v>81</v>
      </c>
      <c r="O1553" s="68">
        <v>9600</v>
      </c>
      <c r="P1553" s="68">
        <v>2</v>
      </c>
      <c r="Q1553" s="51">
        <f t="shared" si="34"/>
        <v>19200</v>
      </c>
      <c r="R1553" s="31">
        <v>202310</v>
      </c>
      <c r="S1553" s="183"/>
      <c r="T1553" s="33"/>
      <c r="U1553" s="183"/>
      <c r="V1553" s="184"/>
      <c r="W1553" s="67"/>
      <c r="X1553" s="67"/>
      <c r="Y1553" s="36"/>
      <c r="Z1553" s="36"/>
      <c r="AA1553" s="36"/>
      <c r="AB1553" s="36"/>
      <c r="AC1553" s="36"/>
      <c r="AD1553" s="36"/>
      <c r="AE1553" s="36"/>
      <c r="AF1553" s="53" t="s">
        <v>68</v>
      </c>
      <c r="AG1553" s="42"/>
      <c r="AH1553" s="42"/>
      <c r="AI1553" s="43"/>
      <c r="AJ1553" s="43"/>
      <c r="AK1553" s="43"/>
      <c r="AL1553" s="43"/>
      <c r="AM1553" s="43"/>
      <c r="AN1553" s="42"/>
      <c r="AO1553" s="42"/>
      <c r="AP1553" s="42"/>
      <c r="AQ1553" s="43"/>
      <c r="AR1553" s="42"/>
      <c r="AS1553" s="42" t="s">
        <v>1820</v>
      </c>
    </row>
    <row r="1554" spans="1:45" ht="15" customHeight="1">
      <c r="A1554" s="21" t="s">
        <v>260</v>
      </c>
      <c r="B1554" s="21" t="s">
        <v>46</v>
      </c>
      <c r="C1554" s="21" t="s">
        <v>188</v>
      </c>
      <c r="D1554" s="21" t="s">
        <v>48</v>
      </c>
      <c r="E1554" s="80" t="s">
        <v>1636</v>
      </c>
      <c r="F1554" s="21" t="s">
        <v>920</v>
      </c>
      <c r="G1554" s="101" t="s">
        <v>77</v>
      </c>
      <c r="H1554" s="133" t="s">
        <v>1816</v>
      </c>
      <c r="I1554" s="102" t="s">
        <v>78</v>
      </c>
      <c r="J1554" s="65" t="s">
        <v>1817</v>
      </c>
      <c r="K1554" s="104"/>
      <c r="L1554" s="48" t="s">
        <v>923</v>
      </c>
      <c r="M1554" s="156">
        <v>43291</v>
      </c>
      <c r="N1554" s="116" t="s">
        <v>81</v>
      </c>
      <c r="O1554" s="68">
        <v>9600</v>
      </c>
      <c r="P1554" s="68">
        <v>1</v>
      </c>
      <c r="Q1554" s="51">
        <f t="shared" si="34"/>
        <v>9600</v>
      </c>
      <c r="R1554" s="31">
        <v>202310</v>
      </c>
      <c r="S1554" s="183"/>
      <c r="T1554" s="33"/>
      <c r="U1554" s="183"/>
      <c r="V1554" s="184"/>
      <c r="W1554" s="67"/>
      <c r="X1554" s="67"/>
      <c r="Y1554" s="36"/>
      <c r="Z1554" s="36"/>
      <c r="AA1554" s="36"/>
      <c r="AB1554" s="36"/>
      <c r="AC1554" s="36"/>
      <c r="AD1554" s="36"/>
      <c r="AE1554" s="36"/>
      <c r="AF1554" s="53" t="s">
        <v>68</v>
      </c>
      <c r="AG1554" s="42"/>
      <c r="AH1554" s="42"/>
      <c r="AI1554" s="43"/>
      <c r="AJ1554" s="43"/>
      <c r="AK1554" s="43"/>
      <c r="AL1554" s="43"/>
      <c r="AM1554" s="43"/>
      <c r="AN1554" s="42"/>
      <c r="AO1554" s="42"/>
      <c r="AP1554" s="42"/>
      <c r="AQ1554" s="43"/>
      <c r="AR1554" s="42"/>
      <c r="AS1554" s="42" t="s">
        <v>1820</v>
      </c>
    </row>
    <row r="1555" spans="1:45" ht="15" customHeight="1">
      <c r="A1555" s="21" t="s">
        <v>260</v>
      </c>
      <c r="B1555" s="21" t="s">
        <v>46</v>
      </c>
      <c r="C1555" s="21" t="s">
        <v>188</v>
      </c>
      <c r="D1555" s="21" t="s">
        <v>48</v>
      </c>
      <c r="E1555" s="80" t="s">
        <v>1636</v>
      </c>
      <c r="F1555" s="21" t="s">
        <v>920</v>
      </c>
      <c r="G1555" s="101" t="s">
        <v>77</v>
      </c>
      <c r="H1555" s="133" t="s">
        <v>1816</v>
      </c>
      <c r="I1555" s="102" t="s">
        <v>78</v>
      </c>
      <c r="J1555" s="65" t="s">
        <v>1817</v>
      </c>
      <c r="K1555" s="104"/>
      <c r="L1555" s="48" t="s">
        <v>923</v>
      </c>
      <c r="M1555" s="156">
        <v>43293</v>
      </c>
      <c r="N1555" s="116" t="s">
        <v>81</v>
      </c>
      <c r="O1555" s="68">
        <v>9600</v>
      </c>
      <c r="P1555" s="68">
        <v>1</v>
      </c>
      <c r="Q1555" s="51">
        <f t="shared" si="34"/>
        <v>9600</v>
      </c>
      <c r="R1555" s="31">
        <v>202310</v>
      </c>
      <c r="S1555" s="183"/>
      <c r="T1555" s="33"/>
      <c r="U1555" s="183"/>
      <c r="V1555" s="184"/>
      <c r="W1555" s="67"/>
      <c r="X1555" s="67"/>
      <c r="Y1555" s="36"/>
      <c r="Z1555" s="36"/>
      <c r="AA1555" s="36"/>
      <c r="AB1555" s="36"/>
      <c r="AC1555" s="36"/>
      <c r="AD1555" s="36"/>
      <c r="AE1555" s="36"/>
      <c r="AF1555" s="53" t="s">
        <v>68</v>
      </c>
      <c r="AG1555" s="42"/>
      <c r="AH1555" s="42"/>
      <c r="AI1555" s="43"/>
      <c r="AJ1555" s="43"/>
      <c r="AK1555" s="43"/>
      <c r="AL1555" s="43"/>
      <c r="AM1555" s="43"/>
      <c r="AN1555" s="42"/>
      <c r="AO1555" s="42"/>
      <c r="AP1555" s="42"/>
      <c r="AQ1555" s="43"/>
      <c r="AR1555" s="42"/>
      <c r="AS1555" s="42" t="s">
        <v>1820</v>
      </c>
    </row>
    <row r="1556" spans="1:45" ht="15" customHeight="1">
      <c r="A1556" s="21" t="s">
        <v>260</v>
      </c>
      <c r="B1556" s="21" t="s">
        <v>46</v>
      </c>
      <c r="C1556" s="21" t="s">
        <v>188</v>
      </c>
      <c r="D1556" s="21" t="s">
        <v>48</v>
      </c>
      <c r="E1556" s="80" t="s">
        <v>1636</v>
      </c>
      <c r="F1556" s="21" t="s">
        <v>920</v>
      </c>
      <c r="G1556" s="101" t="s">
        <v>77</v>
      </c>
      <c r="H1556" s="133" t="s">
        <v>1816</v>
      </c>
      <c r="I1556" s="102" t="s">
        <v>78</v>
      </c>
      <c r="J1556" s="65" t="s">
        <v>1817</v>
      </c>
      <c r="K1556" s="104"/>
      <c r="L1556" s="48" t="s">
        <v>923</v>
      </c>
      <c r="M1556" s="156">
        <v>43298</v>
      </c>
      <c r="N1556" s="116" t="s">
        <v>81</v>
      </c>
      <c r="O1556" s="68">
        <v>9600</v>
      </c>
      <c r="P1556" s="68">
        <v>3</v>
      </c>
      <c r="Q1556" s="51">
        <f t="shared" si="34"/>
        <v>28800</v>
      </c>
      <c r="R1556" s="31">
        <v>202310</v>
      </c>
      <c r="S1556" s="183"/>
      <c r="T1556" s="33"/>
      <c r="U1556" s="183"/>
      <c r="V1556" s="184"/>
      <c r="W1556" s="67"/>
      <c r="X1556" s="67"/>
      <c r="Y1556" s="36"/>
      <c r="Z1556" s="36"/>
      <c r="AA1556" s="36"/>
      <c r="AB1556" s="36"/>
      <c r="AC1556" s="36"/>
      <c r="AD1556" s="36"/>
      <c r="AE1556" s="36"/>
      <c r="AF1556" s="53" t="s">
        <v>68</v>
      </c>
      <c r="AG1556" s="42"/>
      <c r="AH1556" s="42"/>
      <c r="AI1556" s="43"/>
      <c r="AJ1556" s="43"/>
      <c r="AK1556" s="43"/>
      <c r="AL1556" s="43"/>
      <c r="AM1556" s="43"/>
      <c r="AN1556" s="42"/>
      <c r="AO1556" s="42"/>
      <c r="AP1556" s="42"/>
      <c r="AQ1556" s="43"/>
      <c r="AR1556" s="42"/>
      <c r="AS1556" s="42" t="s">
        <v>1820</v>
      </c>
    </row>
    <row r="1557" spans="1:45" ht="15" customHeight="1">
      <c r="A1557" s="21" t="s">
        <v>260</v>
      </c>
      <c r="B1557" s="21" t="s">
        <v>46</v>
      </c>
      <c r="C1557" s="21" t="s">
        <v>188</v>
      </c>
      <c r="D1557" s="21" t="s">
        <v>48</v>
      </c>
      <c r="E1557" s="80" t="s">
        <v>1636</v>
      </c>
      <c r="F1557" s="21" t="s">
        <v>920</v>
      </c>
      <c r="G1557" s="101" t="s">
        <v>77</v>
      </c>
      <c r="H1557" s="133" t="s">
        <v>1816</v>
      </c>
      <c r="I1557" s="102" t="s">
        <v>78</v>
      </c>
      <c r="J1557" s="65" t="s">
        <v>1817</v>
      </c>
      <c r="K1557" s="104"/>
      <c r="L1557" s="48" t="s">
        <v>923</v>
      </c>
      <c r="M1557" s="156">
        <v>43299</v>
      </c>
      <c r="N1557" s="116" t="s">
        <v>81</v>
      </c>
      <c r="O1557" s="68">
        <v>9600</v>
      </c>
      <c r="P1557" s="68">
        <v>1</v>
      </c>
      <c r="Q1557" s="51">
        <f t="shared" si="34"/>
        <v>9600</v>
      </c>
      <c r="R1557" s="31">
        <v>202310</v>
      </c>
      <c r="S1557" s="183"/>
      <c r="T1557" s="33"/>
      <c r="U1557" s="183"/>
      <c r="V1557" s="184"/>
      <c r="W1557" s="67"/>
      <c r="X1557" s="67"/>
      <c r="Y1557" s="36"/>
      <c r="Z1557" s="36"/>
      <c r="AA1557" s="36"/>
      <c r="AB1557" s="36"/>
      <c r="AC1557" s="36"/>
      <c r="AD1557" s="36"/>
      <c r="AE1557" s="36"/>
      <c r="AF1557" s="53" t="s">
        <v>68</v>
      </c>
      <c r="AG1557" s="42"/>
      <c r="AH1557" s="42"/>
      <c r="AI1557" s="43"/>
      <c r="AJ1557" s="43"/>
      <c r="AK1557" s="43"/>
      <c r="AL1557" s="43"/>
      <c r="AM1557" s="43"/>
      <c r="AN1557" s="42"/>
      <c r="AO1557" s="42"/>
      <c r="AP1557" s="42"/>
      <c r="AQ1557" s="43"/>
      <c r="AR1557" s="42"/>
      <c r="AS1557" s="42" t="s">
        <v>1820</v>
      </c>
    </row>
    <row r="1558" spans="1:45" ht="15" customHeight="1">
      <c r="A1558" s="21" t="s">
        <v>260</v>
      </c>
      <c r="B1558" s="21" t="s">
        <v>46</v>
      </c>
      <c r="C1558" s="21" t="s">
        <v>188</v>
      </c>
      <c r="D1558" s="21" t="s">
        <v>48</v>
      </c>
      <c r="E1558" s="80" t="s">
        <v>1636</v>
      </c>
      <c r="F1558" s="21" t="s">
        <v>920</v>
      </c>
      <c r="G1558" s="101" t="s">
        <v>77</v>
      </c>
      <c r="H1558" s="133" t="s">
        <v>1816</v>
      </c>
      <c r="I1558" s="102" t="s">
        <v>78</v>
      </c>
      <c r="J1558" s="65" t="s">
        <v>1817</v>
      </c>
      <c r="K1558" s="104"/>
      <c r="L1558" s="48" t="s">
        <v>923</v>
      </c>
      <c r="M1558" s="156">
        <v>43301</v>
      </c>
      <c r="N1558" s="116" t="s">
        <v>81</v>
      </c>
      <c r="O1558" s="68">
        <v>9600</v>
      </c>
      <c r="P1558" s="68">
        <v>2</v>
      </c>
      <c r="Q1558" s="51">
        <f t="shared" si="34"/>
        <v>19200</v>
      </c>
      <c r="R1558" s="31">
        <v>202310</v>
      </c>
      <c r="S1558" s="187" t="s">
        <v>1934</v>
      </c>
      <c r="T1558" s="33"/>
      <c r="U1558" s="187"/>
      <c r="V1558" s="188"/>
      <c r="W1558" s="67"/>
      <c r="X1558" s="67"/>
      <c r="Y1558" s="36"/>
      <c r="Z1558" s="36"/>
      <c r="AA1558" s="36"/>
      <c r="AB1558" s="36"/>
      <c r="AC1558" s="36"/>
      <c r="AD1558" s="36"/>
      <c r="AE1558" s="36"/>
      <c r="AF1558" s="53" t="s">
        <v>68</v>
      </c>
      <c r="AG1558" s="42"/>
      <c r="AH1558" s="42"/>
      <c r="AI1558" s="43"/>
      <c r="AJ1558" s="43"/>
      <c r="AK1558" s="43"/>
      <c r="AL1558" s="43"/>
      <c r="AM1558" s="43"/>
      <c r="AN1558" s="42"/>
      <c r="AO1558" s="42"/>
      <c r="AP1558" s="42"/>
      <c r="AQ1558" s="43"/>
      <c r="AR1558" s="42"/>
      <c r="AS1558" s="42" t="s">
        <v>1820</v>
      </c>
    </row>
    <row r="1559" spans="1:45" ht="15" customHeight="1">
      <c r="A1559" s="21" t="s">
        <v>260</v>
      </c>
      <c r="B1559" s="21" t="s">
        <v>46</v>
      </c>
      <c r="C1559" s="21" t="s">
        <v>188</v>
      </c>
      <c r="D1559" s="21" t="s">
        <v>48</v>
      </c>
      <c r="E1559" s="80" t="s">
        <v>1636</v>
      </c>
      <c r="F1559" s="21" t="s">
        <v>920</v>
      </c>
      <c r="G1559" s="101" t="s">
        <v>77</v>
      </c>
      <c r="H1559" s="133" t="s">
        <v>1816</v>
      </c>
      <c r="I1559" s="102" t="s">
        <v>78</v>
      </c>
      <c r="J1559" s="65" t="s">
        <v>1817</v>
      </c>
      <c r="K1559" s="104"/>
      <c r="L1559" s="48" t="s">
        <v>923</v>
      </c>
      <c r="M1559" s="156">
        <v>43308</v>
      </c>
      <c r="N1559" s="116" t="s">
        <v>1425</v>
      </c>
      <c r="O1559" s="68">
        <v>18900</v>
      </c>
      <c r="P1559" s="68">
        <v>2</v>
      </c>
      <c r="Q1559" s="51">
        <f t="shared" si="34"/>
        <v>37800</v>
      </c>
      <c r="R1559" s="31">
        <v>202310</v>
      </c>
      <c r="S1559" s="183" t="s">
        <v>1935</v>
      </c>
      <c r="T1559" s="33"/>
      <c r="U1559" s="183"/>
      <c r="V1559" s="184"/>
      <c r="W1559" s="67"/>
      <c r="X1559" s="67"/>
      <c r="Y1559" s="36"/>
      <c r="Z1559" s="36"/>
      <c r="AA1559" s="36"/>
      <c r="AB1559" s="36"/>
      <c r="AC1559" s="36"/>
      <c r="AD1559" s="36"/>
      <c r="AE1559" s="36"/>
      <c r="AF1559" s="53" t="s">
        <v>68</v>
      </c>
      <c r="AG1559" s="42"/>
      <c r="AH1559" s="42"/>
      <c r="AI1559" s="43"/>
      <c r="AJ1559" s="43"/>
      <c r="AK1559" s="43"/>
      <c r="AL1559" s="43"/>
      <c r="AM1559" s="43"/>
      <c r="AN1559" s="42"/>
      <c r="AO1559" s="42"/>
      <c r="AP1559" s="42"/>
      <c r="AQ1559" s="43"/>
      <c r="AR1559" s="42"/>
      <c r="AS1559" s="42" t="s">
        <v>1820</v>
      </c>
    </row>
    <row r="1560" spans="1:45" ht="15" customHeight="1">
      <c r="A1560" s="21" t="s">
        <v>260</v>
      </c>
      <c r="B1560" s="21" t="s">
        <v>46</v>
      </c>
      <c r="C1560" s="21" t="s">
        <v>188</v>
      </c>
      <c r="D1560" s="21" t="s">
        <v>48</v>
      </c>
      <c r="E1560" s="80" t="s">
        <v>1636</v>
      </c>
      <c r="F1560" s="21" t="s">
        <v>920</v>
      </c>
      <c r="G1560" s="101" t="s">
        <v>77</v>
      </c>
      <c r="H1560" s="133" t="s">
        <v>1816</v>
      </c>
      <c r="I1560" s="102" t="s">
        <v>78</v>
      </c>
      <c r="J1560" s="65" t="s">
        <v>1817</v>
      </c>
      <c r="K1560" s="104"/>
      <c r="L1560" s="48" t="s">
        <v>923</v>
      </c>
      <c r="M1560" s="156">
        <v>43334</v>
      </c>
      <c r="N1560" s="116" t="s">
        <v>81</v>
      </c>
      <c r="O1560" s="68">
        <v>9600</v>
      </c>
      <c r="P1560" s="68">
        <v>2</v>
      </c>
      <c r="Q1560" s="51">
        <f t="shared" si="34"/>
        <v>19200</v>
      </c>
      <c r="R1560" s="31">
        <v>202310</v>
      </c>
      <c r="S1560" s="183" t="s">
        <v>1936</v>
      </c>
      <c r="T1560" s="33"/>
      <c r="U1560" s="183"/>
      <c r="V1560" s="184"/>
      <c r="W1560" s="67"/>
      <c r="X1560" s="67"/>
      <c r="Y1560" s="36"/>
      <c r="Z1560" s="36"/>
      <c r="AA1560" s="36"/>
      <c r="AB1560" s="36"/>
      <c r="AC1560" s="36"/>
      <c r="AD1560" s="36"/>
      <c r="AE1560" s="36"/>
      <c r="AF1560" s="53" t="s">
        <v>68</v>
      </c>
      <c r="AG1560" s="42"/>
      <c r="AH1560" s="42"/>
      <c r="AI1560" s="43"/>
      <c r="AJ1560" s="43"/>
      <c r="AK1560" s="43"/>
      <c r="AL1560" s="43"/>
      <c r="AM1560" s="43"/>
      <c r="AN1560" s="42"/>
      <c r="AO1560" s="42"/>
      <c r="AP1560" s="42"/>
      <c r="AQ1560" s="43"/>
      <c r="AR1560" s="42"/>
      <c r="AS1560" s="42" t="s">
        <v>1820</v>
      </c>
    </row>
    <row r="1561" spans="1:45" ht="15" customHeight="1">
      <c r="A1561" s="21" t="s">
        <v>260</v>
      </c>
      <c r="B1561" s="21" t="s">
        <v>46</v>
      </c>
      <c r="C1561" s="21" t="s">
        <v>188</v>
      </c>
      <c r="D1561" s="21" t="s">
        <v>48</v>
      </c>
      <c r="E1561" s="80" t="s">
        <v>1636</v>
      </c>
      <c r="F1561" s="21" t="s">
        <v>920</v>
      </c>
      <c r="G1561" s="101" t="s">
        <v>77</v>
      </c>
      <c r="H1561" s="133" t="s">
        <v>1816</v>
      </c>
      <c r="I1561" s="102" t="s">
        <v>78</v>
      </c>
      <c r="J1561" s="65" t="s">
        <v>1817</v>
      </c>
      <c r="K1561" s="104"/>
      <c r="L1561" s="48" t="s">
        <v>923</v>
      </c>
      <c r="M1561" s="156">
        <v>43336</v>
      </c>
      <c r="N1561" s="116" t="s">
        <v>81</v>
      </c>
      <c r="O1561" s="68">
        <v>9600</v>
      </c>
      <c r="P1561" s="68">
        <v>2</v>
      </c>
      <c r="Q1561" s="51">
        <f t="shared" si="34"/>
        <v>19200</v>
      </c>
      <c r="R1561" s="31">
        <v>202310</v>
      </c>
      <c r="S1561" s="183" t="s">
        <v>1937</v>
      </c>
      <c r="T1561" s="33"/>
      <c r="U1561" s="183"/>
      <c r="V1561" s="184"/>
      <c r="W1561" s="67"/>
      <c r="X1561" s="67"/>
      <c r="Y1561" s="36"/>
      <c r="Z1561" s="36"/>
      <c r="AA1561" s="36"/>
      <c r="AB1561" s="36"/>
      <c r="AC1561" s="36"/>
      <c r="AD1561" s="36"/>
      <c r="AE1561" s="36"/>
      <c r="AF1561" s="53" t="s">
        <v>68</v>
      </c>
      <c r="AG1561" s="42"/>
      <c r="AH1561" s="42"/>
      <c r="AI1561" s="43"/>
      <c r="AJ1561" s="43"/>
      <c r="AK1561" s="43"/>
      <c r="AL1561" s="43"/>
      <c r="AM1561" s="43"/>
      <c r="AN1561" s="42"/>
      <c r="AO1561" s="42"/>
      <c r="AP1561" s="42"/>
      <c r="AQ1561" s="43"/>
      <c r="AR1561" s="42"/>
      <c r="AS1561" s="42" t="s">
        <v>1820</v>
      </c>
    </row>
    <row r="1562" spans="1:45" ht="15" customHeight="1">
      <c r="A1562" s="21" t="s">
        <v>260</v>
      </c>
      <c r="B1562" s="21" t="s">
        <v>46</v>
      </c>
      <c r="C1562" s="21" t="s">
        <v>188</v>
      </c>
      <c r="D1562" s="21" t="s">
        <v>48</v>
      </c>
      <c r="E1562" s="80" t="s">
        <v>1636</v>
      </c>
      <c r="F1562" s="21" t="s">
        <v>920</v>
      </c>
      <c r="G1562" s="101" t="s">
        <v>77</v>
      </c>
      <c r="H1562" s="133" t="s">
        <v>1816</v>
      </c>
      <c r="I1562" s="102" t="s">
        <v>78</v>
      </c>
      <c r="J1562" s="65" t="s">
        <v>1817</v>
      </c>
      <c r="K1562" s="104"/>
      <c r="L1562" s="48" t="s">
        <v>923</v>
      </c>
      <c r="M1562" s="156">
        <v>43315</v>
      </c>
      <c r="N1562" s="116" t="s">
        <v>81</v>
      </c>
      <c r="O1562" s="68">
        <v>9600</v>
      </c>
      <c r="P1562" s="68">
        <v>2</v>
      </c>
      <c r="Q1562" s="51">
        <f t="shared" si="34"/>
        <v>19200</v>
      </c>
      <c r="R1562" s="31">
        <v>202310</v>
      </c>
      <c r="S1562" s="183" t="s">
        <v>1938</v>
      </c>
      <c r="T1562" s="33"/>
      <c r="U1562" s="183"/>
      <c r="V1562" s="184"/>
      <c r="W1562" s="67"/>
      <c r="X1562" s="67"/>
      <c r="Y1562" s="36"/>
      <c r="Z1562" s="36"/>
      <c r="AA1562" s="36"/>
      <c r="AB1562" s="36"/>
      <c r="AC1562" s="36"/>
      <c r="AD1562" s="36"/>
      <c r="AE1562" s="36"/>
      <c r="AF1562" s="53" t="s">
        <v>68</v>
      </c>
      <c r="AG1562" s="42"/>
      <c r="AH1562" s="42"/>
      <c r="AI1562" s="43"/>
      <c r="AJ1562" s="43"/>
      <c r="AK1562" s="43"/>
      <c r="AL1562" s="43"/>
      <c r="AM1562" s="43"/>
      <c r="AN1562" s="42"/>
      <c r="AO1562" s="42"/>
      <c r="AP1562" s="42"/>
      <c r="AQ1562" s="43"/>
      <c r="AR1562" s="42"/>
      <c r="AS1562" s="42" t="s">
        <v>1820</v>
      </c>
    </row>
    <row r="1563" spans="1:45" ht="15" customHeight="1">
      <c r="A1563" s="21" t="s">
        <v>260</v>
      </c>
      <c r="B1563" s="21" t="s">
        <v>46</v>
      </c>
      <c r="C1563" s="21" t="s">
        <v>188</v>
      </c>
      <c r="D1563" s="21" t="s">
        <v>48</v>
      </c>
      <c r="E1563" s="80" t="s">
        <v>1636</v>
      </c>
      <c r="F1563" s="21" t="s">
        <v>920</v>
      </c>
      <c r="G1563" s="101" t="s">
        <v>77</v>
      </c>
      <c r="H1563" s="133" t="s">
        <v>1816</v>
      </c>
      <c r="I1563" s="102" t="s">
        <v>78</v>
      </c>
      <c r="J1563" s="65" t="s">
        <v>1817</v>
      </c>
      <c r="K1563" s="104"/>
      <c r="L1563" s="48" t="s">
        <v>923</v>
      </c>
      <c r="M1563" s="156">
        <v>43224</v>
      </c>
      <c r="N1563" s="116" t="s">
        <v>177</v>
      </c>
      <c r="O1563" s="68">
        <v>6000</v>
      </c>
      <c r="P1563" s="68">
        <v>-8</v>
      </c>
      <c r="Q1563" s="51">
        <f t="shared" si="34"/>
        <v>-48000</v>
      </c>
      <c r="R1563" s="31">
        <v>202310</v>
      </c>
      <c r="S1563" s="183" t="s">
        <v>1939</v>
      </c>
      <c r="T1563" s="33"/>
      <c r="U1563" s="183"/>
      <c r="V1563" s="184"/>
      <c r="W1563" s="67"/>
      <c r="X1563" s="67"/>
      <c r="Y1563" s="36"/>
      <c r="Z1563" s="36"/>
      <c r="AA1563" s="36"/>
      <c r="AB1563" s="36"/>
      <c r="AC1563" s="36"/>
      <c r="AD1563" s="36"/>
      <c r="AE1563" s="36"/>
      <c r="AF1563" s="53" t="s">
        <v>68</v>
      </c>
      <c r="AG1563" s="42"/>
      <c r="AH1563" s="42"/>
      <c r="AI1563" s="43"/>
      <c r="AJ1563" s="43"/>
      <c r="AK1563" s="43"/>
      <c r="AL1563" s="43"/>
      <c r="AM1563" s="43"/>
      <c r="AN1563" s="42"/>
      <c r="AO1563" s="42"/>
      <c r="AP1563" s="42"/>
      <c r="AQ1563" s="43"/>
      <c r="AR1563" s="42"/>
      <c r="AS1563" s="42" t="s">
        <v>1820</v>
      </c>
    </row>
    <row r="1564" spans="1:45" ht="15" customHeight="1">
      <c r="A1564" s="21" t="s">
        <v>260</v>
      </c>
      <c r="B1564" s="21" t="s">
        <v>46</v>
      </c>
      <c r="C1564" s="21" t="s">
        <v>188</v>
      </c>
      <c r="D1564" s="21" t="s">
        <v>48</v>
      </c>
      <c r="E1564" s="80" t="s">
        <v>1636</v>
      </c>
      <c r="F1564" s="21" t="s">
        <v>920</v>
      </c>
      <c r="G1564" s="101" t="s">
        <v>77</v>
      </c>
      <c r="H1564" s="133" t="s">
        <v>1816</v>
      </c>
      <c r="I1564" s="102" t="s">
        <v>78</v>
      </c>
      <c r="J1564" s="65" t="s">
        <v>1817</v>
      </c>
      <c r="K1564" s="104"/>
      <c r="L1564" s="48" t="s">
        <v>923</v>
      </c>
      <c r="M1564" s="156">
        <v>43430</v>
      </c>
      <c r="N1564" s="116" t="s">
        <v>81</v>
      </c>
      <c r="O1564" s="68">
        <v>9600</v>
      </c>
      <c r="P1564" s="68">
        <v>4</v>
      </c>
      <c r="Q1564" s="51">
        <f t="shared" si="34"/>
        <v>38400</v>
      </c>
      <c r="R1564" s="31">
        <v>202310</v>
      </c>
      <c r="S1564" s="183"/>
      <c r="T1564" s="33"/>
      <c r="U1564" s="183"/>
      <c r="V1564" s="184"/>
      <c r="W1564" s="67"/>
      <c r="X1564" s="67"/>
      <c r="Y1564" s="36"/>
      <c r="Z1564" s="36"/>
      <c r="AA1564" s="36"/>
      <c r="AB1564" s="36"/>
      <c r="AC1564" s="36"/>
      <c r="AD1564" s="36"/>
      <c r="AE1564" s="36"/>
      <c r="AF1564" s="53" t="s">
        <v>68</v>
      </c>
      <c r="AG1564" s="42"/>
      <c r="AH1564" s="42"/>
      <c r="AI1564" s="43"/>
      <c r="AJ1564" s="43"/>
      <c r="AK1564" s="43"/>
      <c r="AL1564" s="43"/>
      <c r="AM1564" s="43"/>
      <c r="AN1564" s="42"/>
      <c r="AO1564" s="42"/>
      <c r="AP1564" s="42"/>
      <c r="AQ1564" s="43"/>
      <c r="AR1564" s="42"/>
      <c r="AS1564" s="42" t="s">
        <v>1820</v>
      </c>
    </row>
    <row r="1565" spans="1:45" ht="15" customHeight="1">
      <c r="A1565" s="21" t="s">
        <v>260</v>
      </c>
      <c r="B1565" s="21" t="s">
        <v>46</v>
      </c>
      <c r="C1565" s="21" t="s">
        <v>188</v>
      </c>
      <c r="D1565" s="21" t="s">
        <v>48</v>
      </c>
      <c r="E1565" s="80" t="s">
        <v>1636</v>
      </c>
      <c r="F1565" s="21" t="s">
        <v>920</v>
      </c>
      <c r="G1565" s="101" t="s">
        <v>77</v>
      </c>
      <c r="H1565" s="133" t="s">
        <v>1816</v>
      </c>
      <c r="I1565" s="102" t="s">
        <v>78</v>
      </c>
      <c r="J1565" s="65" t="s">
        <v>1817</v>
      </c>
      <c r="K1565" s="104"/>
      <c r="L1565" s="48" t="s">
        <v>923</v>
      </c>
      <c r="M1565" s="156">
        <v>43437</v>
      </c>
      <c r="N1565" s="116" t="s">
        <v>81</v>
      </c>
      <c r="O1565" s="68">
        <v>9600</v>
      </c>
      <c r="P1565" s="68">
        <v>2</v>
      </c>
      <c r="Q1565" s="51">
        <f t="shared" si="34"/>
        <v>19200</v>
      </c>
      <c r="R1565" s="31">
        <v>202310</v>
      </c>
      <c r="S1565" s="183"/>
      <c r="T1565" s="33"/>
      <c r="U1565" s="183"/>
      <c r="V1565" s="184"/>
      <c r="W1565" s="67"/>
      <c r="X1565" s="67"/>
      <c r="Y1565" s="36"/>
      <c r="Z1565" s="36"/>
      <c r="AA1565" s="36"/>
      <c r="AB1565" s="36"/>
      <c r="AC1565" s="36"/>
      <c r="AD1565" s="36"/>
      <c r="AE1565" s="36"/>
      <c r="AF1565" s="53" t="s">
        <v>68</v>
      </c>
      <c r="AG1565" s="42"/>
      <c r="AH1565" s="42"/>
      <c r="AI1565" s="43"/>
      <c r="AJ1565" s="43"/>
      <c r="AK1565" s="43"/>
      <c r="AL1565" s="43"/>
      <c r="AM1565" s="43"/>
      <c r="AN1565" s="42"/>
      <c r="AO1565" s="42"/>
      <c r="AP1565" s="42"/>
      <c r="AQ1565" s="43"/>
      <c r="AR1565" s="42"/>
      <c r="AS1565" s="42" t="s">
        <v>1820</v>
      </c>
    </row>
    <row r="1566" spans="1:45" ht="15" customHeight="1">
      <c r="A1566" s="21" t="s">
        <v>260</v>
      </c>
      <c r="B1566" s="21" t="s">
        <v>46</v>
      </c>
      <c r="C1566" s="21" t="s">
        <v>188</v>
      </c>
      <c r="D1566" s="21" t="s">
        <v>48</v>
      </c>
      <c r="E1566" s="80" t="s">
        <v>1636</v>
      </c>
      <c r="F1566" s="21" t="s">
        <v>920</v>
      </c>
      <c r="G1566" s="101" t="s">
        <v>77</v>
      </c>
      <c r="H1566" s="133" t="s">
        <v>1816</v>
      </c>
      <c r="I1566" s="102" t="s">
        <v>78</v>
      </c>
      <c r="J1566" s="65" t="s">
        <v>1817</v>
      </c>
      <c r="K1566" s="104"/>
      <c r="L1566" s="48" t="s">
        <v>923</v>
      </c>
      <c r="M1566" s="156">
        <v>43452</v>
      </c>
      <c r="N1566" s="116" t="s">
        <v>81</v>
      </c>
      <c r="O1566" s="68">
        <v>9600</v>
      </c>
      <c r="P1566" s="68">
        <v>2</v>
      </c>
      <c r="Q1566" s="51">
        <f t="shared" si="34"/>
        <v>19200</v>
      </c>
      <c r="R1566" s="31">
        <v>202310</v>
      </c>
      <c r="S1566" s="183"/>
      <c r="T1566" s="33"/>
      <c r="U1566" s="183"/>
      <c r="V1566" s="184"/>
      <c r="W1566" s="67"/>
      <c r="X1566" s="67"/>
      <c r="Y1566" s="36"/>
      <c r="Z1566" s="36"/>
      <c r="AA1566" s="36"/>
      <c r="AB1566" s="36"/>
      <c r="AC1566" s="36"/>
      <c r="AD1566" s="36"/>
      <c r="AE1566" s="36"/>
      <c r="AF1566" s="53" t="s">
        <v>68</v>
      </c>
      <c r="AG1566" s="42"/>
      <c r="AH1566" s="42"/>
      <c r="AI1566" s="43"/>
      <c r="AJ1566" s="43"/>
      <c r="AK1566" s="43"/>
      <c r="AL1566" s="43"/>
      <c r="AM1566" s="43"/>
      <c r="AN1566" s="42"/>
      <c r="AO1566" s="42"/>
      <c r="AP1566" s="42"/>
      <c r="AQ1566" s="43"/>
      <c r="AR1566" s="42"/>
      <c r="AS1566" s="42" t="s">
        <v>1820</v>
      </c>
    </row>
    <row r="1567" spans="1:45" ht="15" customHeight="1">
      <c r="A1567" s="21" t="s">
        <v>260</v>
      </c>
      <c r="B1567" s="21" t="s">
        <v>46</v>
      </c>
      <c r="C1567" s="21" t="s">
        <v>188</v>
      </c>
      <c r="D1567" s="21" t="s">
        <v>48</v>
      </c>
      <c r="E1567" s="80" t="s">
        <v>1636</v>
      </c>
      <c r="F1567" s="21" t="s">
        <v>920</v>
      </c>
      <c r="G1567" s="101" t="s">
        <v>77</v>
      </c>
      <c r="H1567" s="133" t="s">
        <v>1816</v>
      </c>
      <c r="I1567" s="102" t="s">
        <v>78</v>
      </c>
      <c r="J1567" s="65" t="s">
        <v>1817</v>
      </c>
      <c r="K1567" s="104"/>
      <c r="L1567" s="48" t="s">
        <v>923</v>
      </c>
      <c r="M1567" s="185">
        <v>43448</v>
      </c>
      <c r="N1567" s="105" t="s">
        <v>81</v>
      </c>
      <c r="O1567" s="68">
        <v>9600</v>
      </c>
      <c r="P1567" s="68">
        <v>-2</v>
      </c>
      <c r="Q1567" s="51">
        <f t="shared" si="34"/>
        <v>-19200</v>
      </c>
      <c r="R1567" s="31">
        <v>202310</v>
      </c>
      <c r="S1567" s="187" t="s">
        <v>1940</v>
      </c>
      <c r="T1567" s="33"/>
      <c r="U1567" s="187"/>
      <c r="V1567" s="188"/>
      <c r="W1567" s="67"/>
      <c r="X1567" s="67"/>
      <c r="Y1567" s="36"/>
      <c r="Z1567" s="36"/>
      <c r="AA1567" s="36"/>
      <c r="AB1567" s="36"/>
      <c r="AC1567" s="36"/>
      <c r="AD1567" s="36"/>
      <c r="AE1567" s="36"/>
      <c r="AF1567" s="53" t="s">
        <v>68</v>
      </c>
      <c r="AG1567" s="42"/>
      <c r="AH1567" s="42"/>
      <c r="AI1567" s="43"/>
      <c r="AJ1567" s="43"/>
      <c r="AK1567" s="43"/>
      <c r="AL1567" s="43"/>
      <c r="AM1567" s="43"/>
      <c r="AN1567" s="42"/>
      <c r="AO1567" s="42"/>
      <c r="AP1567" s="42"/>
      <c r="AQ1567" s="43"/>
      <c r="AR1567" s="42"/>
      <c r="AS1567" s="42" t="s">
        <v>1820</v>
      </c>
    </row>
    <row r="1568" spans="1:45" ht="15" customHeight="1">
      <c r="A1568" s="21" t="s">
        <v>260</v>
      </c>
      <c r="B1568" s="21" t="s">
        <v>46</v>
      </c>
      <c r="C1568" s="21" t="s">
        <v>188</v>
      </c>
      <c r="D1568" s="21" t="s">
        <v>48</v>
      </c>
      <c r="E1568" s="80" t="s">
        <v>1636</v>
      </c>
      <c r="F1568" s="21" t="s">
        <v>920</v>
      </c>
      <c r="G1568" s="101" t="s">
        <v>77</v>
      </c>
      <c r="H1568" s="133" t="s">
        <v>1816</v>
      </c>
      <c r="I1568" s="102" t="s">
        <v>78</v>
      </c>
      <c r="J1568" s="65" t="s">
        <v>1817</v>
      </c>
      <c r="K1568" s="104"/>
      <c r="L1568" s="48" t="s">
        <v>923</v>
      </c>
      <c r="M1568" s="156">
        <v>43535</v>
      </c>
      <c r="N1568" s="116" t="s">
        <v>81</v>
      </c>
      <c r="O1568" s="68">
        <v>9600</v>
      </c>
      <c r="P1568" s="68">
        <v>2</v>
      </c>
      <c r="Q1568" s="51">
        <f t="shared" si="34"/>
        <v>19200</v>
      </c>
      <c r="R1568" s="31">
        <v>202310</v>
      </c>
      <c r="S1568" s="183" t="s">
        <v>1941</v>
      </c>
      <c r="T1568" s="33"/>
      <c r="U1568" s="183"/>
      <c r="V1568" s="184"/>
      <c r="W1568" s="67"/>
      <c r="X1568" s="67"/>
      <c r="Y1568" s="36"/>
      <c r="Z1568" s="36"/>
      <c r="AA1568" s="36"/>
      <c r="AB1568" s="36"/>
      <c r="AC1568" s="36"/>
      <c r="AD1568" s="36"/>
      <c r="AE1568" s="36"/>
      <c r="AF1568" s="53" t="s">
        <v>68</v>
      </c>
      <c r="AG1568" s="42"/>
      <c r="AH1568" s="42"/>
      <c r="AI1568" s="43"/>
      <c r="AJ1568" s="43"/>
      <c r="AK1568" s="43"/>
      <c r="AL1568" s="43"/>
      <c r="AM1568" s="43"/>
      <c r="AN1568" s="42"/>
      <c r="AO1568" s="42"/>
      <c r="AP1568" s="42"/>
      <c r="AQ1568" s="43"/>
      <c r="AR1568" s="42"/>
      <c r="AS1568" s="42" t="s">
        <v>1820</v>
      </c>
    </row>
    <row r="1569" spans="1:45" ht="15" customHeight="1">
      <c r="A1569" s="21" t="s">
        <v>260</v>
      </c>
      <c r="B1569" s="21" t="s">
        <v>46</v>
      </c>
      <c r="C1569" s="21" t="s">
        <v>188</v>
      </c>
      <c r="D1569" s="21" t="s">
        <v>48</v>
      </c>
      <c r="E1569" s="80" t="s">
        <v>1636</v>
      </c>
      <c r="F1569" s="21" t="s">
        <v>920</v>
      </c>
      <c r="G1569" s="101" t="s">
        <v>77</v>
      </c>
      <c r="H1569" s="133" t="s">
        <v>1816</v>
      </c>
      <c r="I1569" s="102" t="s">
        <v>78</v>
      </c>
      <c r="J1569" s="65" t="s">
        <v>1817</v>
      </c>
      <c r="K1569" s="104"/>
      <c r="L1569" s="48" t="s">
        <v>923</v>
      </c>
      <c r="M1569" s="156">
        <v>44315</v>
      </c>
      <c r="N1569" s="116" t="s">
        <v>81</v>
      </c>
      <c r="O1569" s="68">
        <v>9600</v>
      </c>
      <c r="P1569" s="68">
        <v>3</v>
      </c>
      <c r="Q1569" s="51">
        <f t="shared" si="34"/>
        <v>28800</v>
      </c>
      <c r="R1569" s="31">
        <v>202310</v>
      </c>
      <c r="S1569" s="183" t="s">
        <v>1942</v>
      </c>
      <c r="T1569" s="33"/>
      <c r="U1569" s="183"/>
      <c r="V1569" s="184"/>
      <c r="W1569" s="67"/>
      <c r="X1569" s="67"/>
      <c r="Y1569" s="36"/>
      <c r="Z1569" s="36"/>
      <c r="AA1569" s="36"/>
      <c r="AB1569" s="36"/>
      <c r="AC1569" s="36"/>
      <c r="AD1569" s="36"/>
      <c r="AE1569" s="36"/>
      <c r="AF1569" s="53" t="s">
        <v>68</v>
      </c>
      <c r="AG1569" s="42"/>
      <c r="AH1569" s="42"/>
      <c r="AI1569" s="43"/>
      <c r="AJ1569" s="43"/>
      <c r="AK1569" s="43"/>
      <c r="AL1569" s="43"/>
      <c r="AM1569" s="43"/>
      <c r="AN1569" s="42"/>
      <c r="AO1569" s="42"/>
      <c r="AP1569" s="42"/>
      <c r="AQ1569" s="43"/>
      <c r="AR1569" s="42"/>
      <c r="AS1569" s="42" t="s">
        <v>1820</v>
      </c>
    </row>
    <row r="1570" spans="1:45" ht="15" customHeight="1">
      <c r="A1570" s="21" t="s">
        <v>260</v>
      </c>
      <c r="B1570" s="21" t="s">
        <v>46</v>
      </c>
      <c r="C1570" s="21" t="s">
        <v>188</v>
      </c>
      <c r="D1570" s="21" t="s">
        <v>48</v>
      </c>
      <c r="E1570" s="80" t="s">
        <v>1636</v>
      </c>
      <c r="F1570" s="21" t="s">
        <v>920</v>
      </c>
      <c r="G1570" s="101" t="s">
        <v>77</v>
      </c>
      <c r="H1570" s="133" t="s">
        <v>1816</v>
      </c>
      <c r="I1570" s="102" t="s">
        <v>78</v>
      </c>
      <c r="J1570" s="65" t="s">
        <v>1817</v>
      </c>
      <c r="K1570" s="104"/>
      <c r="L1570" s="48" t="s">
        <v>923</v>
      </c>
      <c r="M1570" s="156">
        <v>44316</v>
      </c>
      <c r="N1570" s="116" t="s">
        <v>81</v>
      </c>
      <c r="O1570" s="68">
        <v>9600</v>
      </c>
      <c r="P1570" s="68">
        <v>1</v>
      </c>
      <c r="Q1570" s="51">
        <f t="shared" si="34"/>
        <v>9600</v>
      </c>
      <c r="R1570" s="31">
        <v>202310</v>
      </c>
      <c r="S1570" s="183" t="s">
        <v>1943</v>
      </c>
      <c r="T1570" s="33"/>
      <c r="U1570" s="183"/>
      <c r="V1570" s="184"/>
      <c r="W1570" s="67"/>
      <c r="X1570" s="67"/>
      <c r="Y1570" s="36"/>
      <c r="Z1570" s="36"/>
      <c r="AA1570" s="36"/>
      <c r="AB1570" s="36"/>
      <c r="AC1570" s="36"/>
      <c r="AD1570" s="36"/>
      <c r="AE1570" s="36"/>
      <c r="AF1570" s="53" t="s">
        <v>68</v>
      </c>
      <c r="AG1570" s="42"/>
      <c r="AH1570" s="42"/>
      <c r="AI1570" s="43"/>
      <c r="AJ1570" s="43"/>
      <c r="AK1570" s="43"/>
      <c r="AL1570" s="43"/>
      <c r="AM1570" s="43"/>
      <c r="AN1570" s="42"/>
      <c r="AO1570" s="42"/>
      <c r="AP1570" s="42"/>
      <c r="AQ1570" s="43"/>
      <c r="AR1570" s="42"/>
      <c r="AS1570" s="42" t="s">
        <v>1820</v>
      </c>
    </row>
    <row r="1571" spans="1:45" ht="15" customHeight="1">
      <c r="A1571" s="21" t="s">
        <v>260</v>
      </c>
      <c r="B1571" s="21" t="s">
        <v>46</v>
      </c>
      <c r="C1571" s="21" t="s">
        <v>188</v>
      </c>
      <c r="D1571" s="21" t="s">
        <v>48</v>
      </c>
      <c r="E1571" s="80" t="s">
        <v>1636</v>
      </c>
      <c r="F1571" s="21" t="s">
        <v>920</v>
      </c>
      <c r="G1571" s="101" t="s">
        <v>77</v>
      </c>
      <c r="H1571" s="133" t="s">
        <v>1816</v>
      </c>
      <c r="I1571" s="102" t="s">
        <v>78</v>
      </c>
      <c r="J1571" s="65" t="s">
        <v>1817</v>
      </c>
      <c r="K1571" s="104"/>
      <c r="L1571" s="48" t="s">
        <v>923</v>
      </c>
      <c r="M1571" s="156">
        <v>44347</v>
      </c>
      <c r="N1571" s="116" t="s">
        <v>81</v>
      </c>
      <c r="O1571" s="68">
        <v>9600</v>
      </c>
      <c r="P1571" s="68">
        <v>4</v>
      </c>
      <c r="Q1571" s="51">
        <f t="shared" si="34"/>
        <v>38400</v>
      </c>
      <c r="R1571" s="31">
        <v>202310</v>
      </c>
      <c r="S1571" s="189" t="s">
        <v>1944</v>
      </c>
      <c r="T1571" s="33"/>
      <c r="U1571" s="189"/>
      <c r="V1571" s="189"/>
      <c r="W1571" s="67"/>
      <c r="X1571" s="67"/>
      <c r="Y1571" s="36"/>
      <c r="Z1571" s="36"/>
      <c r="AA1571" s="36"/>
      <c r="AB1571" s="36"/>
      <c r="AC1571" s="36"/>
      <c r="AD1571" s="36"/>
      <c r="AE1571" s="36"/>
      <c r="AF1571" s="53" t="s">
        <v>68</v>
      </c>
      <c r="AG1571" s="42"/>
      <c r="AH1571" s="42"/>
      <c r="AI1571" s="43"/>
      <c r="AJ1571" s="43"/>
      <c r="AK1571" s="43"/>
      <c r="AL1571" s="43"/>
      <c r="AM1571" s="43"/>
      <c r="AN1571" s="42"/>
      <c r="AO1571" s="42"/>
      <c r="AP1571" s="42"/>
      <c r="AQ1571" s="43"/>
      <c r="AR1571" s="42"/>
      <c r="AS1571" s="42" t="s">
        <v>1820</v>
      </c>
    </row>
    <row r="1572" spans="1:45" ht="15" customHeight="1">
      <c r="A1572" s="21" t="s">
        <v>260</v>
      </c>
      <c r="B1572" s="21" t="s">
        <v>46</v>
      </c>
      <c r="C1572" s="21" t="s">
        <v>188</v>
      </c>
      <c r="D1572" s="21" t="s">
        <v>48</v>
      </c>
      <c r="E1572" s="80" t="s">
        <v>1636</v>
      </c>
      <c r="F1572" s="21" t="s">
        <v>920</v>
      </c>
      <c r="G1572" s="101" t="s">
        <v>77</v>
      </c>
      <c r="H1572" s="133" t="s">
        <v>1816</v>
      </c>
      <c r="I1572" s="102" t="s">
        <v>78</v>
      </c>
      <c r="J1572" s="65" t="s">
        <v>1817</v>
      </c>
      <c r="K1572" s="104"/>
      <c r="L1572" s="48" t="s">
        <v>923</v>
      </c>
      <c r="M1572" s="156">
        <v>44862</v>
      </c>
      <c r="N1572" s="116" t="s">
        <v>81</v>
      </c>
      <c r="O1572" s="68">
        <v>9600</v>
      </c>
      <c r="P1572" s="68">
        <v>-1</v>
      </c>
      <c r="Q1572" s="51">
        <f t="shared" si="34"/>
        <v>-9600</v>
      </c>
      <c r="R1572" s="31">
        <v>202310</v>
      </c>
      <c r="S1572" s="189" t="s">
        <v>1945</v>
      </c>
      <c r="T1572" s="33"/>
      <c r="U1572" s="189"/>
      <c r="V1572" s="189"/>
      <c r="W1572" s="67"/>
      <c r="X1572" s="67"/>
      <c r="Y1572" s="36"/>
      <c r="Z1572" s="36"/>
      <c r="AA1572" s="36"/>
      <c r="AB1572" s="36"/>
      <c r="AC1572" s="36"/>
      <c r="AD1572" s="36"/>
      <c r="AE1572" s="36"/>
      <c r="AF1572" s="53" t="s">
        <v>68</v>
      </c>
      <c r="AG1572" s="42"/>
      <c r="AH1572" s="42"/>
      <c r="AI1572" s="43"/>
      <c r="AJ1572" s="43"/>
      <c r="AK1572" s="43"/>
      <c r="AL1572" s="43"/>
      <c r="AM1572" s="43"/>
      <c r="AN1572" s="42"/>
      <c r="AO1572" s="42"/>
      <c r="AP1572" s="42"/>
      <c r="AQ1572" s="43"/>
      <c r="AR1572" s="42"/>
      <c r="AS1572" s="42" t="s">
        <v>1820</v>
      </c>
    </row>
    <row r="1573" spans="1:45" ht="15" customHeight="1">
      <c r="A1573" s="21" t="s">
        <v>260</v>
      </c>
      <c r="B1573" s="21" t="s">
        <v>46</v>
      </c>
      <c r="C1573" s="21" t="s">
        <v>188</v>
      </c>
      <c r="D1573" s="21" t="s">
        <v>48</v>
      </c>
      <c r="E1573" s="80" t="s">
        <v>1636</v>
      </c>
      <c r="F1573" s="21" t="s">
        <v>920</v>
      </c>
      <c r="G1573" s="101" t="s">
        <v>77</v>
      </c>
      <c r="H1573" s="133" t="s">
        <v>1816</v>
      </c>
      <c r="I1573" s="102" t="s">
        <v>78</v>
      </c>
      <c r="J1573" s="65" t="s">
        <v>1817</v>
      </c>
      <c r="K1573" s="104"/>
      <c r="L1573" s="48" t="s">
        <v>923</v>
      </c>
      <c r="M1573" s="156">
        <v>42795</v>
      </c>
      <c r="N1573" s="116" t="s">
        <v>382</v>
      </c>
      <c r="O1573" s="68">
        <v>0</v>
      </c>
      <c r="P1573" s="68">
        <v>6</v>
      </c>
      <c r="Q1573" s="51">
        <f t="shared" si="34"/>
        <v>0</v>
      </c>
      <c r="R1573" s="31">
        <v>202310</v>
      </c>
      <c r="S1573" s="183" t="s">
        <v>1946</v>
      </c>
      <c r="T1573" s="33"/>
      <c r="U1573" s="183"/>
      <c r="V1573" s="184"/>
      <c r="W1573" s="67"/>
      <c r="X1573" s="67"/>
      <c r="Y1573" s="36"/>
      <c r="Z1573" s="36"/>
      <c r="AA1573" s="36"/>
      <c r="AB1573" s="36"/>
      <c r="AC1573" s="36"/>
      <c r="AD1573" s="36"/>
      <c r="AE1573" s="36"/>
      <c r="AF1573" s="53" t="s">
        <v>68</v>
      </c>
      <c r="AG1573" s="42"/>
      <c r="AH1573" s="42"/>
      <c r="AI1573" s="43"/>
      <c r="AJ1573" s="43"/>
      <c r="AK1573" s="43"/>
      <c r="AL1573" s="43"/>
      <c r="AM1573" s="43"/>
      <c r="AN1573" s="42"/>
      <c r="AO1573" s="42"/>
      <c r="AP1573" s="42"/>
      <c r="AQ1573" s="43"/>
      <c r="AR1573" s="42"/>
      <c r="AS1573" s="42" t="s">
        <v>1820</v>
      </c>
    </row>
    <row r="1574" spans="1:45" ht="15" customHeight="1">
      <c r="A1574" s="21" t="s">
        <v>260</v>
      </c>
      <c r="B1574" s="21" t="s">
        <v>46</v>
      </c>
      <c r="C1574" s="21" t="s">
        <v>188</v>
      </c>
      <c r="D1574" s="21" t="s">
        <v>48</v>
      </c>
      <c r="E1574" s="80" t="s">
        <v>1636</v>
      </c>
      <c r="F1574" s="21" t="s">
        <v>920</v>
      </c>
      <c r="G1574" s="101" t="s">
        <v>77</v>
      </c>
      <c r="H1574" s="133" t="s">
        <v>1816</v>
      </c>
      <c r="I1574" s="102" t="s">
        <v>78</v>
      </c>
      <c r="J1574" s="65" t="s">
        <v>1817</v>
      </c>
      <c r="K1574" s="104"/>
      <c r="L1574" s="48" t="s">
        <v>923</v>
      </c>
      <c r="M1574" s="156">
        <v>44931</v>
      </c>
      <c r="N1574" s="116" t="s">
        <v>81</v>
      </c>
      <c r="O1574" s="68">
        <v>9600</v>
      </c>
      <c r="P1574" s="68">
        <v>-4</v>
      </c>
      <c r="Q1574" s="51">
        <f t="shared" si="34"/>
        <v>-38400</v>
      </c>
      <c r="R1574" s="31">
        <v>202310</v>
      </c>
      <c r="S1574" s="183" t="s">
        <v>1947</v>
      </c>
      <c r="T1574" s="33"/>
      <c r="U1574" s="183"/>
      <c r="V1574" s="184"/>
      <c r="W1574" s="67"/>
      <c r="X1574" s="67"/>
      <c r="Y1574" s="36"/>
      <c r="Z1574" s="36"/>
      <c r="AA1574" s="36"/>
      <c r="AB1574" s="36"/>
      <c r="AC1574" s="36"/>
      <c r="AD1574" s="36"/>
      <c r="AE1574" s="36"/>
      <c r="AF1574" s="53" t="s">
        <v>68</v>
      </c>
      <c r="AG1574" s="42"/>
      <c r="AH1574" s="42"/>
      <c r="AI1574" s="43"/>
      <c r="AJ1574" s="43"/>
      <c r="AK1574" s="43"/>
      <c r="AL1574" s="43"/>
      <c r="AM1574" s="43"/>
      <c r="AN1574" s="42"/>
      <c r="AO1574" s="42"/>
      <c r="AP1574" s="42"/>
      <c r="AQ1574" s="43"/>
      <c r="AR1574" s="42"/>
      <c r="AS1574" s="42" t="s">
        <v>1820</v>
      </c>
    </row>
    <row r="1575" spans="1:45" ht="15" customHeight="1">
      <c r="A1575" s="21" t="s">
        <v>260</v>
      </c>
      <c r="B1575" s="21" t="s">
        <v>46</v>
      </c>
      <c r="C1575" s="21" t="s">
        <v>188</v>
      </c>
      <c r="D1575" s="21" t="s">
        <v>48</v>
      </c>
      <c r="E1575" s="80" t="s">
        <v>1636</v>
      </c>
      <c r="F1575" s="21" t="s">
        <v>920</v>
      </c>
      <c r="G1575" s="101" t="s">
        <v>77</v>
      </c>
      <c r="H1575" s="133" t="s">
        <v>1816</v>
      </c>
      <c r="I1575" s="102" t="s">
        <v>78</v>
      </c>
      <c r="J1575" s="65" t="s">
        <v>1817</v>
      </c>
      <c r="K1575" s="104"/>
      <c r="L1575" s="48" t="s">
        <v>923</v>
      </c>
      <c r="M1575" s="156">
        <v>44935</v>
      </c>
      <c r="N1575" s="116" t="s">
        <v>81</v>
      </c>
      <c r="O1575" s="68">
        <v>9600</v>
      </c>
      <c r="P1575" s="68">
        <v>-96</v>
      </c>
      <c r="Q1575" s="51">
        <f t="shared" si="34"/>
        <v>-921600</v>
      </c>
      <c r="R1575" s="31">
        <v>202310</v>
      </c>
      <c r="S1575" s="183" t="s">
        <v>1948</v>
      </c>
      <c r="T1575" s="33"/>
      <c r="U1575" s="183"/>
      <c r="V1575" s="184"/>
      <c r="W1575" s="67"/>
      <c r="X1575" s="67"/>
      <c r="Y1575" s="36"/>
      <c r="Z1575" s="36"/>
      <c r="AA1575" s="36"/>
      <c r="AB1575" s="36"/>
      <c r="AC1575" s="36"/>
      <c r="AD1575" s="36"/>
      <c r="AE1575" s="36"/>
      <c r="AF1575" s="53" t="s">
        <v>68</v>
      </c>
      <c r="AG1575" s="42"/>
      <c r="AH1575" s="42"/>
      <c r="AI1575" s="43"/>
      <c r="AJ1575" s="43"/>
      <c r="AK1575" s="43"/>
      <c r="AL1575" s="43"/>
      <c r="AM1575" s="43"/>
      <c r="AN1575" s="42"/>
      <c r="AO1575" s="42"/>
      <c r="AP1575" s="42"/>
      <c r="AQ1575" s="43"/>
      <c r="AR1575" s="42"/>
      <c r="AS1575" s="42" t="s">
        <v>1820</v>
      </c>
    </row>
    <row r="1576" spans="1:45" ht="15" customHeight="1">
      <c r="A1576" s="21" t="s">
        <v>260</v>
      </c>
      <c r="B1576" s="21" t="s">
        <v>46</v>
      </c>
      <c r="C1576" s="21" t="s">
        <v>188</v>
      </c>
      <c r="D1576" s="21" t="s">
        <v>48</v>
      </c>
      <c r="E1576" s="80" t="s">
        <v>1636</v>
      </c>
      <c r="F1576" s="21" t="s">
        <v>920</v>
      </c>
      <c r="G1576" s="101" t="s">
        <v>77</v>
      </c>
      <c r="H1576" s="133" t="s">
        <v>1816</v>
      </c>
      <c r="I1576" s="102" t="s">
        <v>78</v>
      </c>
      <c r="J1576" s="65" t="s">
        <v>1817</v>
      </c>
      <c r="K1576" s="104"/>
      <c r="L1576" s="48" t="s">
        <v>923</v>
      </c>
      <c r="M1576" s="156">
        <v>44972</v>
      </c>
      <c r="N1576" s="116" t="s">
        <v>81</v>
      </c>
      <c r="O1576" s="68">
        <v>9600</v>
      </c>
      <c r="P1576" s="68">
        <v>-58</v>
      </c>
      <c r="Q1576" s="51">
        <f t="shared" si="34"/>
        <v>-556800</v>
      </c>
      <c r="R1576" s="31">
        <v>202310</v>
      </c>
      <c r="S1576" s="183" t="s">
        <v>1949</v>
      </c>
      <c r="T1576" s="33"/>
      <c r="U1576" s="183"/>
      <c r="V1576" s="184"/>
      <c r="W1576" s="67"/>
      <c r="X1576" s="67"/>
      <c r="Y1576" s="36"/>
      <c r="Z1576" s="36"/>
      <c r="AA1576" s="36"/>
      <c r="AB1576" s="36"/>
      <c r="AC1576" s="36"/>
      <c r="AD1576" s="36"/>
      <c r="AE1576" s="36"/>
      <c r="AF1576" s="53" t="s">
        <v>68</v>
      </c>
      <c r="AG1576" s="42"/>
      <c r="AH1576" s="42"/>
      <c r="AI1576" s="43"/>
      <c r="AJ1576" s="43"/>
      <c r="AK1576" s="43"/>
      <c r="AL1576" s="43"/>
      <c r="AM1576" s="43"/>
      <c r="AN1576" s="42"/>
      <c r="AO1576" s="42"/>
      <c r="AP1576" s="42"/>
      <c r="AQ1576" s="43"/>
      <c r="AR1576" s="42"/>
      <c r="AS1576" s="42" t="s">
        <v>1820</v>
      </c>
    </row>
    <row r="1577" spans="1:45" ht="15" customHeight="1">
      <c r="A1577" s="21" t="s">
        <v>260</v>
      </c>
      <c r="B1577" s="21" t="s">
        <v>46</v>
      </c>
      <c r="C1577" s="21" t="s">
        <v>188</v>
      </c>
      <c r="D1577" s="21" t="s">
        <v>48</v>
      </c>
      <c r="E1577" s="80" t="s">
        <v>1636</v>
      </c>
      <c r="F1577" s="21" t="s">
        <v>920</v>
      </c>
      <c r="G1577" s="101" t="s">
        <v>77</v>
      </c>
      <c r="H1577" s="133" t="s">
        <v>1816</v>
      </c>
      <c r="I1577" s="102" t="s">
        <v>78</v>
      </c>
      <c r="J1577" s="65" t="s">
        <v>1817</v>
      </c>
      <c r="K1577" s="104"/>
      <c r="L1577" s="48" t="s">
        <v>923</v>
      </c>
      <c r="M1577" s="156">
        <v>44985</v>
      </c>
      <c r="N1577" s="116" t="s">
        <v>81</v>
      </c>
      <c r="O1577" s="68">
        <v>9600</v>
      </c>
      <c r="P1577" s="68">
        <v>-64</v>
      </c>
      <c r="Q1577" s="51">
        <f t="shared" si="34"/>
        <v>-614400</v>
      </c>
      <c r="R1577" s="31">
        <v>202310</v>
      </c>
      <c r="S1577" s="183" t="s">
        <v>1950</v>
      </c>
      <c r="T1577" s="33"/>
      <c r="U1577" s="183"/>
      <c r="V1577" s="184"/>
      <c r="W1577" s="67"/>
      <c r="X1577" s="67"/>
      <c r="Y1577" s="36"/>
      <c r="Z1577" s="36"/>
      <c r="AA1577" s="36"/>
      <c r="AB1577" s="36"/>
      <c r="AC1577" s="36"/>
      <c r="AD1577" s="36"/>
      <c r="AE1577" s="36"/>
      <c r="AF1577" s="53" t="s">
        <v>68</v>
      </c>
      <c r="AG1577" s="42"/>
      <c r="AH1577" s="42"/>
      <c r="AI1577" s="43"/>
      <c r="AJ1577" s="43"/>
      <c r="AK1577" s="43"/>
      <c r="AL1577" s="43"/>
      <c r="AM1577" s="43"/>
      <c r="AN1577" s="42"/>
      <c r="AO1577" s="42"/>
      <c r="AP1577" s="42"/>
      <c r="AQ1577" s="43"/>
      <c r="AR1577" s="42"/>
      <c r="AS1577" s="42" t="s">
        <v>1820</v>
      </c>
    </row>
    <row r="1578" spans="1:45" ht="15" customHeight="1">
      <c r="A1578" s="21" t="s">
        <v>260</v>
      </c>
      <c r="B1578" s="21" t="s">
        <v>46</v>
      </c>
      <c r="C1578" s="21" t="s">
        <v>188</v>
      </c>
      <c r="D1578" s="21" t="s">
        <v>48</v>
      </c>
      <c r="E1578" s="80" t="s">
        <v>1636</v>
      </c>
      <c r="F1578" s="21" t="s">
        <v>920</v>
      </c>
      <c r="G1578" s="101" t="s">
        <v>77</v>
      </c>
      <c r="H1578" s="133" t="s">
        <v>1816</v>
      </c>
      <c r="I1578" s="102" t="s">
        <v>78</v>
      </c>
      <c r="J1578" s="65" t="s">
        <v>1817</v>
      </c>
      <c r="K1578" s="104"/>
      <c r="L1578" s="48" t="s">
        <v>923</v>
      </c>
      <c r="M1578" s="156">
        <v>44998</v>
      </c>
      <c r="N1578" s="116" t="s">
        <v>81</v>
      </c>
      <c r="O1578" s="68">
        <v>9600</v>
      </c>
      <c r="P1578" s="68">
        <v>-20</v>
      </c>
      <c r="Q1578" s="51">
        <f t="shared" si="34"/>
        <v>-192000</v>
      </c>
      <c r="R1578" s="31">
        <v>202310</v>
      </c>
      <c r="S1578" s="183" t="s">
        <v>1951</v>
      </c>
      <c r="T1578" s="33"/>
      <c r="U1578" s="183"/>
      <c r="V1578" s="184"/>
      <c r="W1578" s="67"/>
      <c r="X1578" s="67"/>
      <c r="Y1578" s="36"/>
      <c r="Z1578" s="36"/>
      <c r="AA1578" s="36"/>
      <c r="AB1578" s="36"/>
      <c r="AC1578" s="36"/>
      <c r="AD1578" s="36"/>
      <c r="AE1578" s="36"/>
      <c r="AF1578" s="53" t="s">
        <v>68</v>
      </c>
      <c r="AG1578" s="42"/>
      <c r="AH1578" s="42"/>
      <c r="AI1578" s="43"/>
      <c r="AJ1578" s="43"/>
      <c r="AK1578" s="43"/>
      <c r="AL1578" s="43"/>
      <c r="AM1578" s="43"/>
      <c r="AN1578" s="42"/>
      <c r="AO1578" s="42"/>
      <c r="AP1578" s="42"/>
      <c r="AQ1578" s="43"/>
      <c r="AR1578" s="42"/>
      <c r="AS1578" s="42" t="s">
        <v>1820</v>
      </c>
    </row>
    <row r="1579" spans="1:45" ht="15" customHeight="1">
      <c r="A1579" s="21" t="s">
        <v>260</v>
      </c>
      <c r="B1579" s="21" t="s">
        <v>46</v>
      </c>
      <c r="C1579" s="21" t="s">
        <v>188</v>
      </c>
      <c r="D1579" s="21" t="s">
        <v>48</v>
      </c>
      <c r="E1579" s="80" t="s">
        <v>1636</v>
      </c>
      <c r="F1579" s="21" t="s">
        <v>920</v>
      </c>
      <c r="G1579" s="101" t="s">
        <v>77</v>
      </c>
      <c r="H1579" s="133" t="s">
        <v>1816</v>
      </c>
      <c r="I1579" s="102" t="s">
        <v>78</v>
      </c>
      <c r="J1579" s="65" t="s">
        <v>1817</v>
      </c>
      <c r="K1579" s="104"/>
      <c r="L1579" s="48" t="s">
        <v>923</v>
      </c>
      <c r="M1579" s="156">
        <v>45002</v>
      </c>
      <c r="N1579" s="116" t="s">
        <v>81</v>
      </c>
      <c r="O1579" s="68">
        <v>9600</v>
      </c>
      <c r="P1579" s="68">
        <v>-18</v>
      </c>
      <c r="Q1579" s="51">
        <f t="shared" si="34"/>
        <v>-172800</v>
      </c>
      <c r="R1579" s="31">
        <v>202310</v>
      </c>
      <c r="S1579" s="183" t="s">
        <v>1952</v>
      </c>
      <c r="T1579" s="33"/>
      <c r="U1579" s="183"/>
      <c r="V1579" s="184"/>
      <c r="W1579" s="67"/>
      <c r="X1579" s="67"/>
      <c r="Y1579" s="36"/>
      <c r="Z1579" s="36"/>
      <c r="AA1579" s="36"/>
      <c r="AB1579" s="36"/>
      <c r="AC1579" s="36"/>
      <c r="AD1579" s="36"/>
      <c r="AE1579" s="36"/>
      <c r="AF1579" s="53" t="s">
        <v>68</v>
      </c>
      <c r="AG1579" s="42"/>
      <c r="AH1579" s="42"/>
      <c r="AI1579" s="43"/>
      <c r="AJ1579" s="43"/>
      <c r="AK1579" s="43"/>
      <c r="AL1579" s="43"/>
      <c r="AM1579" s="43"/>
      <c r="AN1579" s="42"/>
      <c r="AO1579" s="42"/>
      <c r="AP1579" s="42"/>
      <c r="AQ1579" s="43"/>
      <c r="AR1579" s="42"/>
      <c r="AS1579" s="42" t="s">
        <v>1820</v>
      </c>
    </row>
    <row r="1580" spans="1:45" ht="15" customHeight="1">
      <c r="A1580" s="21" t="s">
        <v>260</v>
      </c>
      <c r="B1580" s="21" t="s">
        <v>46</v>
      </c>
      <c r="C1580" s="21" t="s">
        <v>188</v>
      </c>
      <c r="D1580" s="21" t="s">
        <v>48</v>
      </c>
      <c r="E1580" s="80" t="s">
        <v>1636</v>
      </c>
      <c r="F1580" s="21" t="s">
        <v>920</v>
      </c>
      <c r="G1580" s="101" t="s">
        <v>77</v>
      </c>
      <c r="H1580" s="133" t="s">
        <v>1816</v>
      </c>
      <c r="I1580" s="102" t="s">
        <v>78</v>
      </c>
      <c r="J1580" s="65" t="s">
        <v>1817</v>
      </c>
      <c r="K1580" s="104"/>
      <c r="L1580" s="48" t="s">
        <v>923</v>
      </c>
      <c r="M1580" s="156">
        <v>45008</v>
      </c>
      <c r="N1580" s="116" t="s">
        <v>81</v>
      </c>
      <c r="O1580" s="68">
        <v>9600</v>
      </c>
      <c r="P1580" s="68">
        <v>-36</v>
      </c>
      <c r="Q1580" s="51">
        <f t="shared" si="34"/>
        <v>-345600</v>
      </c>
      <c r="R1580" s="31">
        <v>202310</v>
      </c>
      <c r="S1580" s="183" t="s">
        <v>1953</v>
      </c>
      <c r="T1580" s="33"/>
      <c r="U1580" s="183"/>
      <c r="V1580" s="184"/>
      <c r="W1580" s="67"/>
      <c r="X1580" s="67"/>
      <c r="Y1580" s="36"/>
      <c r="Z1580" s="36"/>
      <c r="AA1580" s="36"/>
      <c r="AB1580" s="36"/>
      <c r="AC1580" s="36"/>
      <c r="AD1580" s="36"/>
      <c r="AE1580" s="36"/>
      <c r="AF1580" s="53" t="s">
        <v>68</v>
      </c>
      <c r="AG1580" s="42"/>
      <c r="AH1580" s="42"/>
      <c r="AI1580" s="43"/>
      <c r="AJ1580" s="43"/>
      <c r="AK1580" s="43"/>
      <c r="AL1580" s="43"/>
      <c r="AM1580" s="43"/>
      <c r="AN1580" s="42"/>
      <c r="AO1580" s="42"/>
      <c r="AP1580" s="42"/>
      <c r="AQ1580" s="43"/>
      <c r="AR1580" s="42"/>
      <c r="AS1580" s="42" t="s">
        <v>1820</v>
      </c>
    </row>
    <row r="1581" spans="1:45" ht="15" customHeight="1">
      <c r="A1581" s="21" t="s">
        <v>260</v>
      </c>
      <c r="B1581" s="21" t="s">
        <v>46</v>
      </c>
      <c r="C1581" s="21" t="s">
        <v>188</v>
      </c>
      <c r="D1581" s="21" t="s">
        <v>48</v>
      </c>
      <c r="E1581" s="80" t="s">
        <v>1636</v>
      </c>
      <c r="F1581" s="21" t="s">
        <v>920</v>
      </c>
      <c r="G1581" s="101" t="s">
        <v>77</v>
      </c>
      <c r="H1581" s="133" t="s">
        <v>1816</v>
      </c>
      <c r="I1581" s="102" t="s">
        <v>78</v>
      </c>
      <c r="J1581" s="65" t="s">
        <v>1817</v>
      </c>
      <c r="K1581" s="104"/>
      <c r="L1581" s="48" t="s">
        <v>923</v>
      </c>
      <c r="M1581" s="156">
        <v>45014</v>
      </c>
      <c r="N1581" s="116" t="s">
        <v>81</v>
      </c>
      <c r="O1581" s="68">
        <v>9600</v>
      </c>
      <c r="P1581" s="68">
        <v>-149</v>
      </c>
      <c r="Q1581" s="51">
        <f t="shared" si="34"/>
        <v>-1430400</v>
      </c>
      <c r="R1581" s="31">
        <v>202310</v>
      </c>
      <c r="S1581" s="183" t="s">
        <v>1954</v>
      </c>
      <c r="T1581" s="33"/>
      <c r="U1581" s="37"/>
      <c r="V1581" s="42"/>
      <c r="W1581" s="42"/>
      <c r="X1581" s="42"/>
      <c r="Y1581" s="36"/>
      <c r="Z1581" s="36"/>
      <c r="AA1581" s="72"/>
      <c r="AB1581" s="72"/>
      <c r="AC1581" s="72"/>
      <c r="AD1581" s="72"/>
      <c r="AE1581" s="72"/>
      <c r="AF1581" s="53" t="s">
        <v>68</v>
      </c>
      <c r="AG1581" s="42"/>
      <c r="AH1581" s="42"/>
      <c r="AI1581" s="43"/>
      <c r="AJ1581" s="43"/>
      <c r="AK1581" s="43"/>
      <c r="AL1581" s="43"/>
      <c r="AM1581" s="43"/>
      <c r="AN1581" s="42"/>
      <c r="AO1581" s="42"/>
      <c r="AP1581" s="42"/>
      <c r="AQ1581" s="42"/>
      <c r="AR1581" s="42"/>
      <c r="AS1581" s="42" t="s">
        <v>1820</v>
      </c>
    </row>
    <row r="1582" spans="1:45" ht="15" customHeight="1">
      <c r="A1582" s="21" t="s">
        <v>260</v>
      </c>
      <c r="B1582" s="21" t="s">
        <v>46</v>
      </c>
      <c r="C1582" s="21" t="s">
        <v>188</v>
      </c>
      <c r="D1582" s="21" t="s">
        <v>48</v>
      </c>
      <c r="E1582" s="80" t="s">
        <v>1636</v>
      </c>
      <c r="F1582" s="21" t="s">
        <v>920</v>
      </c>
      <c r="G1582" s="101" t="s">
        <v>77</v>
      </c>
      <c r="H1582" s="133" t="s">
        <v>1816</v>
      </c>
      <c r="I1582" s="102" t="s">
        <v>78</v>
      </c>
      <c r="J1582" s="65" t="s">
        <v>1817</v>
      </c>
      <c r="K1582" s="104"/>
      <c r="L1582" s="48" t="s">
        <v>923</v>
      </c>
      <c r="M1582" s="156">
        <v>45036</v>
      </c>
      <c r="N1582" s="116" t="s">
        <v>81</v>
      </c>
      <c r="O1582" s="68">
        <v>9600</v>
      </c>
      <c r="P1582" s="68">
        <v>-1</v>
      </c>
      <c r="Q1582" s="51">
        <f t="shared" ref="Q1582:Q1646" si="35">ROUND(O1582*P1582,2)</f>
        <v>-9600</v>
      </c>
      <c r="R1582" s="31">
        <v>202310</v>
      </c>
      <c r="S1582" s="183" t="s">
        <v>1955</v>
      </c>
      <c r="T1582" s="33"/>
      <c r="U1582" s="37"/>
      <c r="V1582" s="42"/>
      <c r="W1582" s="42"/>
      <c r="X1582" s="42"/>
      <c r="Y1582" s="36"/>
      <c r="Z1582" s="36"/>
      <c r="AA1582" s="72"/>
      <c r="AB1582" s="72"/>
      <c r="AC1582" s="72"/>
      <c r="AD1582" s="72"/>
      <c r="AE1582" s="72"/>
      <c r="AF1582" s="53" t="s">
        <v>68</v>
      </c>
      <c r="AG1582" s="42"/>
      <c r="AH1582" s="42"/>
      <c r="AI1582" s="43"/>
      <c r="AJ1582" s="43"/>
      <c r="AK1582" s="43"/>
      <c r="AL1582" s="43"/>
      <c r="AM1582" s="43"/>
      <c r="AN1582" s="42"/>
      <c r="AO1582" s="42"/>
      <c r="AP1582" s="42"/>
      <c r="AQ1582" s="42"/>
      <c r="AR1582" s="42"/>
      <c r="AS1582" s="42" t="s">
        <v>1820</v>
      </c>
    </row>
    <row r="1583" spans="1:45" ht="15" customHeight="1">
      <c r="A1583" s="21" t="s">
        <v>260</v>
      </c>
      <c r="B1583" s="21" t="s">
        <v>46</v>
      </c>
      <c r="C1583" s="21" t="s">
        <v>188</v>
      </c>
      <c r="D1583" s="21" t="s">
        <v>48</v>
      </c>
      <c r="E1583" s="80" t="s">
        <v>1636</v>
      </c>
      <c r="F1583" s="21" t="s">
        <v>920</v>
      </c>
      <c r="G1583" s="101" t="s">
        <v>77</v>
      </c>
      <c r="H1583" s="133" t="s">
        <v>1816</v>
      </c>
      <c r="I1583" s="102" t="s">
        <v>78</v>
      </c>
      <c r="J1583" s="65" t="s">
        <v>1817</v>
      </c>
      <c r="K1583" s="104"/>
      <c r="L1583" s="48" t="s">
        <v>923</v>
      </c>
      <c r="M1583" s="156">
        <v>45054</v>
      </c>
      <c r="N1583" s="116" t="s">
        <v>81</v>
      </c>
      <c r="O1583" s="68">
        <v>9600</v>
      </c>
      <c r="P1583" s="68">
        <v>-2</v>
      </c>
      <c r="Q1583" s="51">
        <f t="shared" si="35"/>
        <v>-19200</v>
      </c>
      <c r="R1583" s="31">
        <v>202310</v>
      </c>
      <c r="S1583" s="183" t="s">
        <v>1956</v>
      </c>
      <c r="T1583" s="33"/>
      <c r="U1583" s="37"/>
      <c r="V1583" s="42"/>
      <c r="W1583" s="42"/>
      <c r="X1583" s="42"/>
      <c r="Y1583" s="36"/>
      <c r="Z1583" s="36"/>
      <c r="AA1583" s="72"/>
      <c r="AB1583" s="72"/>
      <c r="AC1583" s="72"/>
      <c r="AD1583" s="72"/>
      <c r="AE1583" s="72"/>
      <c r="AF1583" s="53" t="s">
        <v>68</v>
      </c>
      <c r="AG1583" s="42"/>
      <c r="AH1583" s="42"/>
      <c r="AI1583" s="43"/>
      <c r="AJ1583" s="43"/>
      <c r="AK1583" s="43"/>
      <c r="AL1583" s="43"/>
      <c r="AM1583" s="43"/>
      <c r="AN1583" s="42"/>
      <c r="AO1583" s="42"/>
      <c r="AP1583" s="42"/>
      <c r="AQ1583" s="42"/>
      <c r="AR1583" s="42"/>
      <c r="AS1583" s="42" t="s">
        <v>1820</v>
      </c>
    </row>
    <row r="1584" spans="1:45" ht="15" customHeight="1">
      <c r="A1584" s="21" t="s">
        <v>260</v>
      </c>
      <c r="B1584" s="21" t="s">
        <v>46</v>
      </c>
      <c r="C1584" s="21" t="s">
        <v>188</v>
      </c>
      <c r="D1584" s="21" t="s">
        <v>48</v>
      </c>
      <c r="E1584" s="80" t="s">
        <v>1636</v>
      </c>
      <c r="F1584" s="21" t="s">
        <v>920</v>
      </c>
      <c r="G1584" s="101" t="s">
        <v>77</v>
      </c>
      <c r="H1584" s="133" t="s">
        <v>1816</v>
      </c>
      <c r="I1584" s="102" t="s">
        <v>78</v>
      </c>
      <c r="J1584" s="65" t="s">
        <v>1817</v>
      </c>
      <c r="K1584" s="104"/>
      <c r="L1584" s="48" t="s">
        <v>923</v>
      </c>
      <c r="M1584" s="156">
        <v>45064</v>
      </c>
      <c r="N1584" s="116" t="s">
        <v>81</v>
      </c>
      <c r="O1584" s="68">
        <v>9600</v>
      </c>
      <c r="P1584" s="68">
        <v>1</v>
      </c>
      <c r="Q1584" s="51">
        <f t="shared" si="35"/>
        <v>9600</v>
      </c>
      <c r="R1584" s="31">
        <v>202310</v>
      </c>
      <c r="S1584" s="183" t="s">
        <v>1957</v>
      </c>
      <c r="T1584" s="33"/>
      <c r="U1584" s="183"/>
      <c r="V1584" s="42"/>
      <c r="W1584" s="42"/>
      <c r="X1584" s="42"/>
      <c r="Y1584" s="36"/>
      <c r="Z1584" s="36"/>
      <c r="AA1584" s="72"/>
      <c r="AB1584" s="72"/>
      <c r="AC1584" s="72"/>
      <c r="AD1584" s="72"/>
      <c r="AE1584" s="72"/>
      <c r="AF1584" s="53" t="s">
        <v>68</v>
      </c>
      <c r="AG1584" s="42"/>
      <c r="AH1584" s="42"/>
      <c r="AI1584" s="43"/>
      <c r="AJ1584" s="43"/>
      <c r="AK1584" s="43"/>
      <c r="AL1584" s="43"/>
      <c r="AM1584" s="43"/>
      <c r="AN1584" s="42"/>
      <c r="AO1584" s="42"/>
      <c r="AP1584" s="42"/>
      <c r="AQ1584" s="42"/>
      <c r="AR1584" s="42"/>
      <c r="AS1584" s="42" t="s">
        <v>1820</v>
      </c>
    </row>
    <row r="1585" spans="1:45" ht="15" customHeight="1">
      <c r="A1585" s="22" t="s">
        <v>260</v>
      </c>
      <c r="B1585" s="21" t="s">
        <v>46</v>
      </c>
      <c r="C1585" s="22" t="s">
        <v>188</v>
      </c>
      <c r="D1585" s="22" t="s">
        <v>48</v>
      </c>
      <c r="E1585" s="23" t="s">
        <v>919</v>
      </c>
      <c r="F1585" s="22" t="s">
        <v>920</v>
      </c>
      <c r="G1585" s="101" t="s">
        <v>77</v>
      </c>
      <c r="H1585" s="25" t="s">
        <v>1275</v>
      </c>
      <c r="I1585" s="24" t="s">
        <v>479</v>
      </c>
      <c r="J1585" s="20" t="s">
        <v>699</v>
      </c>
      <c r="K1585" s="26" t="s">
        <v>1797</v>
      </c>
      <c r="L1585" s="48" t="s">
        <v>1300</v>
      </c>
      <c r="M1585" s="156">
        <v>43889</v>
      </c>
      <c r="N1585" s="20" t="s">
        <v>177</v>
      </c>
      <c r="O1585" s="157">
        <v>0</v>
      </c>
      <c r="P1585" s="30">
        <v>3</v>
      </c>
      <c r="Q1585" s="51">
        <f t="shared" si="35"/>
        <v>0</v>
      </c>
      <c r="R1585" s="31">
        <v>202310</v>
      </c>
      <c r="S1585" s="117" t="s">
        <v>1958</v>
      </c>
      <c r="T1585" s="33"/>
      <c r="U1585" s="117"/>
      <c r="V1585" s="117"/>
      <c r="W1585" s="42"/>
      <c r="X1585" s="42"/>
      <c r="Y1585" s="36"/>
      <c r="Z1585" s="36"/>
      <c r="AA1585" s="36"/>
      <c r="AB1585" s="36"/>
      <c r="AC1585" s="36"/>
      <c r="AD1585" s="36"/>
      <c r="AE1585" s="36"/>
      <c r="AF1585" s="40" t="s">
        <v>503</v>
      </c>
      <c r="AG1585" s="42"/>
      <c r="AH1585" s="42"/>
      <c r="AI1585" s="43"/>
      <c r="AJ1585" s="43"/>
      <c r="AK1585" s="43"/>
      <c r="AL1585" s="43"/>
      <c r="AM1585" s="43"/>
      <c r="AN1585" s="42"/>
      <c r="AO1585" s="42"/>
      <c r="AP1585" s="42"/>
      <c r="AQ1585" s="43"/>
      <c r="AR1585" s="42"/>
      <c r="AS1585" s="42" t="s">
        <v>1280</v>
      </c>
    </row>
    <row r="1586" spans="1:45" ht="15" customHeight="1">
      <c r="A1586" s="21" t="s">
        <v>260</v>
      </c>
      <c r="B1586" s="21" t="s">
        <v>46</v>
      </c>
      <c r="C1586" s="21" t="s">
        <v>188</v>
      </c>
      <c r="D1586" s="21" t="s">
        <v>48</v>
      </c>
      <c r="E1586" s="80" t="s">
        <v>1636</v>
      </c>
      <c r="F1586" s="21" t="s">
        <v>920</v>
      </c>
      <c r="G1586" s="101" t="s">
        <v>77</v>
      </c>
      <c r="H1586" s="25" t="s">
        <v>1637</v>
      </c>
      <c r="I1586" s="102" t="s">
        <v>78</v>
      </c>
      <c r="J1586" s="65" t="s">
        <v>1959</v>
      </c>
      <c r="K1586" s="104"/>
      <c r="L1586" s="48" t="s">
        <v>923</v>
      </c>
      <c r="M1586" s="156">
        <v>44986</v>
      </c>
      <c r="N1586" s="116" t="s">
        <v>177</v>
      </c>
      <c r="O1586" s="68">
        <v>5900</v>
      </c>
      <c r="P1586" s="68">
        <v>3</v>
      </c>
      <c r="Q1586" s="51">
        <f t="shared" si="35"/>
        <v>17700</v>
      </c>
      <c r="R1586" s="31">
        <v>202310</v>
      </c>
      <c r="S1586" s="183" t="s">
        <v>1960</v>
      </c>
      <c r="T1586" s="33"/>
      <c r="U1586" s="54"/>
      <c r="V1586" s="184"/>
      <c r="W1586" s="67"/>
      <c r="X1586" s="67"/>
      <c r="Y1586" s="36"/>
      <c r="Z1586" s="36"/>
      <c r="AA1586" s="36"/>
      <c r="AB1586" s="36"/>
      <c r="AC1586" s="36"/>
      <c r="AD1586" s="36"/>
      <c r="AE1586" s="36"/>
      <c r="AF1586" s="53" t="s">
        <v>68</v>
      </c>
      <c r="AG1586" s="42"/>
      <c r="AH1586" s="42"/>
      <c r="AI1586" s="43"/>
      <c r="AJ1586" s="43"/>
      <c r="AK1586" s="43"/>
      <c r="AL1586" s="43"/>
      <c r="AM1586" s="43"/>
      <c r="AN1586" s="42"/>
      <c r="AO1586" s="42"/>
      <c r="AP1586" s="42"/>
      <c r="AQ1586" s="43"/>
      <c r="AR1586" s="42"/>
      <c r="AS1586" s="42"/>
    </row>
    <row r="1587" spans="1:45" ht="15" customHeight="1">
      <c r="A1587" s="21" t="s">
        <v>260</v>
      </c>
      <c r="B1587" s="21" t="s">
        <v>46</v>
      </c>
      <c r="C1587" s="21" t="s">
        <v>188</v>
      </c>
      <c r="D1587" s="21" t="s">
        <v>48</v>
      </c>
      <c r="E1587" s="80" t="s">
        <v>1636</v>
      </c>
      <c r="F1587" s="21" t="s">
        <v>920</v>
      </c>
      <c r="G1587" s="101" t="s">
        <v>77</v>
      </c>
      <c r="H1587" s="25" t="s">
        <v>1637</v>
      </c>
      <c r="I1587" s="102" t="s">
        <v>78</v>
      </c>
      <c r="J1587" s="65" t="s">
        <v>1959</v>
      </c>
      <c r="K1587" s="104"/>
      <c r="L1587" s="48" t="s">
        <v>923</v>
      </c>
      <c r="M1587" s="156">
        <v>44986</v>
      </c>
      <c r="N1587" s="116" t="s">
        <v>182</v>
      </c>
      <c r="O1587" s="68">
        <v>8186</v>
      </c>
      <c r="P1587" s="68">
        <v>28</v>
      </c>
      <c r="Q1587" s="51">
        <f t="shared" si="35"/>
        <v>229208</v>
      </c>
      <c r="R1587" s="31">
        <v>202310</v>
      </c>
      <c r="S1587" s="183" t="s">
        <v>1961</v>
      </c>
      <c r="T1587" s="33"/>
      <c r="U1587" s="109"/>
      <c r="V1587" s="184"/>
      <c r="W1587" s="67"/>
      <c r="X1587" s="67"/>
      <c r="Y1587" s="36"/>
      <c r="Z1587" s="36"/>
      <c r="AA1587" s="36"/>
      <c r="AB1587" s="36"/>
      <c r="AC1587" s="36"/>
      <c r="AD1587" s="36"/>
      <c r="AE1587" s="36"/>
      <c r="AF1587" s="53" t="s">
        <v>68</v>
      </c>
      <c r="AG1587" s="42"/>
      <c r="AH1587" s="42"/>
      <c r="AI1587" s="43"/>
      <c r="AJ1587" s="43"/>
      <c r="AK1587" s="43"/>
      <c r="AL1587" s="43"/>
      <c r="AM1587" s="43"/>
      <c r="AN1587" s="42"/>
      <c r="AO1587" s="42"/>
      <c r="AP1587" s="42"/>
      <c r="AQ1587" s="43"/>
      <c r="AR1587" s="42"/>
      <c r="AS1587" s="42"/>
    </row>
    <row r="1588" spans="1:45" ht="15" customHeight="1">
      <c r="A1588" s="21" t="s">
        <v>260</v>
      </c>
      <c r="B1588" s="21" t="s">
        <v>46</v>
      </c>
      <c r="C1588" s="21" t="s">
        <v>188</v>
      </c>
      <c r="D1588" s="21" t="s">
        <v>48</v>
      </c>
      <c r="E1588" s="80" t="s">
        <v>1636</v>
      </c>
      <c r="F1588" s="21" t="s">
        <v>920</v>
      </c>
      <c r="G1588" s="101" t="s">
        <v>77</v>
      </c>
      <c r="H1588" s="25" t="s">
        <v>1637</v>
      </c>
      <c r="I1588" s="102" t="s">
        <v>78</v>
      </c>
      <c r="J1588" s="65" t="s">
        <v>1959</v>
      </c>
      <c r="K1588" s="104"/>
      <c r="L1588" s="48" t="s">
        <v>923</v>
      </c>
      <c r="M1588" s="156">
        <v>45019</v>
      </c>
      <c r="N1588" s="116" t="s">
        <v>182</v>
      </c>
      <c r="O1588" s="68">
        <v>8186</v>
      </c>
      <c r="P1588" s="68">
        <v>1</v>
      </c>
      <c r="Q1588" s="51">
        <f t="shared" si="35"/>
        <v>8186</v>
      </c>
      <c r="R1588" s="31">
        <v>202310</v>
      </c>
      <c r="S1588" s="183" t="s">
        <v>1962</v>
      </c>
      <c r="T1588" s="33"/>
      <c r="U1588" s="109"/>
      <c r="V1588" s="184"/>
      <c r="W1588" s="67"/>
      <c r="X1588" s="67"/>
      <c r="Y1588" s="36"/>
      <c r="Z1588" s="36"/>
      <c r="AA1588" s="36"/>
      <c r="AB1588" s="36"/>
      <c r="AC1588" s="36"/>
      <c r="AD1588" s="36"/>
      <c r="AE1588" s="36"/>
      <c r="AF1588" s="53" t="s">
        <v>68</v>
      </c>
      <c r="AG1588" s="42"/>
      <c r="AH1588" s="42"/>
      <c r="AI1588" s="43"/>
      <c r="AJ1588" s="43"/>
      <c r="AK1588" s="43"/>
      <c r="AL1588" s="43"/>
      <c r="AM1588" s="43"/>
      <c r="AN1588" s="42"/>
      <c r="AO1588" s="42"/>
      <c r="AP1588" s="42"/>
      <c r="AQ1588" s="43"/>
      <c r="AR1588" s="42"/>
      <c r="AS1588" s="42"/>
    </row>
    <row r="1589" spans="1:45" ht="15" customHeight="1">
      <c r="A1589" s="21" t="s">
        <v>260</v>
      </c>
      <c r="B1589" s="21" t="s">
        <v>46</v>
      </c>
      <c r="C1589" s="21" t="s">
        <v>188</v>
      </c>
      <c r="D1589" s="21" t="s">
        <v>48</v>
      </c>
      <c r="E1589" s="80" t="s">
        <v>1636</v>
      </c>
      <c r="F1589" s="21" t="s">
        <v>920</v>
      </c>
      <c r="G1589" s="101" t="s">
        <v>77</v>
      </c>
      <c r="H1589" s="25" t="s">
        <v>1637</v>
      </c>
      <c r="I1589" s="102" t="s">
        <v>78</v>
      </c>
      <c r="J1589" s="65" t="s">
        <v>1959</v>
      </c>
      <c r="K1589" s="104"/>
      <c r="L1589" s="48" t="s">
        <v>923</v>
      </c>
      <c r="M1589" s="156">
        <v>45028</v>
      </c>
      <c r="N1589" s="116" t="s">
        <v>182</v>
      </c>
      <c r="O1589" s="68">
        <v>8186</v>
      </c>
      <c r="P1589" s="68">
        <v>4</v>
      </c>
      <c r="Q1589" s="51">
        <f t="shared" si="35"/>
        <v>32744</v>
      </c>
      <c r="R1589" s="31">
        <v>202310</v>
      </c>
      <c r="S1589" s="183" t="s">
        <v>1963</v>
      </c>
      <c r="T1589" s="33"/>
      <c r="U1589" s="109"/>
      <c r="V1589" s="184"/>
      <c r="W1589" s="67"/>
      <c r="X1589" s="67"/>
      <c r="Y1589" s="36"/>
      <c r="Z1589" s="36"/>
      <c r="AA1589" s="36"/>
      <c r="AB1589" s="36"/>
      <c r="AC1589" s="36"/>
      <c r="AD1589" s="36"/>
      <c r="AE1589" s="36"/>
      <c r="AF1589" s="53" t="s">
        <v>68</v>
      </c>
      <c r="AG1589" s="42"/>
      <c r="AH1589" s="42"/>
      <c r="AI1589" s="43"/>
      <c r="AJ1589" s="43"/>
      <c r="AK1589" s="43"/>
      <c r="AL1589" s="43"/>
      <c r="AM1589" s="43"/>
      <c r="AN1589" s="42"/>
      <c r="AO1589" s="42"/>
      <c r="AP1589" s="42"/>
      <c r="AQ1589" s="43"/>
      <c r="AR1589" s="42"/>
      <c r="AS1589" s="42"/>
    </row>
    <row r="1590" spans="1:45" ht="15" customHeight="1">
      <c r="A1590" s="21" t="s">
        <v>260</v>
      </c>
      <c r="B1590" s="21" t="s">
        <v>46</v>
      </c>
      <c r="C1590" s="21" t="s">
        <v>188</v>
      </c>
      <c r="D1590" s="21" t="s">
        <v>48</v>
      </c>
      <c r="E1590" s="80" t="s">
        <v>1636</v>
      </c>
      <c r="F1590" s="21" t="s">
        <v>920</v>
      </c>
      <c r="G1590" s="101" t="s">
        <v>77</v>
      </c>
      <c r="H1590" s="25" t="s">
        <v>1637</v>
      </c>
      <c r="I1590" s="102" t="s">
        <v>78</v>
      </c>
      <c r="J1590" s="65" t="s">
        <v>1959</v>
      </c>
      <c r="K1590" s="104"/>
      <c r="L1590" s="48" t="s">
        <v>923</v>
      </c>
      <c r="M1590" s="156">
        <v>45056</v>
      </c>
      <c r="N1590" s="116" t="s">
        <v>182</v>
      </c>
      <c r="O1590" s="68">
        <v>8186</v>
      </c>
      <c r="P1590" s="68">
        <v>68</v>
      </c>
      <c r="Q1590" s="51">
        <f t="shared" si="35"/>
        <v>556648</v>
      </c>
      <c r="R1590" s="31">
        <v>202310</v>
      </c>
      <c r="S1590" s="183" t="s">
        <v>1964</v>
      </c>
      <c r="T1590" s="33"/>
      <c r="U1590" s="109"/>
      <c r="V1590" s="184"/>
      <c r="W1590" s="67"/>
      <c r="X1590" s="67"/>
      <c r="Y1590" s="36"/>
      <c r="Z1590" s="36"/>
      <c r="AA1590" s="36"/>
      <c r="AB1590" s="36"/>
      <c r="AC1590" s="36"/>
      <c r="AD1590" s="36"/>
      <c r="AE1590" s="36"/>
      <c r="AF1590" s="53" t="s">
        <v>68</v>
      </c>
      <c r="AG1590" s="42"/>
      <c r="AH1590" s="42"/>
      <c r="AI1590" s="43"/>
      <c r="AJ1590" s="43"/>
      <c r="AK1590" s="43"/>
      <c r="AL1590" s="43"/>
      <c r="AM1590" s="43"/>
      <c r="AN1590" s="42"/>
      <c r="AO1590" s="42"/>
      <c r="AP1590" s="42"/>
      <c r="AQ1590" s="43"/>
      <c r="AR1590" s="42"/>
      <c r="AS1590" s="42"/>
    </row>
    <row r="1591" spans="1:45" ht="15" customHeight="1">
      <c r="A1591" s="21" t="s">
        <v>260</v>
      </c>
      <c r="B1591" s="21" t="s">
        <v>46</v>
      </c>
      <c r="C1591" s="21" t="s">
        <v>188</v>
      </c>
      <c r="D1591" s="21" t="s">
        <v>48</v>
      </c>
      <c r="E1591" s="80" t="s">
        <v>1636</v>
      </c>
      <c r="F1591" s="21" t="s">
        <v>920</v>
      </c>
      <c r="G1591" s="101" t="s">
        <v>77</v>
      </c>
      <c r="H1591" s="25" t="s">
        <v>1637</v>
      </c>
      <c r="I1591" s="102" t="s">
        <v>78</v>
      </c>
      <c r="J1591" s="65" t="s">
        <v>1959</v>
      </c>
      <c r="K1591" s="104"/>
      <c r="L1591" s="48" t="s">
        <v>923</v>
      </c>
      <c r="M1591" s="156">
        <v>45057</v>
      </c>
      <c r="N1591" s="116" t="s">
        <v>182</v>
      </c>
      <c r="O1591" s="68">
        <v>8186</v>
      </c>
      <c r="P1591" s="68">
        <v>36</v>
      </c>
      <c r="Q1591" s="51">
        <f t="shared" si="35"/>
        <v>294696</v>
      </c>
      <c r="R1591" s="31">
        <v>202310</v>
      </c>
      <c r="S1591" s="183" t="s">
        <v>1965</v>
      </c>
      <c r="T1591" s="33"/>
      <c r="U1591" s="109"/>
      <c r="V1591" s="184"/>
      <c r="W1591" s="67"/>
      <c r="X1591" s="67"/>
      <c r="Y1591" s="36"/>
      <c r="Z1591" s="36"/>
      <c r="AA1591" s="36"/>
      <c r="AB1591" s="36"/>
      <c r="AC1591" s="36"/>
      <c r="AD1591" s="36"/>
      <c r="AE1591" s="36"/>
      <c r="AF1591" s="53" t="s">
        <v>68</v>
      </c>
      <c r="AG1591" s="42"/>
      <c r="AH1591" s="42"/>
      <c r="AI1591" s="43"/>
      <c r="AJ1591" s="43"/>
      <c r="AK1591" s="43"/>
      <c r="AL1591" s="43"/>
      <c r="AM1591" s="43"/>
      <c r="AN1591" s="42"/>
      <c r="AO1591" s="42"/>
      <c r="AP1591" s="42"/>
      <c r="AQ1591" s="43"/>
      <c r="AR1591" s="42"/>
      <c r="AS1591" s="42"/>
    </row>
    <row r="1592" spans="1:45" ht="15" customHeight="1">
      <c r="A1592" s="21" t="s">
        <v>260</v>
      </c>
      <c r="B1592" s="21" t="s">
        <v>46</v>
      </c>
      <c r="C1592" s="21" t="s">
        <v>188</v>
      </c>
      <c r="D1592" s="21" t="s">
        <v>48</v>
      </c>
      <c r="E1592" s="80" t="s">
        <v>1636</v>
      </c>
      <c r="F1592" s="21" t="s">
        <v>920</v>
      </c>
      <c r="G1592" s="101" t="s">
        <v>77</v>
      </c>
      <c r="H1592" s="25" t="s">
        <v>1637</v>
      </c>
      <c r="I1592" s="102" t="s">
        <v>78</v>
      </c>
      <c r="J1592" s="65" t="s">
        <v>1959</v>
      </c>
      <c r="K1592" s="104"/>
      <c r="L1592" s="48" t="s">
        <v>923</v>
      </c>
      <c r="M1592" s="156">
        <v>45058</v>
      </c>
      <c r="N1592" s="116" t="s">
        <v>182</v>
      </c>
      <c r="O1592" s="68">
        <v>8186</v>
      </c>
      <c r="P1592" s="68">
        <v>14</v>
      </c>
      <c r="Q1592" s="51">
        <f t="shared" si="35"/>
        <v>114604</v>
      </c>
      <c r="R1592" s="31">
        <v>202310</v>
      </c>
      <c r="S1592" s="183" t="s">
        <v>1966</v>
      </c>
      <c r="T1592" s="33"/>
      <c r="U1592" s="109"/>
      <c r="V1592" s="184"/>
      <c r="W1592" s="67"/>
      <c r="X1592" s="67"/>
      <c r="Y1592" s="36"/>
      <c r="Z1592" s="36"/>
      <c r="AA1592" s="36"/>
      <c r="AB1592" s="36"/>
      <c r="AC1592" s="36"/>
      <c r="AD1592" s="36"/>
      <c r="AE1592" s="36"/>
      <c r="AF1592" s="53" t="s">
        <v>68</v>
      </c>
      <c r="AG1592" s="42"/>
      <c r="AH1592" s="42"/>
      <c r="AI1592" s="43"/>
      <c r="AJ1592" s="43"/>
      <c r="AK1592" s="43"/>
      <c r="AL1592" s="43"/>
      <c r="AM1592" s="43"/>
      <c r="AN1592" s="42"/>
      <c r="AO1592" s="42"/>
      <c r="AP1592" s="42"/>
      <c r="AQ1592" s="43"/>
      <c r="AR1592" s="42"/>
      <c r="AS1592" s="42"/>
    </row>
    <row r="1593" spans="1:45" ht="15" customHeight="1">
      <c r="A1593" s="21" t="s">
        <v>260</v>
      </c>
      <c r="B1593" s="21" t="s">
        <v>46</v>
      </c>
      <c r="C1593" s="21" t="s">
        <v>188</v>
      </c>
      <c r="D1593" s="21" t="s">
        <v>48</v>
      </c>
      <c r="E1593" s="80" t="s">
        <v>1636</v>
      </c>
      <c r="F1593" s="21" t="s">
        <v>920</v>
      </c>
      <c r="G1593" s="101" t="s">
        <v>77</v>
      </c>
      <c r="H1593" s="25" t="s">
        <v>1637</v>
      </c>
      <c r="I1593" s="102" t="s">
        <v>78</v>
      </c>
      <c r="J1593" s="65" t="s">
        <v>1959</v>
      </c>
      <c r="K1593" s="104"/>
      <c r="L1593" s="48" t="s">
        <v>923</v>
      </c>
      <c r="M1593" s="156">
        <v>45064</v>
      </c>
      <c r="N1593" s="116" t="s">
        <v>182</v>
      </c>
      <c r="O1593" s="68">
        <v>8186</v>
      </c>
      <c r="P1593" s="68">
        <v>14</v>
      </c>
      <c r="Q1593" s="51">
        <f t="shared" si="35"/>
        <v>114604</v>
      </c>
      <c r="R1593" s="31">
        <v>202310</v>
      </c>
      <c r="S1593" s="183" t="s">
        <v>1967</v>
      </c>
      <c r="T1593" s="33"/>
      <c r="U1593" s="109"/>
      <c r="V1593" s="184"/>
      <c r="W1593" s="67"/>
      <c r="X1593" s="67"/>
      <c r="Y1593" s="36"/>
      <c r="Z1593" s="36"/>
      <c r="AA1593" s="36"/>
      <c r="AB1593" s="36"/>
      <c r="AC1593" s="36"/>
      <c r="AD1593" s="36"/>
      <c r="AE1593" s="36"/>
      <c r="AF1593" s="53" t="s">
        <v>68</v>
      </c>
      <c r="AG1593" s="42"/>
      <c r="AH1593" s="42"/>
      <c r="AI1593" s="43"/>
      <c r="AJ1593" s="43"/>
      <c r="AK1593" s="43"/>
      <c r="AL1593" s="43"/>
      <c r="AM1593" s="43"/>
      <c r="AN1593" s="42"/>
      <c r="AO1593" s="42"/>
      <c r="AP1593" s="42"/>
      <c r="AQ1593" s="43"/>
      <c r="AR1593" s="42"/>
      <c r="AS1593" s="42"/>
    </row>
    <row r="1594" spans="1:45" ht="15" customHeight="1">
      <c r="A1594" s="21" t="s">
        <v>260</v>
      </c>
      <c r="B1594" s="21" t="s">
        <v>46</v>
      </c>
      <c r="C1594" s="21" t="s">
        <v>188</v>
      </c>
      <c r="D1594" s="21" t="s">
        <v>48</v>
      </c>
      <c r="E1594" s="80" t="s">
        <v>1636</v>
      </c>
      <c r="F1594" s="21" t="s">
        <v>920</v>
      </c>
      <c r="G1594" s="101" t="s">
        <v>77</v>
      </c>
      <c r="H1594" s="25" t="s">
        <v>1637</v>
      </c>
      <c r="I1594" s="102" t="s">
        <v>78</v>
      </c>
      <c r="J1594" s="65" t="s">
        <v>1959</v>
      </c>
      <c r="K1594" s="104"/>
      <c r="L1594" s="48" t="s">
        <v>923</v>
      </c>
      <c r="M1594" s="156">
        <v>45065</v>
      </c>
      <c r="N1594" s="116" t="s">
        <v>182</v>
      </c>
      <c r="O1594" s="68">
        <v>8186</v>
      </c>
      <c r="P1594" s="68">
        <v>105</v>
      </c>
      <c r="Q1594" s="51">
        <f t="shared" si="35"/>
        <v>859530</v>
      </c>
      <c r="R1594" s="31">
        <v>202310</v>
      </c>
      <c r="S1594" s="183" t="s">
        <v>1968</v>
      </c>
      <c r="T1594" s="33"/>
      <c r="U1594" s="109"/>
      <c r="V1594" s="184"/>
      <c r="W1594" s="67"/>
      <c r="X1594" s="67"/>
      <c r="Y1594" s="36"/>
      <c r="Z1594" s="36"/>
      <c r="AA1594" s="36"/>
      <c r="AB1594" s="36"/>
      <c r="AC1594" s="36"/>
      <c r="AD1594" s="36"/>
      <c r="AE1594" s="36"/>
      <c r="AF1594" s="53" t="s">
        <v>68</v>
      </c>
      <c r="AG1594" s="42"/>
      <c r="AH1594" s="42"/>
      <c r="AI1594" s="43"/>
      <c r="AJ1594" s="43"/>
      <c r="AK1594" s="43"/>
      <c r="AL1594" s="43"/>
      <c r="AM1594" s="43"/>
      <c r="AN1594" s="42"/>
      <c r="AO1594" s="42"/>
      <c r="AP1594" s="42"/>
      <c r="AQ1594" s="43"/>
      <c r="AR1594" s="42"/>
      <c r="AS1594" s="42"/>
    </row>
    <row r="1595" spans="1:45" ht="15" customHeight="1">
      <c r="A1595" s="21" t="s">
        <v>260</v>
      </c>
      <c r="B1595" s="21" t="s">
        <v>46</v>
      </c>
      <c r="C1595" s="21" t="s">
        <v>188</v>
      </c>
      <c r="D1595" s="21" t="s">
        <v>48</v>
      </c>
      <c r="E1595" s="80" t="s">
        <v>1636</v>
      </c>
      <c r="F1595" s="21" t="s">
        <v>920</v>
      </c>
      <c r="G1595" s="101" t="s">
        <v>77</v>
      </c>
      <c r="H1595" s="25" t="s">
        <v>1637</v>
      </c>
      <c r="I1595" s="102" t="s">
        <v>78</v>
      </c>
      <c r="J1595" s="65" t="s">
        <v>1959</v>
      </c>
      <c r="K1595" s="104"/>
      <c r="L1595" s="48" t="s">
        <v>923</v>
      </c>
      <c r="M1595" s="156">
        <v>45071</v>
      </c>
      <c r="N1595" s="116" t="s">
        <v>182</v>
      </c>
      <c r="O1595" s="68">
        <v>8186</v>
      </c>
      <c r="P1595" s="68">
        <v>10</v>
      </c>
      <c r="Q1595" s="51">
        <f t="shared" si="35"/>
        <v>81860</v>
      </c>
      <c r="R1595" s="31">
        <v>202310</v>
      </c>
      <c r="S1595" s="183" t="s">
        <v>1969</v>
      </c>
      <c r="T1595" s="33"/>
      <c r="U1595" s="109"/>
      <c r="V1595" s="184"/>
      <c r="W1595" s="67"/>
      <c r="X1595" s="67"/>
      <c r="Y1595" s="36"/>
      <c r="Z1595" s="36"/>
      <c r="AA1595" s="36"/>
      <c r="AB1595" s="36"/>
      <c r="AC1595" s="36"/>
      <c r="AD1595" s="36"/>
      <c r="AE1595" s="36"/>
      <c r="AF1595" s="53" t="s">
        <v>68</v>
      </c>
      <c r="AG1595" s="42"/>
      <c r="AH1595" s="42"/>
      <c r="AI1595" s="43"/>
      <c r="AJ1595" s="43"/>
      <c r="AK1595" s="43"/>
      <c r="AL1595" s="43"/>
      <c r="AM1595" s="43"/>
      <c r="AN1595" s="42"/>
      <c r="AO1595" s="42"/>
      <c r="AP1595" s="42"/>
      <c r="AQ1595" s="43"/>
      <c r="AR1595" s="42"/>
      <c r="AS1595" s="42"/>
    </row>
    <row r="1596" spans="1:45" ht="15" customHeight="1">
      <c r="A1596" s="21" t="s">
        <v>260</v>
      </c>
      <c r="B1596" s="21" t="s">
        <v>46</v>
      </c>
      <c r="C1596" s="21" t="s">
        <v>188</v>
      </c>
      <c r="D1596" s="21" t="s">
        <v>48</v>
      </c>
      <c r="E1596" s="80" t="s">
        <v>1636</v>
      </c>
      <c r="F1596" s="21" t="s">
        <v>920</v>
      </c>
      <c r="G1596" s="101" t="s">
        <v>77</v>
      </c>
      <c r="H1596" s="25" t="s">
        <v>1637</v>
      </c>
      <c r="I1596" s="102" t="s">
        <v>78</v>
      </c>
      <c r="J1596" s="65" t="s">
        <v>1959</v>
      </c>
      <c r="K1596" s="104"/>
      <c r="L1596" s="48" t="s">
        <v>923</v>
      </c>
      <c r="M1596" s="156">
        <v>45074</v>
      </c>
      <c r="N1596" s="116" t="s">
        <v>182</v>
      </c>
      <c r="O1596" s="68">
        <v>8186</v>
      </c>
      <c r="P1596" s="68">
        <v>28</v>
      </c>
      <c r="Q1596" s="51">
        <f t="shared" si="35"/>
        <v>229208</v>
      </c>
      <c r="R1596" s="31">
        <v>202310</v>
      </c>
      <c r="S1596" s="183" t="s">
        <v>1970</v>
      </c>
      <c r="T1596" s="33"/>
      <c r="U1596" s="109"/>
      <c r="V1596" s="184"/>
      <c r="W1596" s="67"/>
      <c r="X1596" s="67"/>
      <c r="Y1596" s="36"/>
      <c r="Z1596" s="36"/>
      <c r="AA1596" s="36"/>
      <c r="AB1596" s="36"/>
      <c r="AC1596" s="36"/>
      <c r="AD1596" s="36"/>
      <c r="AE1596" s="36"/>
      <c r="AF1596" s="53" t="s">
        <v>68</v>
      </c>
      <c r="AG1596" s="42"/>
      <c r="AH1596" s="42"/>
      <c r="AI1596" s="43"/>
      <c r="AJ1596" s="43"/>
      <c r="AK1596" s="43"/>
      <c r="AL1596" s="43"/>
      <c r="AM1596" s="43"/>
      <c r="AN1596" s="42"/>
      <c r="AO1596" s="42"/>
      <c r="AP1596" s="42"/>
      <c r="AQ1596" s="43"/>
      <c r="AR1596" s="42"/>
      <c r="AS1596" s="42"/>
    </row>
    <row r="1597" spans="1:45" ht="15" customHeight="1">
      <c r="A1597" s="21" t="s">
        <v>260</v>
      </c>
      <c r="B1597" s="21" t="s">
        <v>46</v>
      </c>
      <c r="C1597" s="21" t="s">
        <v>188</v>
      </c>
      <c r="D1597" s="21" t="s">
        <v>48</v>
      </c>
      <c r="E1597" s="80" t="s">
        <v>1636</v>
      </c>
      <c r="F1597" s="21" t="s">
        <v>920</v>
      </c>
      <c r="G1597" s="101" t="s">
        <v>77</v>
      </c>
      <c r="H1597" s="25" t="s">
        <v>1637</v>
      </c>
      <c r="I1597" s="102" t="s">
        <v>78</v>
      </c>
      <c r="J1597" s="65" t="s">
        <v>1959</v>
      </c>
      <c r="K1597" s="104"/>
      <c r="L1597" s="48" t="s">
        <v>923</v>
      </c>
      <c r="M1597" s="156">
        <v>45076</v>
      </c>
      <c r="N1597" s="116" t="s">
        <v>182</v>
      </c>
      <c r="O1597" s="68">
        <v>8186</v>
      </c>
      <c r="P1597" s="68">
        <v>18</v>
      </c>
      <c r="Q1597" s="51">
        <f t="shared" si="35"/>
        <v>147348</v>
      </c>
      <c r="R1597" s="31">
        <v>202310</v>
      </c>
      <c r="S1597" s="183" t="s">
        <v>1971</v>
      </c>
      <c r="T1597" s="33"/>
      <c r="U1597" s="109"/>
      <c r="V1597" s="184"/>
      <c r="W1597" s="67"/>
      <c r="X1597" s="67"/>
      <c r="Y1597" s="36"/>
      <c r="Z1597" s="36"/>
      <c r="AA1597" s="36"/>
      <c r="AB1597" s="36"/>
      <c r="AC1597" s="36"/>
      <c r="AD1597" s="36"/>
      <c r="AE1597" s="36"/>
      <c r="AF1597" s="53" t="s">
        <v>68</v>
      </c>
      <c r="AG1597" s="42"/>
      <c r="AH1597" s="42"/>
      <c r="AI1597" s="43"/>
      <c r="AJ1597" s="43"/>
      <c r="AK1597" s="43"/>
      <c r="AL1597" s="43"/>
      <c r="AM1597" s="43"/>
      <c r="AN1597" s="42"/>
      <c r="AO1597" s="42"/>
      <c r="AP1597" s="42"/>
      <c r="AQ1597" s="43"/>
      <c r="AR1597" s="42"/>
      <c r="AS1597" s="42"/>
    </row>
    <row r="1598" spans="1:45" ht="15" customHeight="1">
      <c r="A1598" s="21" t="s">
        <v>260</v>
      </c>
      <c r="B1598" s="21" t="s">
        <v>46</v>
      </c>
      <c r="C1598" s="21" t="s">
        <v>188</v>
      </c>
      <c r="D1598" s="21" t="s">
        <v>48</v>
      </c>
      <c r="E1598" s="80" t="s">
        <v>1636</v>
      </c>
      <c r="F1598" s="21" t="s">
        <v>920</v>
      </c>
      <c r="G1598" s="101" t="s">
        <v>77</v>
      </c>
      <c r="H1598" s="25" t="s">
        <v>1637</v>
      </c>
      <c r="I1598" s="102" t="s">
        <v>78</v>
      </c>
      <c r="J1598" s="65" t="s">
        <v>1959</v>
      </c>
      <c r="K1598" s="104"/>
      <c r="L1598" s="48" t="s">
        <v>923</v>
      </c>
      <c r="M1598" s="156">
        <v>45083</v>
      </c>
      <c r="N1598" s="116" t="s">
        <v>182</v>
      </c>
      <c r="O1598" s="68">
        <v>8186</v>
      </c>
      <c r="P1598" s="68">
        <v>27</v>
      </c>
      <c r="Q1598" s="51">
        <f>ROUND(O1598*P1598,2)</f>
        <v>221022</v>
      </c>
      <c r="R1598" s="31">
        <v>202310</v>
      </c>
      <c r="S1598" s="183" t="s">
        <v>1972</v>
      </c>
      <c r="T1598" s="33"/>
      <c r="U1598" s="109"/>
      <c r="V1598" s="184"/>
      <c r="W1598" s="67"/>
      <c r="X1598" s="67"/>
      <c r="Y1598" s="36"/>
      <c r="Z1598" s="36"/>
      <c r="AA1598" s="36"/>
      <c r="AB1598" s="36"/>
      <c r="AC1598" s="36"/>
      <c r="AD1598" s="36"/>
      <c r="AE1598" s="36"/>
      <c r="AF1598" s="53" t="s">
        <v>68</v>
      </c>
      <c r="AG1598" s="42"/>
      <c r="AH1598" s="42"/>
      <c r="AI1598" s="43"/>
      <c r="AJ1598" s="43"/>
      <c r="AK1598" s="43"/>
      <c r="AL1598" s="43"/>
      <c r="AM1598" s="43"/>
      <c r="AN1598" s="42"/>
      <c r="AO1598" s="42"/>
      <c r="AP1598" s="42"/>
      <c r="AQ1598" s="43"/>
      <c r="AR1598" s="42"/>
      <c r="AS1598" s="42"/>
    </row>
    <row r="1599" spans="1:45" ht="15" customHeight="1">
      <c r="A1599" s="21" t="s">
        <v>260</v>
      </c>
      <c r="B1599" s="21" t="s">
        <v>46</v>
      </c>
      <c r="C1599" s="21" t="s">
        <v>188</v>
      </c>
      <c r="D1599" s="21" t="s">
        <v>48</v>
      </c>
      <c r="E1599" s="80" t="s">
        <v>1636</v>
      </c>
      <c r="F1599" s="21" t="s">
        <v>920</v>
      </c>
      <c r="G1599" s="101" t="s">
        <v>77</v>
      </c>
      <c r="H1599" s="25" t="s">
        <v>1637</v>
      </c>
      <c r="I1599" s="102" t="s">
        <v>78</v>
      </c>
      <c r="J1599" s="65" t="s">
        <v>1959</v>
      </c>
      <c r="K1599" s="104"/>
      <c r="L1599" s="48" t="s">
        <v>923</v>
      </c>
      <c r="M1599" s="156">
        <v>45163</v>
      </c>
      <c r="N1599" s="116" t="s">
        <v>182</v>
      </c>
      <c r="O1599" s="68">
        <v>8186</v>
      </c>
      <c r="P1599" s="68">
        <v>19</v>
      </c>
      <c r="Q1599" s="51">
        <f>ROUND(O1599*P1599,2)</f>
        <v>155534</v>
      </c>
      <c r="R1599" s="31">
        <v>202310</v>
      </c>
      <c r="S1599" s="183" t="s">
        <v>1973</v>
      </c>
      <c r="T1599" s="33"/>
      <c r="U1599" s="109"/>
      <c r="V1599" s="184"/>
      <c r="W1599" s="67"/>
      <c r="X1599" s="67"/>
      <c r="Y1599" s="36"/>
      <c r="Z1599" s="36"/>
      <c r="AA1599" s="36"/>
      <c r="AB1599" s="36"/>
      <c r="AC1599" s="36"/>
      <c r="AD1599" s="36"/>
      <c r="AE1599" s="36"/>
      <c r="AF1599" s="53" t="s">
        <v>68</v>
      </c>
      <c r="AG1599" s="42"/>
      <c r="AH1599" s="42"/>
      <c r="AI1599" s="43"/>
      <c r="AJ1599" s="43"/>
      <c r="AK1599" s="43"/>
      <c r="AL1599" s="43"/>
      <c r="AM1599" s="43"/>
      <c r="AN1599" s="42"/>
      <c r="AO1599" s="42"/>
      <c r="AP1599" s="42"/>
      <c r="AQ1599" s="43"/>
      <c r="AR1599" s="42"/>
      <c r="AS1599" s="42"/>
    </row>
    <row r="1600" spans="1:45" ht="15" customHeight="1">
      <c r="A1600" s="21" t="s">
        <v>260</v>
      </c>
      <c r="B1600" s="21" t="s">
        <v>46</v>
      </c>
      <c r="C1600" s="21" t="s">
        <v>188</v>
      </c>
      <c r="D1600" s="21" t="s">
        <v>48</v>
      </c>
      <c r="E1600" s="80" t="s">
        <v>1636</v>
      </c>
      <c r="F1600" s="21" t="s">
        <v>920</v>
      </c>
      <c r="G1600" s="101" t="s">
        <v>77</v>
      </c>
      <c r="H1600" s="25" t="s">
        <v>1637</v>
      </c>
      <c r="I1600" s="102" t="s">
        <v>78</v>
      </c>
      <c r="J1600" s="65" t="s">
        <v>1959</v>
      </c>
      <c r="K1600" s="52"/>
      <c r="L1600" s="48" t="s">
        <v>923</v>
      </c>
      <c r="M1600" s="156">
        <v>45184</v>
      </c>
      <c r="N1600" s="116" t="s">
        <v>182</v>
      </c>
      <c r="O1600" s="68">
        <v>8186</v>
      </c>
      <c r="P1600" s="68">
        <v>-1</v>
      </c>
      <c r="Q1600" s="51">
        <f t="shared" ref="Q1600:Q1602" si="36">ROUND(O1600*P1600,2)</f>
        <v>-8186</v>
      </c>
      <c r="R1600" s="31">
        <v>202310</v>
      </c>
      <c r="S1600" s="183" t="s">
        <v>1974</v>
      </c>
      <c r="T1600" s="33"/>
      <c r="U1600" s="109"/>
      <c r="V1600" s="184"/>
      <c r="W1600" s="67"/>
      <c r="X1600" s="67"/>
      <c r="Y1600" s="36"/>
      <c r="Z1600" s="36"/>
      <c r="AA1600" s="36"/>
      <c r="AB1600" s="36"/>
      <c r="AC1600" s="36"/>
      <c r="AD1600" s="36"/>
      <c r="AE1600" s="36"/>
      <c r="AF1600" s="53" t="s">
        <v>68</v>
      </c>
      <c r="AG1600" s="42"/>
      <c r="AH1600" s="42"/>
      <c r="AI1600" s="43"/>
      <c r="AJ1600" s="43"/>
      <c r="AK1600" s="43"/>
      <c r="AL1600" s="43"/>
      <c r="AM1600" s="43"/>
      <c r="AN1600" s="42"/>
      <c r="AO1600" s="42"/>
      <c r="AP1600" s="42"/>
      <c r="AQ1600" s="43"/>
      <c r="AR1600" s="42"/>
      <c r="AS1600" s="42"/>
    </row>
    <row r="1601" spans="1:45" ht="15" customHeight="1">
      <c r="A1601" s="21" t="s">
        <v>260</v>
      </c>
      <c r="B1601" s="21" t="s">
        <v>46</v>
      </c>
      <c r="C1601" s="21" t="s">
        <v>188</v>
      </c>
      <c r="D1601" s="21" t="s">
        <v>48</v>
      </c>
      <c r="E1601" s="80" t="s">
        <v>1636</v>
      </c>
      <c r="F1601" s="21" t="s">
        <v>920</v>
      </c>
      <c r="G1601" s="101" t="s">
        <v>77</v>
      </c>
      <c r="H1601" s="25" t="s">
        <v>1637</v>
      </c>
      <c r="I1601" s="102" t="s">
        <v>78</v>
      </c>
      <c r="J1601" s="65" t="s">
        <v>1959</v>
      </c>
      <c r="K1601" s="104"/>
      <c r="L1601" s="48" t="s">
        <v>923</v>
      </c>
      <c r="M1601" s="156">
        <v>45170</v>
      </c>
      <c r="N1601" s="116" t="s">
        <v>182</v>
      </c>
      <c r="O1601" s="68">
        <v>8186</v>
      </c>
      <c r="P1601" s="68">
        <v>-6</v>
      </c>
      <c r="Q1601" s="51">
        <f t="shared" si="36"/>
        <v>-49116</v>
      </c>
      <c r="R1601" s="31">
        <v>202310</v>
      </c>
      <c r="S1601" s="183" t="s">
        <v>1975</v>
      </c>
      <c r="T1601" s="33"/>
      <c r="U1601" s="109"/>
      <c r="V1601" s="184"/>
      <c r="W1601" s="67"/>
      <c r="X1601" s="67"/>
      <c r="Y1601" s="36"/>
      <c r="Z1601" s="36"/>
      <c r="AA1601" s="36"/>
      <c r="AB1601" s="36"/>
      <c r="AC1601" s="36"/>
      <c r="AD1601" s="36"/>
      <c r="AE1601" s="36"/>
      <c r="AF1601" s="53" t="s">
        <v>68</v>
      </c>
      <c r="AG1601" s="42"/>
      <c r="AH1601" s="42"/>
      <c r="AI1601" s="43"/>
      <c r="AJ1601" s="43"/>
      <c r="AK1601" s="43"/>
      <c r="AL1601" s="43"/>
      <c r="AM1601" s="43"/>
      <c r="AN1601" s="42"/>
      <c r="AO1601" s="42"/>
      <c r="AP1601" s="42"/>
      <c r="AQ1601" s="43"/>
      <c r="AR1601" s="42"/>
      <c r="AS1601" s="42"/>
    </row>
    <row r="1602" spans="1:45" ht="15" customHeight="1">
      <c r="A1602" s="21" t="s">
        <v>260</v>
      </c>
      <c r="B1602" s="21" t="s">
        <v>46</v>
      </c>
      <c r="C1602" s="21" t="s">
        <v>188</v>
      </c>
      <c r="D1602" s="21" t="s">
        <v>48</v>
      </c>
      <c r="E1602" s="80" t="s">
        <v>1636</v>
      </c>
      <c r="F1602" s="21" t="s">
        <v>920</v>
      </c>
      <c r="G1602" s="101" t="s">
        <v>77</v>
      </c>
      <c r="H1602" s="25" t="s">
        <v>1637</v>
      </c>
      <c r="I1602" s="102" t="s">
        <v>78</v>
      </c>
      <c r="J1602" s="65" t="s">
        <v>1959</v>
      </c>
      <c r="K1602" s="104"/>
      <c r="L1602" s="48" t="s">
        <v>923</v>
      </c>
      <c r="M1602" s="156">
        <v>45071</v>
      </c>
      <c r="N1602" s="116" t="s">
        <v>404</v>
      </c>
      <c r="O1602" s="68">
        <v>5900</v>
      </c>
      <c r="P1602" s="68">
        <v>1</v>
      </c>
      <c r="Q1602" s="51">
        <f t="shared" si="36"/>
        <v>5900</v>
      </c>
      <c r="R1602" s="31">
        <v>202310</v>
      </c>
      <c r="S1602" s="54" t="s">
        <v>1815</v>
      </c>
      <c r="T1602" s="33"/>
      <c r="U1602" s="54"/>
      <c r="V1602" s="184"/>
      <c r="W1602" s="67"/>
      <c r="X1602" s="67"/>
      <c r="Y1602" s="36"/>
      <c r="Z1602" s="36"/>
      <c r="AA1602" s="36"/>
      <c r="AB1602" s="36"/>
      <c r="AC1602" s="36"/>
      <c r="AD1602" s="36"/>
      <c r="AE1602" s="36"/>
      <c r="AF1602" s="53" t="s">
        <v>68</v>
      </c>
      <c r="AG1602" s="42"/>
      <c r="AH1602" s="42"/>
      <c r="AI1602" s="43"/>
      <c r="AJ1602" s="43"/>
      <c r="AK1602" s="43"/>
      <c r="AL1602" s="43"/>
      <c r="AM1602" s="43"/>
      <c r="AN1602" s="42"/>
      <c r="AO1602" s="42"/>
      <c r="AP1602" s="42"/>
      <c r="AQ1602" s="43"/>
      <c r="AR1602" s="42"/>
      <c r="AS1602" s="42"/>
    </row>
    <row r="1603" spans="1:45" ht="15" customHeight="1">
      <c r="A1603" s="21" t="s">
        <v>260</v>
      </c>
      <c r="B1603" s="21" t="s">
        <v>46</v>
      </c>
      <c r="C1603" s="21" t="s">
        <v>188</v>
      </c>
      <c r="D1603" s="21" t="s">
        <v>48</v>
      </c>
      <c r="E1603" s="80" t="s">
        <v>1636</v>
      </c>
      <c r="F1603" s="21" t="s">
        <v>920</v>
      </c>
      <c r="G1603" s="101" t="s">
        <v>77</v>
      </c>
      <c r="H1603" s="25" t="s">
        <v>1637</v>
      </c>
      <c r="I1603" s="102" t="s">
        <v>366</v>
      </c>
      <c r="J1603" s="65" t="s">
        <v>1976</v>
      </c>
      <c r="K1603" s="104"/>
      <c r="L1603" s="48" t="s">
        <v>923</v>
      </c>
      <c r="M1603" s="27"/>
      <c r="N1603" s="105"/>
      <c r="O1603" s="106">
        <v>300</v>
      </c>
      <c r="P1603" s="106">
        <v>300</v>
      </c>
      <c r="Q1603" s="51">
        <f>ROUND(O1603*P1603,2)</f>
        <v>90000</v>
      </c>
      <c r="R1603" s="31">
        <v>202310</v>
      </c>
      <c r="S1603" s="107" t="s">
        <v>1977</v>
      </c>
      <c r="T1603" s="33" t="s">
        <v>1978</v>
      </c>
      <c r="U1603" s="183"/>
      <c r="V1603" s="184"/>
      <c r="W1603" s="67"/>
      <c r="X1603" s="67"/>
      <c r="Y1603" s="36"/>
      <c r="Z1603" s="36"/>
      <c r="AA1603" s="36"/>
      <c r="AB1603" s="36"/>
      <c r="AC1603" s="36"/>
      <c r="AD1603" s="36"/>
      <c r="AE1603" s="36"/>
      <c r="AF1603" s="53" t="s">
        <v>68</v>
      </c>
      <c r="AG1603" s="42"/>
      <c r="AH1603" s="42"/>
      <c r="AI1603" s="43"/>
      <c r="AJ1603" s="43"/>
      <c r="AK1603" s="43"/>
      <c r="AL1603" s="43"/>
      <c r="AM1603" s="43"/>
      <c r="AN1603" s="42"/>
      <c r="AO1603" s="42"/>
      <c r="AP1603" s="42"/>
      <c r="AQ1603" s="43"/>
      <c r="AR1603" s="42"/>
      <c r="AS1603" s="42"/>
    </row>
    <row r="1604" spans="1:45" ht="15" customHeight="1">
      <c r="A1604" s="21" t="s">
        <v>260</v>
      </c>
      <c r="B1604" s="21" t="s">
        <v>46</v>
      </c>
      <c r="C1604" s="21" t="s">
        <v>188</v>
      </c>
      <c r="D1604" s="21" t="s">
        <v>48</v>
      </c>
      <c r="E1604" s="80" t="s">
        <v>1636</v>
      </c>
      <c r="F1604" s="21" t="s">
        <v>920</v>
      </c>
      <c r="G1604" s="26" t="s">
        <v>62</v>
      </c>
      <c r="H1604" s="25" t="s">
        <v>1979</v>
      </c>
      <c r="I1604" s="26" t="s">
        <v>64</v>
      </c>
      <c r="J1604" s="65" t="s">
        <v>1980</v>
      </c>
      <c r="K1604" s="104"/>
      <c r="L1604" s="48"/>
      <c r="M1604" s="156">
        <v>44882</v>
      </c>
      <c r="N1604" s="116" t="s">
        <v>66</v>
      </c>
      <c r="O1604" s="68">
        <v>300</v>
      </c>
      <c r="P1604" s="30">
        <v>2</v>
      </c>
      <c r="Q1604" s="51">
        <f t="shared" si="35"/>
        <v>600</v>
      </c>
      <c r="R1604" s="31">
        <v>202310</v>
      </c>
      <c r="S1604" s="117" t="s">
        <v>1981</v>
      </c>
      <c r="T1604" s="33"/>
      <c r="U1604" s="117"/>
      <c r="V1604" s="118"/>
      <c r="W1604" s="67"/>
      <c r="X1604" s="67"/>
      <c r="Y1604" s="36"/>
      <c r="Z1604" s="36"/>
      <c r="AA1604" s="36"/>
      <c r="AB1604" s="36"/>
      <c r="AC1604" s="36"/>
      <c r="AD1604" s="36"/>
      <c r="AE1604" s="36"/>
      <c r="AF1604" s="53" t="s">
        <v>68</v>
      </c>
      <c r="AG1604" s="42"/>
      <c r="AH1604" s="42"/>
      <c r="AI1604" s="43"/>
      <c r="AJ1604" s="43"/>
      <c r="AK1604" s="43"/>
      <c r="AL1604" s="43"/>
      <c r="AM1604" s="43"/>
      <c r="AN1604" s="42"/>
      <c r="AO1604" s="42"/>
      <c r="AP1604" s="42"/>
      <c r="AQ1604" s="43"/>
      <c r="AR1604" s="42"/>
      <c r="AS1604" s="42" t="s">
        <v>1982</v>
      </c>
    </row>
    <row r="1605" spans="1:45" ht="15" customHeight="1">
      <c r="A1605" s="21" t="s">
        <v>260</v>
      </c>
      <c r="B1605" s="21" t="s">
        <v>46</v>
      </c>
      <c r="C1605" s="21" t="s">
        <v>188</v>
      </c>
      <c r="D1605" s="21" t="s">
        <v>48</v>
      </c>
      <c r="E1605" s="80" t="s">
        <v>1636</v>
      </c>
      <c r="F1605" s="21" t="s">
        <v>920</v>
      </c>
      <c r="G1605" s="26" t="s">
        <v>62</v>
      </c>
      <c r="H1605" s="25" t="s">
        <v>1979</v>
      </c>
      <c r="I1605" s="26" t="s">
        <v>64</v>
      </c>
      <c r="J1605" s="65" t="s">
        <v>1983</v>
      </c>
      <c r="K1605" s="104"/>
      <c r="L1605" s="48"/>
      <c r="M1605" s="156">
        <v>44718</v>
      </c>
      <c r="N1605" s="116" t="s">
        <v>66</v>
      </c>
      <c r="O1605" s="68">
        <v>300</v>
      </c>
      <c r="P1605" s="30">
        <v>2</v>
      </c>
      <c r="Q1605" s="51">
        <f t="shared" si="35"/>
        <v>600</v>
      </c>
      <c r="R1605" s="31">
        <v>202310</v>
      </c>
      <c r="S1605" s="117" t="s">
        <v>1984</v>
      </c>
      <c r="T1605" s="33"/>
      <c r="U1605" s="117"/>
      <c r="V1605" s="118"/>
      <c r="W1605" s="67"/>
      <c r="X1605" s="67"/>
      <c r="Y1605" s="36"/>
      <c r="Z1605" s="36"/>
      <c r="AA1605" s="36"/>
      <c r="AB1605" s="36"/>
      <c r="AC1605" s="36"/>
      <c r="AD1605" s="36"/>
      <c r="AE1605" s="36"/>
      <c r="AF1605" s="53" t="s">
        <v>68</v>
      </c>
      <c r="AG1605" s="42"/>
      <c r="AH1605" s="42"/>
      <c r="AI1605" s="43"/>
      <c r="AJ1605" s="43"/>
      <c r="AK1605" s="43"/>
      <c r="AL1605" s="43"/>
      <c r="AM1605" s="43"/>
      <c r="AN1605" s="42"/>
      <c r="AO1605" s="42"/>
      <c r="AP1605" s="42"/>
      <c r="AQ1605" s="43"/>
      <c r="AR1605" s="42"/>
      <c r="AS1605" s="42" t="s">
        <v>1982</v>
      </c>
    </row>
    <row r="1606" spans="1:45" ht="15" customHeight="1">
      <c r="A1606" s="21" t="s">
        <v>260</v>
      </c>
      <c r="B1606" s="21" t="s">
        <v>46</v>
      </c>
      <c r="C1606" s="21" t="s">
        <v>188</v>
      </c>
      <c r="D1606" s="21" t="s">
        <v>48</v>
      </c>
      <c r="E1606" s="80" t="s">
        <v>1636</v>
      </c>
      <c r="F1606" s="21" t="s">
        <v>920</v>
      </c>
      <c r="G1606" s="26" t="s">
        <v>62</v>
      </c>
      <c r="H1606" s="25" t="s">
        <v>1985</v>
      </c>
      <c r="I1606" s="26" t="s">
        <v>64</v>
      </c>
      <c r="J1606" s="65" t="s">
        <v>1986</v>
      </c>
      <c r="K1606" s="104"/>
      <c r="L1606" s="48"/>
      <c r="M1606" s="156">
        <v>40624</v>
      </c>
      <c r="N1606" s="116"/>
      <c r="O1606" s="68">
        <f>201*400</f>
        <v>80400</v>
      </c>
      <c r="P1606" s="30">
        <v>1</v>
      </c>
      <c r="Q1606" s="51">
        <f t="shared" si="35"/>
        <v>80400</v>
      </c>
      <c r="R1606" s="31">
        <v>202310</v>
      </c>
      <c r="S1606" s="117" t="s">
        <v>1987</v>
      </c>
      <c r="T1606" s="33"/>
      <c r="U1606" s="117"/>
      <c r="V1606" s="118"/>
      <c r="W1606" s="67"/>
      <c r="X1606" s="67"/>
      <c r="Y1606" s="36">
        <v>44682</v>
      </c>
      <c r="Z1606" s="36">
        <v>45412</v>
      </c>
      <c r="AA1606" s="36"/>
      <c r="AB1606" s="36"/>
      <c r="AC1606" s="36"/>
      <c r="AD1606" s="36"/>
      <c r="AE1606" s="36"/>
      <c r="AF1606" s="53" t="s">
        <v>68</v>
      </c>
      <c r="AG1606" s="42"/>
      <c r="AH1606" s="42"/>
      <c r="AI1606" s="43"/>
      <c r="AJ1606" s="43"/>
      <c r="AK1606" s="43"/>
      <c r="AL1606" s="43"/>
      <c r="AM1606" s="43"/>
      <c r="AN1606" s="42"/>
      <c r="AO1606" s="42"/>
      <c r="AP1606" s="42"/>
      <c r="AQ1606" s="43"/>
      <c r="AR1606" s="42"/>
      <c r="AS1606" s="42"/>
    </row>
    <row r="1607" spans="1:45" ht="15" customHeight="1">
      <c r="A1607" s="21" t="s">
        <v>260</v>
      </c>
      <c r="B1607" s="21" t="s">
        <v>46</v>
      </c>
      <c r="C1607" s="21" t="s">
        <v>188</v>
      </c>
      <c r="D1607" s="21" t="s">
        <v>48</v>
      </c>
      <c r="E1607" s="80" t="s">
        <v>1636</v>
      </c>
      <c r="F1607" s="21" t="s">
        <v>920</v>
      </c>
      <c r="G1607" s="26" t="s">
        <v>62</v>
      </c>
      <c r="H1607" s="25" t="s">
        <v>1985</v>
      </c>
      <c r="I1607" s="26" t="s">
        <v>64</v>
      </c>
      <c r="J1607" s="65" t="s">
        <v>1986</v>
      </c>
      <c r="K1607" s="104"/>
      <c r="L1607" s="48"/>
      <c r="M1607" s="156">
        <v>43344</v>
      </c>
      <c r="N1607" s="116"/>
      <c r="O1607" s="68">
        <v>400</v>
      </c>
      <c r="P1607" s="30">
        <v>100</v>
      </c>
      <c r="Q1607" s="51">
        <f t="shared" si="35"/>
        <v>40000</v>
      </c>
      <c r="R1607" s="31">
        <v>202310</v>
      </c>
      <c r="S1607" s="117" t="s">
        <v>1988</v>
      </c>
      <c r="T1607" s="33"/>
      <c r="U1607" s="117"/>
      <c r="V1607" s="118"/>
      <c r="W1607" s="67"/>
      <c r="X1607" s="67"/>
      <c r="Y1607" s="36">
        <v>44682</v>
      </c>
      <c r="Z1607" s="36">
        <v>45412</v>
      </c>
      <c r="AA1607" s="36"/>
      <c r="AB1607" s="36"/>
      <c r="AC1607" s="36"/>
      <c r="AD1607" s="36"/>
      <c r="AE1607" s="36"/>
      <c r="AF1607" s="53" t="s">
        <v>68</v>
      </c>
      <c r="AG1607" s="42"/>
      <c r="AH1607" s="42"/>
      <c r="AI1607" s="43"/>
      <c r="AJ1607" s="43"/>
      <c r="AK1607" s="43"/>
      <c r="AL1607" s="43"/>
      <c r="AM1607" s="43"/>
      <c r="AN1607" s="42"/>
      <c r="AO1607" s="42"/>
      <c r="AP1607" s="42"/>
      <c r="AQ1607" s="43"/>
      <c r="AR1607" s="42"/>
      <c r="AS1607" s="42"/>
    </row>
    <row r="1608" spans="1:45" ht="15" customHeight="1">
      <c r="A1608" s="21" t="s">
        <v>260</v>
      </c>
      <c r="B1608" s="21" t="s">
        <v>46</v>
      </c>
      <c r="C1608" s="21" t="s">
        <v>188</v>
      </c>
      <c r="D1608" s="21" t="s">
        <v>48</v>
      </c>
      <c r="E1608" s="80" t="s">
        <v>1636</v>
      </c>
      <c r="F1608" s="21" t="s">
        <v>920</v>
      </c>
      <c r="G1608" s="26" t="s">
        <v>62</v>
      </c>
      <c r="H1608" s="25" t="s">
        <v>1985</v>
      </c>
      <c r="I1608" s="26" t="s">
        <v>64</v>
      </c>
      <c r="J1608" s="65" t="s">
        <v>1986</v>
      </c>
      <c r="K1608" s="104"/>
      <c r="L1608" s="48"/>
      <c r="M1608" s="156">
        <v>43344</v>
      </c>
      <c r="N1608" s="116"/>
      <c r="O1608" s="68">
        <v>400</v>
      </c>
      <c r="P1608" s="30">
        <v>140</v>
      </c>
      <c r="Q1608" s="51">
        <f t="shared" si="35"/>
        <v>56000</v>
      </c>
      <c r="R1608" s="31">
        <v>202310</v>
      </c>
      <c r="S1608" s="117" t="s">
        <v>1989</v>
      </c>
      <c r="T1608" s="33"/>
      <c r="U1608" s="117"/>
      <c r="V1608" s="118"/>
      <c r="W1608" s="67"/>
      <c r="X1608" s="67"/>
      <c r="Y1608" s="36">
        <v>44682</v>
      </c>
      <c r="Z1608" s="36">
        <v>45412</v>
      </c>
      <c r="AA1608" s="36"/>
      <c r="AB1608" s="36"/>
      <c r="AC1608" s="36"/>
      <c r="AD1608" s="36"/>
      <c r="AE1608" s="36"/>
      <c r="AF1608" s="53" t="s">
        <v>68</v>
      </c>
      <c r="AG1608" s="42"/>
      <c r="AH1608" s="42"/>
      <c r="AI1608" s="43"/>
      <c r="AJ1608" s="43"/>
      <c r="AK1608" s="43"/>
      <c r="AL1608" s="43"/>
      <c r="AM1608" s="43"/>
      <c r="AN1608" s="42"/>
      <c r="AO1608" s="42"/>
      <c r="AP1608" s="42"/>
      <c r="AQ1608" s="43"/>
      <c r="AR1608" s="42"/>
      <c r="AS1608" s="42"/>
    </row>
    <row r="1609" spans="1:45" ht="15" customHeight="1">
      <c r="A1609" s="56" t="s">
        <v>260</v>
      </c>
      <c r="B1609" s="21" t="s">
        <v>46</v>
      </c>
      <c r="C1609" s="57" t="s">
        <v>814</v>
      </c>
      <c r="D1609" s="22" t="s">
        <v>48</v>
      </c>
      <c r="E1609" s="58" t="s">
        <v>1990</v>
      </c>
      <c r="F1609" s="56" t="s">
        <v>1991</v>
      </c>
      <c r="G1609" s="26" t="s">
        <v>165</v>
      </c>
      <c r="H1609" s="25" t="s">
        <v>1992</v>
      </c>
      <c r="I1609" s="26" t="s">
        <v>491</v>
      </c>
      <c r="J1609" s="56" t="s">
        <v>1993</v>
      </c>
      <c r="K1609" s="59" t="s">
        <v>1993</v>
      </c>
      <c r="L1609" s="48" t="s">
        <v>1994</v>
      </c>
      <c r="M1609" s="49"/>
      <c r="N1609" s="49" t="s">
        <v>168</v>
      </c>
      <c r="O1609" s="60">
        <v>0</v>
      </c>
      <c r="P1609" s="61">
        <v>512</v>
      </c>
      <c r="Q1609" s="51">
        <f t="shared" si="35"/>
        <v>0</v>
      </c>
      <c r="R1609" s="31">
        <v>202310</v>
      </c>
      <c r="S1609" s="62" t="s">
        <v>1995</v>
      </c>
      <c r="T1609" s="33"/>
      <c r="U1609" s="58"/>
      <c r="V1609" s="58"/>
      <c r="W1609" s="63"/>
      <c r="X1609" s="63"/>
      <c r="Y1609" s="36"/>
      <c r="Z1609" s="36"/>
      <c r="AA1609" s="36"/>
      <c r="AB1609" s="36"/>
      <c r="AC1609" s="36"/>
      <c r="AD1609" s="36"/>
      <c r="AE1609" s="36"/>
      <c r="AF1609" s="40" t="s">
        <v>503</v>
      </c>
      <c r="AG1609" s="42"/>
      <c r="AH1609" s="42"/>
      <c r="AI1609" s="43"/>
      <c r="AJ1609" s="43"/>
      <c r="AK1609" s="43"/>
      <c r="AL1609" s="43"/>
      <c r="AM1609" s="43"/>
      <c r="AN1609" s="42"/>
      <c r="AO1609" s="42"/>
      <c r="AP1609" s="42"/>
      <c r="AQ1609" s="43"/>
      <c r="AR1609" s="42"/>
      <c r="AS1609" s="42" t="s">
        <v>1996</v>
      </c>
    </row>
    <row r="1610" spans="1:45" ht="15" customHeight="1">
      <c r="A1610" s="56" t="s">
        <v>260</v>
      </c>
      <c r="B1610" s="21" t="s">
        <v>46</v>
      </c>
      <c r="C1610" s="57" t="s">
        <v>814</v>
      </c>
      <c r="D1610" s="22" t="s">
        <v>48</v>
      </c>
      <c r="E1610" s="58" t="s">
        <v>1990</v>
      </c>
      <c r="F1610" s="56" t="s">
        <v>1991</v>
      </c>
      <c r="G1610" s="26" t="s">
        <v>165</v>
      </c>
      <c r="H1610" s="25" t="s">
        <v>1992</v>
      </c>
      <c r="I1610" s="26" t="s">
        <v>491</v>
      </c>
      <c r="J1610" s="56" t="s">
        <v>1997</v>
      </c>
      <c r="K1610" s="59" t="s">
        <v>1997</v>
      </c>
      <c r="L1610" s="48" t="s">
        <v>1998</v>
      </c>
      <c r="M1610" s="49">
        <v>44593</v>
      </c>
      <c r="N1610" s="49" t="s">
        <v>168</v>
      </c>
      <c r="O1610" s="60">
        <v>0</v>
      </c>
      <c r="P1610" s="61">
        <v>256</v>
      </c>
      <c r="Q1610" s="51">
        <f t="shared" si="35"/>
        <v>0</v>
      </c>
      <c r="R1610" s="31">
        <v>202310</v>
      </c>
      <c r="S1610" s="62" t="s">
        <v>1999</v>
      </c>
      <c r="T1610" s="33"/>
      <c r="U1610" s="58"/>
      <c r="V1610" s="58"/>
      <c r="W1610" s="63"/>
      <c r="X1610" s="63"/>
      <c r="Y1610" s="36"/>
      <c r="Z1610" s="36"/>
      <c r="AA1610" s="36"/>
      <c r="AB1610" s="36"/>
      <c r="AC1610" s="36"/>
      <c r="AD1610" s="36"/>
      <c r="AE1610" s="36"/>
      <c r="AF1610" s="40" t="s">
        <v>503</v>
      </c>
      <c r="AG1610" s="42"/>
      <c r="AH1610" s="42"/>
      <c r="AI1610" s="43"/>
      <c r="AJ1610" s="43"/>
      <c r="AK1610" s="43"/>
      <c r="AL1610" s="43"/>
      <c r="AM1610" s="43"/>
      <c r="AN1610" s="42"/>
      <c r="AO1610" s="42"/>
      <c r="AP1610" s="42"/>
      <c r="AQ1610" s="43"/>
      <c r="AR1610" s="42"/>
      <c r="AS1610" s="42" t="s">
        <v>1996</v>
      </c>
    </row>
    <row r="1611" spans="1:45" ht="15" customHeight="1">
      <c r="A1611" s="56" t="s">
        <v>260</v>
      </c>
      <c r="B1611" s="21" t="s">
        <v>46</v>
      </c>
      <c r="C1611" s="57" t="s">
        <v>814</v>
      </c>
      <c r="D1611" s="22" t="s">
        <v>48</v>
      </c>
      <c r="E1611" s="58" t="s">
        <v>1990</v>
      </c>
      <c r="F1611" s="56" t="s">
        <v>1991</v>
      </c>
      <c r="G1611" s="26" t="s">
        <v>165</v>
      </c>
      <c r="H1611" s="25" t="s">
        <v>1992</v>
      </c>
      <c r="I1611" s="26" t="s">
        <v>491</v>
      </c>
      <c r="J1611" s="56" t="s">
        <v>1997</v>
      </c>
      <c r="K1611" s="59" t="s">
        <v>1997</v>
      </c>
      <c r="L1611" s="48" t="s">
        <v>1998</v>
      </c>
      <c r="M1611" s="49">
        <v>44651</v>
      </c>
      <c r="N1611" s="49" t="s">
        <v>168</v>
      </c>
      <c r="O1611" s="60">
        <v>0</v>
      </c>
      <c r="P1611" s="61">
        <v>-256</v>
      </c>
      <c r="Q1611" s="51">
        <f t="shared" si="35"/>
        <v>0</v>
      </c>
      <c r="R1611" s="31">
        <v>202310</v>
      </c>
      <c r="S1611" s="62" t="s">
        <v>2000</v>
      </c>
      <c r="T1611" s="33"/>
      <c r="U1611" s="58"/>
      <c r="V1611" s="58"/>
      <c r="W1611" s="63"/>
      <c r="X1611" s="63"/>
      <c r="Y1611" s="36"/>
      <c r="Z1611" s="36"/>
      <c r="AA1611" s="36"/>
      <c r="AB1611" s="36"/>
      <c r="AC1611" s="36"/>
      <c r="AD1611" s="36"/>
      <c r="AE1611" s="36"/>
      <c r="AF1611" s="40" t="s">
        <v>503</v>
      </c>
      <c r="AG1611" s="42"/>
      <c r="AH1611" s="42"/>
      <c r="AI1611" s="43"/>
      <c r="AJ1611" s="43"/>
      <c r="AK1611" s="43"/>
      <c r="AL1611" s="43"/>
      <c r="AM1611" s="43"/>
      <c r="AN1611" s="42"/>
      <c r="AO1611" s="42"/>
      <c r="AP1611" s="42"/>
      <c r="AQ1611" s="43"/>
      <c r="AR1611" s="42"/>
      <c r="AS1611" s="42" t="s">
        <v>1996</v>
      </c>
    </row>
    <row r="1612" spans="1:45" ht="15" customHeight="1">
      <c r="A1612" s="56" t="s">
        <v>260</v>
      </c>
      <c r="B1612" s="21" t="s">
        <v>46</v>
      </c>
      <c r="C1612" s="57" t="s">
        <v>814</v>
      </c>
      <c r="D1612" s="22" t="s">
        <v>48</v>
      </c>
      <c r="E1612" s="58" t="s">
        <v>1990</v>
      </c>
      <c r="F1612" s="56" t="s">
        <v>1991</v>
      </c>
      <c r="G1612" s="26" t="s">
        <v>77</v>
      </c>
      <c r="H1612" s="25" t="s">
        <v>1992</v>
      </c>
      <c r="I1612" s="26" t="s">
        <v>479</v>
      </c>
      <c r="J1612" s="56" t="s">
        <v>2001</v>
      </c>
      <c r="K1612" s="59" t="s">
        <v>1993</v>
      </c>
      <c r="L1612" s="48" t="s">
        <v>1994</v>
      </c>
      <c r="M1612" s="49">
        <v>41869</v>
      </c>
      <c r="N1612" s="49" t="s">
        <v>177</v>
      </c>
      <c r="O1612" s="60">
        <v>6000</v>
      </c>
      <c r="P1612" s="61">
        <v>16</v>
      </c>
      <c r="Q1612" s="51">
        <f t="shared" si="35"/>
        <v>96000</v>
      </c>
      <c r="R1612" s="31">
        <v>202310</v>
      </c>
      <c r="S1612" s="62" t="s">
        <v>2002</v>
      </c>
      <c r="T1612" s="33"/>
      <c r="U1612" s="58"/>
      <c r="V1612" s="58"/>
      <c r="W1612" s="63"/>
      <c r="X1612" s="63"/>
      <c r="Y1612" s="36"/>
      <c r="Z1612" s="36"/>
      <c r="AA1612" s="36"/>
      <c r="AB1612" s="36"/>
      <c r="AC1612" s="36"/>
      <c r="AD1612" s="36"/>
      <c r="AE1612" s="36"/>
      <c r="AF1612" s="40" t="s">
        <v>503</v>
      </c>
      <c r="AG1612" s="42"/>
      <c r="AH1612" s="42"/>
      <c r="AI1612" s="43"/>
      <c r="AJ1612" s="43"/>
      <c r="AK1612" s="43"/>
      <c r="AL1612" s="43"/>
      <c r="AM1612" s="43"/>
      <c r="AN1612" s="42"/>
      <c r="AO1612" s="42"/>
      <c r="AP1612" s="42"/>
      <c r="AQ1612" s="43"/>
      <c r="AR1612" s="42"/>
      <c r="AS1612" s="42" t="s">
        <v>1996</v>
      </c>
    </row>
    <row r="1613" spans="1:45" ht="15" customHeight="1">
      <c r="A1613" s="56" t="s">
        <v>260</v>
      </c>
      <c r="B1613" s="21" t="s">
        <v>46</v>
      </c>
      <c r="C1613" s="57" t="s">
        <v>814</v>
      </c>
      <c r="D1613" s="22" t="s">
        <v>48</v>
      </c>
      <c r="E1613" s="58" t="s">
        <v>1990</v>
      </c>
      <c r="F1613" s="56" t="s">
        <v>1991</v>
      </c>
      <c r="G1613" s="26" t="s">
        <v>77</v>
      </c>
      <c r="H1613" s="25" t="s">
        <v>1992</v>
      </c>
      <c r="I1613" s="26" t="s">
        <v>479</v>
      </c>
      <c r="J1613" s="56" t="s">
        <v>2001</v>
      </c>
      <c r="K1613" s="59" t="s">
        <v>1993</v>
      </c>
      <c r="L1613" s="48" t="s">
        <v>1994</v>
      </c>
      <c r="M1613" s="49">
        <v>43322</v>
      </c>
      <c r="N1613" s="49" t="s">
        <v>177</v>
      </c>
      <c r="O1613" s="60">
        <v>6000</v>
      </c>
      <c r="P1613" s="61">
        <v>4</v>
      </c>
      <c r="Q1613" s="51">
        <f t="shared" si="35"/>
        <v>24000</v>
      </c>
      <c r="R1613" s="31">
        <v>202310</v>
      </c>
      <c r="S1613" s="62" t="s">
        <v>2003</v>
      </c>
      <c r="T1613" s="33"/>
      <c r="U1613" s="58"/>
      <c r="V1613" s="58"/>
      <c r="W1613" s="63"/>
      <c r="X1613" s="63"/>
      <c r="Y1613" s="36"/>
      <c r="Z1613" s="36"/>
      <c r="AA1613" s="36"/>
      <c r="AB1613" s="36"/>
      <c r="AC1613" s="36"/>
      <c r="AD1613" s="36"/>
      <c r="AE1613" s="36"/>
      <c r="AF1613" s="40" t="s">
        <v>503</v>
      </c>
      <c r="AG1613" s="42"/>
      <c r="AH1613" s="42"/>
      <c r="AI1613" s="43"/>
      <c r="AJ1613" s="43"/>
      <c r="AK1613" s="43"/>
      <c r="AL1613" s="43"/>
      <c r="AM1613" s="43"/>
      <c r="AN1613" s="42"/>
      <c r="AO1613" s="42"/>
      <c r="AP1613" s="42"/>
      <c r="AQ1613" s="43"/>
      <c r="AR1613" s="42"/>
      <c r="AS1613" s="42" t="s">
        <v>1996</v>
      </c>
    </row>
    <row r="1614" spans="1:45" ht="15" customHeight="1">
      <c r="A1614" s="56" t="s">
        <v>260</v>
      </c>
      <c r="B1614" s="21" t="s">
        <v>46</v>
      </c>
      <c r="C1614" s="57" t="s">
        <v>814</v>
      </c>
      <c r="D1614" s="22" t="s">
        <v>48</v>
      </c>
      <c r="E1614" s="58" t="s">
        <v>1990</v>
      </c>
      <c r="F1614" s="56" t="s">
        <v>1991</v>
      </c>
      <c r="G1614" s="26" t="s">
        <v>77</v>
      </c>
      <c r="H1614" s="25" t="s">
        <v>1992</v>
      </c>
      <c r="I1614" s="26" t="s">
        <v>479</v>
      </c>
      <c r="J1614" s="56" t="s">
        <v>2001</v>
      </c>
      <c r="K1614" s="59" t="s">
        <v>1993</v>
      </c>
      <c r="L1614" s="48" t="s">
        <v>1994</v>
      </c>
      <c r="M1614" s="49">
        <v>43830</v>
      </c>
      <c r="N1614" s="49" t="s">
        <v>177</v>
      </c>
      <c r="O1614" s="60">
        <v>6000</v>
      </c>
      <c r="P1614" s="61">
        <v>-4</v>
      </c>
      <c r="Q1614" s="51">
        <f t="shared" si="35"/>
        <v>-24000</v>
      </c>
      <c r="R1614" s="31">
        <v>202310</v>
      </c>
      <c r="S1614" s="62" t="s">
        <v>2004</v>
      </c>
      <c r="T1614" s="33"/>
      <c r="U1614" s="58"/>
      <c r="V1614" s="58"/>
      <c r="W1614" s="63"/>
      <c r="X1614" s="63"/>
      <c r="Y1614" s="36"/>
      <c r="Z1614" s="36"/>
      <c r="AA1614" s="36"/>
      <c r="AB1614" s="36"/>
      <c r="AC1614" s="36"/>
      <c r="AD1614" s="36"/>
      <c r="AE1614" s="36"/>
      <c r="AF1614" s="40" t="s">
        <v>503</v>
      </c>
      <c r="AG1614" s="42"/>
      <c r="AH1614" s="42"/>
      <c r="AI1614" s="43"/>
      <c r="AJ1614" s="43"/>
      <c r="AK1614" s="43"/>
      <c r="AL1614" s="43"/>
      <c r="AM1614" s="43"/>
      <c r="AN1614" s="42"/>
      <c r="AO1614" s="42"/>
      <c r="AP1614" s="42"/>
      <c r="AQ1614" s="43"/>
      <c r="AR1614" s="42"/>
      <c r="AS1614" s="42" t="s">
        <v>1996</v>
      </c>
    </row>
    <row r="1615" spans="1:45" ht="15" customHeight="1">
      <c r="A1615" s="56" t="s">
        <v>260</v>
      </c>
      <c r="B1615" s="21" t="s">
        <v>46</v>
      </c>
      <c r="C1615" s="57" t="s">
        <v>814</v>
      </c>
      <c r="D1615" s="22" t="s">
        <v>48</v>
      </c>
      <c r="E1615" s="58" t="s">
        <v>1990</v>
      </c>
      <c r="F1615" s="56" t="s">
        <v>1991</v>
      </c>
      <c r="G1615" s="26" t="s">
        <v>77</v>
      </c>
      <c r="H1615" s="25" t="s">
        <v>1992</v>
      </c>
      <c r="I1615" s="26" t="s">
        <v>479</v>
      </c>
      <c r="J1615" s="56" t="s">
        <v>2001</v>
      </c>
      <c r="K1615" s="59" t="s">
        <v>1993</v>
      </c>
      <c r="L1615" s="48" t="s">
        <v>1994</v>
      </c>
      <c r="M1615" s="49">
        <v>43616</v>
      </c>
      <c r="N1615" s="49" t="s">
        <v>177</v>
      </c>
      <c r="O1615" s="60">
        <v>6000</v>
      </c>
      <c r="P1615" s="61">
        <v>-6</v>
      </c>
      <c r="Q1615" s="51">
        <f t="shared" si="35"/>
        <v>-36000</v>
      </c>
      <c r="R1615" s="31">
        <v>202310</v>
      </c>
      <c r="S1615" s="62" t="s">
        <v>2005</v>
      </c>
      <c r="T1615" s="33"/>
      <c r="U1615" s="58"/>
      <c r="V1615" s="58"/>
      <c r="W1615" s="63"/>
      <c r="X1615" s="63"/>
      <c r="Y1615" s="36"/>
      <c r="Z1615" s="36"/>
      <c r="AA1615" s="36"/>
      <c r="AB1615" s="36"/>
      <c r="AC1615" s="36"/>
      <c r="AD1615" s="36"/>
      <c r="AE1615" s="36"/>
      <c r="AF1615" s="40" t="s">
        <v>503</v>
      </c>
      <c r="AG1615" s="42"/>
      <c r="AH1615" s="42"/>
      <c r="AI1615" s="43"/>
      <c r="AJ1615" s="43"/>
      <c r="AK1615" s="43"/>
      <c r="AL1615" s="43"/>
      <c r="AM1615" s="43"/>
      <c r="AN1615" s="42"/>
      <c r="AO1615" s="42"/>
      <c r="AP1615" s="42"/>
      <c r="AQ1615" s="43"/>
      <c r="AR1615" s="42"/>
      <c r="AS1615" s="42" t="s">
        <v>1996</v>
      </c>
    </row>
    <row r="1616" spans="1:45" ht="15" customHeight="1">
      <c r="A1616" s="56" t="s">
        <v>260</v>
      </c>
      <c r="B1616" s="21" t="s">
        <v>46</v>
      </c>
      <c r="C1616" s="57" t="s">
        <v>814</v>
      </c>
      <c r="D1616" s="22" t="s">
        <v>48</v>
      </c>
      <c r="E1616" s="58" t="s">
        <v>1990</v>
      </c>
      <c r="F1616" s="56" t="s">
        <v>1991</v>
      </c>
      <c r="G1616" s="26" t="s">
        <v>77</v>
      </c>
      <c r="H1616" s="25" t="s">
        <v>1992</v>
      </c>
      <c r="I1616" s="26" t="s">
        <v>479</v>
      </c>
      <c r="J1616" s="56" t="s">
        <v>2001</v>
      </c>
      <c r="K1616" s="59" t="s">
        <v>1993</v>
      </c>
      <c r="L1616" s="48" t="s">
        <v>1994</v>
      </c>
      <c r="M1616" s="49">
        <v>44135</v>
      </c>
      <c r="N1616" s="49" t="s">
        <v>177</v>
      </c>
      <c r="O1616" s="60">
        <v>6000</v>
      </c>
      <c r="P1616" s="61">
        <v>-2</v>
      </c>
      <c r="Q1616" s="51">
        <f t="shared" si="35"/>
        <v>-12000</v>
      </c>
      <c r="R1616" s="31">
        <v>202310</v>
      </c>
      <c r="S1616" s="62" t="s">
        <v>2006</v>
      </c>
      <c r="T1616" s="33"/>
      <c r="U1616" s="58"/>
      <c r="V1616" s="58"/>
      <c r="W1616" s="63"/>
      <c r="X1616" s="63"/>
      <c r="Y1616" s="36"/>
      <c r="Z1616" s="36"/>
      <c r="AA1616" s="36"/>
      <c r="AB1616" s="36"/>
      <c r="AC1616" s="36"/>
      <c r="AD1616" s="36"/>
      <c r="AE1616" s="36"/>
      <c r="AF1616" s="40" t="s">
        <v>503</v>
      </c>
      <c r="AG1616" s="42"/>
      <c r="AH1616" s="42"/>
      <c r="AI1616" s="43"/>
      <c r="AJ1616" s="43"/>
      <c r="AK1616" s="43"/>
      <c r="AL1616" s="43"/>
      <c r="AM1616" s="43"/>
      <c r="AN1616" s="42"/>
      <c r="AO1616" s="42"/>
      <c r="AP1616" s="42"/>
      <c r="AQ1616" s="43"/>
      <c r="AR1616" s="42"/>
      <c r="AS1616" s="42" t="s">
        <v>1996</v>
      </c>
    </row>
    <row r="1617" spans="1:45" ht="15" customHeight="1">
      <c r="A1617" s="56" t="s">
        <v>260</v>
      </c>
      <c r="B1617" s="21" t="s">
        <v>46</v>
      </c>
      <c r="C1617" s="57" t="s">
        <v>814</v>
      </c>
      <c r="D1617" s="22" t="s">
        <v>48</v>
      </c>
      <c r="E1617" s="58" t="s">
        <v>1990</v>
      </c>
      <c r="F1617" s="56" t="s">
        <v>1991</v>
      </c>
      <c r="G1617" s="26" t="s">
        <v>77</v>
      </c>
      <c r="H1617" s="25" t="s">
        <v>1992</v>
      </c>
      <c r="I1617" s="26" t="s">
        <v>479</v>
      </c>
      <c r="J1617" s="56" t="s">
        <v>2001</v>
      </c>
      <c r="K1617" s="59" t="s">
        <v>1993</v>
      </c>
      <c r="L1617" s="48" t="s">
        <v>1994</v>
      </c>
      <c r="M1617" s="49">
        <v>44681</v>
      </c>
      <c r="N1617" s="49" t="s">
        <v>177</v>
      </c>
      <c r="O1617" s="60">
        <v>6000</v>
      </c>
      <c r="P1617" s="61">
        <v>-6</v>
      </c>
      <c r="Q1617" s="51">
        <f t="shared" si="35"/>
        <v>-36000</v>
      </c>
      <c r="R1617" s="31">
        <v>202310</v>
      </c>
      <c r="S1617" s="62" t="s">
        <v>2007</v>
      </c>
      <c r="T1617" s="33"/>
      <c r="U1617" s="58"/>
      <c r="V1617" s="58"/>
      <c r="W1617" s="63"/>
      <c r="X1617" s="63"/>
      <c r="Y1617" s="36"/>
      <c r="Z1617" s="36"/>
      <c r="AA1617" s="36"/>
      <c r="AB1617" s="36"/>
      <c r="AC1617" s="36"/>
      <c r="AD1617" s="36"/>
      <c r="AE1617" s="36"/>
      <c r="AF1617" s="40" t="s">
        <v>503</v>
      </c>
      <c r="AG1617" s="42"/>
      <c r="AH1617" s="42"/>
      <c r="AI1617" s="43"/>
      <c r="AJ1617" s="43"/>
      <c r="AK1617" s="43"/>
      <c r="AL1617" s="43"/>
      <c r="AM1617" s="43"/>
      <c r="AN1617" s="42"/>
      <c r="AO1617" s="42"/>
      <c r="AP1617" s="42"/>
      <c r="AQ1617" s="43"/>
      <c r="AR1617" s="42"/>
      <c r="AS1617" s="42" t="s">
        <v>1996</v>
      </c>
    </row>
    <row r="1618" spans="1:45" ht="15" customHeight="1">
      <c r="A1618" s="56" t="s">
        <v>260</v>
      </c>
      <c r="B1618" s="21" t="s">
        <v>46</v>
      </c>
      <c r="C1618" s="57" t="s">
        <v>814</v>
      </c>
      <c r="D1618" s="22" t="s">
        <v>48</v>
      </c>
      <c r="E1618" s="58" t="s">
        <v>1990</v>
      </c>
      <c r="F1618" s="56" t="s">
        <v>1991</v>
      </c>
      <c r="G1618" s="26" t="s">
        <v>77</v>
      </c>
      <c r="H1618" s="25" t="s">
        <v>1992</v>
      </c>
      <c r="I1618" s="26" t="s">
        <v>479</v>
      </c>
      <c r="J1618" s="56" t="s">
        <v>2001</v>
      </c>
      <c r="K1618" s="59" t="s">
        <v>1993</v>
      </c>
      <c r="L1618" s="48" t="s">
        <v>1994</v>
      </c>
      <c r="M1618" s="49">
        <v>44736</v>
      </c>
      <c r="N1618" s="49" t="s">
        <v>177</v>
      </c>
      <c r="O1618" s="60">
        <v>6000</v>
      </c>
      <c r="P1618" s="61">
        <v>-1</v>
      </c>
      <c r="Q1618" s="51">
        <f t="shared" si="35"/>
        <v>-6000</v>
      </c>
      <c r="R1618" s="31">
        <v>202310</v>
      </c>
      <c r="S1618" s="62" t="s">
        <v>2008</v>
      </c>
      <c r="T1618" s="33"/>
      <c r="U1618" s="58"/>
      <c r="V1618" s="58"/>
      <c r="W1618" s="63"/>
      <c r="X1618" s="63"/>
      <c r="Y1618" s="36"/>
      <c r="Z1618" s="36"/>
      <c r="AA1618" s="36"/>
      <c r="AB1618" s="36"/>
      <c r="AC1618" s="36"/>
      <c r="AD1618" s="36"/>
      <c r="AE1618" s="36"/>
      <c r="AF1618" s="40" t="s">
        <v>503</v>
      </c>
      <c r="AG1618" s="42"/>
      <c r="AH1618" s="42"/>
      <c r="AI1618" s="43"/>
      <c r="AJ1618" s="43"/>
      <c r="AK1618" s="43"/>
      <c r="AL1618" s="43"/>
      <c r="AM1618" s="43"/>
      <c r="AN1618" s="42"/>
      <c r="AO1618" s="42"/>
      <c r="AP1618" s="42"/>
      <c r="AQ1618" s="43"/>
      <c r="AR1618" s="42"/>
      <c r="AS1618" s="42" t="s">
        <v>1996</v>
      </c>
    </row>
    <row r="1619" spans="1:45" ht="15" customHeight="1">
      <c r="A1619" s="56" t="s">
        <v>260</v>
      </c>
      <c r="B1619" s="21" t="s">
        <v>46</v>
      </c>
      <c r="C1619" s="57" t="s">
        <v>814</v>
      </c>
      <c r="D1619" s="22" t="s">
        <v>48</v>
      </c>
      <c r="E1619" s="58" t="s">
        <v>1990</v>
      </c>
      <c r="F1619" s="56" t="s">
        <v>1991</v>
      </c>
      <c r="G1619" s="26" t="s">
        <v>77</v>
      </c>
      <c r="H1619" s="25" t="s">
        <v>1992</v>
      </c>
      <c r="I1619" s="26" t="s">
        <v>479</v>
      </c>
      <c r="J1619" s="56" t="s">
        <v>1997</v>
      </c>
      <c r="K1619" s="59" t="s">
        <v>1997</v>
      </c>
      <c r="L1619" s="48" t="s">
        <v>1998</v>
      </c>
      <c r="M1619" s="49">
        <v>44593</v>
      </c>
      <c r="N1619" s="49" t="s">
        <v>1310</v>
      </c>
      <c r="O1619" s="60">
        <v>0</v>
      </c>
      <c r="P1619" s="61">
        <v>3</v>
      </c>
      <c r="Q1619" s="51">
        <f t="shared" si="35"/>
        <v>0</v>
      </c>
      <c r="R1619" s="31">
        <v>202310</v>
      </c>
      <c r="S1619" s="62" t="s">
        <v>2009</v>
      </c>
      <c r="T1619" s="33"/>
      <c r="U1619" s="58"/>
      <c r="V1619" s="58"/>
      <c r="W1619" s="63"/>
      <c r="X1619" s="63"/>
      <c r="Y1619" s="36"/>
      <c r="Z1619" s="36"/>
      <c r="AA1619" s="36"/>
      <c r="AB1619" s="36"/>
      <c r="AC1619" s="36"/>
      <c r="AD1619" s="36"/>
      <c r="AE1619" s="36"/>
      <c r="AF1619" s="40" t="s">
        <v>503</v>
      </c>
      <c r="AG1619" s="42"/>
      <c r="AH1619" s="42"/>
      <c r="AI1619" s="43"/>
      <c r="AJ1619" s="43"/>
      <c r="AK1619" s="43"/>
      <c r="AL1619" s="43"/>
      <c r="AM1619" s="43"/>
      <c r="AN1619" s="42"/>
      <c r="AO1619" s="42"/>
      <c r="AP1619" s="42"/>
      <c r="AQ1619" s="43"/>
      <c r="AR1619" s="42"/>
      <c r="AS1619" s="42" t="s">
        <v>1996</v>
      </c>
    </row>
    <row r="1620" spans="1:45" ht="15" customHeight="1">
      <c r="A1620" s="56" t="s">
        <v>260</v>
      </c>
      <c r="B1620" s="21" t="s">
        <v>46</v>
      </c>
      <c r="C1620" s="57" t="s">
        <v>814</v>
      </c>
      <c r="D1620" s="22" t="s">
        <v>48</v>
      </c>
      <c r="E1620" s="58" t="s">
        <v>1990</v>
      </c>
      <c r="F1620" s="56" t="s">
        <v>1991</v>
      </c>
      <c r="G1620" s="26" t="s">
        <v>77</v>
      </c>
      <c r="H1620" s="25" t="s">
        <v>1992</v>
      </c>
      <c r="I1620" s="26" t="s">
        <v>479</v>
      </c>
      <c r="J1620" s="56" t="s">
        <v>1997</v>
      </c>
      <c r="K1620" s="59" t="s">
        <v>1997</v>
      </c>
      <c r="L1620" s="48" t="s">
        <v>1998</v>
      </c>
      <c r="M1620" s="49">
        <v>44651</v>
      </c>
      <c r="N1620" s="49" t="s">
        <v>1310</v>
      </c>
      <c r="O1620" s="60">
        <v>0</v>
      </c>
      <c r="P1620" s="61">
        <v>-3</v>
      </c>
      <c r="Q1620" s="51">
        <f t="shared" si="35"/>
        <v>0</v>
      </c>
      <c r="R1620" s="31">
        <v>202310</v>
      </c>
      <c r="S1620" s="62" t="s">
        <v>2010</v>
      </c>
      <c r="T1620" s="33"/>
      <c r="U1620" s="58"/>
      <c r="V1620" s="58"/>
      <c r="W1620" s="63"/>
      <c r="X1620" s="63"/>
      <c r="Y1620" s="36"/>
      <c r="Z1620" s="36"/>
      <c r="AA1620" s="36"/>
      <c r="AB1620" s="36"/>
      <c r="AC1620" s="36"/>
      <c r="AD1620" s="36"/>
      <c r="AE1620" s="36"/>
      <c r="AF1620" s="40" t="s">
        <v>503</v>
      </c>
      <c r="AG1620" s="42"/>
      <c r="AH1620" s="42"/>
      <c r="AI1620" s="43"/>
      <c r="AJ1620" s="43"/>
      <c r="AK1620" s="43"/>
      <c r="AL1620" s="43"/>
      <c r="AM1620" s="43"/>
      <c r="AN1620" s="42"/>
      <c r="AO1620" s="42"/>
      <c r="AP1620" s="42"/>
      <c r="AQ1620" s="43"/>
      <c r="AR1620" s="42"/>
      <c r="AS1620" s="42" t="s">
        <v>1996</v>
      </c>
    </row>
    <row r="1621" spans="1:45" ht="15" customHeight="1">
      <c r="A1621" s="21" t="s">
        <v>258</v>
      </c>
      <c r="B1621" s="21" t="s">
        <v>46</v>
      </c>
      <c r="C1621" s="21" t="s">
        <v>188</v>
      </c>
      <c r="D1621" s="21" t="s">
        <v>48</v>
      </c>
      <c r="E1621" s="80" t="s">
        <v>2011</v>
      </c>
      <c r="F1621" s="65" t="s">
        <v>2012</v>
      </c>
      <c r="G1621" s="101" t="s">
        <v>62</v>
      </c>
      <c r="H1621" s="25" t="s">
        <v>2013</v>
      </c>
      <c r="I1621" s="24" t="s">
        <v>64</v>
      </c>
      <c r="J1621" s="47" t="s">
        <v>2014</v>
      </c>
      <c r="K1621" s="104"/>
      <c r="L1621" s="48"/>
      <c r="M1621" s="27">
        <v>43332</v>
      </c>
      <c r="N1621" s="49" t="s">
        <v>66</v>
      </c>
      <c r="O1621" s="61">
        <v>400</v>
      </c>
      <c r="P1621" s="29">
        <v>913.36</v>
      </c>
      <c r="Q1621" s="51">
        <f t="shared" si="35"/>
        <v>365344</v>
      </c>
      <c r="R1621" s="31">
        <v>202310</v>
      </c>
      <c r="S1621" s="54" t="s">
        <v>2015</v>
      </c>
      <c r="T1621" s="33"/>
      <c r="U1621" s="54"/>
      <c r="V1621" s="54"/>
      <c r="W1621" s="67"/>
      <c r="X1621" s="67"/>
      <c r="Y1621" s="36">
        <v>44958</v>
      </c>
      <c r="Z1621" s="36">
        <v>45322</v>
      </c>
      <c r="AA1621" s="36"/>
      <c r="AB1621" s="36"/>
      <c r="AC1621" s="36"/>
      <c r="AD1621" s="36"/>
      <c r="AE1621" s="36"/>
      <c r="AF1621" s="53" t="s">
        <v>68</v>
      </c>
      <c r="AG1621" s="42"/>
      <c r="AH1621" s="42"/>
      <c r="AI1621" s="43"/>
      <c r="AJ1621" s="43"/>
      <c r="AK1621" s="43"/>
      <c r="AL1621" s="43"/>
      <c r="AM1621" s="43"/>
      <c r="AN1621" s="42"/>
      <c r="AO1621" s="42"/>
      <c r="AP1621" s="42"/>
      <c r="AQ1621" s="43"/>
      <c r="AR1621" s="42"/>
      <c r="AS1621" s="42"/>
    </row>
    <row r="1622" spans="1:45" ht="15" customHeight="1">
      <c r="A1622" s="21" t="s">
        <v>258</v>
      </c>
      <c r="B1622" s="21" t="s">
        <v>46</v>
      </c>
      <c r="C1622" s="21" t="s">
        <v>188</v>
      </c>
      <c r="D1622" s="21" t="s">
        <v>48</v>
      </c>
      <c r="E1622" s="80" t="s">
        <v>2011</v>
      </c>
      <c r="F1622" s="65" t="s">
        <v>2012</v>
      </c>
      <c r="G1622" s="101" t="s">
        <v>62</v>
      </c>
      <c r="H1622" s="25" t="s">
        <v>2013</v>
      </c>
      <c r="I1622" s="24" t="s">
        <v>64</v>
      </c>
      <c r="J1622" s="47" t="s">
        <v>2016</v>
      </c>
      <c r="K1622" s="104"/>
      <c r="L1622" s="48"/>
      <c r="M1622" s="27">
        <v>43332</v>
      </c>
      <c r="N1622" s="49" t="s">
        <v>66</v>
      </c>
      <c r="O1622" s="61">
        <v>400</v>
      </c>
      <c r="P1622" s="29">
        <v>939.79</v>
      </c>
      <c r="Q1622" s="51">
        <f t="shared" si="35"/>
        <v>375916</v>
      </c>
      <c r="R1622" s="31">
        <v>202310</v>
      </c>
      <c r="S1622" s="54" t="s">
        <v>2017</v>
      </c>
      <c r="T1622" s="33"/>
      <c r="U1622" s="54"/>
      <c r="V1622" s="54"/>
      <c r="W1622" s="67"/>
      <c r="X1622" s="67"/>
      <c r="Y1622" s="36">
        <v>44958</v>
      </c>
      <c r="Z1622" s="36">
        <v>45322</v>
      </c>
      <c r="AA1622" s="36"/>
      <c r="AB1622" s="36"/>
      <c r="AC1622" s="36"/>
      <c r="AD1622" s="36"/>
      <c r="AE1622" s="36"/>
      <c r="AF1622" s="53" t="s">
        <v>68</v>
      </c>
      <c r="AG1622" s="42"/>
      <c r="AH1622" s="42"/>
      <c r="AI1622" s="43"/>
      <c r="AJ1622" s="43"/>
      <c r="AK1622" s="43"/>
      <c r="AL1622" s="43"/>
      <c r="AM1622" s="43"/>
      <c r="AN1622" s="42"/>
      <c r="AO1622" s="42"/>
      <c r="AP1622" s="42"/>
      <c r="AQ1622" s="43"/>
      <c r="AR1622" s="42"/>
      <c r="AS1622" s="42"/>
    </row>
    <row r="1623" spans="1:45" ht="15" customHeight="1">
      <c r="A1623" s="21" t="s">
        <v>258</v>
      </c>
      <c r="B1623" s="21" t="s">
        <v>46</v>
      </c>
      <c r="C1623" s="21" t="s">
        <v>188</v>
      </c>
      <c r="D1623" s="21" t="s">
        <v>48</v>
      </c>
      <c r="E1623" s="80" t="s">
        <v>2011</v>
      </c>
      <c r="F1623" s="65" t="s">
        <v>2012</v>
      </c>
      <c r="G1623" s="101" t="s">
        <v>62</v>
      </c>
      <c r="H1623" s="25" t="s">
        <v>2013</v>
      </c>
      <c r="I1623" s="24" t="s">
        <v>64</v>
      </c>
      <c r="J1623" s="47" t="s">
        <v>2018</v>
      </c>
      <c r="K1623" s="104"/>
      <c r="L1623" s="48"/>
      <c r="M1623" s="27">
        <v>44228</v>
      </c>
      <c r="N1623" s="49" t="s">
        <v>66</v>
      </c>
      <c r="O1623" s="61">
        <v>400</v>
      </c>
      <c r="P1623" s="29">
        <v>64.17</v>
      </c>
      <c r="Q1623" s="51">
        <f t="shared" si="35"/>
        <v>25668</v>
      </c>
      <c r="R1623" s="31">
        <v>202310</v>
      </c>
      <c r="S1623" s="54" t="s">
        <v>2019</v>
      </c>
      <c r="T1623" s="33"/>
      <c r="U1623" s="54"/>
      <c r="V1623" s="54"/>
      <c r="W1623" s="67"/>
      <c r="X1623" s="67"/>
      <c r="Y1623" s="36">
        <v>44958</v>
      </c>
      <c r="Z1623" s="36">
        <v>45322</v>
      </c>
      <c r="AA1623" s="36"/>
      <c r="AB1623" s="36"/>
      <c r="AC1623" s="36"/>
      <c r="AD1623" s="36"/>
      <c r="AE1623" s="36"/>
      <c r="AF1623" s="53" t="s">
        <v>68</v>
      </c>
      <c r="AG1623" s="42"/>
      <c r="AH1623" s="42"/>
      <c r="AI1623" s="43"/>
      <c r="AJ1623" s="43"/>
      <c r="AK1623" s="43"/>
      <c r="AL1623" s="43"/>
      <c r="AM1623" s="43"/>
      <c r="AN1623" s="42"/>
      <c r="AO1623" s="42"/>
      <c r="AP1623" s="42"/>
      <c r="AQ1623" s="43"/>
      <c r="AR1623" s="42"/>
      <c r="AS1623" s="42"/>
    </row>
    <row r="1624" spans="1:45" ht="15" customHeight="1">
      <c r="A1624" s="21" t="s">
        <v>258</v>
      </c>
      <c r="B1624" s="21" t="s">
        <v>46</v>
      </c>
      <c r="C1624" s="21" t="s">
        <v>188</v>
      </c>
      <c r="D1624" s="21" t="s">
        <v>48</v>
      </c>
      <c r="E1624" s="80" t="s">
        <v>2011</v>
      </c>
      <c r="F1624" s="65" t="s">
        <v>2012</v>
      </c>
      <c r="G1624" s="101" t="s">
        <v>62</v>
      </c>
      <c r="H1624" s="25" t="s">
        <v>2013</v>
      </c>
      <c r="I1624" s="24" t="s">
        <v>64</v>
      </c>
      <c r="J1624" s="47" t="s">
        <v>2020</v>
      </c>
      <c r="K1624" s="104"/>
      <c r="L1624" s="48"/>
      <c r="M1624" s="27">
        <v>44783</v>
      </c>
      <c r="N1624" s="49" t="s">
        <v>66</v>
      </c>
      <c r="O1624" s="61">
        <v>400</v>
      </c>
      <c r="P1624" s="29">
        <v>30.9</v>
      </c>
      <c r="Q1624" s="51">
        <f t="shared" si="35"/>
        <v>12360</v>
      </c>
      <c r="R1624" s="31">
        <v>202310</v>
      </c>
      <c r="S1624" s="54" t="s">
        <v>2021</v>
      </c>
      <c r="T1624" s="33"/>
      <c r="U1624" s="54"/>
      <c r="V1624" s="54"/>
      <c r="W1624" s="67"/>
      <c r="X1624" s="67"/>
      <c r="Y1624" s="36">
        <v>44958</v>
      </c>
      <c r="Z1624" s="36">
        <v>45322</v>
      </c>
      <c r="AA1624" s="36"/>
      <c r="AB1624" s="36"/>
      <c r="AC1624" s="36"/>
      <c r="AD1624" s="36"/>
      <c r="AE1624" s="36"/>
      <c r="AF1624" s="53" t="s">
        <v>68</v>
      </c>
      <c r="AG1624" s="42"/>
      <c r="AH1624" s="42"/>
      <c r="AI1624" s="43"/>
      <c r="AJ1624" s="43"/>
      <c r="AK1624" s="43"/>
      <c r="AL1624" s="43"/>
      <c r="AM1624" s="43"/>
      <c r="AN1624" s="42"/>
      <c r="AO1624" s="42"/>
      <c r="AP1624" s="42"/>
      <c r="AQ1624" s="43"/>
      <c r="AR1624" s="42"/>
      <c r="AS1624" s="42"/>
    </row>
    <row r="1625" spans="1:45" ht="15" customHeight="1">
      <c r="A1625" s="21" t="s">
        <v>258</v>
      </c>
      <c r="B1625" s="21" t="s">
        <v>46</v>
      </c>
      <c r="C1625" s="21" t="s">
        <v>188</v>
      </c>
      <c r="D1625" s="21" t="s">
        <v>48</v>
      </c>
      <c r="E1625" s="80" t="s">
        <v>2011</v>
      </c>
      <c r="F1625" s="65" t="s">
        <v>2012</v>
      </c>
      <c r="G1625" s="101" t="s">
        <v>297</v>
      </c>
      <c r="H1625" s="25" t="s">
        <v>2013</v>
      </c>
      <c r="I1625" s="24" t="s">
        <v>298</v>
      </c>
      <c r="J1625" s="47" t="s">
        <v>2014</v>
      </c>
      <c r="K1625" s="104"/>
      <c r="L1625" s="48"/>
      <c r="M1625" s="27">
        <v>43332</v>
      </c>
      <c r="N1625" s="49"/>
      <c r="O1625" s="61">
        <v>3500</v>
      </c>
      <c r="P1625" s="106">
        <v>9</v>
      </c>
      <c r="Q1625" s="51">
        <f t="shared" si="35"/>
        <v>31500</v>
      </c>
      <c r="R1625" s="31">
        <v>202310</v>
      </c>
      <c r="S1625" s="54" t="s">
        <v>2022</v>
      </c>
      <c r="T1625" s="33"/>
      <c r="U1625" s="54"/>
      <c r="V1625" s="54"/>
      <c r="W1625" s="67"/>
      <c r="X1625" s="67"/>
      <c r="Y1625" s="36">
        <v>44958</v>
      </c>
      <c r="Z1625" s="36">
        <v>45322</v>
      </c>
      <c r="AA1625" s="36"/>
      <c r="AB1625" s="36"/>
      <c r="AC1625" s="36"/>
      <c r="AD1625" s="36"/>
      <c r="AE1625" s="36"/>
      <c r="AF1625" s="53" t="s">
        <v>68</v>
      </c>
      <c r="AG1625" s="42"/>
      <c r="AH1625" s="42"/>
      <c r="AI1625" s="43"/>
      <c r="AJ1625" s="43"/>
      <c r="AK1625" s="43"/>
      <c r="AL1625" s="43"/>
      <c r="AM1625" s="43"/>
      <c r="AN1625" s="42"/>
      <c r="AO1625" s="42"/>
      <c r="AP1625" s="42"/>
      <c r="AQ1625" s="43"/>
      <c r="AR1625" s="42"/>
      <c r="AS1625" s="42"/>
    </row>
    <row r="1626" spans="1:45" ht="15" customHeight="1">
      <c r="A1626" s="21" t="s">
        <v>258</v>
      </c>
      <c r="B1626" s="21" t="s">
        <v>46</v>
      </c>
      <c r="C1626" s="21" t="s">
        <v>188</v>
      </c>
      <c r="D1626" s="21" t="s">
        <v>48</v>
      </c>
      <c r="E1626" s="80" t="s">
        <v>2011</v>
      </c>
      <c r="F1626" s="65" t="s">
        <v>2012</v>
      </c>
      <c r="G1626" s="101" t="s">
        <v>297</v>
      </c>
      <c r="H1626" s="25" t="s">
        <v>2013</v>
      </c>
      <c r="I1626" s="24" t="s">
        <v>298</v>
      </c>
      <c r="J1626" s="47" t="s">
        <v>2016</v>
      </c>
      <c r="K1626" s="104"/>
      <c r="L1626" s="48"/>
      <c r="M1626" s="27">
        <v>43332</v>
      </c>
      <c r="N1626" s="49"/>
      <c r="O1626" s="61">
        <v>3500</v>
      </c>
      <c r="P1626" s="106">
        <v>6</v>
      </c>
      <c r="Q1626" s="51">
        <f t="shared" si="35"/>
        <v>21000</v>
      </c>
      <c r="R1626" s="31">
        <v>202310</v>
      </c>
      <c r="S1626" s="54" t="s">
        <v>2023</v>
      </c>
      <c r="T1626" s="33"/>
      <c r="U1626" s="54"/>
      <c r="V1626" s="54"/>
      <c r="W1626" s="67"/>
      <c r="X1626" s="67"/>
      <c r="Y1626" s="36">
        <v>44958</v>
      </c>
      <c r="Z1626" s="36">
        <v>45322</v>
      </c>
      <c r="AA1626" s="36"/>
      <c r="AB1626" s="36"/>
      <c r="AC1626" s="36"/>
      <c r="AD1626" s="36"/>
      <c r="AE1626" s="36"/>
      <c r="AF1626" s="53" t="s">
        <v>68</v>
      </c>
      <c r="AG1626" s="42"/>
      <c r="AH1626" s="42"/>
      <c r="AI1626" s="43"/>
      <c r="AJ1626" s="43"/>
      <c r="AK1626" s="43"/>
      <c r="AL1626" s="43"/>
      <c r="AM1626" s="43"/>
      <c r="AN1626" s="42"/>
      <c r="AO1626" s="42"/>
      <c r="AP1626" s="42"/>
      <c r="AQ1626" s="43"/>
      <c r="AR1626" s="42"/>
      <c r="AS1626" s="42"/>
    </row>
    <row r="1627" spans="1:45" ht="15" customHeight="1">
      <c r="A1627" s="135" t="s">
        <v>258</v>
      </c>
      <c r="B1627" s="136" t="s">
        <v>837</v>
      </c>
      <c r="C1627" s="136" t="s">
        <v>838</v>
      </c>
      <c r="D1627" s="136" t="s">
        <v>48</v>
      </c>
      <c r="E1627" s="137" t="s">
        <v>2024</v>
      </c>
      <c r="F1627" s="135" t="s">
        <v>2025</v>
      </c>
      <c r="G1627" s="135" t="s">
        <v>77</v>
      </c>
      <c r="H1627" s="26" t="s">
        <v>2026</v>
      </c>
      <c r="I1627" s="102" t="s">
        <v>479</v>
      </c>
      <c r="J1627" s="135" t="s">
        <v>865</v>
      </c>
      <c r="K1627" s="146" t="s">
        <v>2027</v>
      </c>
      <c r="L1627" s="48" t="s">
        <v>2028</v>
      </c>
      <c r="M1627" s="49">
        <v>41982</v>
      </c>
      <c r="N1627" s="49" t="s">
        <v>90</v>
      </c>
      <c r="O1627" s="139">
        <v>3500</v>
      </c>
      <c r="P1627" s="140">
        <v>1</v>
      </c>
      <c r="Q1627" s="141">
        <f t="shared" si="35"/>
        <v>3500</v>
      </c>
      <c r="R1627" s="31">
        <v>202310</v>
      </c>
      <c r="S1627" s="108" t="s">
        <v>2029</v>
      </c>
      <c r="T1627" s="33"/>
      <c r="U1627" s="108"/>
      <c r="V1627" s="142"/>
      <c r="W1627" s="143"/>
      <c r="X1627" s="139"/>
      <c r="Y1627" s="36">
        <v>43915</v>
      </c>
      <c r="Z1627" s="36">
        <v>45382</v>
      </c>
      <c r="AA1627" s="49"/>
      <c r="AB1627" s="49"/>
      <c r="AC1627" s="49"/>
      <c r="AD1627" s="49"/>
      <c r="AE1627" s="49"/>
      <c r="AF1627" s="144" t="s">
        <v>503</v>
      </c>
      <c r="AG1627" s="144"/>
      <c r="AH1627" s="144"/>
      <c r="AI1627" s="42"/>
      <c r="AJ1627" s="43"/>
      <c r="AK1627" s="43"/>
      <c r="AL1627" s="43"/>
      <c r="AM1627" s="43"/>
      <c r="AN1627" s="42"/>
      <c r="AO1627" s="145"/>
      <c r="AP1627" s="42"/>
      <c r="AQ1627" s="42"/>
      <c r="AR1627" s="42"/>
      <c r="AS1627" s="42"/>
    </row>
    <row r="1628" spans="1:45" ht="15" customHeight="1">
      <c r="A1628" s="135" t="s">
        <v>258</v>
      </c>
      <c r="B1628" s="136" t="s">
        <v>837</v>
      </c>
      <c r="C1628" s="136" t="s">
        <v>838</v>
      </c>
      <c r="D1628" s="136" t="s">
        <v>48</v>
      </c>
      <c r="E1628" s="137" t="s">
        <v>2024</v>
      </c>
      <c r="F1628" s="135" t="s">
        <v>2025</v>
      </c>
      <c r="G1628" s="135" t="s">
        <v>77</v>
      </c>
      <c r="H1628" s="26" t="s">
        <v>2026</v>
      </c>
      <c r="I1628" s="102" t="s">
        <v>479</v>
      </c>
      <c r="J1628" s="135" t="s">
        <v>865</v>
      </c>
      <c r="K1628" s="146" t="s">
        <v>2027</v>
      </c>
      <c r="L1628" s="48" t="s">
        <v>2028</v>
      </c>
      <c r="M1628" s="49"/>
      <c r="N1628" s="49" t="s">
        <v>90</v>
      </c>
      <c r="O1628" s="139">
        <v>0</v>
      </c>
      <c r="P1628" s="140">
        <v>8</v>
      </c>
      <c r="Q1628" s="141">
        <f t="shared" si="35"/>
        <v>0</v>
      </c>
      <c r="R1628" s="31">
        <v>202310</v>
      </c>
      <c r="S1628" s="108" t="s">
        <v>2030</v>
      </c>
      <c r="T1628" s="33"/>
      <c r="U1628" s="108"/>
      <c r="V1628" s="142"/>
      <c r="W1628" s="143"/>
      <c r="X1628" s="139"/>
      <c r="Y1628" s="36">
        <v>43915</v>
      </c>
      <c r="Z1628" s="36">
        <v>45382</v>
      </c>
      <c r="AA1628" s="49"/>
      <c r="AB1628" s="49"/>
      <c r="AC1628" s="49"/>
      <c r="AD1628" s="49"/>
      <c r="AE1628" s="49"/>
      <c r="AF1628" s="144" t="s">
        <v>503</v>
      </c>
      <c r="AG1628" s="144"/>
      <c r="AH1628" s="144"/>
      <c r="AI1628" s="42"/>
      <c r="AJ1628" s="43"/>
      <c r="AK1628" s="43"/>
      <c r="AL1628" s="43"/>
      <c r="AM1628" s="43"/>
      <c r="AN1628" s="42"/>
      <c r="AO1628" s="145"/>
      <c r="AP1628" s="42"/>
      <c r="AQ1628" s="42"/>
      <c r="AR1628" s="42"/>
      <c r="AS1628" s="42"/>
    </row>
    <row r="1629" spans="1:45" ht="15" customHeight="1">
      <c r="A1629" s="135" t="s">
        <v>258</v>
      </c>
      <c r="B1629" s="136" t="s">
        <v>837</v>
      </c>
      <c r="C1629" s="136" t="s">
        <v>838</v>
      </c>
      <c r="D1629" s="136" t="s">
        <v>48</v>
      </c>
      <c r="E1629" s="137" t="s">
        <v>2024</v>
      </c>
      <c r="F1629" s="135" t="s">
        <v>2025</v>
      </c>
      <c r="G1629" s="135" t="s">
        <v>77</v>
      </c>
      <c r="H1629" s="26" t="s">
        <v>2026</v>
      </c>
      <c r="I1629" s="102" t="s">
        <v>479</v>
      </c>
      <c r="J1629" s="135" t="s">
        <v>2031</v>
      </c>
      <c r="K1629" s="146" t="s">
        <v>2027</v>
      </c>
      <c r="L1629" s="48" t="s">
        <v>2032</v>
      </c>
      <c r="M1629" s="49">
        <v>42993</v>
      </c>
      <c r="N1629" s="49" t="s">
        <v>90</v>
      </c>
      <c r="O1629" s="139">
        <v>0</v>
      </c>
      <c r="P1629" s="140">
        <v>2</v>
      </c>
      <c r="Q1629" s="141">
        <f t="shared" si="35"/>
        <v>0</v>
      </c>
      <c r="R1629" s="31">
        <v>202310</v>
      </c>
      <c r="S1629" s="108" t="s">
        <v>2033</v>
      </c>
      <c r="T1629" s="33"/>
      <c r="U1629" s="108"/>
      <c r="V1629" s="142"/>
      <c r="W1629" s="143"/>
      <c r="X1629" s="139"/>
      <c r="Y1629" s="36">
        <v>43915</v>
      </c>
      <c r="Z1629" s="36">
        <v>45382</v>
      </c>
      <c r="AA1629" s="49"/>
      <c r="AB1629" s="49"/>
      <c r="AC1629" s="49"/>
      <c r="AD1629" s="49"/>
      <c r="AE1629" s="49"/>
      <c r="AF1629" s="144" t="s">
        <v>503</v>
      </c>
      <c r="AG1629" s="144"/>
      <c r="AH1629" s="144"/>
      <c r="AI1629" s="42"/>
      <c r="AJ1629" s="43"/>
      <c r="AK1629" s="43"/>
      <c r="AL1629" s="43"/>
      <c r="AM1629" s="43"/>
      <c r="AN1629" s="42"/>
      <c r="AO1629" s="145"/>
      <c r="AP1629" s="42"/>
      <c r="AQ1629" s="42"/>
      <c r="AR1629" s="42"/>
      <c r="AS1629" s="42"/>
    </row>
    <row r="1630" spans="1:45" ht="15" customHeight="1">
      <c r="A1630" s="135" t="s">
        <v>258</v>
      </c>
      <c r="B1630" s="136" t="s">
        <v>837</v>
      </c>
      <c r="C1630" s="136" t="s">
        <v>838</v>
      </c>
      <c r="D1630" s="136" t="s">
        <v>48</v>
      </c>
      <c r="E1630" s="137" t="s">
        <v>2024</v>
      </c>
      <c r="F1630" s="135" t="s">
        <v>2025</v>
      </c>
      <c r="G1630" s="135" t="s">
        <v>77</v>
      </c>
      <c r="H1630" s="26" t="s">
        <v>2026</v>
      </c>
      <c r="I1630" s="102" t="s">
        <v>479</v>
      </c>
      <c r="J1630" s="135" t="s">
        <v>865</v>
      </c>
      <c r="K1630" s="146" t="s">
        <v>2027</v>
      </c>
      <c r="L1630" s="48" t="s">
        <v>2032</v>
      </c>
      <c r="M1630" s="49"/>
      <c r="N1630" s="49" t="s">
        <v>90</v>
      </c>
      <c r="O1630" s="139">
        <v>0</v>
      </c>
      <c r="P1630" s="140">
        <v>3</v>
      </c>
      <c r="Q1630" s="141">
        <f t="shared" si="35"/>
        <v>0</v>
      </c>
      <c r="R1630" s="31">
        <v>202310</v>
      </c>
      <c r="S1630" s="108" t="s">
        <v>2034</v>
      </c>
      <c r="T1630" s="33"/>
      <c r="U1630" s="108"/>
      <c r="V1630" s="142"/>
      <c r="W1630" s="143"/>
      <c r="X1630" s="139"/>
      <c r="Y1630" s="36">
        <v>43915</v>
      </c>
      <c r="Z1630" s="36">
        <v>45382</v>
      </c>
      <c r="AA1630" s="49"/>
      <c r="AB1630" s="49"/>
      <c r="AC1630" s="49"/>
      <c r="AD1630" s="49"/>
      <c r="AE1630" s="49"/>
      <c r="AF1630" s="144" t="s">
        <v>503</v>
      </c>
      <c r="AG1630" s="144"/>
      <c r="AH1630" s="144"/>
      <c r="AI1630" s="42"/>
      <c r="AJ1630" s="43"/>
      <c r="AK1630" s="43"/>
      <c r="AL1630" s="43"/>
      <c r="AM1630" s="43"/>
      <c r="AN1630" s="42"/>
      <c r="AO1630" s="145"/>
      <c r="AP1630" s="42"/>
      <c r="AQ1630" s="42"/>
      <c r="AR1630" s="42"/>
      <c r="AS1630" s="42"/>
    </row>
    <row r="1631" spans="1:45" ht="15" customHeight="1">
      <c r="A1631" s="135" t="s">
        <v>258</v>
      </c>
      <c r="B1631" s="136" t="s">
        <v>837</v>
      </c>
      <c r="C1631" s="136" t="s">
        <v>838</v>
      </c>
      <c r="D1631" s="136" t="s">
        <v>48</v>
      </c>
      <c r="E1631" s="137" t="s">
        <v>2024</v>
      </c>
      <c r="F1631" s="135" t="s">
        <v>2025</v>
      </c>
      <c r="G1631" s="135" t="s">
        <v>77</v>
      </c>
      <c r="H1631" s="26" t="s">
        <v>2026</v>
      </c>
      <c r="I1631" s="102" t="s">
        <v>479</v>
      </c>
      <c r="J1631" s="135" t="s">
        <v>865</v>
      </c>
      <c r="K1631" s="146" t="s">
        <v>2027</v>
      </c>
      <c r="L1631" s="48" t="s">
        <v>2028</v>
      </c>
      <c r="M1631" s="49">
        <v>43770</v>
      </c>
      <c r="N1631" s="49" t="s">
        <v>90</v>
      </c>
      <c r="O1631" s="139">
        <v>0</v>
      </c>
      <c r="P1631" s="140">
        <v>-4</v>
      </c>
      <c r="Q1631" s="141">
        <f t="shared" si="35"/>
        <v>0</v>
      </c>
      <c r="R1631" s="31">
        <v>202310</v>
      </c>
      <c r="S1631" s="108" t="s">
        <v>2035</v>
      </c>
      <c r="T1631" s="33"/>
      <c r="U1631" s="108"/>
      <c r="V1631" s="142"/>
      <c r="W1631" s="143"/>
      <c r="X1631" s="139"/>
      <c r="Y1631" s="36">
        <v>43915</v>
      </c>
      <c r="Z1631" s="36">
        <v>45382</v>
      </c>
      <c r="AA1631" s="49"/>
      <c r="AB1631" s="49"/>
      <c r="AC1631" s="49"/>
      <c r="AD1631" s="49"/>
      <c r="AE1631" s="49"/>
      <c r="AF1631" s="144" t="s">
        <v>503</v>
      </c>
      <c r="AG1631" s="144"/>
      <c r="AH1631" s="144"/>
      <c r="AI1631" s="42"/>
      <c r="AJ1631" s="43"/>
      <c r="AK1631" s="43"/>
      <c r="AL1631" s="43"/>
      <c r="AM1631" s="43"/>
      <c r="AN1631" s="42"/>
      <c r="AO1631" s="145"/>
      <c r="AP1631" s="42"/>
      <c r="AQ1631" s="42"/>
      <c r="AR1631" s="42"/>
      <c r="AS1631" s="42"/>
    </row>
    <row r="1632" spans="1:45" ht="15" customHeight="1">
      <c r="A1632" s="135" t="s">
        <v>258</v>
      </c>
      <c r="B1632" s="136" t="s">
        <v>837</v>
      </c>
      <c r="C1632" s="136" t="s">
        <v>838</v>
      </c>
      <c r="D1632" s="136" t="s">
        <v>48</v>
      </c>
      <c r="E1632" s="137" t="s">
        <v>2024</v>
      </c>
      <c r="F1632" s="135" t="s">
        <v>2025</v>
      </c>
      <c r="G1632" s="135" t="s">
        <v>77</v>
      </c>
      <c r="H1632" s="26" t="s">
        <v>2026</v>
      </c>
      <c r="I1632" s="102" t="s">
        <v>479</v>
      </c>
      <c r="J1632" s="135" t="s">
        <v>865</v>
      </c>
      <c r="K1632" s="146" t="s">
        <v>2027</v>
      </c>
      <c r="L1632" s="48" t="s">
        <v>2028</v>
      </c>
      <c r="M1632" s="49">
        <v>43770</v>
      </c>
      <c r="N1632" s="49" t="s">
        <v>90</v>
      </c>
      <c r="O1632" s="139">
        <v>0</v>
      </c>
      <c r="P1632" s="140">
        <v>-2</v>
      </c>
      <c r="Q1632" s="141">
        <f t="shared" si="35"/>
        <v>0</v>
      </c>
      <c r="R1632" s="31">
        <v>202310</v>
      </c>
      <c r="S1632" s="108" t="s">
        <v>2036</v>
      </c>
      <c r="T1632" s="33"/>
      <c r="U1632" s="108"/>
      <c r="V1632" s="142"/>
      <c r="W1632" s="143"/>
      <c r="X1632" s="139"/>
      <c r="Y1632" s="36">
        <v>43915</v>
      </c>
      <c r="Z1632" s="36">
        <v>45382</v>
      </c>
      <c r="AA1632" s="49"/>
      <c r="AB1632" s="49"/>
      <c r="AC1632" s="49"/>
      <c r="AD1632" s="49"/>
      <c r="AE1632" s="49"/>
      <c r="AF1632" s="144" t="s">
        <v>503</v>
      </c>
      <c r="AG1632" s="144"/>
      <c r="AH1632" s="144"/>
      <c r="AI1632" s="42"/>
      <c r="AJ1632" s="43"/>
      <c r="AK1632" s="43"/>
      <c r="AL1632" s="43"/>
      <c r="AM1632" s="43"/>
      <c r="AN1632" s="42"/>
      <c r="AO1632" s="145"/>
      <c r="AP1632" s="42"/>
      <c r="AQ1632" s="42"/>
      <c r="AR1632" s="42"/>
      <c r="AS1632" s="42"/>
    </row>
    <row r="1633" spans="1:45" ht="15" customHeight="1">
      <c r="A1633" s="135" t="s">
        <v>258</v>
      </c>
      <c r="B1633" s="136" t="s">
        <v>837</v>
      </c>
      <c r="C1633" s="136" t="s">
        <v>838</v>
      </c>
      <c r="D1633" s="136" t="s">
        <v>48</v>
      </c>
      <c r="E1633" s="137" t="s">
        <v>2024</v>
      </c>
      <c r="F1633" s="135" t="s">
        <v>2025</v>
      </c>
      <c r="G1633" s="135" t="s">
        <v>77</v>
      </c>
      <c r="H1633" s="26" t="s">
        <v>2026</v>
      </c>
      <c r="I1633" s="102" t="s">
        <v>479</v>
      </c>
      <c r="J1633" s="135" t="s">
        <v>865</v>
      </c>
      <c r="K1633" s="146" t="s">
        <v>2027</v>
      </c>
      <c r="L1633" s="48" t="s">
        <v>2028</v>
      </c>
      <c r="M1633" s="49">
        <v>43861</v>
      </c>
      <c r="N1633" s="49" t="s">
        <v>90</v>
      </c>
      <c r="O1633" s="139">
        <v>0</v>
      </c>
      <c r="P1633" s="140">
        <v>-5</v>
      </c>
      <c r="Q1633" s="141">
        <f t="shared" si="35"/>
        <v>0</v>
      </c>
      <c r="R1633" s="31">
        <v>202310</v>
      </c>
      <c r="S1633" s="108" t="s">
        <v>2037</v>
      </c>
      <c r="T1633" s="33"/>
      <c r="U1633" s="108"/>
      <c r="V1633" s="142"/>
      <c r="W1633" s="143"/>
      <c r="X1633" s="139"/>
      <c r="Y1633" s="36">
        <v>43915</v>
      </c>
      <c r="Z1633" s="36">
        <v>45382</v>
      </c>
      <c r="AA1633" s="49"/>
      <c r="AB1633" s="49"/>
      <c r="AC1633" s="49"/>
      <c r="AD1633" s="49"/>
      <c r="AE1633" s="49"/>
      <c r="AF1633" s="144" t="s">
        <v>503</v>
      </c>
      <c r="AG1633" s="144"/>
      <c r="AH1633" s="144"/>
      <c r="AI1633" s="42"/>
      <c r="AJ1633" s="43"/>
      <c r="AK1633" s="43"/>
      <c r="AL1633" s="43"/>
      <c r="AM1633" s="43"/>
      <c r="AN1633" s="42"/>
      <c r="AO1633" s="145"/>
      <c r="AP1633" s="42"/>
      <c r="AQ1633" s="42"/>
      <c r="AR1633" s="42"/>
      <c r="AS1633" s="42"/>
    </row>
    <row r="1634" spans="1:45" ht="15" customHeight="1">
      <c r="A1634" s="135" t="s">
        <v>258</v>
      </c>
      <c r="B1634" s="136" t="s">
        <v>837</v>
      </c>
      <c r="C1634" s="136" t="s">
        <v>838</v>
      </c>
      <c r="D1634" s="136" t="s">
        <v>48</v>
      </c>
      <c r="E1634" s="137" t="s">
        <v>2024</v>
      </c>
      <c r="F1634" s="135" t="s">
        <v>2025</v>
      </c>
      <c r="G1634" s="135" t="s">
        <v>77</v>
      </c>
      <c r="H1634" s="26" t="s">
        <v>2026</v>
      </c>
      <c r="I1634" s="102" t="s">
        <v>479</v>
      </c>
      <c r="J1634" s="135" t="s">
        <v>865</v>
      </c>
      <c r="K1634" s="146" t="s">
        <v>2027</v>
      </c>
      <c r="L1634" s="48" t="s">
        <v>2038</v>
      </c>
      <c r="M1634" s="49">
        <v>43930</v>
      </c>
      <c r="N1634" s="49" t="s">
        <v>90</v>
      </c>
      <c r="O1634" s="139">
        <v>0</v>
      </c>
      <c r="P1634" s="140">
        <v>-2</v>
      </c>
      <c r="Q1634" s="141">
        <f t="shared" si="35"/>
        <v>0</v>
      </c>
      <c r="R1634" s="31">
        <v>202310</v>
      </c>
      <c r="S1634" s="108" t="s">
        <v>2039</v>
      </c>
      <c r="T1634" s="33"/>
      <c r="U1634" s="108"/>
      <c r="V1634" s="142"/>
      <c r="W1634" s="143"/>
      <c r="X1634" s="139"/>
      <c r="Y1634" s="36">
        <v>43915</v>
      </c>
      <c r="Z1634" s="36">
        <v>45382</v>
      </c>
      <c r="AA1634" s="49"/>
      <c r="AB1634" s="49"/>
      <c r="AC1634" s="49"/>
      <c r="AD1634" s="49"/>
      <c r="AE1634" s="49"/>
      <c r="AF1634" s="144" t="s">
        <v>503</v>
      </c>
      <c r="AG1634" s="144"/>
      <c r="AH1634" s="144"/>
      <c r="AI1634" s="42"/>
      <c r="AJ1634" s="43"/>
      <c r="AK1634" s="43"/>
      <c r="AL1634" s="43"/>
      <c r="AM1634" s="43"/>
      <c r="AN1634" s="42"/>
      <c r="AO1634" s="145"/>
      <c r="AP1634" s="42"/>
      <c r="AQ1634" s="42"/>
      <c r="AR1634" s="42"/>
      <c r="AS1634" s="42"/>
    </row>
    <row r="1635" spans="1:45" ht="15" customHeight="1">
      <c r="A1635" s="135" t="s">
        <v>258</v>
      </c>
      <c r="B1635" s="136" t="s">
        <v>837</v>
      </c>
      <c r="C1635" s="136" t="s">
        <v>838</v>
      </c>
      <c r="D1635" s="136" t="s">
        <v>48</v>
      </c>
      <c r="E1635" s="137" t="s">
        <v>2024</v>
      </c>
      <c r="F1635" s="135" t="s">
        <v>2025</v>
      </c>
      <c r="G1635" s="135" t="s">
        <v>77</v>
      </c>
      <c r="H1635" s="26" t="s">
        <v>2026</v>
      </c>
      <c r="I1635" s="102" t="s">
        <v>479</v>
      </c>
      <c r="J1635" s="135" t="s">
        <v>865</v>
      </c>
      <c r="K1635" s="146" t="s">
        <v>2027</v>
      </c>
      <c r="L1635" s="48" t="s">
        <v>2038</v>
      </c>
      <c r="M1635" s="49">
        <v>43931</v>
      </c>
      <c r="N1635" s="49" t="s">
        <v>90</v>
      </c>
      <c r="O1635" s="139">
        <v>0</v>
      </c>
      <c r="P1635" s="140">
        <v>2</v>
      </c>
      <c r="Q1635" s="141">
        <f t="shared" si="35"/>
        <v>0</v>
      </c>
      <c r="R1635" s="31">
        <v>202310</v>
      </c>
      <c r="S1635" s="108" t="s">
        <v>2039</v>
      </c>
      <c r="T1635" s="33"/>
      <c r="U1635" s="108"/>
      <c r="V1635" s="142"/>
      <c r="W1635" s="143"/>
      <c r="X1635" s="139"/>
      <c r="Y1635" s="36">
        <v>43915</v>
      </c>
      <c r="Z1635" s="36">
        <v>45382</v>
      </c>
      <c r="AA1635" s="49"/>
      <c r="AB1635" s="49"/>
      <c r="AC1635" s="49"/>
      <c r="AD1635" s="49"/>
      <c r="AE1635" s="49"/>
      <c r="AF1635" s="144" t="s">
        <v>484</v>
      </c>
      <c r="AG1635" s="144"/>
      <c r="AH1635" s="144"/>
      <c r="AI1635" s="42"/>
      <c r="AJ1635" s="43"/>
      <c r="AK1635" s="43"/>
      <c r="AL1635" s="43"/>
      <c r="AM1635" s="43"/>
      <c r="AN1635" s="42"/>
      <c r="AO1635" s="145"/>
      <c r="AP1635" s="42"/>
      <c r="AQ1635" s="42"/>
      <c r="AR1635" s="42"/>
      <c r="AS1635" s="42"/>
    </row>
    <row r="1636" spans="1:45" ht="15" customHeight="1">
      <c r="A1636" s="135" t="s">
        <v>258</v>
      </c>
      <c r="B1636" s="136" t="s">
        <v>837</v>
      </c>
      <c r="C1636" s="136" t="s">
        <v>838</v>
      </c>
      <c r="D1636" s="136" t="s">
        <v>48</v>
      </c>
      <c r="E1636" s="137" t="s">
        <v>2024</v>
      </c>
      <c r="F1636" s="135" t="s">
        <v>2025</v>
      </c>
      <c r="G1636" s="135" t="s">
        <v>165</v>
      </c>
      <c r="H1636" s="26" t="s">
        <v>2026</v>
      </c>
      <c r="I1636" s="102" t="s">
        <v>491</v>
      </c>
      <c r="J1636" s="135" t="s">
        <v>865</v>
      </c>
      <c r="K1636" s="146" t="s">
        <v>2027</v>
      </c>
      <c r="L1636" s="48"/>
      <c r="M1636" s="49">
        <v>41982</v>
      </c>
      <c r="N1636" s="49" t="s">
        <v>168</v>
      </c>
      <c r="O1636" s="139">
        <v>0</v>
      </c>
      <c r="P1636" s="140">
        <v>768</v>
      </c>
      <c r="Q1636" s="141">
        <f t="shared" si="35"/>
        <v>0</v>
      </c>
      <c r="R1636" s="31">
        <v>202310</v>
      </c>
      <c r="S1636" s="108" t="s">
        <v>2040</v>
      </c>
      <c r="T1636" s="33"/>
      <c r="U1636" s="108"/>
      <c r="V1636" s="142"/>
      <c r="W1636" s="143"/>
      <c r="X1636" s="139"/>
      <c r="Y1636" s="36">
        <v>43915</v>
      </c>
      <c r="Z1636" s="36">
        <v>45382</v>
      </c>
      <c r="AA1636" s="49"/>
      <c r="AB1636" s="49"/>
      <c r="AC1636" s="49"/>
      <c r="AD1636" s="49"/>
      <c r="AE1636" s="49"/>
      <c r="AF1636" s="190" t="s">
        <v>503</v>
      </c>
      <c r="AG1636" s="144"/>
      <c r="AH1636" s="144"/>
      <c r="AI1636" s="42"/>
      <c r="AJ1636" s="43"/>
      <c r="AK1636" s="43"/>
      <c r="AL1636" s="43"/>
      <c r="AM1636" s="43"/>
      <c r="AN1636" s="42"/>
      <c r="AO1636" s="145"/>
      <c r="AP1636" s="42"/>
      <c r="AQ1636" s="42"/>
      <c r="AR1636" s="42"/>
      <c r="AS1636" s="42"/>
    </row>
    <row r="1637" spans="1:45" ht="15" customHeight="1">
      <c r="A1637" s="135" t="s">
        <v>258</v>
      </c>
      <c r="B1637" s="136" t="s">
        <v>837</v>
      </c>
      <c r="C1637" s="136" t="s">
        <v>838</v>
      </c>
      <c r="D1637" s="136" t="s">
        <v>48</v>
      </c>
      <c r="E1637" s="137" t="s">
        <v>2024</v>
      </c>
      <c r="F1637" s="135" t="s">
        <v>2025</v>
      </c>
      <c r="G1637" s="135" t="s">
        <v>165</v>
      </c>
      <c r="H1637" s="26" t="s">
        <v>2026</v>
      </c>
      <c r="I1637" s="102" t="s">
        <v>491</v>
      </c>
      <c r="J1637" s="135" t="s">
        <v>865</v>
      </c>
      <c r="K1637" s="146" t="s">
        <v>2027</v>
      </c>
      <c r="L1637" s="48"/>
      <c r="M1637" s="49">
        <v>43769</v>
      </c>
      <c r="N1637" s="49" t="s">
        <v>168</v>
      </c>
      <c r="O1637" s="139">
        <v>0</v>
      </c>
      <c r="P1637" s="140">
        <v>-768</v>
      </c>
      <c r="Q1637" s="141">
        <f t="shared" si="35"/>
        <v>0</v>
      </c>
      <c r="R1637" s="31">
        <v>202310</v>
      </c>
      <c r="S1637" s="108" t="s">
        <v>2040</v>
      </c>
      <c r="T1637" s="33"/>
      <c r="U1637" s="108"/>
      <c r="V1637" s="142"/>
      <c r="W1637" s="143"/>
      <c r="X1637" s="139"/>
      <c r="Y1637" s="36">
        <v>43915</v>
      </c>
      <c r="Z1637" s="36">
        <v>45382</v>
      </c>
      <c r="AA1637" s="49"/>
      <c r="AB1637" s="49"/>
      <c r="AC1637" s="49"/>
      <c r="AD1637" s="49"/>
      <c r="AE1637" s="49"/>
      <c r="AF1637" s="190" t="s">
        <v>503</v>
      </c>
      <c r="AG1637" s="144"/>
      <c r="AH1637" s="144"/>
      <c r="AI1637" s="42"/>
      <c r="AJ1637" s="43"/>
      <c r="AK1637" s="43"/>
      <c r="AL1637" s="43"/>
      <c r="AM1637" s="43"/>
      <c r="AN1637" s="42"/>
      <c r="AO1637" s="145"/>
      <c r="AP1637" s="42"/>
      <c r="AQ1637" s="42"/>
      <c r="AR1637" s="42"/>
      <c r="AS1637" s="42"/>
    </row>
    <row r="1638" spans="1:45" ht="15" customHeight="1">
      <c r="A1638" s="135" t="s">
        <v>258</v>
      </c>
      <c r="B1638" s="136" t="s">
        <v>837</v>
      </c>
      <c r="C1638" s="136" t="s">
        <v>838</v>
      </c>
      <c r="D1638" s="136" t="s">
        <v>48</v>
      </c>
      <c r="E1638" s="137" t="s">
        <v>2024</v>
      </c>
      <c r="F1638" s="135" t="s">
        <v>2025</v>
      </c>
      <c r="G1638" s="135" t="s">
        <v>165</v>
      </c>
      <c r="H1638" s="26" t="s">
        <v>2026</v>
      </c>
      <c r="I1638" s="102" t="s">
        <v>491</v>
      </c>
      <c r="J1638" s="135" t="s">
        <v>865</v>
      </c>
      <c r="K1638" s="146" t="s">
        <v>2027</v>
      </c>
      <c r="L1638" s="48" t="s">
        <v>2032</v>
      </c>
      <c r="M1638" s="49"/>
      <c r="N1638" s="49" t="s">
        <v>168</v>
      </c>
      <c r="O1638" s="139">
        <v>0</v>
      </c>
      <c r="P1638" s="140">
        <v>256</v>
      </c>
      <c r="Q1638" s="141">
        <f t="shared" si="35"/>
        <v>0</v>
      </c>
      <c r="R1638" s="31">
        <v>202310</v>
      </c>
      <c r="S1638" s="108" t="s">
        <v>2041</v>
      </c>
      <c r="T1638" s="33"/>
      <c r="U1638" s="108"/>
      <c r="V1638" s="142"/>
      <c r="W1638" s="143"/>
      <c r="X1638" s="139"/>
      <c r="Y1638" s="36">
        <v>43915</v>
      </c>
      <c r="Z1638" s="36">
        <v>45382</v>
      </c>
      <c r="AA1638" s="49"/>
      <c r="AB1638" s="49"/>
      <c r="AC1638" s="49"/>
      <c r="AD1638" s="49"/>
      <c r="AE1638" s="49"/>
      <c r="AF1638" s="190" t="s">
        <v>503</v>
      </c>
      <c r="AG1638" s="144"/>
      <c r="AH1638" s="144"/>
      <c r="AI1638" s="42"/>
      <c r="AJ1638" s="43"/>
      <c r="AK1638" s="43"/>
      <c r="AL1638" s="43"/>
      <c r="AM1638" s="43"/>
      <c r="AN1638" s="42"/>
      <c r="AO1638" s="145"/>
      <c r="AP1638" s="42"/>
      <c r="AQ1638" s="42"/>
      <c r="AR1638" s="42"/>
      <c r="AS1638" s="42"/>
    </row>
    <row r="1639" spans="1:45" ht="15" customHeight="1">
      <c r="A1639" s="135" t="s">
        <v>258</v>
      </c>
      <c r="B1639" s="136" t="s">
        <v>837</v>
      </c>
      <c r="C1639" s="136" t="s">
        <v>838</v>
      </c>
      <c r="D1639" s="136" t="s">
        <v>48</v>
      </c>
      <c r="E1639" s="137" t="s">
        <v>2024</v>
      </c>
      <c r="F1639" s="135" t="s">
        <v>2025</v>
      </c>
      <c r="G1639" s="135" t="s">
        <v>165</v>
      </c>
      <c r="H1639" s="26" t="s">
        <v>2026</v>
      </c>
      <c r="I1639" s="102" t="s">
        <v>491</v>
      </c>
      <c r="J1639" s="135" t="s">
        <v>865</v>
      </c>
      <c r="K1639" s="146" t="s">
        <v>2027</v>
      </c>
      <c r="L1639" s="48" t="s">
        <v>2032</v>
      </c>
      <c r="M1639" s="49"/>
      <c r="N1639" s="49" t="s">
        <v>168</v>
      </c>
      <c r="O1639" s="139">
        <v>35</v>
      </c>
      <c r="P1639" s="140">
        <v>32</v>
      </c>
      <c r="Q1639" s="141">
        <f t="shared" si="35"/>
        <v>1120</v>
      </c>
      <c r="R1639" s="31">
        <v>202310</v>
      </c>
      <c r="S1639" s="108" t="s">
        <v>2041</v>
      </c>
      <c r="T1639" s="33"/>
      <c r="U1639" s="108"/>
      <c r="V1639" s="142"/>
      <c r="W1639" s="143"/>
      <c r="X1639" s="139"/>
      <c r="Y1639" s="36">
        <v>43915</v>
      </c>
      <c r="Z1639" s="36">
        <v>45382</v>
      </c>
      <c r="AA1639" s="49"/>
      <c r="AB1639" s="49"/>
      <c r="AC1639" s="49"/>
      <c r="AD1639" s="49"/>
      <c r="AE1639" s="49"/>
      <c r="AF1639" s="190" t="s">
        <v>503</v>
      </c>
      <c r="AG1639" s="144"/>
      <c r="AH1639" s="144"/>
      <c r="AI1639" s="42"/>
      <c r="AJ1639" s="43"/>
      <c r="AK1639" s="43"/>
      <c r="AL1639" s="43"/>
      <c r="AM1639" s="43"/>
      <c r="AN1639" s="42"/>
      <c r="AO1639" s="145"/>
      <c r="AP1639" s="42"/>
      <c r="AQ1639" s="42"/>
      <c r="AR1639" s="42"/>
      <c r="AS1639" s="42"/>
    </row>
    <row r="1640" spans="1:45" ht="15" customHeight="1">
      <c r="A1640" s="135" t="s">
        <v>258</v>
      </c>
      <c r="B1640" s="136" t="s">
        <v>837</v>
      </c>
      <c r="C1640" s="136" t="s">
        <v>838</v>
      </c>
      <c r="D1640" s="136" t="s">
        <v>48</v>
      </c>
      <c r="E1640" s="137" t="s">
        <v>2024</v>
      </c>
      <c r="F1640" s="135" t="s">
        <v>2025</v>
      </c>
      <c r="G1640" s="135" t="s">
        <v>165</v>
      </c>
      <c r="H1640" s="26" t="s">
        <v>2026</v>
      </c>
      <c r="I1640" s="102" t="s">
        <v>491</v>
      </c>
      <c r="J1640" s="135" t="s">
        <v>865</v>
      </c>
      <c r="K1640" s="146" t="s">
        <v>2027</v>
      </c>
      <c r="L1640" s="48" t="s">
        <v>2032</v>
      </c>
      <c r="M1640" s="49">
        <v>43941</v>
      </c>
      <c r="N1640" s="49" t="s">
        <v>168</v>
      </c>
      <c r="O1640" s="139">
        <v>0</v>
      </c>
      <c r="P1640" s="140">
        <v>-128</v>
      </c>
      <c r="Q1640" s="141">
        <f t="shared" si="35"/>
        <v>0</v>
      </c>
      <c r="R1640" s="31">
        <v>202310</v>
      </c>
      <c r="S1640" s="108" t="s">
        <v>2042</v>
      </c>
      <c r="T1640" s="33"/>
      <c r="U1640" s="108"/>
      <c r="V1640" s="142"/>
      <c r="W1640" s="143"/>
      <c r="X1640" s="139"/>
      <c r="Y1640" s="36">
        <v>43915</v>
      </c>
      <c r="Z1640" s="36">
        <v>45382</v>
      </c>
      <c r="AA1640" s="49"/>
      <c r="AB1640" s="49"/>
      <c r="AC1640" s="49"/>
      <c r="AD1640" s="49"/>
      <c r="AE1640" s="49"/>
      <c r="AF1640" s="190" t="s">
        <v>503</v>
      </c>
      <c r="AG1640" s="144"/>
      <c r="AH1640" s="144"/>
      <c r="AI1640" s="42"/>
      <c r="AJ1640" s="43"/>
      <c r="AK1640" s="43"/>
      <c r="AL1640" s="43"/>
      <c r="AM1640" s="43"/>
      <c r="AN1640" s="42"/>
      <c r="AO1640" s="145"/>
      <c r="AP1640" s="42"/>
      <c r="AQ1640" s="42"/>
      <c r="AR1640" s="42"/>
      <c r="AS1640" s="42"/>
    </row>
    <row r="1641" spans="1:45" ht="15" customHeight="1">
      <c r="A1641" s="135" t="s">
        <v>258</v>
      </c>
      <c r="B1641" s="136" t="s">
        <v>837</v>
      </c>
      <c r="C1641" s="136" t="s">
        <v>838</v>
      </c>
      <c r="D1641" s="136" t="s">
        <v>48</v>
      </c>
      <c r="E1641" s="137" t="s">
        <v>2024</v>
      </c>
      <c r="F1641" s="135" t="s">
        <v>2025</v>
      </c>
      <c r="G1641" s="135" t="s">
        <v>165</v>
      </c>
      <c r="H1641" s="26" t="s">
        <v>2026</v>
      </c>
      <c r="I1641" s="102" t="s">
        <v>491</v>
      </c>
      <c r="J1641" s="135" t="s">
        <v>865</v>
      </c>
      <c r="K1641" s="146" t="s">
        <v>2027</v>
      </c>
      <c r="L1641" s="48" t="s">
        <v>2032</v>
      </c>
      <c r="M1641" s="49">
        <v>43942</v>
      </c>
      <c r="N1641" s="49" t="s">
        <v>168</v>
      </c>
      <c r="O1641" s="139">
        <v>0</v>
      </c>
      <c r="P1641" s="140">
        <v>128</v>
      </c>
      <c r="Q1641" s="141">
        <f t="shared" si="35"/>
        <v>0</v>
      </c>
      <c r="R1641" s="31">
        <v>202310</v>
      </c>
      <c r="S1641" s="108" t="s">
        <v>2043</v>
      </c>
      <c r="T1641" s="33"/>
      <c r="U1641" s="108"/>
      <c r="V1641" s="142"/>
      <c r="W1641" s="143"/>
      <c r="X1641" s="139"/>
      <c r="Y1641" s="36">
        <v>43915</v>
      </c>
      <c r="Z1641" s="36">
        <v>45382</v>
      </c>
      <c r="AA1641" s="49"/>
      <c r="AB1641" s="49"/>
      <c r="AC1641" s="49"/>
      <c r="AD1641" s="49"/>
      <c r="AE1641" s="49"/>
      <c r="AF1641" s="144" t="s">
        <v>484</v>
      </c>
      <c r="AG1641" s="144"/>
      <c r="AH1641" s="144"/>
      <c r="AI1641" s="42"/>
      <c r="AJ1641" s="43"/>
      <c r="AK1641" s="43"/>
      <c r="AL1641" s="43"/>
      <c r="AM1641" s="43"/>
      <c r="AN1641" s="42"/>
      <c r="AO1641" s="145"/>
      <c r="AP1641" s="42"/>
      <c r="AQ1641" s="42"/>
      <c r="AR1641" s="42"/>
      <c r="AS1641" s="42"/>
    </row>
    <row r="1642" spans="1:45" ht="15" customHeight="1">
      <c r="A1642" s="135" t="s">
        <v>258</v>
      </c>
      <c r="B1642" s="136" t="s">
        <v>837</v>
      </c>
      <c r="C1642" s="136" t="s">
        <v>838</v>
      </c>
      <c r="D1642" s="136" t="s">
        <v>48</v>
      </c>
      <c r="E1642" s="137" t="s">
        <v>2024</v>
      </c>
      <c r="F1642" s="135" t="s">
        <v>2025</v>
      </c>
      <c r="G1642" s="135" t="s">
        <v>165</v>
      </c>
      <c r="H1642" s="26" t="s">
        <v>2026</v>
      </c>
      <c r="I1642" s="102" t="s">
        <v>491</v>
      </c>
      <c r="J1642" s="135" t="s">
        <v>865</v>
      </c>
      <c r="K1642" s="146" t="s">
        <v>2027</v>
      </c>
      <c r="L1642" s="48"/>
      <c r="M1642" s="49"/>
      <c r="N1642" s="49" t="s">
        <v>646</v>
      </c>
      <c r="O1642" s="139">
        <v>0</v>
      </c>
      <c r="P1642" s="140">
        <v>0</v>
      </c>
      <c r="Q1642" s="141">
        <f t="shared" si="35"/>
        <v>0</v>
      </c>
      <c r="R1642" s="31">
        <v>202310</v>
      </c>
      <c r="S1642" s="108" t="s">
        <v>2044</v>
      </c>
      <c r="T1642" s="33"/>
      <c r="U1642" s="108"/>
      <c r="V1642" s="142"/>
      <c r="W1642" s="143"/>
      <c r="X1642" s="139"/>
      <c r="Y1642" s="36">
        <v>43915</v>
      </c>
      <c r="Z1642" s="36">
        <v>45382</v>
      </c>
      <c r="AA1642" s="49"/>
      <c r="AB1642" s="49"/>
      <c r="AC1642" s="49"/>
      <c r="AD1642" s="49"/>
      <c r="AE1642" s="49"/>
      <c r="AF1642" s="144" t="s">
        <v>503</v>
      </c>
      <c r="AG1642" s="144"/>
      <c r="AH1642" s="144"/>
      <c r="AI1642" s="42"/>
      <c r="AJ1642" s="43"/>
      <c r="AK1642" s="43"/>
      <c r="AL1642" s="43"/>
      <c r="AM1642" s="43"/>
      <c r="AN1642" s="42"/>
      <c r="AO1642" s="145"/>
      <c r="AP1642" s="42"/>
      <c r="AQ1642" s="42"/>
      <c r="AR1642" s="42"/>
      <c r="AS1642" s="42"/>
    </row>
    <row r="1643" spans="1:45" ht="15" customHeight="1">
      <c r="A1643" s="135" t="s">
        <v>258</v>
      </c>
      <c r="B1643" s="136" t="s">
        <v>837</v>
      </c>
      <c r="C1643" s="136" t="s">
        <v>838</v>
      </c>
      <c r="D1643" s="136" t="s">
        <v>48</v>
      </c>
      <c r="E1643" s="137" t="s">
        <v>2024</v>
      </c>
      <c r="F1643" s="135" t="s">
        <v>2025</v>
      </c>
      <c r="G1643" s="135" t="s">
        <v>77</v>
      </c>
      <c r="H1643" s="26" t="s">
        <v>2026</v>
      </c>
      <c r="I1643" s="102" t="s">
        <v>479</v>
      </c>
      <c r="J1643" s="135" t="s">
        <v>865</v>
      </c>
      <c r="K1643" s="146" t="s">
        <v>2027</v>
      </c>
      <c r="L1643" s="48" t="s">
        <v>2032</v>
      </c>
      <c r="M1643" s="49">
        <v>44296</v>
      </c>
      <c r="N1643" s="49" t="s">
        <v>90</v>
      </c>
      <c r="O1643" s="139">
        <v>3500</v>
      </c>
      <c r="P1643" s="140">
        <v>1</v>
      </c>
      <c r="Q1643" s="141">
        <f t="shared" si="35"/>
        <v>3500</v>
      </c>
      <c r="R1643" s="31">
        <v>202310</v>
      </c>
      <c r="S1643" s="108" t="s">
        <v>2045</v>
      </c>
      <c r="T1643" s="33"/>
      <c r="U1643" s="108"/>
      <c r="V1643" s="142"/>
      <c r="W1643" s="143"/>
      <c r="X1643" s="139"/>
      <c r="Y1643" s="36">
        <v>43915</v>
      </c>
      <c r="Z1643" s="36">
        <v>45382</v>
      </c>
      <c r="AA1643" s="49"/>
      <c r="AB1643" s="49"/>
      <c r="AC1643" s="49"/>
      <c r="AD1643" s="49"/>
      <c r="AE1643" s="49"/>
      <c r="AF1643" s="144" t="s">
        <v>484</v>
      </c>
      <c r="AG1643" s="144"/>
      <c r="AH1643" s="144"/>
      <c r="AI1643" s="42"/>
      <c r="AJ1643" s="43"/>
      <c r="AK1643" s="43"/>
      <c r="AL1643" s="43"/>
      <c r="AM1643" s="43"/>
      <c r="AN1643" s="42"/>
      <c r="AO1643" s="145"/>
      <c r="AP1643" s="42"/>
      <c r="AQ1643" s="42"/>
      <c r="AR1643" s="42"/>
      <c r="AS1643" s="42"/>
    </row>
    <row r="1644" spans="1:45" ht="15" customHeight="1">
      <c r="A1644" s="135" t="s">
        <v>258</v>
      </c>
      <c r="B1644" s="136" t="s">
        <v>837</v>
      </c>
      <c r="C1644" s="136" t="s">
        <v>838</v>
      </c>
      <c r="D1644" s="136" t="s">
        <v>48</v>
      </c>
      <c r="E1644" s="137" t="s">
        <v>2024</v>
      </c>
      <c r="F1644" s="135" t="s">
        <v>2025</v>
      </c>
      <c r="G1644" s="135" t="s">
        <v>165</v>
      </c>
      <c r="H1644" s="26" t="s">
        <v>2026</v>
      </c>
      <c r="I1644" s="102" t="s">
        <v>491</v>
      </c>
      <c r="J1644" s="135" t="s">
        <v>865</v>
      </c>
      <c r="K1644" s="146" t="s">
        <v>2027</v>
      </c>
      <c r="L1644" s="48" t="s">
        <v>2032</v>
      </c>
      <c r="M1644" s="49">
        <v>44296</v>
      </c>
      <c r="N1644" s="49" t="s">
        <v>168</v>
      </c>
      <c r="O1644" s="139">
        <v>35</v>
      </c>
      <c r="P1644" s="140">
        <v>128</v>
      </c>
      <c r="Q1644" s="141">
        <f t="shared" si="35"/>
        <v>4480</v>
      </c>
      <c r="R1644" s="31">
        <v>202310</v>
      </c>
      <c r="S1644" s="108" t="s">
        <v>2046</v>
      </c>
      <c r="T1644" s="33"/>
      <c r="U1644" s="108"/>
      <c r="V1644" s="142"/>
      <c r="W1644" s="143"/>
      <c r="X1644" s="139"/>
      <c r="Y1644" s="36">
        <v>43915</v>
      </c>
      <c r="Z1644" s="36">
        <v>45382</v>
      </c>
      <c r="AA1644" s="49"/>
      <c r="AB1644" s="49"/>
      <c r="AC1644" s="49"/>
      <c r="AD1644" s="49"/>
      <c r="AE1644" s="49"/>
      <c r="AF1644" s="144" t="s">
        <v>484</v>
      </c>
      <c r="AG1644" s="144"/>
      <c r="AH1644" s="144"/>
      <c r="AI1644" s="42"/>
      <c r="AJ1644" s="43"/>
      <c r="AK1644" s="43"/>
      <c r="AL1644" s="43"/>
      <c r="AM1644" s="43"/>
      <c r="AN1644" s="42"/>
      <c r="AO1644" s="145"/>
      <c r="AP1644" s="42"/>
      <c r="AQ1644" s="42"/>
      <c r="AR1644" s="42"/>
      <c r="AS1644" s="42"/>
    </row>
    <row r="1645" spans="1:45" ht="15" customHeight="1">
      <c r="A1645" s="135" t="s">
        <v>258</v>
      </c>
      <c r="B1645" s="136" t="s">
        <v>837</v>
      </c>
      <c r="C1645" s="136" t="s">
        <v>838</v>
      </c>
      <c r="D1645" s="136" t="s">
        <v>48</v>
      </c>
      <c r="E1645" s="137" t="s">
        <v>2024</v>
      </c>
      <c r="F1645" s="135" t="s">
        <v>2025</v>
      </c>
      <c r="G1645" s="135" t="s">
        <v>165</v>
      </c>
      <c r="H1645" s="26" t="s">
        <v>2026</v>
      </c>
      <c r="I1645" s="102" t="s">
        <v>491</v>
      </c>
      <c r="J1645" s="135" t="s">
        <v>865</v>
      </c>
      <c r="K1645" s="146" t="s">
        <v>2027</v>
      </c>
      <c r="L1645" s="48" t="s">
        <v>2032</v>
      </c>
      <c r="M1645" s="49">
        <v>44296</v>
      </c>
      <c r="N1645" s="49" t="s">
        <v>656</v>
      </c>
      <c r="O1645" s="139">
        <v>0</v>
      </c>
      <c r="P1645" s="140">
        <v>0</v>
      </c>
      <c r="Q1645" s="141">
        <f t="shared" si="35"/>
        <v>0</v>
      </c>
      <c r="R1645" s="31">
        <v>202310</v>
      </c>
      <c r="S1645" s="108" t="s">
        <v>2047</v>
      </c>
      <c r="T1645" s="33"/>
      <c r="U1645" s="108"/>
      <c r="V1645" s="142"/>
      <c r="W1645" s="143"/>
      <c r="X1645" s="139"/>
      <c r="Y1645" s="36">
        <v>43915</v>
      </c>
      <c r="Z1645" s="36">
        <v>45382</v>
      </c>
      <c r="AA1645" s="49"/>
      <c r="AB1645" s="49"/>
      <c r="AC1645" s="49"/>
      <c r="AD1645" s="49"/>
      <c r="AE1645" s="49"/>
      <c r="AF1645" s="144" t="s">
        <v>484</v>
      </c>
      <c r="AG1645" s="144"/>
      <c r="AH1645" s="144"/>
      <c r="AI1645" s="42"/>
      <c r="AJ1645" s="43"/>
      <c r="AK1645" s="43"/>
      <c r="AL1645" s="43"/>
      <c r="AM1645" s="43"/>
      <c r="AN1645" s="42"/>
      <c r="AO1645" s="145"/>
      <c r="AP1645" s="42"/>
      <c r="AQ1645" s="42"/>
      <c r="AR1645" s="42"/>
      <c r="AS1645" s="42"/>
    </row>
    <row r="1646" spans="1:45" ht="15" customHeight="1">
      <c r="A1646" s="56" t="s">
        <v>258</v>
      </c>
      <c r="B1646" s="21" t="s">
        <v>46</v>
      </c>
      <c r="C1646" s="57" t="s">
        <v>814</v>
      </c>
      <c r="D1646" s="22" t="s">
        <v>48</v>
      </c>
      <c r="E1646" s="58" t="s">
        <v>2048</v>
      </c>
      <c r="F1646" s="56" t="s">
        <v>2049</v>
      </c>
      <c r="G1646" s="26" t="s">
        <v>165</v>
      </c>
      <c r="H1646" s="25" t="s">
        <v>2050</v>
      </c>
      <c r="I1646" s="26" t="s">
        <v>491</v>
      </c>
      <c r="J1646" s="56" t="s">
        <v>2049</v>
      </c>
      <c r="K1646" s="59" t="s">
        <v>2051</v>
      </c>
      <c r="L1646" s="48" t="s">
        <v>2052</v>
      </c>
      <c r="M1646" s="49">
        <v>44696</v>
      </c>
      <c r="N1646" s="49" t="s">
        <v>168</v>
      </c>
      <c r="O1646" s="60">
        <v>0</v>
      </c>
      <c r="P1646" s="61">
        <v>768</v>
      </c>
      <c r="Q1646" s="51">
        <f t="shared" si="35"/>
        <v>0</v>
      </c>
      <c r="R1646" s="31">
        <v>202310</v>
      </c>
      <c r="S1646" s="62" t="s">
        <v>2053</v>
      </c>
      <c r="T1646" s="33"/>
      <c r="U1646" s="58"/>
      <c r="V1646" s="58"/>
      <c r="W1646" s="63"/>
      <c r="X1646" s="63"/>
      <c r="Y1646" s="36">
        <v>44652</v>
      </c>
      <c r="Z1646" s="36">
        <v>45382</v>
      </c>
      <c r="AA1646" s="36"/>
      <c r="AB1646" s="36"/>
      <c r="AC1646" s="36"/>
      <c r="AD1646" s="36"/>
      <c r="AE1646" s="36"/>
      <c r="AF1646" s="40" t="s">
        <v>484</v>
      </c>
      <c r="AG1646" s="42"/>
      <c r="AH1646" s="42"/>
      <c r="AI1646" s="43"/>
      <c r="AJ1646" s="43"/>
      <c r="AK1646" s="43"/>
      <c r="AL1646" s="43"/>
      <c r="AM1646" s="43"/>
      <c r="AN1646" s="42"/>
      <c r="AO1646" s="42"/>
      <c r="AP1646" s="42"/>
      <c r="AQ1646" s="43"/>
      <c r="AR1646" s="42"/>
      <c r="AS1646" s="42" t="s">
        <v>2054</v>
      </c>
    </row>
    <row r="1647" spans="1:45" ht="15" customHeight="1">
      <c r="A1647" s="56" t="s">
        <v>258</v>
      </c>
      <c r="B1647" s="21" t="s">
        <v>46</v>
      </c>
      <c r="C1647" s="57" t="s">
        <v>814</v>
      </c>
      <c r="D1647" s="22" t="s">
        <v>48</v>
      </c>
      <c r="E1647" s="58" t="s">
        <v>2048</v>
      </c>
      <c r="F1647" s="56" t="s">
        <v>2049</v>
      </c>
      <c r="G1647" s="26" t="s">
        <v>165</v>
      </c>
      <c r="H1647" s="25" t="s">
        <v>2050</v>
      </c>
      <c r="I1647" s="26" t="s">
        <v>491</v>
      </c>
      <c r="J1647" s="56" t="s">
        <v>2049</v>
      </c>
      <c r="K1647" s="59" t="s">
        <v>2051</v>
      </c>
      <c r="L1647" s="48" t="s">
        <v>2052</v>
      </c>
      <c r="M1647" s="49">
        <v>45016</v>
      </c>
      <c r="N1647" s="49" t="s">
        <v>168</v>
      </c>
      <c r="O1647" s="60">
        <v>0</v>
      </c>
      <c r="P1647" s="61">
        <v>-512</v>
      </c>
      <c r="Q1647" s="51">
        <f t="shared" ref="Q1647:Q1666" si="37">ROUND(O1647*P1647,2)</f>
        <v>0</v>
      </c>
      <c r="R1647" s="31">
        <v>202310</v>
      </c>
      <c r="S1647" s="62" t="s">
        <v>2055</v>
      </c>
      <c r="T1647" s="33"/>
      <c r="U1647" s="58"/>
      <c r="V1647" s="58"/>
      <c r="W1647" s="63"/>
      <c r="X1647" s="63"/>
      <c r="Y1647" s="36">
        <v>44652</v>
      </c>
      <c r="Z1647" s="36">
        <v>45382</v>
      </c>
      <c r="AA1647" s="36"/>
      <c r="AB1647" s="36"/>
      <c r="AC1647" s="36"/>
      <c r="AD1647" s="36"/>
      <c r="AE1647" s="36"/>
      <c r="AF1647" s="40" t="s">
        <v>484</v>
      </c>
      <c r="AG1647" s="42"/>
      <c r="AH1647" s="42"/>
      <c r="AI1647" s="43"/>
      <c r="AJ1647" s="43"/>
      <c r="AK1647" s="43"/>
      <c r="AL1647" s="43"/>
      <c r="AM1647" s="43"/>
      <c r="AN1647" s="42"/>
      <c r="AO1647" s="42"/>
      <c r="AP1647" s="42"/>
      <c r="AQ1647" s="43"/>
      <c r="AR1647" s="42"/>
      <c r="AS1647" s="42" t="s">
        <v>2054</v>
      </c>
    </row>
    <row r="1648" spans="1:45" ht="15" customHeight="1">
      <c r="A1648" s="56" t="s">
        <v>258</v>
      </c>
      <c r="B1648" s="21" t="s">
        <v>46</v>
      </c>
      <c r="C1648" s="57" t="s">
        <v>814</v>
      </c>
      <c r="D1648" s="22" t="s">
        <v>48</v>
      </c>
      <c r="E1648" s="58" t="s">
        <v>2048</v>
      </c>
      <c r="F1648" s="56" t="s">
        <v>2049</v>
      </c>
      <c r="G1648" s="26" t="s">
        <v>165</v>
      </c>
      <c r="H1648" s="25" t="s">
        <v>2056</v>
      </c>
      <c r="I1648" s="26" t="s">
        <v>491</v>
      </c>
      <c r="J1648" s="56" t="s">
        <v>2049</v>
      </c>
      <c r="K1648" s="59" t="s">
        <v>2051</v>
      </c>
      <c r="L1648" s="48" t="s">
        <v>2052</v>
      </c>
      <c r="M1648" s="49">
        <v>45055</v>
      </c>
      <c r="N1648" s="49" t="s">
        <v>168</v>
      </c>
      <c r="O1648" s="60">
        <v>0</v>
      </c>
      <c r="P1648" s="61">
        <v>256</v>
      </c>
      <c r="Q1648" s="51">
        <f t="shared" si="37"/>
        <v>0</v>
      </c>
      <c r="R1648" s="31">
        <v>202310</v>
      </c>
      <c r="S1648" s="62" t="s">
        <v>2057</v>
      </c>
      <c r="T1648" s="33"/>
      <c r="U1648" s="58" t="s">
        <v>2058</v>
      </c>
      <c r="V1648" s="58"/>
      <c r="W1648" s="63"/>
      <c r="X1648" s="63"/>
      <c r="Y1648" s="36"/>
      <c r="Z1648" s="36"/>
      <c r="AA1648" s="36"/>
      <c r="AB1648" s="36"/>
      <c r="AC1648" s="36"/>
      <c r="AD1648" s="36"/>
      <c r="AE1648" s="36"/>
      <c r="AF1648" s="40" t="s">
        <v>484</v>
      </c>
      <c r="AG1648" s="42"/>
      <c r="AH1648" s="42"/>
      <c r="AI1648" s="43"/>
      <c r="AJ1648" s="43"/>
      <c r="AK1648" s="43"/>
      <c r="AL1648" s="43"/>
      <c r="AM1648" s="43"/>
      <c r="AN1648" s="42"/>
      <c r="AO1648" s="42"/>
      <c r="AP1648" s="42"/>
      <c r="AQ1648" s="43"/>
      <c r="AR1648" s="42"/>
      <c r="AS1648" s="42" t="s">
        <v>2054</v>
      </c>
    </row>
    <row r="1649" spans="1:45" ht="15" customHeight="1">
      <c r="A1649" s="56" t="s">
        <v>258</v>
      </c>
      <c r="B1649" s="21" t="s">
        <v>46</v>
      </c>
      <c r="C1649" s="57" t="s">
        <v>814</v>
      </c>
      <c r="D1649" s="22" t="s">
        <v>48</v>
      </c>
      <c r="E1649" s="58" t="s">
        <v>2048</v>
      </c>
      <c r="F1649" s="56" t="s">
        <v>2049</v>
      </c>
      <c r="G1649" s="26" t="s">
        <v>77</v>
      </c>
      <c r="H1649" s="25" t="s">
        <v>2059</v>
      </c>
      <c r="I1649" s="26" t="s">
        <v>479</v>
      </c>
      <c r="J1649" s="56" t="s">
        <v>2049</v>
      </c>
      <c r="K1649" s="59" t="s">
        <v>2051</v>
      </c>
      <c r="L1649" s="48" t="s">
        <v>2052</v>
      </c>
      <c r="M1649" s="49">
        <v>44696</v>
      </c>
      <c r="N1649" s="49" t="s">
        <v>90</v>
      </c>
      <c r="O1649" s="60">
        <v>0</v>
      </c>
      <c r="P1649" s="61">
        <v>1</v>
      </c>
      <c r="Q1649" s="51">
        <f t="shared" si="37"/>
        <v>0</v>
      </c>
      <c r="R1649" s="31">
        <v>202310</v>
      </c>
      <c r="S1649" s="62" t="s">
        <v>2060</v>
      </c>
      <c r="T1649" s="33"/>
      <c r="U1649" s="58"/>
      <c r="V1649" s="58"/>
      <c r="W1649" s="63"/>
      <c r="X1649" s="63"/>
      <c r="Y1649" s="36">
        <v>44652</v>
      </c>
      <c r="Z1649" s="36">
        <v>45382</v>
      </c>
      <c r="AA1649" s="36"/>
      <c r="AB1649" s="36"/>
      <c r="AC1649" s="36"/>
      <c r="AD1649" s="36"/>
      <c r="AE1649" s="36"/>
      <c r="AF1649" s="40" t="s">
        <v>484</v>
      </c>
      <c r="AG1649" s="42"/>
      <c r="AH1649" s="42"/>
      <c r="AI1649" s="43"/>
      <c r="AJ1649" s="43"/>
      <c r="AK1649" s="43"/>
      <c r="AL1649" s="43"/>
      <c r="AM1649" s="43"/>
      <c r="AN1649" s="42"/>
      <c r="AO1649" s="42"/>
      <c r="AP1649" s="42"/>
      <c r="AQ1649" s="43"/>
      <c r="AR1649" s="42"/>
      <c r="AS1649" s="42" t="s">
        <v>2054</v>
      </c>
    </row>
    <row r="1650" spans="1:45" ht="15" customHeight="1">
      <c r="A1650" s="56" t="s">
        <v>258</v>
      </c>
      <c r="B1650" s="21" t="s">
        <v>46</v>
      </c>
      <c r="C1650" s="57" t="s">
        <v>814</v>
      </c>
      <c r="D1650" s="22" t="s">
        <v>48</v>
      </c>
      <c r="E1650" s="58" t="s">
        <v>2048</v>
      </c>
      <c r="F1650" s="56" t="s">
        <v>2049</v>
      </c>
      <c r="G1650" s="26" t="s">
        <v>77</v>
      </c>
      <c r="H1650" s="25" t="s">
        <v>2050</v>
      </c>
      <c r="I1650" s="26" t="s">
        <v>479</v>
      </c>
      <c r="J1650" s="56" t="s">
        <v>2049</v>
      </c>
      <c r="K1650" s="59" t="s">
        <v>2051</v>
      </c>
      <c r="L1650" s="48" t="s">
        <v>2052</v>
      </c>
      <c r="M1650" s="49">
        <v>44728</v>
      </c>
      <c r="N1650" s="49" t="s">
        <v>90</v>
      </c>
      <c r="O1650" s="60">
        <v>0</v>
      </c>
      <c r="P1650" s="61">
        <v>11</v>
      </c>
      <c r="Q1650" s="51">
        <f t="shared" si="37"/>
        <v>0</v>
      </c>
      <c r="R1650" s="31">
        <v>202310</v>
      </c>
      <c r="S1650" s="62" t="s">
        <v>2061</v>
      </c>
      <c r="T1650" s="33"/>
      <c r="U1650" s="58"/>
      <c r="V1650" s="58"/>
      <c r="W1650" s="63"/>
      <c r="X1650" s="63"/>
      <c r="Y1650" s="36">
        <v>44652</v>
      </c>
      <c r="Z1650" s="36">
        <v>45382</v>
      </c>
      <c r="AA1650" s="36"/>
      <c r="AB1650" s="36"/>
      <c r="AC1650" s="36"/>
      <c r="AD1650" s="36"/>
      <c r="AE1650" s="36"/>
      <c r="AF1650" s="40" t="s">
        <v>484</v>
      </c>
      <c r="AG1650" s="42"/>
      <c r="AH1650" s="42"/>
      <c r="AI1650" s="43"/>
      <c r="AJ1650" s="43"/>
      <c r="AK1650" s="43"/>
      <c r="AL1650" s="43"/>
      <c r="AM1650" s="43"/>
      <c r="AN1650" s="42"/>
      <c r="AO1650" s="42"/>
      <c r="AP1650" s="42"/>
      <c r="AQ1650" s="43"/>
      <c r="AR1650" s="42"/>
      <c r="AS1650" s="42" t="s">
        <v>2054</v>
      </c>
    </row>
    <row r="1651" spans="1:45" ht="15" customHeight="1">
      <c r="A1651" s="56" t="s">
        <v>258</v>
      </c>
      <c r="B1651" s="21" t="s">
        <v>46</v>
      </c>
      <c r="C1651" s="57" t="s">
        <v>814</v>
      </c>
      <c r="D1651" s="22" t="s">
        <v>48</v>
      </c>
      <c r="E1651" s="58" t="s">
        <v>2048</v>
      </c>
      <c r="F1651" s="56" t="s">
        <v>2049</v>
      </c>
      <c r="G1651" s="26" t="s">
        <v>77</v>
      </c>
      <c r="H1651" s="25" t="s">
        <v>2050</v>
      </c>
      <c r="I1651" s="26" t="s">
        <v>479</v>
      </c>
      <c r="J1651" s="56" t="s">
        <v>2049</v>
      </c>
      <c r="K1651" s="59" t="s">
        <v>2051</v>
      </c>
      <c r="L1651" s="48" t="s">
        <v>2052</v>
      </c>
      <c r="M1651" s="49">
        <v>45016</v>
      </c>
      <c r="N1651" s="49" t="s">
        <v>90</v>
      </c>
      <c r="O1651" s="60">
        <v>0</v>
      </c>
      <c r="P1651" s="61">
        <v>-4</v>
      </c>
      <c r="Q1651" s="51">
        <f t="shared" si="37"/>
        <v>0</v>
      </c>
      <c r="R1651" s="31">
        <v>202310</v>
      </c>
      <c r="S1651" s="62" t="s">
        <v>2062</v>
      </c>
      <c r="T1651" s="33"/>
      <c r="U1651" s="58"/>
      <c r="V1651" s="58"/>
      <c r="W1651" s="63"/>
      <c r="X1651" s="63"/>
      <c r="Y1651" s="36">
        <v>44652</v>
      </c>
      <c r="Z1651" s="36">
        <v>45382</v>
      </c>
      <c r="AA1651" s="36"/>
      <c r="AB1651" s="36"/>
      <c r="AC1651" s="36"/>
      <c r="AD1651" s="36"/>
      <c r="AE1651" s="36"/>
      <c r="AF1651" s="40" t="s">
        <v>484</v>
      </c>
      <c r="AG1651" s="42"/>
      <c r="AH1651" s="42"/>
      <c r="AI1651" s="43"/>
      <c r="AJ1651" s="43"/>
      <c r="AK1651" s="43"/>
      <c r="AL1651" s="43"/>
      <c r="AM1651" s="43"/>
      <c r="AN1651" s="42"/>
      <c r="AO1651" s="42"/>
      <c r="AP1651" s="42"/>
      <c r="AQ1651" s="43"/>
      <c r="AR1651" s="42"/>
      <c r="AS1651" s="42" t="s">
        <v>2054</v>
      </c>
    </row>
    <row r="1652" spans="1:45" ht="15" customHeight="1">
      <c r="A1652" s="56" t="s">
        <v>258</v>
      </c>
      <c r="B1652" s="21" t="s">
        <v>46</v>
      </c>
      <c r="C1652" s="57" t="s">
        <v>814</v>
      </c>
      <c r="D1652" s="22" t="s">
        <v>48</v>
      </c>
      <c r="E1652" s="58" t="s">
        <v>2048</v>
      </c>
      <c r="F1652" s="56" t="s">
        <v>2049</v>
      </c>
      <c r="G1652" s="26" t="s">
        <v>165</v>
      </c>
      <c r="H1652" s="25" t="s">
        <v>2056</v>
      </c>
      <c r="I1652" s="26" t="s">
        <v>491</v>
      </c>
      <c r="J1652" s="56" t="s">
        <v>2049</v>
      </c>
      <c r="K1652" s="59" t="s">
        <v>2051</v>
      </c>
      <c r="L1652" s="48" t="s">
        <v>2052</v>
      </c>
      <c r="M1652" s="49">
        <v>45083</v>
      </c>
      <c r="N1652" s="49" t="s">
        <v>168</v>
      </c>
      <c r="O1652" s="60">
        <v>50</v>
      </c>
      <c r="P1652" s="61">
        <v>256</v>
      </c>
      <c r="Q1652" s="51">
        <f t="shared" si="37"/>
        <v>12800</v>
      </c>
      <c r="R1652" s="31">
        <v>202310</v>
      </c>
      <c r="S1652" s="62" t="s">
        <v>2063</v>
      </c>
      <c r="T1652" s="33"/>
      <c r="U1652" s="58"/>
      <c r="V1652" s="58"/>
      <c r="W1652" s="63"/>
      <c r="X1652" s="63"/>
      <c r="Y1652" s="36"/>
      <c r="Z1652" s="36"/>
      <c r="AA1652" s="36"/>
      <c r="AB1652" s="36"/>
      <c r="AC1652" s="36"/>
      <c r="AD1652" s="36"/>
      <c r="AE1652" s="36"/>
      <c r="AF1652" s="40" t="s">
        <v>484</v>
      </c>
      <c r="AG1652" s="42"/>
      <c r="AH1652" s="42"/>
      <c r="AI1652" s="43"/>
      <c r="AJ1652" s="43"/>
      <c r="AK1652" s="43"/>
      <c r="AL1652" s="43"/>
      <c r="AM1652" s="43"/>
      <c r="AN1652" s="42"/>
      <c r="AO1652" s="42"/>
      <c r="AP1652" s="42"/>
      <c r="AQ1652" s="43"/>
      <c r="AR1652" s="42"/>
      <c r="AS1652" s="42" t="s">
        <v>2054</v>
      </c>
    </row>
    <row r="1653" spans="1:45" ht="15" customHeight="1">
      <c r="A1653" s="21" t="s">
        <v>258</v>
      </c>
      <c r="B1653" s="22" t="s">
        <v>46</v>
      </c>
      <c r="C1653" s="21" t="s">
        <v>887</v>
      </c>
      <c r="D1653" s="21" t="s">
        <v>888</v>
      </c>
      <c r="E1653" s="80" t="s">
        <v>2064</v>
      </c>
      <c r="F1653" s="21" t="s">
        <v>2065</v>
      </c>
      <c r="G1653" s="101" t="s">
        <v>62</v>
      </c>
      <c r="H1653" s="25" t="s">
        <v>2066</v>
      </c>
      <c r="I1653" s="65" t="s">
        <v>64</v>
      </c>
      <c r="J1653" s="65" t="s">
        <v>2067</v>
      </c>
      <c r="K1653" s="104"/>
      <c r="L1653" s="48"/>
      <c r="M1653" s="27">
        <v>43067</v>
      </c>
      <c r="N1653" s="105" t="s">
        <v>66</v>
      </c>
      <c r="O1653" s="106">
        <v>500</v>
      </c>
      <c r="P1653" s="29">
        <v>2</v>
      </c>
      <c r="Q1653" s="51">
        <f t="shared" si="37"/>
        <v>1000</v>
      </c>
      <c r="R1653" s="31">
        <v>202310</v>
      </c>
      <c r="S1653" s="54" t="s">
        <v>2067</v>
      </c>
      <c r="T1653" s="33"/>
      <c r="U1653" s="54"/>
      <c r="V1653" s="54"/>
      <c r="W1653" s="52"/>
      <c r="X1653" s="52"/>
      <c r="Y1653" s="36">
        <v>44562</v>
      </c>
      <c r="Z1653" s="36">
        <v>45291</v>
      </c>
      <c r="AA1653" s="36"/>
      <c r="AB1653" s="36"/>
      <c r="AC1653" s="36"/>
      <c r="AD1653" s="36"/>
      <c r="AE1653" s="36"/>
      <c r="AF1653" s="53" t="s">
        <v>68</v>
      </c>
      <c r="AG1653" s="42"/>
      <c r="AH1653" s="43"/>
      <c r="AI1653" s="43"/>
      <c r="AJ1653" s="43"/>
      <c r="AK1653" s="43"/>
      <c r="AL1653" s="43"/>
      <c r="AM1653" s="43"/>
      <c r="AN1653" s="42"/>
      <c r="AO1653" s="42"/>
      <c r="AP1653" s="42"/>
      <c r="AQ1653" s="43"/>
      <c r="AR1653" s="42"/>
      <c r="AS1653" s="42"/>
    </row>
    <row r="1654" spans="1:45" ht="15" customHeight="1">
      <c r="A1654" s="21" t="s">
        <v>258</v>
      </c>
      <c r="B1654" s="22" t="s">
        <v>46</v>
      </c>
      <c r="C1654" s="21" t="s">
        <v>887</v>
      </c>
      <c r="D1654" s="21" t="s">
        <v>888</v>
      </c>
      <c r="E1654" s="80" t="s">
        <v>2064</v>
      </c>
      <c r="F1654" s="21" t="s">
        <v>2068</v>
      </c>
      <c r="G1654" s="101" t="s">
        <v>77</v>
      </c>
      <c r="H1654" s="25" t="s">
        <v>2066</v>
      </c>
      <c r="I1654" s="65" t="s">
        <v>479</v>
      </c>
      <c r="J1654" s="65" t="s">
        <v>2069</v>
      </c>
      <c r="K1654" s="26" t="s">
        <v>2070</v>
      </c>
      <c r="L1654" s="48" t="s">
        <v>2071</v>
      </c>
      <c r="M1654" s="27" t="s">
        <v>2072</v>
      </c>
      <c r="N1654" s="105" t="s">
        <v>1310</v>
      </c>
      <c r="O1654" s="106">
        <v>0</v>
      </c>
      <c r="P1654" s="106">
        <v>13</v>
      </c>
      <c r="Q1654" s="51">
        <f t="shared" si="37"/>
        <v>0</v>
      </c>
      <c r="R1654" s="31">
        <v>202310</v>
      </c>
      <c r="S1654" s="54" t="s">
        <v>2073</v>
      </c>
      <c r="T1654" s="33"/>
      <c r="U1654" s="54"/>
      <c r="V1654" s="54"/>
      <c r="W1654" s="52"/>
      <c r="X1654" s="52"/>
      <c r="Y1654" s="36">
        <v>44562</v>
      </c>
      <c r="Z1654" s="36">
        <v>45291</v>
      </c>
      <c r="AA1654" s="36"/>
      <c r="AB1654" s="36"/>
      <c r="AC1654" s="36"/>
      <c r="AD1654" s="36"/>
      <c r="AE1654" s="36"/>
      <c r="AF1654" s="53" t="s">
        <v>503</v>
      </c>
      <c r="AG1654" s="42"/>
      <c r="AH1654" s="43"/>
      <c r="AI1654" s="43"/>
      <c r="AJ1654" s="43"/>
      <c r="AK1654" s="43"/>
      <c r="AL1654" s="43"/>
      <c r="AM1654" s="43"/>
      <c r="AN1654" s="42"/>
      <c r="AO1654" s="42"/>
      <c r="AP1654" s="42"/>
      <c r="AQ1654" s="43"/>
      <c r="AR1654" s="42"/>
      <c r="AS1654" s="42"/>
    </row>
    <row r="1655" spans="1:45" ht="15" customHeight="1">
      <c r="A1655" s="21" t="s">
        <v>258</v>
      </c>
      <c r="B1655" s="22" t="s">
        <v>46</v>
      </c>
      <c r="C1655" s="21" t="s">
        <v>887</v>
      </c>
      <c r="D1655" s="21" t="s">
        <v>888</v>
      </c>
      <c r="E1655" s="80" t="s">
        <v>2064</v>
      </c>
      <c r="F1655" s="21" t="s">
        <v>2068</v>
      </c>
      <c r="G1655" s="101" t="s">
        <v>77</v>
      </c>
      <c r="H1655" s="25" t="s">
        <v>2066</v>
      </c>
      <c r="I1655" s="65" t="s">
        <v>479</v>
      </c>
      <c r="J1655" s="65" t="s">
        <v>2069</v>
      </c>
      <c r="K1655" s="26" t="s">
        <v>2070</v>
      </c>
      <c r="L1655" s="48" t="s">
        <v>2071</v>
      </c>
      <c r="M1655" s="27" t="s">
        <v>2072</v>
      </c>
      <c r="N1655" s="105" t="s">
        <v>1310</v>
      </c>
      <c r="O1655" s="106">
        <v>0</v>
      </c>
      <c r="P1655" s="106">
        <v>4</v>
      </c>
      <c r="Q1655" s="51">
        <f t="shared" si="37"/>
        <v>0</v>
      </c>
      <c r="R1655" s="31">
        <v>202310</v>
      </c>
      <c r="S1655" s="54" t="s">
        <v>2074</v>
      </c>
      <c r="T1655" s="33"/>
      <c r="U1655" s="54"/>
      <c r="V1655" s="54"/>
      <c r="W1655" s="52"/>
      <c r="X1655" s="52"/>
      <c r="Y1655" s="36">
        <v>44562</v>
      </c>
      <c r="Z1655" s="36">
        <v>45291</v>
      </c>
      <c r="AA1655" s="36"/>
      <c r="AB1655" s="36"/>
      <c r="AC1655" s="36"/>
      <c r="AD1655" s="36"/>
      <c r="AE1655" s="36"/>
      <c r="AF1655" s="53" t="s">
        <v>484</v>
      </c>
      <c r="AG1655" s="42"/>
      <c r="AH1655" s="43"/>
      <c r="AI1655" s="43"/>
      <c r="AJ1655" s="43"/>
      <c r="AK1655" s="43"/>
      <c r="AL1655" s="43"/>
      <c r="AM1655" s="43"/>
      <c r="AN1655" s="42"/>
      <c r="AO1655" s="42"/>
      <c r="AP1655" s="42"/>
      <c r="AQ1655" s="43"/>
      <c r="AR1655" s="42"/>
      <c r="AS1655" s="42"/>
    </row>
    <row r="1656" spans="1:45" ht="15" customHeight="1">
      <c r="A1656" s="21" t="s">
        <v>258</v>
      </c>
      <c r="B1656" s="22" t="s">
        <v>46</v>
      </c>
      <c r="C1656" s="21" t="s">
        <v>887</v>
      </c>
      <c r="D1656" s="21" t="s">
        <v>888</v>
      </c>
      <c r="E1656" s="80" t="s">
        <v>2064</v>
      </c>
      <c r="F1656" s="21" t="s">
        <v>2068</v>
      </c>
      <c r="G1656" s="101" t="s">
        <v>77</v>
      </c>
      <c r="H1656" s="25" t="s">
        <v>2066</v>
      </c>
      <c r="I1656" s="65" t="s">
        <v>479</v>
      </c>
      <c r="J1656" s="65" t="s">
        <v>2069</v>
      </c>
      <c r="K1656" s="26" t="s">
        <v>2070</v>
      </c>
      <c r="L1656" s="48" t="s">
        <v>2071</v>
      </c>
      <c r="M1656" s="27">
        <v>44985</v>
      </c>
      <c r="N1656" s="105" t="s">
        <v>1310</v>
      </c>
      <c r="O1656" s="106">
        <v>0</v>
      </c>
      <c r="P1656" s="106">
        <v>-9</v>
      </c>
      <c r="Q1656" s="51">
        <f t="shared" si="37"/>
        <v>0</v>
      </c>
      <c r="R1656" s="31">
        <v>202310</v>
      </c>
      <c r="S1656" s="110" t="s">
        <v>2075</v>
      </c>
      <c r="T1656" s="33"/>
      <c r="U1656" s="54"/>
      <c r="V1656" s="54"/>
      <c r="W1656" s="52"/>
      <c r="X1656" s="52"/>
      <c r="Y1656" s="36">
        <v>44562</v>
      </c>
      <c r="Z1656" s="36">
        <v>45291</v>
      </c>
      <c r="AA1656" s="36"/>
      <c r="AB1656" s="36"/>
      <c r="AC1656" s="36"/>
      <c r="AD1656" s="36"/>
      <c r="AE1656" s="36"/>
      <c r="AF1656" s="53" t="s">
        <v>503</v>
      </c>
      <c r="AG1656" s="42"/>
      <c r="AH1656" s="43"/>
      <c r="AI1656" s="43"/>
      <c r="AJ1656" s="43"/>
      <c r="AK1656" s="43"/>
      <c r="AL1656" s="43"/>
      <c r="AM1656" s="43"/>
      <c r="AN1656" s="42"/>
      <c r="AO1656" s="42"/>
      <c r="AP1656" s="42"/>
      <c r="AQ1656" s="43"/>
      <c r="AR1656" s="42"/>
      <c r="AS1656" s="42"/>
    </row>
    <row r="1657" spans="1:45" ht="15" customHeight="1">
      <c r="A1657" s="21" t="s">
        <v>258</v>
      </c>
      <c r="B1657" s="22" t="s">
        <v>46</v>
      </c>
      <c r="C1657" s="21" t="s">
        <v>887</v>
      </c>
      <c r="D1657" s="21" t="s">
        <v>888</v>
      </c>
      <c r="E1657" s="80" t="s">
        <v>2064</v>
      </c>
      <c r="F1657" s="21" t="s">
        <v>2068</v>
      </c>
      <c r="G1657" s="101" t="s">
        <v>77</v>
      </c>
      <c r="H1657" s="25" t="s">
        <v>2066</v>
      </c>
      <c r="I1657" s="65" t="s">
        <v>479</v>
      </c>
      <c r="J1657" s="65" t="s">
        <v>2069</v>
      </c>
      <c r="K1657" s="26" t="s">
        <v>2076</v>
      </c>
      <c r="L1657" s="48" t="s">
        <v>2077</v>
      </c>
      <c r="M1657" s="27" t="s">
        <v>2072</v>
      </c>
      <c r="N1657" s="105" t="s">
        <v>1310</v>
      </c>
      <c r="O1657" s="106">
        <v>0</v>
      </c>
      <c r="P1657" s="106">
        <v>4</v>
      </c>
      <c r="Q1657" s="51">
        <f t="shared" si="37"/>
        <v>0</v>
      </c>
      <c r="R1657" s="31">
        <v>202310</v>
      </c>
      <c r="S1657" s="54" t="s">
        <v>2078</v>
      </c>
      <c r="T1657" s="33"/>
      <c r="U1657" s="54"/>
      <c r="V1657" s="54"/>
      <c r="W1657" s="52"/>
      <c r="X1657" s="52"/>
      <c r="Y1657" s="36">
        <v>44562</v>
      </c>
      <c r="Z1657" s="36">
        <v>45291</v>
      </c>
      <c r="AA1657" s="36"/>
      <c r="AB1657" s="36"/>
      <c r="AC1657" s="36"/>
      <c r="AD1657" s="36"/>
      <c r="AE1657" s="36"/>
      <c r="AF1657" s="53" t="s">
        <v>503</v>
      </c>
      <c r="AG1657" s="42"/>
      <c r="AH1657" s="43"/>
      <c r="AI1657" s="43"/>
      <c r="AJ1657" s="43"/>
      <c r="AK1657" s="43"/>
      <c r="AL1657" s="43"/>
      <c r="AM1657" s="43"/>
      <c r="AN1657" s="42"/>
      <c r="AO1657" s="42"/>
      <c r="AP1657" s="42"/>
      <c r="AQ1657" s="43"/>
      <c r="AR1657" s="42"/>
      <c r="AS1657" s="42"/>
    </row>
    <row r="1658" spans="1:45" ht="15" customHeight="1">
      <c r="A1658" s="21" t="s">
        <v>258</v>
      </c>
      <c r="B1658" s="22" t="s">
        <v>46</v>
      </c>
      <c r="C1658" s="21" t="s">
        <v>887</v>
      </c>
      <c r="D1658" s="21" t="s">
        <v>888</v>
      </c>
      <c r="E1658" s="80" t="s">
        <v>2064</v>
      </c>
      <c r="F1658" s="21" t="s">
        <v>2068</v>
      </c>
      <c r="G1658" s="101" t="s">
        <v>77</v>
      </c>
      <c r="H1658" s="25" t="s">
        <v>2066</v>
      </c>
      <c r="I1658" s="65" t="s">
        <v>479</v>
      </c>
      <c r="J1658" s="65" t="s">
        <v>2069</v>
      </c>
      <c r="K1658" s="26" t="s">
        <v>2079</v>
      </c>
      <c r="L1658" s="48" t="s">
        <v>2071</v>
      </c>
      <c r="M1658" s="27" t="s">
        <v>2072</v>
      </c>
      <c r="N1658" s="105" t="s">
        <v>1310</v>
      </c>
      <c r="O1658" s="106">
        <v>0</v>
      </c>
      <c r="P1658" s="106">
        <v>8</v>
      </c>
      <c r="Q1658" s="51">
        <f t="shared" si="37"/>
        <v>0</v>
      </c>
      <c r="R1658" s="31">
        <v>202310</v>
      </c>
      <c r="S1658" s="54" t="s">
        <v>2080</v>
      </c>
      <c r="T1658" s="33"/>
      <c r="U1658" s="54"/>
      <c r="V1658" s="54"/>
      <c r="W1658" s="52"/>
      <c r="X1658" s="52"/>
      <c r="Y1658" s="36">
        <v>44562</v>
      </c>
      <c r="Z1658" s="36">
        <v>45291</v>
      </c>
      <c r="AA1658" s="36"/>
      <c r="AB1658" s="36"/>
      <c r="AC1658" s="36"/>
      <c r="AD1658" s="36"/>
      <c r="AE1658" s="36"/>
      <c r="AF1658" s="53" t="s">
        <v>503</v>
      </c>
      <c r="AG1658" s="42"/>
      <c r="AH1658" s="43"/>
      <c r="AI1658" s="43"/>
      <c r="AJ1658" s="43"/>
      <c r="AK1658" s="43"/>
      <c r="AL1658" s="43"/>
      <c r="AM1658" s="43"/>
      <c r="AN1658" s="42"/>
      <c r="AO1658" s="42"/>
      <c r="AP1658" s="42"/>
      <c r="AQ1658" s="43"/>
      <c r="AR1658" s="42"/>
      <c r="AS1658" s="42"/>
    </row>
    <row r="1659" spans="1:45" ht="15" customHeight="1">
      <c r="A1659" s="21" t="s">
        <v>258</v>
      </c>
      <c r="B1659" s="22" t="s">
        <v>46</v>
      </c>
      <c r="C1659" s="21" t="s">
        <v>887</v>
      </c>
      <c r="D1659" s="21" t="s">
        <v>888</v>
      </c>
      <c r="E1659" s="80" t="s">
        <v>2064</v>
      </c>
      <c r="F1659" s="21" t="s">
        <v>2068</v>
      </c>
      <c r="G1659" s="101" t="s">
        <v>77</v>
      </c>
      <c r="H1659" s="25" t="s">
        <v>2066</v>
      </c>
      <c r="I1659" s="65" t="s">
        <v>479</v>
      </c>
      <c r="J1659" s="65" t="s">
        <v>2069</v>
      </c>
      <c r="K1659" s="104" t="s">
        <v>2070</v>
      </c>
      <c r="L1659" s="48" t="s">
        <v>2071</v>
      </c>
      <c r="M1659" s="27">
        <v>44562</v>
      </c>
      <c r="N1659" s="105" t="s">
        <v>1310</v>
      </c>
      <c r="O1659" s="106">
        <v>4000</v>
      </c>
      <c r="P1659" s="106">
        <v>3</v>
      </c>
      <c r="Q1659" s="51">
        <f t="shared" si="37"/>
        <v>12000</v>
      </c>
      <c r="R1659" s="31">
        <v>202310</v>
      </c>
      <c r="S1659" s="54" t="s">
        <v>2081</v>
      </c>
      <c r="T1659" s="33"/>
      <c r="U1659" s="54"/>
      <c r="V1659" s="54"/>
      <c r="W1659" s="52"/>
      <c r="X1659" s="52"/>
      <c r="Y1659" s="36">
        <v>44562</v>
      </c>
      <c r="Z1659" s="36">
        <v>45291</v>
      </c>
      <c r="AA1659" s="36"/>
      <c r="AB1659" s="36"/>
      <c r="AC1659" s="36"/>
      <c r="AD1659" s="36"/>
      <c r="AE1659" s="36"/>
      <c r="AF1659" s="53" t="s">
        <v>484</v>
      </c>
      <c r="AG1659" s="42"/>
      <c r="AH1659" s="43"/>
      <c r="AI1659" s="43"/>
      <c r="AJ1659" s="43"/>
      <c r="AK1659" s="43"/>
      <c r="AL1659" s="43"/>
      <c r="AM1659" s="43"/>
      <c r="AN1659" s="42"/>
      <c r="AO1659" s="42"/>
      <c r="AP1659" s="42"/>
      <c r="AQ1659" s="43"/>
      <c r="AR1659" s="42"/>
      <c r="AS1659" s="42"/>
    </row>
    <row r="1660" spans="1:45" ht="15" customHeight="1">
      <c r="A1660" s="21" t="s">
        <v>258</v>
      </c>
      <c r="B1660" s="22" t="s">
        <v>46</v>
      </c>
      <c r="C1660" s="21" t="s">
        <v>887</v>
      </c>
      <c r="D1660" s="21" t="s">
        <v>888</v>
      </c>
      <c r="E1660" s="80" t="s">
        <v>2064</v>
      </c>
      <c r="F1660" s="21" t="s">
        <v>2068</v>
      </c>
      <c r="G1660" s="101" t="s">
        <v>77</v>
      </c>
      <c r="H1660" s="25" t="s">
        <v>2066</v>
      </c>
      <c r="I1660" s="65" t="s">
        <v>479</v>
      </c>
      <c r="J1660" s="65" t="s">
        <v>2069</v>
      </c>
      <c r="K1660" s="104" t="s">
        <v>2070</v>
      </c>
      <c r="L1660" s="48" t="s">
        <v>2071</v>
      </c>
      <c r="M1660" s="27">
        <v>44651</v>
      </c>
      <c r="N1660" s="105" t="s">
        <v>1310</v>
      </c>
      <c r="O1660" s="106">
        <v>4000</v>
      </c>
      <c r="P1660" s="106">
        <v>-3</v>
      </c>
      <c r="Q1660" s="51">
        <f t="shared" si="37"/>
        <v>-12000</v>
      </c>
      <c r="R1660" s="31">
        <v>202310</v>
      </c>
      <c r="S1660" s="54" t="s">
        <v>2082</v>
      </c>
      <c r="T1660" s="33"/>
      <c r="U1660" s="54"/>
      <c r="V1660" s="54"/>
      <c r="W1660" s="52"/>
      <c r="X1660" s="52"/>
      <c r="Y1660" s="36">
        <v>44562</v>
      </c>
      <c r="Z1660" s="36">
        <v>45291</v>
      </c>
      <c r="AA1660" s="36"/>
      <c r="AB1660" s="36"/>
      <c r="AC1660" s="36"/>
      <c r="AD1660" s="36"/>
      <c r="AE1660" s="36"/>
      <c r="AF1660" s="53" t="s">
        <v>484</v>
      </c>
      <c r="AG1660" s="42"/>
      <c r="AH1660" s="43"/>
      <c r="AI1660" s="43"/>
      <c r="AJ1660" s="43"/>
      <c r="AK1660" s="43"/>
      <c r="AL1660" s="43"/>
      <c r="AM1660" s="43"/>
      <c r="AN1660" s="42"/>
      <c r="AO1660" s="42"/>
      <c r="AP1660" s="42"/>
      <c r="AQ1660" s="43"/>
      <c r="AR1660" s="42"/>
      <c r="AS1660" s="42"/>
    </row>
    <row r="1661" spans="1:45" ht="15" customHeight="1">
      <c r="A1661" s="21" t="s">
        <v>258</v>
      </c>
      <c r="B1661" s="22" t="s">
        <v>46</v>
      </c>
      <c r="C1661" s="21" t="s">
        <v>887</v>
      </c>
      <c r="D1661" s="21" t="s">
        <v>888</v>
      </c>
      <c r="E1661" s="80" t="s">
        <v>2064</v>
      </c>
      <c r="F1661" s="21" t="s">
        <v>2068</v>
      </c>
      <c r="G1661" s="101" t="s">
        <v>77</v>
      </c>
      <c r="H1661" s="25" t="s">
        <v>2066</v>
      </c>
      <c r="I1661" s="65" t="s">
        <v>849</v>
      </c>
      <c r="J1661" s="65" t="s">
        <v>2069</v>
      </c>
      <c r="K1661" s="104" t="s">
        <v>2083</v>
      </c>
      <c r="L1661" s="48" t="s">
        <v>2084</v>
      </c>
      <c r="M1661" s="27">
        <v>42755</v>
      </c>
      <c r="N1661" s="105" t="s">
        <v>1310</v>
      </c>
      <c r="O1661" s="106">
        <v>0</v>
      </c>
      <c r="P1661" s="106">
        <v>3</v>
      </c>
      <c r="Q1661" s="51">
        <f t="shared" si="37"/>
        <v>0</v>
      </c>
      <c r="R1661" s="31">
        <v>202310</v>
      </c>
      <c r="S1661" s="54" t="s">
        <v>2085</v>
      </c>
      <c r="T1661" s="33"/>
      <c r="U1661" s="54"/>
      <c r="V1661" s="54"/>
      <c r="W1661" s="52"/>
      <c r="X1661" s="52"/>
      <c r="Y1661" s="36">
        <v>44562</v>
      </c>
      <c r="Z1661" s="36">
        <v>45291</v>
      </c>
      <c r="AA1661" s="36"/>
      <c r="AB1661" s="36"/>
      <c r="AC1661" s="36"/>
      <c r="AD1661" s="36"/>
      <c r="AE1661" s="36"/>
      <c r="AF1661" s="53" t="s">
        <v>853</v>
      </c>
      <c r="AG1661" s="42"/>
      <c r="AH1661" s="43"/>
      <c r="AI1661" s="43"/>
      <c r="AJ1661" s="43"/>
      <c r="AK1661" s="43"/>
      <c r="AL1661" s="43"/>
      <c r="AM1661" s="43"/>
      <c r="AN1661" s="42"/>
      <c r="AO1661" s="42"/>
      <c r="AP1661" s="42"/>
      <c r="AQ1661" s="43"/>
      <c r="AR1661" s="42"/>
      <c r="AS1661" s="42"/>
    </row>
    <row r="1662" spans="1:45" ht="15" customHeight="1">
      <c r="A1662" s="21" t="s">
        <v>258</v>
      </c>
      <c r="B1662" s="22" t="s">
        <v>46</v>
      </c>
      <c r="C1662" s="21" t="s">
        <v>887</v>
      </c>
      <c r="D1662" s="21" t="s">
        <v>888</v>
      </c>
      <c r="E1662" s="80" t="s">
        <v>2064</v>
      </c>
      <c r="F1662" s="21" t="s">
        <v>2068</v>
      </c>
      <c r="G1662" s="101" t="s">
        <v>77</v>
      </c>
      <c r="H1662" s="25" t="s">
        <v>2066</v>
      </c>
      <c r="I1662" s="65" t="s">
        <v>849</v>
      </c>
      <c r="J1662" s="65" t="s">
        <v>2069</v>
      </c>
      <c r="K1662" s="104" t="s">
        <v>2083</v>
      </c>
      <c r="L1662" s="48" t="s">
        <v>2084</v>
      </c>
      <c r="M1662" s="27">
        <v>44470</v>
      </c>
      <c r="N1662" s="105" t="s">
        <v>1310</v>
      </c>
      <c r="O1662" s="106">
        <v>0</v>
      </c>
      <c r="P1662" s="106">
        <v>3</v>
      </c>
      <c r="Q1662" s="51">
        <f t="shared" si="37"/>
        <v>0</v>
      </c>
      <c r="R1662" s="31">
        <v>202310</v>
      </c>
      <c r="S1662" s="54" t="s">
        <v>2086</v>
      </c>
      <c r="T1662" s="33"/>
      <c r="U1662" s="54"/>
      <c r="V1662" s="54"/>
      <c r="W1662" s="52"/>
      <c r="X1662" s="52"/>
      <c r="Y1662" s="36">
        <v>44562</v>
      </c>
      <c r="Z1662" s="36">
        <v>45291</v>
      </c>
      <c r="AA1662" s="36"/>
      <c r="AB1662" s="36"/>
      <c r="AC1662" s="36"/>
      <c r="AD1662" s="36"/>
      <c r="AE1662" s="36"/>
      <c r="AF1662" s="53" t="s">
        <v>853</v>
      </c>
      <c r="AG1662" s="42"/>
      <c r="AH1662" s="43"/>
      <c r="AI1662" s="43"/>
      <c r="AJ1662" s="43"/>
      <c r="AK1662" s="43"/>
      <c r="AL1662" s="43"/>
      <c r="AM1662" s="43"/>
      <c r="AN1662" s="42"/>
      <c r="AO1662" s="42"/>
      <c r="AP1662" s="42"/>
      <c r="AQ1662" s="43"/>
      <c r="AR1662" s="42"/>
      <c r="AS1662" s="42"/>
    </row>
    <row r="1663" spans="1:45" ht="15" customHeight="1">
      <c r="A1663" s="21" t="s">
        <v>258</v>
      </c>
      <c r="B1663" s="22" t="s">
        <v>46</v>
      </c>
      <c r="C1663" s="21" t="s">
        <v>887</v>
      </c>
      <c r="D1663" s="21" t="s">
        <v>888</v>
      </c>
      <c r="E1663" s="80" t="s">
        <v>2064</v>
      </c>
      <c r="F1663" s="21" t="s">
        <v>2068</v>
      </c>
      <c r="G1663" s="101" t="s">
        <v>77</v>
      </c>
      <c r="H1663" s="25" t="s">
        <v>2066</v>
      </c>
      <c r="I1663" s="65" t="s">
        <v>849</v>
      </c>
      <c r="J1663" s="65" t="s">
        <v>2069</v>
      </c>
      <c r="K1663" s="104" t="s">
        <v>2083</v>
      </c>
      <c r="L1663" s="48" t="s">
        <v>2087</v>
      </c>
      <c r="M1663" s="27">
        <v>42755</v>
      </c>
      <c r="N1663" s="105" t="s">
        <v>1310</v>
      </c>
      <c r="O1663" s="106">
        <v>4000</v>
      </c>
      <c r="P1663" s="106">
        <v>11</v>
      </c>
      <c r="Q1663" s="51">
        <f t="shared" si="37"/>
        <v>44000</v>
      </c>
      <c r="R1663" s="31">
        <v>202310</v>
      </c>
      <c r="S1663" s="54" t="s">
        <v>2088</v>
      </c>
      <c r="T1663" s="33"/>
      <c r="U1663" s="54"/>
      <c r="V1663" s="54"/>
      <c r="W1663" s="52"/>
      <c r="X1663" s="52"/>
      <c r="Y1663" s="36">
        <v>44562</v>
      </c>
      <c r="Z1663" s="36">
        <v>45291</v>
      </c>
      <c r="AA1663" s="36"/>
      <c r="AB1663" s="36"/>
      <c r="AC1663" s="36"/>
      <c r="AD1663" s="36"/>
      <c r="AE1663" s="36"/>
      <c r="AF1663" s="53" t="s">
        <v>853</v>
      </c>
      <c r="AG1663" s="42"/>
      <c r="AH1663" s="43"/>
      <c r="AI1663" s="43"/>
      <c r="AJ1663" s="43"/>
      <c r="AK1663" s="43"/>
      <c r="AL1663" s="43"/>
      <c r="AM1663" s="43"/>
      <c r="AN1663" s="42"/>
      <c r="AO1663" s="42"/>
      <c r="AP1663" s="42"/>
      <c r="AQ1663" s="43"/>
      <c r="AR1663" s="42"/>
      <c r="AS1663" s="42"/>
    </row>
    <row r="1664" spans="1:45" ht="15" customHeight="1">
      <c r="A1664" s="21" t="s">
        <v>258</v>
      </c>
      <c r="B1664" s="22" t="s">
        <v>46</v>
      </c>
      <c r="C1664" s="21" t="s">
        <v>887</v>
      </c>
      <c r="D1664" s="21" t="s">
        <v>888</v>
      </c>
      <c r="E1664" s="80" t="s">
        <v>2064</v>
      </c>
      <c r="F1664" s="21" t="s">
        <v>2068</v>
      </c>
      <c r="G1664" s="101" t="s">
        <v>77</v>
      </c>
      <c r="H1664" s="25" t="s">
        <v>2066</v>
      </c>
      <c r="I1664" s="65" t="s">
        <v>849</v>
      </c>
      <c r="J1664" s="65" t="s">
        <v>2069</v>
      </c>
      <c r="K1664" s="104" t="s">
        <v>2083</v>
      </c>
      <c r="L1664" s="48" t="s">
        <v>2087</v>
      </c>
      <c r="M1664" s="27">
        <v>44372</v>
      </c>
      <c r="N1664" s="105" t="s">
        <v>1310</v>
      </c>
      <c r="O1664" s="106">
        <v>4000</v>
      </c>
      <c r="P1664" s="106">
        <v>-1</v>
      </c>
      <c r="Q1664" s="51">
        <f t="shared" si="37"/>
        <v>-4000</v>
      </c>
      <c r="R1664" s="31">
        <v>202310</v>
      </c>
      <c r="S1664" s="54" t="s">
        <v>2089</v>
      </c>
      <c r="T1664" s="33"/>
      <c r="U1664" s="54"/>
      <c r="V1664" s="54"/>
      <c r="W1664" s="52"/>
      <c r="X1664" s="52"/>
      <c r="Y1664" s="36">
        <v>44562</v>
      </c>
      <c r="Z1664" s="36">
        <v>45291</v>
      </c>
      <c r="AA1664" s="36"/>
      <c r="AB1664" s="36"/>
      <c r="AC1664" s="36"/>
      <c r="AD1664" s="36"/>
      <c r="AE1664" s="36"/>
      <c r="AF1664" s="53" t="s">
        <v>853</v>
      </c>
      <c r="AG1664" s="42"/>
      <c r="AH1664" s="43"/>
      <c r="AI1664" s="43"/>
      <c r="AJ1664" s="43"/>
      <c r="AK1664" s="43"/>
      <c r="AL1664" s="43"/>
      <c r="AM1664" s="43"/>
      <c r="AN1664" s="42"/>
      <c r="AO1664" s="42"/>
      <c r="AP1664" s="42"/>
      <c r="AQ1664" s="43"/>
      <c r="AR1664" s="42"/>
      <c r="AS1664" s="42"/>
    </row>
    <row r="1665" spans="1:45" ht="15" customHeight="1">
      <c r="A1665" s="21" t="s">
        <v>258</v>
      </c>
      <c r="B1665" s="22" t="s">
        <v>46</v>
      </c>
      <c r="C1665" s="21" t="s">
        <v>887</v>
      </c>
      <c r="D1665" s="21" t="s">
        <v>888</v>
      </c>
      <c r="E1665" s="80" t="s">
        <v>2064</v>
      </c>
      <c r="F1665" s="21" t="s">
        <v>2068</v>
      </c>
      <c r="G1665" s="101" t="s">
        <v>77</v>
      </c>
      <c r="H1665" s="25" t="s">
        <v>2066</v>
      </c>
      <c r="I1665" s="65" t="s">
        <v>849</v>
      </c>
      <c r="J1665" s="65" t="s">
        <v>2069</v>
      </c>
      <c r="K1665" s="104" t="s">
        <v>2083</v>
      </c>
      <c r="L1665" s="48" t="s">
        <v>2087</v>
      </c>
      <c r="M1665" s="27">
        <v>44712</v>
      </c>
      <c r="N1665" s="105" t="s">
        <v>1310</v>
      </c>
      <c r="O1665" s="106">
        <v>4000</v>
      </c>
      <c r="P1665" s="106">
        <v>-16</v>
      </c>
      <c r="Q1665" s="51">
        <f t="shared" si="37"/>
        <v>-64000</v>
      </c>
      <c r="R1665" s="31">
        <v>202310</v>
      </c>
      <c r="S1665" s="54" t="s">
        <v>2090</v>
      </c>
      <c r="T1665" s="33"/>
      <c r="U1665" s="54"/>
      <c r="V1665" s="54"/>
      <c r="W1665" s="52"/>
      <c r="X1665" s="52"/>
      <c r="Y1665" s="36">
        <v>44562</v>
      </c>
      <c r="Z1665" s="36">
        <v>45291</v>
      </c>
      <c r="AA1665" s="36"/>
      <c r="AB1665" s="36"/>
      <c r="AC1665" s="36"/>
      <c r="AD1665" s="36"/>
      <c r="AE1665" s="36"/>
      <c r="AF1665" s="53" t="s">
        <v>853</v>
      </c>
      <c r="AG1665" s="42"/>
      <c r="AH1665" s="43"/>
      <c r="AI1665" s="43"/>
      <c r="AJ1665" s="43"/>
      <c r="AK1665" s="43"/>
      <c r="AL1665" s="43"/>
      <c r="AM1665" s="43"/>
      <c r="AN1665" s="42"/>
      <c r="AO1665" s="42"/>
      <c r="AP1665" s="42"/>
      <c r="AQ1665" s="43"/>
      <c r="AR1665" s="42"/>
      <c r="AS1665" s="42"/>
    </row>
    <row r="1666" spans="1:45" ht="15" customHeight="1">
      <c r="A1666" s="21" t="s">
        <v>258</v>
      </c>
      <c r="B1666" s="22" t="s">
        <v>46</v>
      </c>
      <c r="C1666" s="21" t="s">
        <v>887</v>
      </c>
      <c r="D1666" s="21" t="s">
        <v>888</v>
      </c>
      <c r="E1666" s="80" t="s">
        <v>2064</v>
      </c>
      <c r="F1666" s="21" t="s">
        <v>2068</v>
      </c>
      <c r="G1666" s="101" t="s">
        <v>77</v>
      </c>
      <c r="H1666" s="25" t="s">
        <v>2066</v>
      </c>
      <c r="I1666" s="65" t="s">
        <v>849</v>
      </c>
      <c r="J1666" s="65" t="s">
        <v>2069</v>
      </c>
      <c r="K1666" s="104" t="s">
        <v>2083</v>
      </c>
      <c r="L1666" s="48" t="s">
        <v>2087</v>
      </c>
      <c r="M1666" s="27">
        <v>44713</v>
      </c>
      <c r="N1666" s="105" t="s">
        <v>1310</v>
      </c>
      <c r="O1666" s="106">
        <v>4000</v>
      </c>
      <c r="P1666" s="106">
        <v>8</v>
      </c>
      <c r="Q1666" s="51">
        <f t="shared" si="37"/>
        <v>32000</v>
      </c>
      <c r="R1666" s="31">
        <v>202310</v>
      </c>
      <c r="S1666" s="54" t="s">
        <v>2091</v>
      </c>
      <c r="T1666" s="33"/>
      <c r="U1666" s="54"/>
      <c r="V1666" s="54"/>
      <c r="W1666" s="52"/>
      <c r="X1666" s="52"/>
      <c r="Y1666" s="36">
        <v>44562</v>
      </c>
      <c r="Z1666" s="36">
        <v>45291</v>
      </c>
      <c r="AA1666" s="36"/>
      <c r="AB1666" s="36"/>
      <c r="AC1666" s="36"/>
      <c r="AD1666" s="36"/>
      <c r="AE1666" s="36"/>
      <c r="AF1666" s="53" t="s">
        <v>853</v>
      </c>
      <c r="AG1666" s="42"/>
      <c r="AH1666" s="43"/>
      <c r="AI1666" s="43"/>
      <c r="AJ1666" s="43"/>
      <c r="AK1666" s="43"/>
      <c r="AL1666" s="43"/>
      <c r="AM1666" s="43"/>
      <c r="AN1666" s="42"/>
      <c r="AO1666" s="42"/>
      <c r="AP1666" s="42"/>
      <c r="AQ1666" s="43"/>
      <c r="AR1666" s="42"/>
      <c r="AS1666" s="42"/>
    </row>
    <row r="1667" spans="1:45" ht="15" customHeight="1">
      <c r="A1667" s="21" t="s">
        <v>258</v>
      </c>
      <c r="B1667" s="22" t="s">
        <v>46</v>
      </c>
      <c r="C1667" s="21" t="s">
        <v>887</v>
      </c>
      <c r="D1667" s="21" t="s">
        <v>888</v>
      </c>
      <c r="E1667" s="80" t="s">
        <v>2064</v>
      </c>
      <c r="F1667" s="21" t="s">
        <v>2068</v>
      </c>
      <c r="G1667" s="101" t="s">
        <v>165</v>
      </c>
      <c r="H1667" s="25" t="s">
        <v>2066</v>
      </c>
      <c r="I1667" s="65" t="s">
        <v>491</v>
      </c>
      <c r="J1667" s="65"/>
      <c r="K1667" s="26" t="s">
        <v>2079</v>
      </c>
      <c r="L1667" s="48"/>
      <c r="M1667" s="27" t="s">
        <v>2092</v>
      </c>
      <c r="N1667" s="105"/>
      <c r="O1667" s="106">
        <v>0</v>
      </c>
      <c r="P1667" s="106">
        <v>288</v>
      </c>
      <c r="Q1667" s="51">
        <v>0</v>
      </c>
      <c r="R1667" s="31">
        <v>202310</v>
      </c>
      <c r="S1667" s="54" t="s">
        <v>2093</v>
      </c>
      <c r="T1667" s="33"/>
      <c r="U1667" s="54"/>
      <c r="V1667" s="54"/>
      <c r="W1667" s="52"/>
      <c r="X1667" s="52"/>
      <c r="Y1667" s="36">
        <v>44562</v>
      </c>
      <c r="Z1667" s="36">
        <v>45291</v>
      </c>
      <c r="AA1667" s="36"/>
      <c r="AB1667" s="36"/>
      <c r="AC1667" s="36"/>
      <c r="AD1667" s="36"/>
      <c r="AE1667" s="36"/>
      <c r="AF1667" s="54" t="s">
        <v>503</v>
      </c>
      <c r="AG1667" s="42"/>
      <c r="AH1667" s="43"/>
      <c r="AI1667" s="43"/>
      <c r="AJ1667" s="43"/>
      <c r="AK1667" s="43"/>
      <c r="AL1667" s="43"/>
      <c r="AM1667" s="43"/>
      <c r="AN1667" s="42"/>
      <c r="AO1667" s="42"/>
      <c r="AP1667" s="42"/>
      <c r="AQ1667" s="43"/>
      <c r="AR1667" s="42"/>
      <c r="AS1667" s="42"/>
    </row>
    <row r="1668" spans="1:45" ht="15" customHeight="1">
      <c r="A1668" s="21" t="s">
        <v>258</v>
      </c>
      <c r="B1668" s="22" t="s">
        <v>46</v>
      </c>
      <c r="C1668" s="21" t="s">
        <v>887</v>
      </c>
      <c r="D1668" s="21" t="s">
        <v>888</v>
      </c>
      <c r="E1668" s="80" t="s">
        <v>2064</v>
      </c>
      <c r="F1668" s="21" t="s">
        <v>2068</v>
      </c>
      <c r="G1668" s="101" t="s">
        <v>165</v>
      </c>
      <c r="H1668" s="25" t="s">
        <v>2066</v>
      </c>
      <c r="I1668" s="65" t="s">
        <v>491</v>
      </c>
      <c r="J1668" s="65"/>
      <c r="K1668" s="26" t="s">
        <v>2076</v>
      </c>
      <c r="L1668" s="48"/>
      <c r="M1668" s="27" t="s">
        <v>2092</v>
      </c>
      <c r="N1668" s="105"/>
      <c r="O1668" s="106">
        <v>0</v>
      </c>
      <c r="P1668" s="106">
        <v>256</v>
      </c>
      <c r="Q1668" s="51">
        <f t="shared" ref="Q1668:Q1732" si="38">ROUND(O1668*P1668,2)</f>
        <v>0</v>
      </c>
      <c r="R1668" s="31">
        <v>202310</v>
      </c>
      <c r="S1668" s="54" t="s">
        <v>2094</v>
      </c>
      <c r="T1668" s="33"/>
      <c r="U1668" s="54"/>
      <c r="V1668" s="54"/>
      <c r="W1668" s="52"/>
      <c r="X1668" s="52"/>
      <c r="Y1668" s="36">
        <v>44562</v>
      </c>
      <c r="Z1668" s="36">
        <v>45291</v>
      </c>
      <c r="AA1668" s="36"/>
      <c r="AB1668" s="36"/>
      <c r="AC1668" s="36"/>
      <c r="AD1668" s="36"/>
      <c r="AE1668" s="36"/>
      <c r="AF1668" s="53" t="s">
        <v>503</v>
      </c>
      <c r="AG1668" s="42"/>
      <c r="AH1668" s="43"/>
      <c r="AI1668" s="43"/>
      <c r="AJ1668" s="43"/>
      <c r="AK1668" s="43"/>
      <c r="AL1668" s="43"/>
      <c r="AM1668" s="43"/>
      <c r="AN1668" s="42"/>
      <c r="AO1668" s="42"/>
      <c r="AP1668" s="42"/>
      <c r="AQ1668" s="43"/>
      <c r="AR1668" s="42"/>
      <c r="AS1668" s="42"/>
    </row>
    <row r="1669" spans="1:45" ht="15" customHeight="1">
      <c r="A1669" s="21" t="s">
        <v>258</v>
      </c>
      <c r="B1669" s="22" t="s">
        <v>46</v>
      </c>
      <c r="C1669" s="21" t="s">
        <v>887</v>
      </c>
      <c r="D1669" s="21" t="s">
        <v>888</v>
      </c>
      <c r="E1669" s="80" t="s">
        <v>2064</v>
      </c>
      <c r="F1669" s="21" t="s">
        <v>2068</v>
      </c>
      <c r="G1669" s="101" t="s">
        <v>165</v>
      </c>
      <c r="H1669" s="25" t="s">
        <v>2066</v>
      </c>
      <c r="I1669" s="65" t="s">
        <v>491</v>
      </c>
      <c r="J1669" s="65"/>
      <c r="K1669" s="26" t="s">
        <v>2070</v>
      </c>
      <c r="L1669" s="48"/>
      <c r="M1669" s="27" t="s">
        <v>2092</v>
      </c>
      <c r="N1669" s="105" t="s">
        <v>653</v>
      </c>
      <c r="O1669" s="106">
        <v>0</v>
      </c>
      <c r="P1669" s="106">
        <v>544</v>
      </c>
      <c r="Q1669" s="51">
        <f t="shared" si="38"/>
        <v>0</v>
      </c>
      <c r="R1669" s="31">
        <v>202310</v>
      </c>
      <c r="S1669" s="54" t="s">
        <v>2095</v>
      </c>
      <c r="T1669" s="33"/>
      <c r="U1669" s="54"/>
      <c r="V1669" s="54"/>
      <c r="W1669" s="52"/>
      <c r="X1669" s="52"/>
      <c r="Y1669" s="36">
        <v>44562</v>
      </c>
      <c r="Z1669" s="36">
        <v>45291</v>
      </c>
      <c r="AA1669" s="36"/>
      <c r="AB1669" s="36"/>
      <c r="AC1669" s="36"/>
      <c r="AD1669" s="36"/>
      <c r="AE1669" s="36"/>
      <c r="AF1669" s="53" t="s">
        <v>503</v>
      </c>
      <c r="AG1669" s="42"/>
      <c r="AH1669" s="43"/>
      <c r="AI1669" s="43"/>
      <c r="AJ1669" s="43"/>
      <c r="AK1669" s="43"/>
      <c r="AL1669" s="43"/>
      <c r="AM1669" s="43"/>
      <c r="AN1669" s="42"/>
      <c r="AO1669" s="42"/>
      <c r="AP1669" s="42"/>
      <c r="AQ1669" s="43"/>
      <c r="AR1669" s="42"/>
      <c r="AS1669" s="42"/>
    </row>
    <row r="1670" spans="1:45" ht="15" customHeight="1">
      <c r="A1670" s="21" t="s">
        <v>258</v>
      </c>
      <c r="B1670" s="22" t="s">
        <v>46</v>
      </c>
      <c r="C1670" s="21" t="s">
        <v>887</v>
      </c>
      <c r="D1670" s="21" t="s">
        <v>888</v>
      </c>
      <c r="E1670" s="80" t="s">
        <v>2064</v>
      </c>
      <c r="F1670" s="21" t="s">
        <v>2068</v>
      </c>
      <c r="G1670" s="101" t="s">
        <v>165</v>
      </c>
      <c r="H1670" s="25" t="s">
        <v>2066</v>
      </c>
      <c r="I1670" s="65" t="s">
        <v>491</v>
      </c>
      <c r="J1670" s="65"/>
      <c r="K1670" s="26" t="s">
        <v>2070</v>
      </c>
      <c r="L1670" s="48"/>
      <c r="M1670" s="27" t="s">
        <v>2092</v>
      </c>
      <c r="N1670" s="105" t="s">
        <v>653</v>
      </c>
      <c r="O1670" s="106">
        <v>0</v>
      </c>
      <c r="P1670" s="106">
        <v>384</v>
      </c>
      <c r="Q1670" s="51">
        <f t="shared" si="38"/>
        <v>0</v>
      </c>
      <c r="R1670" s="31">
        <v>202310</v>
      </c>
      <c r="S1670" s="54" t="s">
        <v>2096</v>
      </c>
      <c r="T1670" s="33"/>
      <c r="U1670" s="54"/>
      <c r="V1670" s="54"/>
      <c r="W1670" s="52"/>
      <c r="X1670" s="52"/>
      <c r="Y1670" s="36">
        <v>44562</v>
      </c>
      <c r="Z1670" s="36">
        <v>45291</v>
      </c>
      <c r="AA1670" s="36"/>
      <c r="AB1670" s="36"/>
      <c r="AC1670" s="36"/>
      <c r="AD1670" s="36"/>
      <c r="AE1670" s="36"/>
      <c r="AF1670" s="53" t="s">
        <v>484</v>
      </c>
      <c r="AG1670" s="42"/>
      <c r="AH1670" s="43"/>
      <c r="AI1670" s="43"/>
      <c r="AJ1670" s="43"/>
      <c r="AK1670" s="43"/>
      <c r="AL1670" s="43"/>
      <c r="AM1670" s="43"/>
      <c r="AN1670" s="42"/>
      <c r="AO1670" s="42"/>
      <c r="AP1670" s="42"/>
      <c r="AQ1670" s="43"/>
      <c r="AR1670" s="42"/>
      <c r="AS1670" s="42"/>
    </row>
    <row r="1671" spans="1:45" ht="15" customHeight="1">
      <c r="A1671" s="21" t="s">
        <v>258</v>
      </c>
      <c r="B1671" s="22" t="s">
        <v>46</v>
      </c>
      <c r="C1671" s="21" t="s">
        <v>887</v>
      </c>
      <c r="D1671" s="21" t="s">
        <v>888</v>
      </c>
      <c r="E1671" s="80" t="s">
        <v>2064</v>
      </c>
      <c r="F1671" s="21" t="s">
        <v>2068</v>
      </c>
      <c r="G1671" s="101" t="s">
        <v>165</v>
      </c>
      <c r="H1671" s="25" t="s">
        <v>2066</v>
      </c>
      <c r="I1671" s="65" t="s">
        <v>859</v>
      </c>
      <c r="J1671" s="65" t="s">
        <v>2069</v>
      </c>
      <c r="K1671" s="104" t="s">
        <v>2083</v>
      </c>
      <c r="L1671" s="48"/>
      <c r="M1671" s="27" t="s">
        <v>2092</v>
      </c>
      <c r="N1671" s="105"/>
      <c r="O1671" s="106">
        <v>0</v>
      </c>
      <c r="P1671" s="106">
        <f>1088+192</f>
        <v>1280</v>
      </c>
      <c r="Q1671" s="51">
        <f t="shared" si="38"/>
        <v>0</v>
      </c>
      <c r="R1671" s="31">
        <v>202310</v>
      </c>
      <c r="S1671" s="54" t="s">
        <v>2097</v>
      </c>
      <c r="T1671" s="33"/>
      <c r="U1671" s="54"/>
      <c r="V1671" s="54"/>
      <c r="W1671" s="52"/>
      <c r="X1671" s="52"/>
      <c r="Y1671" s="36">
        <v>44562</v>
      </c>
      <c r="Z1671" s="36">
        <v>45291</v>
      </c>
      <c r="AA1671" s="36"/>
      <c r="AB1671" s="36"/>
      <c r="AC1671" s="36"/>
      <c r="AD1671" s="36"/>
      <c r="AE1671" s="36"/>
      <c r="AF1671" s="53" t="s">
        <v>853</v>
      </c>
      <c r="AG1671" s="42"/>
      <c r="AH1671" s="43"/>
      <c r="AI1671" s="43"/>
      <c r="AJ1671" s="43"/>
      <c r="AK1671" s="43"/>
      <c r="AL1671" s="43"/>
      <c r="AM1671" s="43"/>
      <c r="AN1671" s="42"/>
      <c r="AO1671" s="42"/>
      <c r="AP1671" s="42"/>
      <c r="AQ1671" s="43"/>
      <c r="AR1671" s="42"/>
      <c r="AS1671" s="42"/>
    </row>
    <row r="1672" spans="1:45" ht="15" customHeight="1">
      <c r="A1672" s="21" t="s">
        <v>258</v>
      </c>
      <c r="B1672" s="22" t="s">
        <v>46</v>
      </c>
      <c r="C1672" s="21" t="s">
        <v>887</v>
      </c>
      <c r="D1672" s="21" t="s">
        <v>888</v>
      </c>
      <c r="E1672" s="80" t="s">
        <v>2064</v>
      </c>
      <c r="F1672" s="21" t="s">
        <v>2068</v>
      </c>
      <c r="G1672" s="101" t="s">
        <v>165</v>
      </c>
      <c r="H1672" s="25" t="s">
        <v>2066</v>
      </c>
      <c r="I1672" s="65" t="s">
        <v>859</v>
      </c>
      <c r="J1672" s="65" t="s">
        <v>2069</v>
      </c>
      <c r="K1672" s="104" t="s">
        <v>2083</v>
      </c>
      <c r="L1672" s="48"/>
      <c r="M1672" s="27">
        <v>44712</v>
      </c>
      <c r="N1672" s="191"/>
      <c r="O1672" s="106">
        <v>0</v>
      </c>
      <c r="P1672" s="106">
        <v>-1280</v>
      </c>
      <c r="Q1672" s="51">
        <f t="shared" si="38"/>
        <v>0</v>
      </c>
      <c r="R1672" s="31">
        <v>202310</v>
      </c>
      <c r="S1672" s="54" t="s">
        <v>2098</v>
      </c>
      <c r="T1672" s="33"/>
      <c r="U1672" s="54"/>
      <c r="V1672" s="54"/>
      <c r="W1672" s="52"/>
      <c r="X1672" s="52"/>
      <c r="Y1672" s="36">
        <v>44562</v>
      </c>
      <c r="Z1672" s="36">
        <v>45291</v>
      </c>
      <c r="AA1672" s="36"/>
      <c r="AB1672" s="36"/>
      <c r="AC1672" s="36"/>
      <c r="AD1672" s="36"/>
      <c r="AE1672" s="36"/>
      <c r="AF1672" s="53" t="s">
        <v>853</v>
      </c>
      <c r="AG1672" s="42"/>
      <c r="AH1672" s="43"/>
      <c r="AI1672" s="43"/>
      <c r="AJ1672" s="43"/>
      <c r="AK1672" s="43"/>
      <c r="AL1672" s="43"/>
      <c r="AM1672" s="43"/>
      <c r="AN1672" s="42"/>
      <c r="AO1672" s="42"/>
      <c r="AP1672" s="42"/>
      <c r="AQ1672" s="43"/>
      <c r="AR1672" s="42"/>
      <c r="AS1672" s="42"/>
    </row>
    <row r="1673" spans="1:45" ht="15" customHeight="1">
      <c r="A1673" s="21" t="s">
        <v>258</v>
      </c>
      <c r="B1673" s="22" t="s">
        <v>46</v>
      </c>
      <c r="C1673" s="21" t="s">
        <v>887</v>
      </c>
      <c r="D1673" s="21" t="s">
        <v>888</v>
      </c>
      <c r="E1673" s="80" t="s">
        <v>2064</v>
      </c>
      <c r="F1673" s="21" t="s">
        <v>2068</v>
      </c>
      <c r="G1673" s="101" t="s">
        <v>165</v>
      </c>
      <c r="H1673" s="25" t="s">
        <v>2066</v>
      </c>
      <c r="I1673" s="65" t="s">
        <v>859</v>
      </c>
      <c r="J1673" s="65" t="s">
        <v>2069</v>
      </c>
      <c r="K1673" s="104" t="s">
        <v>2083</v>
      </c>
      <c r="L1673" s="48"/>
      <c r="M1673" s="27">
        <v>44718</v>
      </c>
      <c r="N1673" s="105"/>
      <c r="O1673" s="106">
        <v>0</v>
      </c>
      <c r="P1673" s="106">
        <f>256*5</f>
        <v>1280</v>
      </c>
      <c r="Q1673" s="51">
        <f t="shared" si="38"/>
        <v>0</v>
      </c>
      <c r="R1673" s="31">
        <v>202310</v>
      </c>
      <c r="S1673" s="54" t="s">
        <v>2099</v>
      </c>
      <c r="T1673" s="33"/>
      <c r="U1673" s="54"/>
      <c r="V1673" s="54"/>
      <c r="W1673" s="52"/>
      <c r="X1673" s="52"/>
      <c r="Y1673" s="36">
        <v>44562</v>
      </c>
      <c r="Z1673" s="36">
        <v>45291</v>
      </c>
      <c r="AA1673" s="36"/>
      <c r="AB1673" s="36"/>
      <c r="AC1673" s="36"/>
      <c r="AD1673" s="36"/>
      <c r="AE1673" s="36"/>
      <c r="AF1673" s="53" t="s">
        <v>853</v>
      </c>
      <c r="AG1673" s="42"/>
      <c r="AH1673" s="43"/>
      <c r="AI1673" s="43"/>
      <c r="AJ1673" s="43"/>
      <c r="AK1673" s="43"/>
      <c r="AL1673" s="43"/>
      <c r="AM1673" s="43"/>
      <c r="AN1673" s="42"/>
      <c r="AO1673" s="42"/>
      <c r="AP1673" s="42"/>
      <c r="AQ1673" s="43"/>
      <c r="AR1673" s="42"/>
      <c r="AS1673" s="42"/>
    </row>
    <row r="1674" spans="1:45" ht="15" customHeight="1">
      <c r="A1674" s="21" t="s">
        <v>258</v>
      </c>
      <c r="B1674" s="22" t="s">
        <v>46</v>
      </c>
      <c r="C1674" s="21" t="s">
        <v>887</v>
      </c>
      <c r="D1674" s="21" t="s">
        <v>888</v>
      </c>
      <c r="E1674" s="80" t="s">
        <v>2064</v>
      </c>
      <c r="F1674" s="21" t="s">
        <v>2068</v>
      </c>
      <c r="G1674" s="101" t="s">
        <v>165</v>
      </c>
      <c r="H1674" s="25" t="s">
        <v>2066</v>
      </c>
      <c r="I1674" s="65" t="s">
        <v>896</v>
      </c>
      <c r="J1674" s="65" t="s">
        <v>2069</v>
      </c>
      <c r="K1674" s="104"/>
      <c r="L1674" s="48"/>
      <c r="M1674" s="27" t="s">
        <v>2092</v>
      </c>
      <c r="N1674" s="105"/>
      <c r="O1674" s="106">
        <v>0</v>
      </c>
      <c r="P1674" s="106">
        <v>768</v>
      </c>
      <c r="Q1674" s="51">
        <f t="shared" si="38"/>
        <v>0</v>
      </c>
      <c r="R1674" s="31">
        <v>202310</v>
      </c>
      <c r="S1674" s="54" t="s">
        <v>2100</v>
      </c>
      <c r="T1674" s="33"/>
      <c r="U1674" s="54"/>
      <c r="V1674" s="54"/>
      <c r="W1674" s="52"/>
      <c r="X1674" s="52"/>
      <c r="Y1674" s="36">
        <v>44562</v>
      </c>
      <c r="Z1674" s="36">
        <v>45291</v>
      </c>
      <c r="AA1674" s="36"/>
      <c r="AB1674" s="36"/>
      <c r="AC1674" s="36"/>
      <c r="AD1674" s="36"/>
      <c r="AE1674" s="36"/>
      <c r="AF1674" s="53" t="s">
        <v>2101</v>
      </c>
      <c r="AG1674" s="42"/>
      <c r="AH1674" s="43"/>
      <c r="AI1674" s="43"/>
      <c r="AJ1674" s="43"/>
      <c r="AK1674" s="43"/>
      <c r="AL1674" s="43"/>
      <c r="AM1674" s="43"/>
      <c r="AN1674" s="42"/>
      <c r="AO1674" s="42"/>
      <c r="AP1674" s="42"/>
      <c r="AQ1674" s="43"/>
      <c r="AR1674" s="42"/>
      <c r="AS1674" s="42"/>
    </row>
    <row r="1675" spans="1:45" ht="15" customHeight="1">
      <c r="A1675" s="21" t="s">
        <v>258</v>
      </c>
      <c r="B1675" s="22" t="s">
        <v>46</v>
      </c>
      <c r="C1675" s="21" t="s">
        <v>887</v>
      </c>
      <c r="D1675" s="21" t="s">
        <v>888</v>
      </c>
      <c r="E1675" s="80" t="s">
        <v>2064</v>
      </c>
      <c r="F1675" s="21" t="s">
        <v>2068</v>
      </c>
      <c r="G1675" s="101" t="s">
        <v>77</v>
      </c>
      <c r="H1675" s="25" t="s">
        <v>2066</v>
      </c>
      <c r="I1675" s="65" t="s">
        <v>892</v>
      </c>
      <c r="J1675" s="65" t="s">
        <v>2069</v>
      </c>
      <c r="K1675" s="104"/>
      <c r="L1675" s="48" t="s">
        <v>2077</v>
      </c>
      <c r="M1675" s="27">
        <v>43056</v>
      </c>
      <c r="N1675" s="105" t="s">
        <v>1310</v>
      </c>
      <c r="O1675" s="106">
        <v>5000</v>
      </c>
      <c r="P1675" s="106">
        <v>7</v>
      </c>
      <c r="Q1675" s="51">
        <f t="shared" si="38"/>
        <v>35000</v>
      </c>
      <c r="R1675" s="31">
        <v>202310</v>
      </c>
      <c r="S1675" s="54" t="s">
        <v>2102</v>
      </c>
      <c r="T1675" s="33"/>
      <c r="U1675" s="54"/>
      <c r="V1675" s="54"/>
      <c r="W1675" s="52"/>
      <c r="X1675" s="52"/>
      <c r="Y1675" s="36">
        <v>44562</v>
      </c>
      <c r="Z1675" s="36">
        <v>45291</v>
      </c>
      <c r="AA1675" s="36"/>
      <c r="AB1675" s="36"/>
      <c r="AC1675" s="36"/>
      <c r="AD1675" s="36"/>
      <c r="AE1675" s="36"/>
      <c r="AF1675" s="53" t="s">
        <v>68</v>
      </c>
      <c r="AG1675" s="42"/>
      <c r="AH1675" s="43"/>
      <c r="AI1675" s="43"/>
      <c r="AJ1675" s="43"/>
      <c r="AK1675" s="43"/>
      <c r="AL1675" s="43"/>
      <c r="AM1675" s="43"/>
      <c r="AN1675" s="42"/>
      <c r="AO1675" s="42"/>
      <c r="AP1675" s="42"/>
      <c r="AQ1675" s="43"/>
      <c r="AR1675" s="42"/>
      <c r="AS1675" s="42"/>
    </row>
    <row r="1676" spans="1:45" ht="15" customHeight="1">
      <c r="A1676" s="21" t="s">
        <v>258</v>
      </c>
      <c r="B1676" s="22" t="s">
        <v>46</v>
      </c>
      <c r="C1676" s="21" t="s">
        <v>887</v>
      </c>
      <c r="D1676" s="21" t="s">
        <v>888</v>
      </c>
      <c r="E1676" s="80" t="s">
        <v>2064</v>
      </c>
      <c r="F1676" s="21" t="s">
        <v>2068</v>
      </c>
      <c r="G1676" s="101" t="s">
        <v>77</v>
      </c>
      <c r="H1676" s="25" t="s">
        <v>2066</v>
      </c>
      <c r="I1676" s="65" t="s">
        <v>892</v>
      </c>
      <c r="J1676" s="65" t="s">
        <v>2069</v>
      </c>
      <c r="K1676" s="104"/>
      <c r="L1676" s="48" t="s">
        <v>2077</v>
      </c>
      <c r="M1676" s="27">
        <v>43640</v>
      </c>
      <c r="N1676" s="105" t="s">
        <v>1310</v>
      </c>
      <c r="O1676" s="106">
        <v>5000</v>
      </c>
      <c r="P1676" s="106">
        <v>2</v>
      </c>
      <c r="Q1676" s="51">
        <f t="shared" si="38"/>
        <v>10000</v>
      </c>
      <c r="R1676" s="31">
        <v>202310</v>
      </c>
      <c r="S1676" s="54" t="s">
        <v>2103</v>
      </c>
      <c r="T1676" s="33"/>
      <c r="U1676" s="54"/>
      <c r="V1676" s="54"/>
      <c r="W1676" s="52"/>
      <c r="X1676" s="52"/>
      <c r="Y1676" s="36">
        <v>44562</v>
      </c>
      <c r="Z1676" s="36">
        <v>45291</v>
      </c>
      <c r="AA1676" s="36"/>
      <c r="AB1676" s="36"/>
      <c r="AC1676" s="36"/>
      <c r="AD1676" s="36"/>
      <c r="AE1676" s="36"/>
      <c r="AF1676" s="53" t="s">
        <v>68</v>
      </c>
      <c r="AG1676" s="42"/>
      <c r="AH1676" s="43"/>
      <c r="AI1676" s="43"/>
      <c r="AJ1676" s="43"/>
      <c r="AK1676" s="43"/>
      <c r="AL1676" s="43"/>
      <c r="AM1676" s="43"/>
      <c r="AN1676" s="42"/>
      <c r="AO1676" s="42"/>
      <c r="AP1676" s="42"/>
      <c r="AQ1676" s="43"/>
      <c r="AR1676" s="42"/>
      <c r="AS1676" s="42"/>
    </row>
    <row r="1677" spans="1:45" ht="15" customHeight="1">
      <c r="A1677" s="21" t="s">
        <v>258</v>
      </c>
      <c r="B1677" s="22" t="s">
        <v>46</v>
      </c>
      <c r="C1677" s="21" t="s">
        <v>887</v>
      </c>
      <c r="D1677" s="21" t="s">
        <v>888</v>
      </c>
      <c r="E1677" s="80" t="s">
        <v>2064</v>
      </c>
      <c r="F1677" s="21" t="s">
        <v>2068</v>
      </c>
      <c r="G1677" s="101" t="s">
        <v>165</v>
      </c>
      <c r="H1677" s="25" t="s">
        <v>2066</v>
      </c>
      <c r="I1677" s="65" t="s">
        <v>2104</v>
      </c>
      <c r="J1677" s="65" t="s">
        <v>2069</v>
      </c>
      <c r="K1677" s="104"/>
      <c r="L1677" s="48"/>
      <c r="M1677" s="27">
        <v>42805</v>
      </c>
      <c r="N1677" s="105"/>
      <c r="O1677" s="106">
        <v>10</v>
      </c>
      <c r="P1677" s="106">
        <v>1024</v>
      </c>
      <c r="Q1677" s="51">
        <f t="shared" si="38"/>
        <v>10240</v>
      </c>
      <c r="R1677" s="31">
        <v>202310</v>
      </c>
      <c r="S1677" s="54"/>
      <c r="T1677" s="33"/>
      <c r="U1677" s="54"/>
      <c r="V1677" s="54"/>
      <c r="W1677" s="52"/>
      <c r="X1677" s="52"/>
      <c r="Y1677" s="36">
        <v>44562</v>
      </c>
      <c r="Z1677" s="36">
        <v>45291</v>
      </c>
      <c r="AA1677" s="36"/>
      <c r="AB1677" s="36"/>
      <c r="AC1677" s="36"/>
      <c r="AD1677" s="36"/>
      <c r="AE1677" s="36"/>
      <c r="AF1677" s="53" t="s">
        <v>2105</v>
      </c>
      <c r="AG1677" s="42"/>
      <c r="AH1677" s="43"/>
      <c r="AI1677" s="43"/>
      <c r="AJ1677" s="43"/>
      <c r="AK1677" s="43"/>
      <c r="AL1677" s="43"/>
      <c r="AM1677" s="43"/>
      <c r="AN1677" s="42"/>
      <c r="AO1677" s="42"/>
      <c r="AP1677" s="42"/>
      <c r="AQ1677" s="43"/>
      <c r="AR1677" s="42"/>
      <c r="AS1677" s="42"/>
    </row>
    <row r="1678" spans="1:45" ht="15" customHeight="1">
      <c r="A1678" s="21" t="s">
        <v>258</v>
      </c>
      <c r="B1678" s="22" t="s">
        <v>46</v>
      </c>
      <c r="C1678" s="21" t="s">
        <v>887</v>
      </c>
      <c r="D1678" s="21" t="s">
        <v>888</v>
      </c>
      <c r="E1678" s="80" t="s">
        <v>2064</v>
      </c>
      <c r="F1678" s="21" t="s">
        <v>2068</v>
      </c>
      <c r="G1678" s="101" t="s">
        <v>165</v>
      </c>
      <c r="H1678" s="25" t="s">
        <v>2066</v>
      </c>
      <c r="I1678" s="65" t="s">
        <v>2104</v>
      </c>
      <c r="J1678" s="65" t="s">
        <v>2069</v>
      </c>
      <c r="K1678" s="104"/>
      <c r="L1678" s="48"/>
      <c r="M1678" s="27">
        <v>43770</v>
      </c>
      <c r="N1678" s="105"/>
      <c r="O1678" s="106">
        <v>10</v>
      </c>
      <c r="P1678" s="106">
        <v>1024</v>
      </c>
      <c r="Q1678" s="51">
        <f t="shared" si="38"/>
        <v>10240</v>
      </c>
      <c r="R1678" s="31">
        <v>202310</v>
      </c>
      <c r="S1678" s="54"/>
      <c r="T1678" s="33"/>
      <c r="U1678" s="54"/>
      <c r="V1678" s="54"/>
      <c r="W1678" s="52"/>
      <c r="X1678" s="52"/>
      <c r="Y1678" s="36">
        <v>44562</v>
      </c>
      <c r="Z1678" s="36">
        <v>45291</v>
      </c>
      <c r="AA1678" s="36"/>
      <c r="AB1678" s="36"/>
      <c r="AC1678" s="36"/>
      <c r="AD1678" s="36"/>
      <c r="AE1678" s="36"/>
      <c r="AF1678" s="53" t="s">
        <v>2105</v>
      </c>
      <c r="AG1678" s="42"/>
      <c r="AH1678" s="43"/>
      <c r="AI1678" s="43"/>
      <c r="AJ1678" s="43"/>
      <c r="AK1678" s="43"/>
      <c r="AL1678" s="43"/>
      <c r="AM1678" s="43"/>
      <c r="AN1678" s="42"/>
      <c r="AO1678" s="42"/>
      <c r="AP1678" s="42"/>
      <c r="AQ1678" s="43"/>
      <c r="AR1678" s="42"/>
      <c r="AS1678" s="42"/>
    </row>
    <row r="1679" spans="1:45" ht="15" customHeight="1">
      <c r="A1679" s="21" t="s">
        <v>258</v>
      </c>
      <c r="B1679" s="22" t="s">
        <v>46</v>
      </c>
      <c r="C1679" s="21" t="s">
        <v>887</v>
      </c>
      <c r="D1679" s="21" t="s">
        <v>888</v>
      </c>
      <c r="E1679" s="80" t="s">
        <v>2064</v>
      </c>
      <c r="F1679" s="21" t="s">
        <v>2068</v>
      </c>
      <c r="G1679" s="101" t="s">
        <v>62</v>
      </c>
      <c r="H1679" s="25" t="s">
        <v>2066</v>
      </c>
      <c r="I1679" s="65" t="s">
        <v>64</v>
      </c>
      <c r="J1679" s="65" t="s">
        <v>2106</v>
      </c>
      <c r="K1679" s="104"/>
      <c r="L1679" s="48"/>
      <c r="M1679" s="27">
        <v>44062</v>
      </c>
      <c r="N1679" s="105" t="s">
        <v>66</v>
      </c>
      <c r="O1679" s="106">
        <v>500</v>
      </c>
      <c r="P1679" s="29">
        <v>26.1</v>
      </c>
      <c r="Q1679" s="51">
        <f t="shared" si="38"/>
        <v>13050</v>
      </c>
      <c r="R1679" s="31">
        <v>202310</v>
      </c>
      <c r="S1679" s="54" t="s">
        <v>2107</v>
      </c>
      <c r="T1679" s="33"/>
      <c r="U1679" s="54"/>
      <c r="V1679" s="54"/>
      <c r="W1679" s="52"/>
      <c r="X1679" s="52"/>
      <c r="Y1679" s="36">
        <v>44562</v>
      </c>
      <c r="Z1679" s="36">
        <v>45291</v>
      </c>
      <c r="AA1679" s="36"/>
      <c r="AB1679" s="36"/>
      <c r="AC1679" s="36"/>
      <c r="AD1679" s="36"/>
      <c r="AE1679" s="36"/>
      <c r="AF1679" s="53" t="s">
        <v>68</v>
      </c>
      <c r="AG1679" s="42"/>
      <c r="AH1679" s="43"/>
      <c r="AI1679" s="43"/>
      <c r="AJ1679" s="43"/>
      <c r="AK1679" s="43"/>
      <c r="AL1679" s="43"/>
      <c r="AM1679" s="43"/>
      <c r="AN1679" s="42"/>
      <c r="AO1679" s="42"/>
      <c r="AP1679" s="42"/>
      <c r="AQ1679" s="43"/>
      <c r="AR1679" s="42"/>
      <c r="AS1679" s="42"/>
    </row>
    <row r="1680" spans="1:45" ht="15" customHeight="1">
      <c r="A1680" s="21" t="s">
        <v>258</v>
      </c>
      <c r="B1680" s="22" t="s">
        <v>46</v>
      </c>
      <c r="C1680" s="21" t="s">
        <v>887</v>
      </c>
      <c r="D1680" s="21" t="s">
        <v>888</v>
      </c>
      <c r="E1680" s="80" t="s">
        <v>2064</v>
      </c>
      <c r="F1680" s="21" t="s">
        <v>2068</v>
      </c>
      <c r="G1680" s="101" t="s">
        <v>165</v>
      </c>
      <c r="H1680" s="25" t="s">
        <v>2066</v>
      </c>
      <c r="I1680" s="65" t="s">
        <v>491</v>
      </c>
      <c r="J1680" s="65" t="s">
        <v>2106</v>
      </c>
      <c r="K1680" s="26" t="s">
        <v>2070</v>
      </c>
      <c r="L1680" s="48" t="s">
        <v>2108</v>
      </c>
      <c r="M1680" s="27">
        <v>44176</v>
      </c>
      <c r="N1680" s="105" t="s">
        <v>653</v>
      </c>
      <c r="O1680" s="106">
        <v>0</v>
      </c>
      <c r="P1680" s="106">
        <v>128</v>
      </c>
      <c r="Q1680" s="51">
        <f t="shared" si="38"/>
        <v>0</v>
      </c>
      <c r="R1680" s="31">
        <v>202310</v>
      </c>
      <c r="S1680" s="54" t="s">
        <v>2109</v>
      </c>
      <c r="T1680" s="33"/>
      <c r="U1680" s="54"/>
      <c r="V1680" s="54"/>
      <c r="W1680" s="52"/>
      <c r="X1680" s="52"/>
      <c r="Y1680" s="36">
        <v>44562</v>
      </c>
      <c r="Z1680" s="36">
        <v>45291</v>
      </c>
      <c r="AA1680" s="36"/>
      <c r="AB1680" s="36"/>
      <c r="AC1680" s="36"/>
      <c r="AD1680" s="36"/>
      <c r="AE1680" s="36"/>
      <c r="AF1680" s="53" t="s">
        <v>484</v>
      </c>
      <c r="AG1680" s="42"/>
      <c r="AH1680" s="43"/>
      <c r="AI1680" s="43"/>
      <c r="AJ1680" s="43"/>
      <c r="AK1680" s="43"/>
      <c r="AL1680" s="43"/>
      <c r="AM1680" s="43"/>
      <c r="AN1680" s="42"/>
      <c r="AO1680" s="42"/>
      <c r="AP1680" s="42"/>
      <c r="AQ1680" s="43"/>
      <c r="AR1680" s="42"/>
      <c r="AS1680" s="42"/>
    </row>
    <row r="1681" spans="1:45" ht="15" customHeight="1">
      <c r="A1681" s="21" t="s">
        <v>258</v>
      </c>
      <c r="B1681" s="22" t="s">
        <v>46</v>
      </c>
      <c r="C1681" s="21" t="s">
        <v>887</v>
      </c>
      <c r="D1681" s="21" t="s">
        <v>888</v>
      </c>
      <c r="E1681" s="80" t="s">
        <v>2064</v>
      </c>
      <c r="F1681" s="21" t="s">
        <v>2068</v>
      </c>
      <c r="G1681" s="101" t="s">
        <v>165</v>
      </c>
      <c r="H1681" s="25" t="s">
        <v>2066</v>
      </c>
      <c r="I1681" s="65" t="s">
        <v>491</v>
      </c>
      <c r="J1681" s="65" t="s">
        <v>2069</v>
      </c>
      <c r="K1681" s="26" t="s">
        <v>2070</v>
      </c>
      <c r="L1681" s="48"/>
      <c r="M1681" s="27">
        <v>44562</v>
      </c>
      <c r="N1681" s="105" t="s">
        <v>168</v>
      </c>
      <c r="O1681" s="106">
        <v>0</v>
      </c>
      <c r="P1681" s="106">
        <v>128</v>
      </c>
      <c r="Q1681" s="51">
        <f t="shared" si="38"/>
        <v>0</v>
      </c>
      <c r="R1681" s="31">
        <v>202310</v>
      </c>
      <c r="S1681" s="54" t="s">
        <v>2110</v>
      </c>
      <c r="T1681" s="33"/>
      <c r="U1681" s="54"/>
      <c r="V1681" s="54"/>
      <c r="W1681" s="52"/>
      <c r="X1681" s="52"/>
      <c r="Y1681" s="36">
        <v>44562</v>
      </c>
      <c r="Z1681" s="36">
        <v>45291</v>
      </c>
      <c r="AA1681" s="36"/>
      <c r="AB1681" s="36"/>
      <c r="AC1681" s="36"/>
      <c r="AD1681" s="36"/>
      <c r="AE1681" s="36"/>
      <c r="AF1681" s="53" t="s">
        <v>484</v>
      </c>
      <c r="AG1681" s="42"/>
      <c r="AH1681" s="43"/>
      <c r="AI1681" s="43"/>
      <c r="AJ1681" s="43"/>
      <c r="AK1681" s="43"/>
      <c r="AL1681" s="43"/>
      <c r="AM1681" s="43"/>
      <c r="AN1681" s="42"/>
      <c r="AO1681" s="42"/>
      <c r="AP1681" s="42"/>
      <c r="AQ1681" s="43"/>
      <c r="AR1681" s="42"/>
      <c r="AS1681" s="42"/>
    </row>
    <row r="1682" spans="1:45" ht="15" customHeight="1">
      <c r="A1682" s="21" t="s">
        <v>258</v>
      </c>
      <c r="B1682" s="22" t="s">
        <v>46</v>
      </c>
      <c r="C1682" s="21" t="s">
        <v>887</v>
      </c>
      <c r="D1682" s="21" t="s">
        <v>888</v>
      </c>
      <c r="E1682" s="80" t="s">
        <v>2064</v>
      </c>
      <c r="F1682" s="21" t="s">
        <v>2068</v>
      </c>
      <c r="G1682" s="101" t="s">
        <v>165</v>
      </c>
      <c r="H1682" s="25" t="s">
        <v>2066</v>
      </c>
      <c r="I1682" s="65" t="s">
        <v>491</v>
      </c>
      <c r="J1682" s="65" t="s">
        <v>2069</v>
      </c>
      <c r="K1682" s="26" t="s">
        <v>2070</v>
      </c>
      <c r="L1682" s="48" t="s">
        <v>2111</v>
      </c>
      <c r="M1682" s="27">
        <v>44651</v>
      </c>
      <c r="N1682" s="105" t="s">
        <v>168</v>
      </c>
      <c r="O1682" s="106">
        <v>0</v>
      </c>
      <c r="P1682" s="106">
        <v>-128</v>
      </c>
      <c r="Q1682" s="51">
        <f t="shared" si="38"/>
        <v>0</v>
      </c>
      <c r="R1682" s="31">
        <v>202310</v>
      </c>
      <c r="S1682" s="54" t="s">
        <v>2112</v>
      </c>
      <c r="T1682" s="33"/>
      <c r="U1682" s="54"/>
      <c r="V1682" s="54"/>
      <c r="W1682" s="52"/>
      <c r="X1682" s="52"/>
      <c r="Y1682" s="36">
        <v>44562</v>
      </c>
      <c r="Z1682" s="36">
        <v>45291</v>
      </c>
      <c r="AA1682" s="36"/>
      <c r="AB1682" s="36"/>
      <c r="AC1682" s="36"/>
      <c r="AD1682" s="36"/>
      <c r="AE1682" s="36"/>
      <c r="AF1682" s="53" t="s">
        <v>484</v>
      </c>
      <c r="AG1682" s="42"/>
      <c r="AH1682" s="43"/>
      <c r="AI1682" s="43"/>
      <c r="AJ1682" s="43"/>
      <c r="AK1682" s="43"/>
      <c r="AL1682" s="43"/>
      <c r="AM1682" s="43"/>
      <c r="AN1682" s="42"/>
      <c r="AO1682" s="42"/>
      <c r="AP1682" s="42"/>
      <c r="AQ1682" s="43"/>
      <c r="AR1682" s="42"/>
      <c r="AS1682" s="42"/>
    </row>
    <row r="1683" spans="1:45" ht="15" customHeight="1">
      <c r="A1683" s="21" t="s">
        <v>258</v>
      </c>
      <c r="B1683" s="22" t="s">
        <v>46</v>
      </c>
      <c r="C1683" s="21" t="s">
        <v>887</v>
      </c>
      <c r="D1683" s="21" t="s">
        <v>888</v>
      </c>
      <c r="E1683" s="80" t="s">
        <v>2064</v>
      </c>
      <c r="F1683" s="21" t="s">
        <v>2068</v>
      </c>
      <c r="G1683" s="101" t="s">
        <v>165</v>
      </c>
      <c r="H1683" s="25" t="s">
        <v>2066</v>
      </c>
      <c r="I1683" s="65" t="s">
        <v>491</v>
      </c>
      <c r="J1683" s="65" t="s">
        <v>2069</v>
      </c>
      <c r="K1683" s="26" t="s">
        <v>2070</v>
      </c>
      <c r="L1683" s="48" t="s">
        <v>2111</v>
      </c>
      <c r="M1683" s="27">
        <v>44651</v>
      </c>
      <c r="N1683" s="105" t="s">
        <v>656</v>
      </c>
      <c r="O1683" s="106">
        <v>0</v>
      </c>
      <c r="P1683" s="106">
        <v>0</v>
      </c>
      <c r="Q1683" s="51">
        <f t="shared" si="38"/>
        <v>0</v>
      </c>
      <c r="R1683" s="31">
        <v>202310</v>
      </c>
      <c r="S1683" s="54" t="s">
        <v>2113</v>
      </c>
      <c r="T1683" s="33"/>
      <c r="U1683" s="54"/>
      <c r="V1683" s="54"/>
      <c r="W1683" s="52"/>
      <c r="X1683" s="52"/>
      <c r="Y1683" s="36">
        <v>44562</v>
      </c>
      <c r="Z1683" s="36">
        <v>45291</v>
      </c>
      <c r="AA1683" s="36"/>
      <c r="AB1683" s="36"/>
      <c r="AC1683" s="36"/>
      <c r="AD1683" s="36"/>
      <c r="AE1683" s="36"/>
      <c r="AF1683" s="53" t="s">
        <v>484</v>
      </c>
      <c r="AG1683" s="42"/>
      <c r="AH1683" s="43"/>
      <c r="AI1683" s="43"/>
      <c r="AJ1683" s="43"/>
      <c r="AK1683" s="43"/>
      <c r="AL1683" s="43"/>
      <c r="AM1683" s="43"/>
      <c r="AN1683" s="42"/>
      <c r="AO1683" s="42"/>
      <c r="AP1683" s="42"/>
      <c r="AQ1683" s="43"/>
      <c r="AR1683" s="42"/>
      <c r="AS1683" s="42"/>
    </row>
    <row r="1684" spans="1:45" ht="15" customHeight="1">
      <c r="A1684" s="21" t="s">
        <v>258</v>
      </c>
      <c r="B1684" s="22" t="s">
        <v>46</v>
      </c>
      <c r="C1684" s="21" t="s">
        <v>887</v>
      </c>
      <c r="D1684" s="21" t="s">
        <v>888</v>
      </c>
      <c r="E1684" s="80" t="s">
        <v>2064</v>
      </c>
      <c r="F1684" s="21" t="s">
        <v>2068</v>
      </c>
      <c r="G1684" s="101" t="s">
        <v>77</v>
      </c>
      <c r="H1684" s="25" t="s">
        <v>2066</v>
      </c>
      <c r="I1684" s="65" t="s">
        <v>892</v>
      </c>
      <c r="J1684" s="65" t="s">
        <v>2114</v>
      </c>
      <c r="K1684" s="104"/>
      <c r="L1684" s="48" t="s">
        <v>2077</v>
      </c>
      <c r="M1684" s="27">
        <v>44317</v>
      </c>
      <c r="N1684" s="105" t="s">
        <v>348</v>
      </c>
      <c r="O1684" s="106">
        <v>10000</v>
      </c>
      <c r="P1684" s="106">
        <v>1</v>
      </c>
      <c r="Q1684" s="51">
        <f t="shared" si="38"/>
        <v>10000</v>
      </c>
      <c r="R1684" s="31">
        <v>202310</v>
      </c>
      <c r="S1684" s="54" t="s">
        <v>2115</v>
      </c>
      <c r="T1684" s="33"/>
      <c r="U1684" s="54"/>
      <c r="V1684" s="54"/>
      <c r="W1684" s="52"/>
      <c r="X1684" s="52"/>
      <c r="Y1684" s="36">
        <v>44562</v>
      </c>
      <c r="Z1684" s="36">
        <v>45291</v>
      </c>
      <c r="AA1684" s="36"/>
      <c r="AB1684" s="36"/>
      <c r="AC1684" s="36"/>
      <c r="AD1684" s="36"/>
      <c r="AE1684" s="36"/>
      <c r="AF1684" s="53" t="s">
        <v>68</v>
      </c>
      <c r="AG1684" s="42"/>
      <c r="AH1684" s="43"/>
      <c r="AI1684" s="43"/>
      <c r="AJ1684" s="43"/>
      <c r="AK1684" s="43"/>
      <c r="AL1684" s="43"/>
      <c r="AM1684" s="43"/>
      <c r="AN1684" s="42"/>
      <c r="AO1684" s="42"/>
      <c r="AP1684" s="42"/>
      <c r="AQ1684" s="43"/>
      <c r="AR1684" s="42"/>
      <c r="AS1684" s="42"/>
    </row>
    <row r="1685" spans="1:45" ht="15" customHeight="1">
      <c r="A1685" s="21" t="s">
        <v>258</v>
      </c>
      <c r="B1685" s="22" t="s">
        <v>46</v>
      </c>
      <c r="C1685" s="21" t="s">
        <v>887</v>
      </c>
      <c r="D1685" s="21" t="s">
        <v>888</v>
      </c>
      <c r="E1685" s="80" t="s">
        <v>2064</v>
      </c>
      <c r="F1685" s="21" t="s">
        <v>2068</v>
      </c>
      <c r="G1685" s="101" t="s">
        <v>77</v>
      </c>
      <c r="H1685" s="25" t="s">
        <v>2066</v>
      </c>
      <c r="I1685" s="65" t="s">
        <v>479</v>
      </c>
      <c r="J1685" s="65" t="s">
        <v>2114</v>
      </c>
      <c r="K1685" s="104" t="s">
        <v>2116</v>
      </c>
      <c r="L1685" s="48" t="s">
        <v>2071</v>
      </c>
      <c r="M1685" s="27">
        <v>44470</v>
      </c>
      <c r="N1685" s="105" t="s">
        <v>1310</v>
      </c>
      <c r="O1685" s="106">
        <v>0</v>
      </c>
      <c r="P1685" s="106">
        <v>22</v>
      </c>
      <c r="Q1685" s="51">
        <f t="shared" si="38"/>
        <v>0</v>
      </c>
      <c r="R1685" s="31">
        <v>202310</v>
      </c>
      <c r="S1685" s="54" t="s">
        <v>2117</v>
      </c>
      <c r="T1685" s="33"/>
      <c r="U1685" s="54"/>
      <c r="V1685" s="54"/>
      <c r="W1685" s="52"/>
      <c r="X1685" s="52"/>
      <c r="Y1685" s="36">
        <v>44562</v>
      </c>
      <c r="Z1685" s="36">
        <v>45291</v>
      </c>
      <c r="AA1685" s="36"/>
      <c r="AB1685" s="36"/>
      <c r="AC1685" s="36"/>
      <c r="AD1685" s="36"/>
      <c r="AE1685" s="36"/>
      <c r="AF1685" s="53" t="s">
        <v>503</v>
      </c>
      <c r="AG1685" s="42"/>
      <c r="AH1685" s="43"/>
      <c r="AI1685" s="43"/>
      <c r="AJ1685" s="43"/>
      <c r="AK1685" s="43"/>
      <c r="AL1685" s="43"/>
      <c r="AM1685" s="43"/>
      <c r="AN1685" s="42"/>
      <c r="AO1685" s="42"/>
      <c r="AP1685" s="42"/>
      <c r="AQ1685" s="43"/>
      <c r="AR1685" s="42"/>
      <c r="AS1685" s="42"/>
    </row>
    <row r="1686" spans="1:45" ht="15" customHeight="1">
      <c r="A1686" s="21" t="s">
        <v>258</v>
      </c>
      <c r="B1686" s="22" t="s">
        <v>46</v>
      </c>
      <c r="C1686" s="21" t="s">
        <v>887</v>
      </c>
      <c r="D1686" s="21" t="s">
        <v>888</v>
      </c>
      <c r="E1686" s="80" t="s">
        <v>2064</v>
      </c>
      <c r="F1686" s="21" t="s">
        <v>2068</v>
      </c>
      <c r="G1686" s="101" t="s">
        <v>77</v>
      </c>
      <c r="H1686" s="25" t="s">
        <v>2066</v>
      </c>
      <c r="I1686" s="65" t="s">
        <v>479</v>
      </c>
      <c r="J1686" s="65" t="s">
        <v>2114</v>
      </c>
      <c r="K1686" s="104" t="s">
        <v>2116</v>
      </c>
      <c r="L1686" s="48" t="s">
        <v>2071</v>
      </c>
      <c r="M1686" s="27">
        <v>44530</v>
      </c>
      <c r="N1686" s="105" t="s">
        <v>1310</v>
      </c>
      <c r="O1686" s="106">
        <v>0</v>
      </c>
      <c r="P1686" s="106">
        <v>-22</v>
      </c>
      <c r="Q1686" s="51">
        <f t="shared" si="38"/>
        <v>0</v>
      </c>
      <c r="R1686" s="31">
        <v>202310</v>
      </c>
      <c r="S1686" s="54" t="s">
        <v>2118</v>
      </c>
      <c r="T1686" s="33"/>
      <c r="U1686" s="54"/>
      <c r="V1686" s="54"/>
      <c r="W1686" s="52"/>
      <c r="X1686" s="52"/>
      <c r="Y1686" s="36">
        <v>44562</v>
      </c>
      <c r="Z1686" s="36">
        <v>45291</v>
      </c>
      <c r="AA1686" s="36"/>
      <c r="AB1686" s="36"/>
      <c r="AC1686" s="36"/>
      <c r="AD1686" s="36"/>
      <c r="AE1686" s="36"/>
      <c r="AF1686" s="53" t="s">
        <v>503</v>
      </c>
      <c r="AG1686" s="42"/>
      <c r="AH1686" s="43"/>
      <c r="AI1686" s="43"/>
      <c r="AJ1686" s="43"/>
      <c r="AK1686" s="43"/>
      <c r="AL1686" s="43"/>
      <c r="AM1686" s="43"/>
      <c r="AN1686" s="42"/>
      <c r="AO1686" s="42"/>
      <c r="AP1686" s="42"/>
      <c r="AQ1686" s="43"/>
      <c r="AR1686" s="42"/>
      <c r="AS1686" s="42"/>
    </row>
    <row r="1687" spans="1:45" ht="15" customHeight="1">
      <c r="A1687" s="21" t="s">
        <v>258</v>
      </c>
      <c r="B1687" s="22" t="s">
        <v>46</v>
      </c>
      <c r="C1687" s="21" t="s">
        <v>887</v>
      </c>
      <c r="D1687" s="21" t="s">
        <v>888</v>
      </c>
      <c r="E1687" s="80" t="s">
        <v>2064</v>
      </c>
      <c r="F1687" s="21" t="s">
        <v>2068</v>
      </c>
      <c r="G1687" s="101" t="s">
        <v>62</v>
      </c>
      <c r="H1687" s="25" t="s">
        <v>2066</v>
      </c>
      <c r="I1687" s="65" t="s">
        <v>64</v>
      </c>
      <c r="J1687" s="65" t="s">
        <v>2119</v>
      </c>
      <c r="K1687" s="104"/>
      <c r="L1687" s="48"/>
      <c r="M1687" s="27">
        <v>44621</v>
      </c>
      <c r="N1687" s="105" t="s">
        <v>66</v>
      </c>
      <c r="O1687" s="106">
        <v>2000</v>
      </c>
      <c r="P1687" s="29">
        <v>1</v>
      </c>
      <c r="Q1687" s="51">
        <f t="shared" si="38"/>
        <v>2000</v>
      </c>
      <c r="R1687" s="31">
        <v>202310</v>
      </c>
      <c r="S1687" s="54" t="s">
        <v>2120</v>
      </c>
      <c r="T1687" s="33"/>
      <c r="U1687" s="54"/>
      <c r="V1687" s="54"/>
      <c r="W1687" s="52"/>
      <c r="X1687" s="52"/>
      <c r="Y1687" s="36">
        <v>44562</v>
      </c>
      <c r="Z1687" s="36">
        <v>45291</v>
      </c>
      <c r="AA1687" s="36"/>
      <c r="AB1687" s="36"/>
      <c r="AC1687" s="36"/>
      <c r="AD1687" s="36"/>
      <c r="AE1687" s="36"/>
      <c r="AF1687" s="53" t="s">
        <v>68</v>
      </c>
      <c r="AG1687" s="42"/>
      <c r="AH1687" s="43"/>
      <c r="AI1687" s="43"/>
      <c r="AJ1687" s="43"/>
      <c r="AK1687" s="43"/>
      <c r="AL1687" s="43"/>
      <c r="AM1687" s="43"/>
      <c r="AN1687" s="42"/>
      <c r="AO1687" s="42"/>
      <c r="AP1687" s="42"/>
      <c r="AQ1687" s="43"/>
      <c r="AR1687" s="42"/>
      <c r="AS1687" s="42"/>
    </row>
    <row r="1688" spans="1:45" ht="15" customHeight="1">
      <c r="A1688" s="21" t="s">
        <v>258</v>
      </c>
      <c r="B1688" s="22" t="s">
        <v>46</v>
      </c>
      <c r="C1688" s="21" t="s">
        <v>887</v>
      </c>
      <c r="D1688" s="21" t="s">
        <v>888</v>
      </c>
      <c r="E1688" s="80" t="s">
        <v>2064</v>
      </c>
      <c r="F1688" s="21" t="s">
        <v>2068</v>
      </c>
      <c r="G1688" s="101" t="s">
        <v>62</v>
      </c>
      <c r="H1688" s="25" t="s">
        <v>2066</v>
      </c>
      <c r="I1688" s="65" t="s">
        <v>64</v>
      </c>
      <c r="J1688" s="65" t="s">
        <v>2119</v>
      </c>
      <c r="K1688" s="104"/>
      <c r="L1688" s="48"/>
      <c r="M1688" s="27">
        <v>44621</v>
      </c>
      <c r="N1688" s="105" t="s">
        <v>66</v>
      </c>
      <c r="O1688" s="106">
        <v>2000</v>
      </c>
      <c r="P1688" s="29">
        <v>1</v>
      </c>
      <c r="Q1688" s="51">
        <f t="shared" si="38"/>
        <v>2000</v>
      </c>
      <c r="R1688" s="31">
        <v>202310</v>
      </c>
      <c r="S1688" s="54" t="s">
        <v>2120</v>
      </c>
      <c r="T1688" s="33"/>
      <c r="U1688" s="54"/>
      <c r="V1688" s="54"/>
      <c r="W1688" s="52"/>
      <c r="X1688" s="52"/>
      <c r="Y1688" s="36">
        <v>44562</v>
      </c>
      <c r="Z1688" s="36">
        <v>45291</v>
      </c>
      <c r="AA1688" s="36"/>
      <c r="AB1688" s="36"/>
      <c r="AC1688" s="36"/>
      <c r="AD1688" s="36"/>
      <c r="AE1688" s="36"/>
      <c r="AF1688" s="53" t="s">
        <v>68</v>
      </c>
      <c r="AG1688" s="42"/>
      <c r="AH1688" s="43"/>
      <c r="AI1688" s="43"/>
      <c r="AJ1688" s="43"/>
      <c r="AK1688" s="43"/>
      <c r="AL1688" s="43"/>
      <c r="AM1688" s="43"/>
      <c r="AN1688" s="42"/>
      <c r="AO1688" s="42"/>
      <c r="AP1688" s="42"/>
      <c r="AQ1688" s="43"/>
      <c r="AR1688" s="42"/>
      <c r="AS1688" s="42"/>
    </row>
    <row r="1689" spans="1:45" ht="15" customHeight="1">
      <c r="A1689" s="21" t="s">
        <v>258</v>
      </c>
      <c r="B1689" s="22" t="s">
        <v>46</v>
      </c>
      <c r="C1689" s="21" t="s">
        <v>887</v>
      </c>
      <c r="D1689" s="21" t="s">
        <v>888</v>
      </c>
      <c r="E1689" s="80" t="s">
        <v>2064</v>
      </c>
      <c r="F1689" s="21" t="s">
        <v>2068</v>
      </c>
      <c r="G1689" s="101" t="s">
        <v>77</v>
      </c>
      <c r="H1689" s="25" t="s">
        <v>2066</v>
      </c>
      <c r="I1689" s="65" t="s">
        <v>479</v>
      </c>
      <c r="J1689" s="65" t="s">
        <v>2069</v>
      </c>
      <c r="K1689" s="26" t="s">
        <v>2121</v>
      </c>
      <c r="L1689" s="48" t="s">
        <v>2122</v>
      </c>
      <c r="M1689" s="192">
        <v>44866</v>
      </c>
      <c r="N1689" s="105" t="s">
        <v>1614</v>
      </c>
      <c r="O1689" s="106">
        <v>4000</v>
      </c>
      <c r="P1689" s="29">
        <v>2</v>
      </c>
      <c r="Q1689" s="51">
        <f t="shared" si="38"/>
        <v>8000</v>
      </c>
      <c r="R1689" s="31">
        <v>202310</v>
      </c>
      <c r="S1689" s="54" t="s">
        <v>2123</v>
      </c>
      <c r="T1689" s="33"/>
      <c r="U1689" s="54"/>
      <c r="V1689" s="54"/>
      <c r="W1689" s="52"/>
      <c r="X1689" s="52"/>
      <c r="Y1689" s="36">
        <v>44562</v>
      </c>
      <c r="Z1689" s="36">
        <v>45291</v>
      </c>
      <c r="AA1689" s="36"/>
      <c r="AB1689" s="36"/>
      <c r="AC1689" s="36"/>
      <c r="AD1689" s="36"/>
      <c r="AE1689" s="36"/>
      <c r="AF1689" s="148" t="s">
        <v>484</v>
      </c>
      <c r="AG1689" s="148"/>
      <c r="AH1689" s="148"/>
      <c r="AI1689" s="43"/>
      <c r="AJ1689" s="43"/>
      <c r="AK1689" s="43"/>
      <c r="AL1689" s="43"/>
      <c r="AM1689" s="43"/>
      <c r="AN1689" s="42"/>
      <c r="AO1689" s="42"/>
      <c r="AP1689" s="42"/>
      <c r="AQ1689" s="43"/>
      <c r="AR1689" s="42"/>
      <c r="AS1689" s="42"/>
    </row>
    <row r="1690" spans="1:45" ht="15" customHeight="1">
      <c r="A1690" s="21" t="s">
        <v>258</v>
      </c>
      <c r="B1690" s="22" t="s">
        <v>46</v>
      </c>
      <c r="C1690" s="21" t="s">
        <v>887</v>
      </c>
      <c r="D1690" s="21" t="s">
        <v>888</v>
      </c>
      <c r="E1690" s="80" t="s">
        <v>2064</v>
      </c>
      <c r="F1690" s="21" t="s">
        <v>2068</v>
      </c>
      <c r="G1690" s="101" t="s">
        <v>165</v>
      </c>
      <c r="H1690" s="25" t="s">
        <v>2124</v>
      </c>
      <c r="I1690" s="65" t="s">
        <v>491</v>
      </c>
      <c r="J1690" s="65" t="s">
        <v>2106</v>
      </c>
      <c r="K1690" s="104" t="s">
        <v>2116</v>
      </c>
      <c r="L1690" s="48" t="s">
        <v>2071</v>
      </c>
      <c r="M1690" s="27">
        <v>44470</v>
      </c>
      <c r="N1690" s="105"/>
      <c r="O1690" s="106">
        <v>0</v>
      </c>
      <c r="P1690" s="106">
        <v>544</v>
      </c>
      <c r="Q1690" s="51">
        <f t="shared" si="38"/>
        <v>0</v>
      </c>
      <c r="R1690" s="31">
        <v>202310</v>
      </c>
      <c r="S1690" s="54" t="s">
        <v>2125</v>
      </c>
      <c r="T1690" s="33"/>
      <c r="U1690" s="54"/>
      <c r="V1690" s="54"/>
      <c r="W1690" s="52"/>
      <c r="X1690" s="52"/>
      <c r="Y1690" s="36"/>
      <c r="Z1690" s="36"/>
      <c r="AA1690" s="36"/>
      <c r="AB1690" s="36"/>
      <c r="AC1690" s="36"/>
      <c r="AD1690" s="36"/>
      <c r="AE1690" s="36"/>
      <c r="AF1690" s="53" t="s">
        <v>503</v>
      </c>
      <c r="AG1690" s="42"/>
      <c r="AH1690" s="43"/>
      <c r="AI1690" s="43"/>
      <c r="AJ1690" s="43"/>
      <c r="AK1690" s="43"/>
      <c r="AL1690" s="43"/>
      <c r="AM1690" s="43"/>
      <c r="AN1690" s="42"/>
      <c r="AO1690" s="42"/>
      <c r="AP1690" s="42"/>
      <c r="AQ1690" s="43"/>
      <c r="AR1690" s="42"/>
      <c r="AS1690" s="42"/>
    </row>
    <row r="1691" spans="1:45" ht="15" customHeight="1">
      <c r="A1691" s="21" t="s">
        <v>258</v>
      </c>
      <c r="B1691" s="22" t="s">
        <v>46</v>
      </c>
      <c r="C1691" s="21" t="s">
        <v>887</v>
      </c>
      <c r="D1691" s="21" t="s">
        <v>888</v>
      </c>
      <c r="E1691" s="80" t="s">
        <v>2064</v>
      </c>
      <c r="F1691" s="21" t="s">
        <v>2068</v>
      </c>
      <c r="G1691" s="101" t="s">
        <v>165</v>
      </c>
      <c r="H1691" s="25" t="s">
        <v>2124</v>
      </c>
      <c r="I1691" s="65" t="s">
        <v>491</v>
      </c>
      <c r="J1691" s="65" t="s">
        <v>2106</v>
      </c>
      <c r="K1691" s="104" t="s">
        <v>2116</v>
      </c>
      <c r="L1691" s="48" t="s">
        <v>2071</v>
      </c>
      <c r="M1691" s="27">
        <v>44530</v>
      </c>
      <c r="N1691" s="105"/>
      <c r="O1691" s="106">
        <v>0</v>
      </c>
      <c r="P1691" s="106">
        <v>-544</v>
      </c>
      <c r="Q1691" s="51">
        <f t="shared" si="38"/>
        <v>0</v>
      </c>
      <c r="R1691" s="31">
        <v>202310</v>
      </c>
      <c r="S1691" s="54" t="s">
        <v>2126</v>
      </c>
      <c r="T1691" s="33"/>
      <c r="U1691" s="54"/>
      <c r="V1691" s="54"/>
      <c r="W1691" s="52"/>
      <c r="X1691" s="52"/>
      <c r="Y1691" s="36"/>
      <c r="Z1691" s="36"/>
      <c r="AA1691" s="36"/>
      <c r="AB1691" s="36"/>
      <c r="AC1691" s="36"/>
      <c r="AD1691" s="36"/>
      <c r="AE1691" s="36"/>
      <c r="AF1691" s="53" t="s">
        <v>503</v>
      </c>
      <c r="AG1691" s="42"/>
      <c r="AH1691" s="43"/>
      <c r="AI1691" s="43"/>
      <c r="AJ1691" s="43"/>
      <c r="AK1691" s="43"/>
      <c r="AL1691" s="43"/>
      <c r="AM1691" s="43"/>
      <c r="AN1691" s="42"/>
      <c r="AO1691" s="42"/>
      <c r="AP1691" s="42"/>
      <c r="AQ1691" s="43"/>
      <c r="AR1691" s="42"/>
      <c r="AS1691" s="42"/>
    </row>
    <row r="1692" spans="1:45" ht="15" customHeight="1">
      <c r="A1692" s="21" t="s">
        <v>258</v>
      </c>
      <c r="B1692" s="22" t="s">
        <v>46</v>
      </c>
      <c r="C1692" s="21" t="s">
        <v>887</v>
      </c>
      <c r="D1692" s="21" t="s">
        <v>888</v>
      </c>
      <c r="E1692" s="80" t="s">
        <v>2064</v>
      </c>
      <c r="F1692" s="21" t="s">
        <v>2068</v>
      </c>
      <c r="G1692" s="101" t="s">
        <v>77</v>
      </c>
      <c r="H1692" s="25" t="s">
        <v>2127</v>
      </c>
      <c r="I1692" s="65" t="s">
        <v>479</v>
      </c>
      <c r="J1692" s="65" t="s">
        <v>2069</v>
      </c>
      <c r="K1692" s="26" t="s">
        <v>2128</v>
      </c>
      <c r="L1692" s="48" t="s">
        <v>2108</v>
      </c>
      <c r="M1692" s="192">
        <v>44743</v>
      </c>
      <c r="N1692" s="105" t="s">
        <v>1310</v>
      </c>
      <c r="O1692" s="106">
        <v>0</v>
      </c>
      <c r="P1692" s="29">
        <v>3</v>
      </c>
      <c r="Q1692" s="51">
        <f t="shared" si="38"/>
        <v>0</v>
      </c>
      <c r="R1692" s="31">
        <v>202310</v>
      </c>
      <c r="S1692" s="54" t="s">
        <v>2129</v>
      </c>
      <c r="T1692" s="33"/>
      <c r="U1692" s="54"/>
      <c r="V1692" s="54"/>
      <c r="W1692" s="52"/>
      <c r="X1692" s="52"/>
      <c r="Y1692" s="36"/>
      <c r="Z1692" s="36"/>
      <c r="AA1692" s="36"/>
      <c r="AB1692" s="36"/>
      <c r="AC1692" s="36"/>
      <c r="AD1692" s="36"/>
      <c r="AE1692" s="36"/>
      <c r="AF1692" s="53" t="s">
        <v>503</v>
      </c>
      <c r="AG1692" s="42"/>
      <c r="AH1692" s="43"/>
      <c r="AI1692" s="43"/>
      <c r="AJ1692" s="43"/>
      <c r="AK1692" s="43"/>
      <c r="AL1692" s="43"/>
      <c r="AM1692" s="43"/>
      <c r="AN1692" s="42"/>
      <c r="AO1692" s="42"/>
      <c r="AP1692" s="42"/>
      <c r="AQ1692" s="43"/>
      <c r="AR1692" s="42"/>
      <c r="AS1692" s="42"/>
    </row>
    <row r="1693" spans="1:45" ht="15" customHeight="1">
      <c r="A1693" s="21" t="s">
        <v>258</v>
      </c>
      <c r="B1693" s="22" t="s">
        <v>46</v>
      </c>
      <c r="C1693" s="21" t="s">
        <v>887</v>
      </c>
      <c r="D1693" s="21" t="s">
        <v>888</v>
      </c>
      <c r="E1693" s="80" t="s">
        <v>2064</v>
      </c>
      <c r="F1693" s="21" t="s">
        <v>2068</v>
      </c>
      <c r="G1693" s="101" t="s">
        <v>77</v>
      </c>
      <c r="H1693" s="25" t="s">
        <v>2127</v>
      </c>
      <c r="I1693" s="65" t="s">
        <v>479</v>
      </c>
      <c r="J1693" s="65" t="s">
        <v>2069</v>
      </c>
      <c r="K1693" s="26" t="s">
        <v>2128</v>
      </c>
      <c r="L1693" s="48" t="s">
        <v>2108</v>
      </c>
      <c r="M1693" s="192">
        <v>45017</v>
      </c>
      <c r="N1693" s="105" t="s">
        <v>1310</v>
      </c>
      <c r="O1693" s="106">
        <v>0</v>
      </c>
      <c r="P1693" s="29">
        <v>1</v>
      </c>
      <c r="Q1693" s="51">
        <f t="shared" si="38"/>
        <v>0</v>
      </c>
      <c r="R1693" s="31">
        <v>202310</v>
      </c>
      <c r="S1693" s="54" t="s">
        <v>2130</v>
      </c>
      <c r="T1693" s="33"/>
      <c r="U1693" s="32"/>
      <c r="V1693" s="54"/>
      <c r="W1693" s="52"/>
      <c r="X1693" s="52"/>
      <c r="Y1693" s="36"/>
      <c r="Z1693" s="36"/>
      <c r="AA1693" s="36"/>
      <c r="AB1693" s="36"/>
      <c r="AC1693" s="36"/>
      <c r="AD1693" s="36"/>
      <c r="AE1693" s="36"/>
      <c r="AF1693" s="53" t="s">
        <v>503</v>
      </c>
      <c r="AG1693" s="42"/>
      <c r="AH1693" s="43"/>
      <c r="AI1693" s="43"/>
      <c r="AJ1693" s="43"/>
      <c r="AK1693" s="43"/>
      <c r="AL1693" s="43"/>
      <c r="AM1693" s="43"/>
      <c r="AN1693" s="42"/>
      <c r="AO1693" s="42"/>
      <c r="AP1693" s="42"/>
      <c r="AQ1693" s="43"/>
      <c r="AR1693" s="42"/>
      <c r="AS1693" s="42"/>
    </row>
    <row r="1694" spans="1:45" ht="15" customHeight="1">
      <c r="A1694" s="21" t="s">
        <v>258</v>
      </c>
      <c r="B1694" s="22" t="s">
        <v>46</v>
      </c>
      <c r="C1694" s="21" t="s">
        <v>887</v>
      </c>
      <c r="D1694" s="21" t="s">
        <v>888</v>
      </c>
      <c r="E1694" s="80" t="s">
        <v>2064</v>
      </c>
      <c r="F1694" s="21" t="s">
        <v>2068</v>
      </c>
      <c r="G1694" s="101" t="s">
        <v>165</v>
      </c>
      <c r="H1694" s="25" t="s">
        <v>2127</v>
      </c>
      <c r="I1694" s="65" t="s">
        <v>491</v>
      </c>
      <c r="J1694" s="65" t="s">
        <v>2069</v>
      </c>
      <c r="K1694" s="26" t="s">
        <v>2128</v>
      </c>
      <c r="L1694" s="48"/>
      <c r="M1694" s="192">
        <v>44743</v>
      </c>
      <c r="N1694" s="105" t="s">
        <v>168</v>
      </c>
      <c r="O1694" s="106">
        <v>0</v>
      </c>
      <c r="P1694" s="29">
        <v>288</v>
      </c>
      <c r="Q1694" s="51">
        <f t="shared" si="38"/>
        <v>0</v>
      </c>
      <c r="R1694" s="31">
        <v>202310</v>
      </c>
      <c r="S1694" s="54" t="s">
        <v>2131</v>
      </c>
      <c r="T1694" s="33"/>
      <c r="U1694" s="54"/>
      <c r="V1694" s="54"/>
      <c r="W1694" s="52"/>
      <c r="X1694" s="52"/>
      <c r="Y1694" s="36"/>
      <c r="Z1694" s="36"/>
      <c r="AA1694" s="36"/>
      <c r="AB1694" s="36"/>
      <c r="AC1694" s="36"/>
      <c r="AD1694" s="36"/>
      <c r="AE1694" s="36"/>
      <c r="AF1694" s="53" t="s">
        <v>503</v>
      </c>
      <c r="AG1694" s="42"/>
      <c r="AH1694" s="43"/>
      <c r="AI1694" s="43"/>
      <c r="AJ1694" s="43"/>
      <c r="AK1694" s="43"/>
      <c r="AL1694" s="43"/>
      <c r="AM1694" s="43"/>
      <c r="AN1694" s="42"/>
      <c r="AO1694" s="42"/>
      <c r="AP1694" s="42"/>
      <c r="AQ1694" s="43"/>
      <c r="AR1694" s="42"/>
      <c r="AS1694" s="42"/>
    </row>
    <row r="1695" spans="1:45" ht="15" customHeight="1">
      <c r="A1695" s="21" t="s">
        <v>258</v>
      </c>
      <c r="B1695" s="22" t="s">
        <v>46</v>
      </c>
      <c r="C1695" s="21" t="s">
        <v>887</v>
      </c>
      <c r="D1695" s="21" t="s">
        <v>888</v>
      </c>
      <c r="E1695" s="80" t="s">
        <v>2064</v>
      </c>
      <c r="F1695" s="21" t="s">
        <v>2068</v>
      </c>
      <c r="G1695" s="101" t="s">
        <v>165</v>
      </c>
      <c r="H1695" s="25" t="s">
        <v>2132</v>
      </c>
      <c r="I1695" s="65" t="s">
        <v>491</v>
      </c>
      <c r="J1695" s="65" t="s">
        <v>2069</v>
      </c>
      <c r="K1695" s="26" t="s">
        <v>2121</v>
      </c>
      <c r="L1695" s="48"/>
      <c r="M1695" s="192">
        <v>44866</v>
      </c>
      <c r="N1695" s="105" t="s">
        <v>168</v>
      </c>
      <c r="O1695" s="106">
        <v>0</v>
      </c>
      <c r="P1695" s="29">
        <v>2560</v>
      </c>
      <c r="Q1695" s="51">
        <f t="shared" si="38"/>
        <v>0</v>
      </c>
      <c r="R1695" s="31">
        <v>202310</v>
      </c>
      <c r="S1695" s="54" t="s">
        <v>2133</v>
      </c>
      <c r="T1695" s="33"/>
      <c r="U1695" s="54"/>
      <c r="V1695" s="54"/>
      <c r="W1695" s="52"/>
      <c r="X1695" s="52"/>
      <c r="Y1695" s="36"/>
      <c r="Z1695" s="36"/>
      <c r="AA1695" s="36"/>
      <c r="AB1695" s="36"/>
      <c r="AC1695" s="36"/>
      <c r="AD1695" s="36"/>
      <c r="AE1695" s="36"/>
      <c r="AF1695" s="148" t="s">
        <v>484</v>
      </c>
      <c r="AG1695" s="148"/>
      <c r="AH1695" s="148"/>
      <c r="AI1695" s="43"/>
      <c r="AJ1695" s="43"/>
      <c r="AK1695" s="43"/>
      <c r="AL1695" s="43"/>
      <c r="AM1695" s="43"/>
      <c r="AN1695" s="42"/>
      <c r="AO1695" s="42"/>
      <c r="AP1695" s="42"/>
      <c r="AQ1695" s="43"/>
      <c r="AR1695" s="42"/>
      <c r="AS1695" s="42"/>
    </row>
    <row r="1696" spans="1:45" ht="15" customHeight="1">
      <c r="A1696" s="21" t="s">
        <v>258</v>
      </c>
      <c r="B1696" s="22" t="s">
        <v>46</v>
      </c>
      <c r="C1696" s="21" t="s">
        <v>887</v>
      </c>
      <c r="D1696" s="21" t="s">
        <v>888</v>
      </c>
      <c r="E1696" s="80" t="s">
        <v>2064</v>
      </c>
      <c r="F1696" s="21" t="s">
        <v>2068</v>
      </c>
      <c r="G1696" s="101" t="s">
        <v>62</v>
      </c>
      <c r="H1696" s="25" t="s">
        <v>2134</v>
      </c>
      <c r="I1696" s="65" t="s">
        <v>64</v>
      </c>
      <c r="J1696" s="54" t="s">
        <v>2135</v>
      </c>
      <c r="K1696" s="26"/>
      <c r="L1696" s="48"/>
      <c r="M1696" s="192">
        <v>44986</v>
      </c>
      <c r="N1696" s="105" t="s">
        <v>66</v>
      </c>
      <c r="O1696" s="106">
        <v>500</v>
      </c>
      <c r="P1696" s="193">
        <v>70.796000000000006</v>
      </c>
      <c r="Q1696" s="51">
        <f t="shared" si="38"/>
        <v>35398</v>
      </c>
      <c r="R1696" s="31">
        <v>202310</v>
      </c>
      <c r="S1696" s="54" t="s">
        <v>2136</v>
      </c>
      <c r="T1696" s="33"/>
      <c r="U1696" s="54"/>
      <c r="V1696" s="54"/>
      <c r="W1696" s="52"/>
      <c r="X1696" s="52"/>
      <c r="Y1696" s="36">
        <v>44986</v>
      </c>
      <c r="Z1696" s="36">
        <v>45291</v>
      </c>
      <c r="AA1696" s="36"/>
      <c r="AB1696" s="36"/>
      <c r="AC1696" s="36"/>
      <c r="AD1696" s="36"/>
      <c r="AE1696" s="36"/>
      <c r="AF1696" s="53" t="s">
        <v>68</v>
      </c>
      <c r="AG1696" s="148"/>
      <c r="AH1696" s="148"/>
      <c r="AI1696" s="43"/>
      <c r="AJ1696" s="43"/>
      <c r="AK1696" s="43"/>
      <c r="AL1696" s="43"/>
      <c r="AM1696" s="43"/>
      <c r="AN1696" s="42"/>
      <c r="AO1696" s="42"/>
      <c r="AP1696" s="42"/>
      <c r="AQ1696" s="43"/>
      <c r="AR1696" s="42"/>
      <c r="AS1696" s="42"/>
    </row>
    <row r="1697" spans="1:45" ht="15" customHeight="1">
      <c r="A1697" s="21" t="s">
        <v>258</v>
      </c>
      <c r="B1697" s="22" t="s">
        <v>46</v>
      </c>
      <c r="C1697" s="21" t="s">
        <v>887</v>
      </c>
      <c r="D1697" s="21" t="s">
        <v>888</v>
      </c>
      <c r="E1697" s="80" t="s">
        <v>2064</v>
      </c>
      <c r="F1697" s="21" t="s">
        <v>2068</v>
      </c>
      <c r="G1697" s="101" t="s">
        <v>62</v>
      </c>
      <c r="H1697" s="25" t="s">
        <v>2134</v>
      </c>
      <c r="I1697" s="65" t="s">
        <v>64</v>
      </c>
      <c r="J1697" s="54" t="s">
        <v>2137</v>
      </c>
      <c r="K1697" s="26"/>
      <c r="L1697" s="48"/>
      <c r="M1697" s="192">
        <v>44986</v>
      </c>
      <c r="N1697" s="105" t="s">
        <v>66</v>
      </c>
      <c r="O1697" s="106">
        <v>500</v>
      </c>
      <c r="P1697" s="29">
        <v>65.67</v>
      </c>
      <c r="Q1697" s="51">
        <f t="shared" si="38"/>
        <v>32835</v>
      </c>
      <c r="R1697" s="31">
        <v>202310</v>
      </c>
      <c r="S1697" s="54" t="s">
        <v>2138</v>
      </c>
      <c r="T1697" s="33"/>
      <c r="U1697" s="54"/>
      <c r="V1697" s="54"/>
      <c r="W1697" s="52"/>
      <c r="X1697" s="52"/>
      <c r="Y1697" s="36">
        <v>44986</v>
      </c>
      <c r="Z1697" s="36">
        <v>45291</v>
      </c>
      <c r="AA1697" s="36"/>
      <c r="AB1697" s="36"/>
      <c r="AC1697" s="36"/>
      <c r="AD1697" s="36"/>
      <c r="AE1697" s="36"/>
      <c r="AF1697" s="53" t="s">
        <v>68</v>
      </c>
      <c r="AG1697" s="148"/>
      <c r="AH1697" s="148"/>
      <c r="AI1697" s="43"/>
      <c r="AJ1697" s="43"/>
      <c r="AK1697" s="43"/>
      <c r="AL1697" s="43"/>
      <c r="AM1697" s="43"/>
      <c r="AN1697" s="42"/>
      <c r="AO1697" s="42"/>
      <c r="AP1697" s="42"/>
      <c r="AQ1697" s="43"/>
      <c r="AR1697" s="42"/>
      <c r="AS1697" s="42"/>
    </row>
    <row r="1698" spans="1:45" ht="15" customHeight="1">
      <c r="A1698" s="56" t="s">
        <v>258</v>
      </c>
      <c r="B1698" s="21" t="s">
        <v>46</v>
      </c>
      <c r="C1698" s="57" t="s">
        <v>814</v>
      </c>
      <c r="D1698" s="22" t="s">
        <v>48</v>
      </c>
      <c r="E1698" s="58" t="s">
        <v>2139</v>
      </c>
      <c r="F1698" s="56" t="s">
        <v>2140</v>
      </c>
      <c r="G1698" s="26" t="s">
        <v>165</v>
      </c>
      <c r="H1698" s="25" t="s">
        <v>2141</v>
      </c>
      <c r="I1698" s="26" t="s">
        <v>491</v>
      </c>
      <c r="J1698" s="56" t="s">
        <v>2140</v>
      </c>
      <c r="K1698" s="59" t="s">
        <v>2140</v>
      </c>
      <c r="L1698" s="48" t="s">
        <v>2142</v>
      </c>
      <c r="M1698" s="49">
        <v>44835</v>
      </c>
      <c r="N1698" s="49" t="s">
        <v>168</v>
      </c>
      <c r="O1698" s="60">
        <v>0</v>
      </c>
      <c r="P1698" s="61">
        <v>640</v>
      </c>
      <c r="Q1698" s="51">
        <f t="shared" si="38"/>
        <v>0</v>
      </c>
      <c r="R1698" s="31">
        <v>202310</v>
      </c>
      <c r="S1698" s="62" t="s">
        <v>2143</v>
      </c>
      <c r="T1698" s="33"/>
      <c r="U1698" s="58"/>
      <c r="V1698" s="58"/>
      <c r="W1698" s="63"/>
      <c r="X1698" s="63"/>
      <c r="Y1698" s="36"/>
      <c r="Z1698" s="36"/>
      <c r="AA1698" s="36"/>
      <c r="AB1698" s="36"/>
      <c r="AC1698" s="36"/>
      <c r="AD1698" s="36"/>
      <c r="AE1698" s="36"/>
      <c r="AF1698" s="40" t="s">
        <v>484</v>
      </c>
      <c r="AG1698" s="42"/>
      <c r="AH1698" s="42"/>
      <c r="AI1698" s="43"/>
      <c r="AJ1698" s="43"/>
      <c r="AK1698" s="43"/>
      <c r="AL1698" s="43"/>
      <c r="AM1698" s="43"/>
      <c r="AN1698" s="42"/>
      <c r="AO1698" s="42"/>
      <c r="AP1698" s="42"/>
      <c r="AQ1698" s="43"/>
      <c r="AR1698" s="42"/>
      <c r="AS1698" s="42" t="s">
        <v>2054</v>
      </c>
    </row>
    <row r="1699" spans="1:45" ht="15" customHeight="1">
      <c r="A1699" s="56" t="s">
        <v>258</v>
      </c>
      <c r="B1699" s="21" t="s">
        <v>46</v>
      </c>
      <c r="C1699" s="57" t="s">
        <v>814</v>
      </c>
      <c r="D1699" s="22" t="s">
        <v>48</v>
      </c>
      <c r="E1699" s="58" t="s">
        <v>2139</v>
      </c>
      <c r="F1699" s="56" t="s">
        <v>2140</v>
      </c>
      <c r="G1699" s="26" t="s">
        <v>165</v>
      </c>
      <c r="H1699" s="25" t="s">
        <v>2141</v>
      </c>
      <c r="I1699" s="26" t="s">
        <v>491</v>
      </c>
      <c r="J1699" s="56" t="s">
        <v>2140</v>
      </c>
      <c r="K1699" s="59" t="s">
        <v>2140</v>
      </c>
      <c r="L1699" s="48" t="s">
        <v>2142</v>
      </c>
      <c r="M1699" s="49">
        <v>44835</v>
      </c>
      <c r="N1699" s="49" t="s">
        <v>646</v>
      </c>
      <c r="O1699" s="60">
        <v>0</v>
      </c>
      <c r="P1699" s="61">
        <v>0</v>
      </c>
      <c r="Q1699" s="51">
        <f t="shared" si="38"/>
        <v>0</v>
      </c>
      <c r="R1699" s="31">
        <v>202310</v>
      </c>
      <c r="S1699" s="62" t="s">
        <v>2144</v>
      </c>
      <c r="T1699" s="33"/>
      <c r="U1699" s="58"/>
      <c r="V1699" s="58"/>
      <c r="W1699" s="63"/>
      <c r="X1699" s="63"/>
      <c r="Y1699" s="36"/>
      <c r="Z1699" s="36"/>
      <c r="AA1699" s="36"/>
      <c r="AB1699" s="36"/>
      <c r="AC1699" s="36"/>
      <c r="AD1699" s="36"/>
      <c r="AE1699" s="36"/>
      <c r="AF1699" s="40" t="s">
        <v>484</v>
      </c>
      <c r="AG1699" s="42"/>
      <c r="AH1699" s="42"/>
      <c r="AI1699" s="43"/>
      <c r="AJ1699" s="43"/>
      <c r="AK1699" s="43"/>
      <c r="AL1699" s="43"/>
      <c r="AM1699" s="43"/>
      <c r="AN1699" s="42"/>
      <c r="AO1699" s="42"/>
      <c r="AP1699" s="42"/>
      <c r="AQ1699" s="43"/>
      <c r="AR1699" s="42"/>
      <c r="AS1699" s="42" t="s">
        <v>2054</v>
      </c>
    </row>
    <row r="1700" spans="1:45" ht="15" customHeight="1">
      <c r="A1700" s="56" t="s">
        <v>258</v>
      </c>
      <c r="B1700" s="21" t="s">
        <v>46</v>
      </c>
      <c r="C1700" s="57" t="s">
        <v>814</v>
      </c>
      <c r="D1700" s="22" t="s">
        <v>48</v>
      </c>
      <c r="E1700" s="58" t="s">
        <v>2139</v>
      </c>
      <c r="F1700" s="56" t="s">
        <v>2140</v>
      </c>
      <c r="G1700" s="26" t="s">
        <v>77</v>
      </c>
      <c r="H1700" s="25" t="s">
        <v>2141</v>
      </c>
      <c r="I1700" s="26" t="s">
        <v>479</v>
      </c>
      <c r="J1700" s="56" t="s">
        <v>2140</v>
      </c>
      <c r="K1700" s="59" t="s">
        <v>2140</v>
      </c>
      <c r="L1700" s="48" t="s">
        <v>2142</v>
      </c>
      <c r="M1700" s="49">
        <v>44835</v>
      </c>
      <c r="N1700" s="49" t="s">
        <v>1614</v>
      </c>
      <c r="O1700" s="60">
        <v>0</v>
      </c>
      <c r="P1700" s="61">
        <v>10</v>
      </c>
      <c r="Q1700" s="51">
        <f t="shared" si="38"/>
        <v>0</v>
      </c>
      <c r="R1700" s="31">
        <v>202310</v>
      </c>
      <c r="S1700" s="62" t="s">
        <v>2145</v>
      </c>
      <c r="T1700" s="33"/>
      <c r="U1700" s="58"/>
      <c r="V1700" s="58"/>
      <c r="W1700" s="63"/>
      <c r="X1700" s="63"/>
      <c r="Y1700" s="36"/>
      <c r="Z1700" s="36"/>
      <c r="AA1700" s="36"/>
      <c r="AB1700" s="36"/>
      <c r="AC1700" s="36"/>
      <c r="AD1700" s="36"/>
      <c r="AE1700" s="36"/>
      <c r="AF1700" s="40" t="s">
        <v>484</v>
      </c>
      <c r="AG1700" s="42"/>
      <c r="AH1700" s="42"/>
      <c r="AI1700" s="43"/>
      <c r="AJ1700" s="43"/>
      <c r="AK1700" s="43"/>
      <c r="AL1700" s="43"/>
      <c r="AM1700" s="43"/>
      <c r="AN1700" s="42"/>
      <c r="AO1700" s="42"/>
      <c r="AP1700" s="42"/>
      <c r="AQ1700" s="43"/>
      <c r="AR1700" s="42"/>
      <c r="AS1700" s="42" t="s">
        <v>2054</v>
      </c>
    </row>
    <row r="1701" spans="1:45" ht="15" customHeight="1">
      <c r="A1701" s="56" t="s">
        <v>258</v>
      </c>
      <c r="B1701" s="21" t="s">
        <v>46</v>
      </c>
      <c r="C1701" s="57" t="s">
        <v>814</v>
      </c>
      <c r="D1701" s="22" t="s">
        <v>48</v>
      </c>
      <c r="E1701" s="58" t="s">
        <v>2139</v>
      </c>
      <c r="F1701" s="56" t="s">
        <v>2140</v>
      </c>
      <c r="G1701" s="26" t="s">
        <v>77</v>
      </c>
      <c r="H1701" s="25" t="s">
        <v>2141</v>
      </c>
      <c r="I1701" s="26" t="s">
        <v>479</v>
      </c>
      <c r="J1701" s="56" t="s">
        <v>2140</v>
      </c>
      <c r="K1701" s="59" t="s">
        <v>2140</v>
      </c>
      <c r="L1701" s="48" t="s">
        <v>2142</v>
      </c>
      <c r="M1701" s="49">
        <v>44866</v>
      </c>
      <c r="N1701" s="49" t="s">
        <v>1614</v>
      </c>
      <c r="O1701" s="60">
        <v>0</v>
      </c>
      <c r="P1701" s="61">
        <v>10</v>
      </c>
      <c r="Q1701" s="51">
        <f t="shared" si="38"/>
        <v>0</v>
      </c>
      <c r="R1701" s="31">
        <v>202310</v>
      </c>
      <c r="S1701" s="62" t="s">
        <v>2146</v>
      </c>
      <c r="T1701" s="33"/>
      <c r="U1701" s="58"/>
      <c r="V1701" s="58"/>
      <c r="W1701" s="63"/>
      <c r="X1701" s="63"/>
      <c r="Y1701" s="36"/>
      <c r="Z1701" s="36"/>
      <c r="AA1701" s="36"/>
      <c r="AB1701" s="36"/>
      <c r="AC1701" s="36"/>
      <c r="AD1701" s="36"/>
      <c r="AE1701" s="36"/>
      <c r="AF1701" s="40" t="s">
        <v>484</v>
      </c>
      <c r="AG1701" s="42"/>
      <c r="AH1701" s="42"/>
      <c r="AI1701" s="43"/>
      <c r="AJ1701" s="43"/>
      <c r="AK1701" s="43"/>
      <c r="AL1701" s="43"/>
      <c r="AM1701" s="43"/>
      <c r="AN1701" s="42"/>
      <c r="AO1701" s="42"/>
      <c r="AP1701" s="42"/>
      <c r="AQ1701" s="43"/>
      <c r="AR1701" s="42"/>
      <c r="AS1701" s="42" t="s">
        <v>2054</v>
      </c>
    </row>
    <row r="1702" spans="1:45" ht="15" customHeight="1">
      <c r="A1702" s="65" t="s">
        <v>258</v>
      </c>
      <c r="B1702" s="21" t="s">
        <v>46</v>
      </c>
      <c r="C1702" s="65" t="s">
        <v>188</v>
      </c>
      <c r="D1702" s="21" t="s">
        <v>48</v>
      </c>
      <c r="E1702" s="66" t="s">
        <v>2147</v>
      </c>
      <c r="F1702" s="65" t="s">
        <v>2148</v>
      </c>
      <c r="G1702" s="47" t="s">
        <v>114</v>
      </c>
      <c r="H1702" s="45" t="s">
        <v>2149</v>
      </c>
      <c r="I1702" s="24" t="s">
        <v>114</v>
      </c>
      <c r="J1702" s="47" t="s">
        <v>2150</v>
      </c>
      <c r="K1702" s="47"/>
      <c r="L1702" s="48"/>
      <c r="M1702" s="49">
        <v>44166</v>
      </c>
      <c r="N1702" s="49" t="s">
        <v>2151</v>
      </c>
      <c r="O1702" s="61">
        <v>400000</v>
      </c>
      <c r="P1702" s="51">
        <v>1</v>
      </c>
      <c r="Q1702" s="51">
        <f t="shared" si="38"/>
        <v>400000</v>
      </c>
      <c r="R1702" s="31">
        <v>202310</v>
      </c>
      <c r="S1702" s="109" t="s">
        <v>2152</v>
      </c>
      <c r="T1702" s="33"/>
      <c r="U1702" s="109"/>
      <c r="V1702" s="120"/>
      <c r="W1702" s="67"/>
      <c r="X1702" s="67"/>
      <c r="Y1702" s="36">
        <v>43647</v>
      </c>
      <c r="Z1702" s="36">
        <v>45473</v>
      </c>
      <c r="AA1702" s="36"/>
      <c r="AB1702" s="36"/>
      <c r="AC1702" s="36"/>
      <c r="AD1702" s="36"/>
      <c r="AE1702" s="36"/>
      <c r="AF1702" s="53" t="s">
        <v>68</v>
      </c>
      <c r="AG1702" s="42"/>
      <c r="AH1702" s="42"/>
      <c r="AI1702" s="43"/>
      <c r="AJ1702" s="43"/>
      <c r="AK1702" s="43"/>
      <c r="AL1702" s="43"/>
      <c r="AM1702" s="43"/>
      <c r="AN1702" s="42"/>
      <c r="AO1702" s="42"/>
      <c r="AP1702" s="42"/>
      <c r="AQ1702" s="43"/>
      <c r="AR1702" s="42"/>
      <c r="AS1702" s="42"/>
    </row>
    <row r="1703" spans="1:45" ht="15" customHeight="1">
      <c r="A1703" s="56" t="s">
        <v>258</v>
      </c>
      <c r="B1703" s="21" t="s">
        <v>46</v>
      </c>
      <c r="C1703" s="57" t="s">
        <v>814</v>
      </c>
      <c r="D1703" s="22" t="s">
        <v>48</v>
      </c>
      <c r="E1703" s="58" t="s">
        <v>2153</v>
      </c>
      <c r="F1703" s="56" t="s">
        <v>2154</v>
      </c>
      <c r="G1703" s="26" t="s">
        <v>165</v>
      </c>
      <c r="H1703" s="25" t="s">
        <v>2155</v>
      </c>
      <c r="I1703" s="26" t="s">
        <v>491</v>
      </c>
      <c r="J1703" s="56" t="s">
        <v>2154</v>
      </c>
      <c r="K1703" s="59" t="s">
        <v>2154</v>
      </c>
      <c r="L1703" s="48" t="s">
        <v>2156</v>
      </c>
      <c r="M1703" s="49">
        <v>44850</v>
      </c>
      <c r="N1703" s="49" t="s">
        <v>168</v>
      </c>
      <c r="O1703" s="60">
        <v>0</v>
      </c>
      <c r="P1703" s="61">
        <v>1280</v>
      </c>
      <c r="Q1703" s="51">
        <f t="shared" si="38"/>
        <v>0</v>
      </c>
      <c r="R1703" s="31">
        <v>202310</v>
      </c>
      <c r="S1703" s="62" t="s">
        <v>2157</v>
      </c>
      <c r="T1703" s="33"/>
      <c r="U1703" s="58"/>
      <c r="V1703" s="58"/>
      <c r="W1703" s="63"/>
      <c r="X1703" s="63"/>
      <c r="Y1703" s="36"/>
      <c r="Z1703" s="36"/>
      <c r="AA1703" s="36"/>
      <c r="AB1703" s="36"/>
      <c r="AC1703" s="36"/>
      <c r="AD1703" s="36"/>
      <c r="AE1703" s="36"/>
      <c r="AF1703" s="40" t="s">
        <v>484</v>
      </c>
      <c r="AG1703" s="42"/>
      <c r="AH1703" s="42"/>
      <c r="AI1703" s="43"/>
      <c r="AJ1703" s="43"/>
      <c r="AK1703" s="43"/>
      <c r="AL1703" s="43"/>
      <c r="AM1703" s="43"/>
      <c r="AN1703" s="42"/>
      <c r="AO1703" s="42"/>
      <c r="AP1703" s="42"/>
      <c r="AQ1703" s="43"/>
      <c r="AR1703" s="42"/>
      <c r="AS1703" s="42" t="s">
        <v>2054</v>
      </c>
    </row>
    <row r="1704" spans="1:45" ht="15" customHeight="1">
      <c r="A1704" s="56" t="s">
        <v>258</v>
      </c>
      <c r="B1704" s="21" t="s">
        <v>46</v>
      </c>
      <c r="C1704" s="57" t="s">
        <v>814</v>
      </c>
      <c r="D1704" s="22" t="s">
        <v>48</v>
      </c>
      <c r="E1704" s="58" t="s">
        <v>2153</v>
      </c>
      <c r="F1704" s="56" t="s">
        <v>2154</v>
      </c>
      <c r="G1704" s="26" t="s">
        <v>165</v>
      </c>
      <c r="H1704" s="25" t="s">
        <v>2155</v>
      </c>
      <c r="I1704" s="26" t="s">
        <v>491</v>
      </c>
      <c r="J1704" s="56" t="s">
        <v>2154</v>
      </c>
      <c r="K1704" s="59" t="s">
        <v>2154</v>
      </c>
      <c r="L1704" s="48" t="s">
        <v>2156</v>
      </c>
      <c r="M1704" s="49"/>
      <c r="N1704" s="49" t="s">
        <v>646</v>
      </c>
      <c r="O1704" s="60">
        <v>0</v>
      </c>
      <c r="P1704" s="61">
        <v>0</v>
      </c>
      <c r="Q1704" s="51">
        <f t="shared" si="38"/>
        <v>0</v>
      </c>
      <c r="R1704" s="31">
        <v>202310</v>
      </c>
      <c r="S1704" s="62" t="s">
        <v>2158</v>
      </c>
      <c r="T1704" s="33"/>
      <c r="U1704" s="58"/>
      <c r="V1704" s="58"/>
      <c r="W1704" s="63"/>
      <c r="X1704" s="63"/>
      <c r="Y1704" s="36"/>
      <c r="Z1704" s="36"/>
      <c r="AA1704" s="36"/>
      <c r="AB1704" s="36"/>
      <c r="AC1704" s="36"/>
      <c r="AD1704" s="36"/>
      <c r="AE1704" s="36"/>
      <c r="AF1704" s="40" t="s">
        <v>484</v>
      </c>
      <c r="AG1704" s="42"/>
      <c r="AH1704" s="42"/>
      <c r="AI1704" s="43"/>
      <c r="AJ1704" s="43"/>
      <c r="AK1704" s="43"/>
      <c r="AL1704" s="43"/>
      <c r="AM1704" s="43"/>
      <c r="AN1704" s="42"/>
      <c r="AO1704" s="42"/>
      <c r="AP1704" s="42"/>
      <c r="AQ1704" s="43"/>
      <c r="AR1704" s="42"/>
      <c r="AS1704" s="42" t="s">
        <v>2054</v>
      </c>
    </row>
    <row r="1705" spans="1:45" ht="15" customHeight="1">
      <c r="A1705" s="56" t="s">
        <v>258</v>
      </c>
      <c r="B1705" s="21" t="s">
        <v>46</v>
      </c>
      <c r="C1705" s="57" t="s">
        <v>814</v>
      </c>
      <c r="D1705" s="22" t="s">
        <v>48</v>
      </c>
      <c r="E1705" s="58" t="s">
        <v>2153</v>
      </c>
      <c r="F1705" s="56" t="s">
        <v>2154</v>
      </c>
      <c r="G1705" s="26" t="s">
        <v>77</v>
      </c>
      <c r="H1705" s="25" t="s">
        <v>2155</v>
      </c>
      <c r="I1705" s="26" t="s">
        <v>479</v>
      </c>
      <c r="J1705" s="56" t="s">
        <v>2154</v>
      </c>
      <c r="K1705" s="59" t="s">
        <v>2154</v>
      </c>
      <c r="L1705" s="48" t="s">
        <v>2156</v>
      </c>
      <c r="M1705" s="49">
        <v>44850</v>
      </c>
      <c r="N1705" s="49" t="s">
        <v>1614</v>
      </c>
      <c r="O1705" s="60">
        <v>0</v>
      </c>
      <c r="P1705" s="61">
        <v>1</v>
      </c>
      <c r="Q1705" s="51">
        <f t="shared" si="38"/>
        <v>0</v>
      </c>
      <c r="R1705" s="31">
        <v>202310</v>
      </c>
      <c r="S1705" s="62" t="s">
        <v>2159</v>
      </c>
      <c r="T1705" s="33"/>
      <c r="U1705" s="58"/>
      <c r="V1705" s="58"/>
      <c r="W1705" s="63"/>
      <c r="X1705" s="63"/>
      <c r="Y1705" s="36"/>
      <c r="Z1705" s="36"/>
      <c r="AA1705" s="36"/>
      <c r="AB1705" s="36"/>
      <c r="AC1705" s="36"/>
      <c r="AD1705" s="36"/>
      <c r="AE1705" s="36"/>
      <c r="AF1705" s="40" t="s">
        <v>484</v>
      </c>
      <c r="AG1705" s="42"/>
      <c r="AH1705" s="42"/>
      <c r="AI1705" s="43"/>
      <c r="AJ1705" s="43"/>
      <c r="AK1705" s="43"/>
      <c r="AL1705" s="43"/>
      <c r="AM1705" s="43"/>
      <c r="AN1705" s="42"/>
      <c r="AO1705" s="42"/>
      <c r="AP1705" s="42"/>
      <c r="AQ1705" s="43"/>
      <c r="AR1705" s="42"/>
      <c r="AS1705" s="42" t="s">
        <v>2054</v>
      </c>
    </row>
    <row r="1706" spans="1:45" ht="15" customHeight="1">
      <c r="A1706" s="56" t="s">
        <v>258</v>
      </c>
      <c r="B1706" s="21" t="s">
        <v>46</v>
      </c>
      <c r="C1706" s="57" t="s">
        <v>814</v>
      </c>
      <c r="D1706" s="22" t="s">
        <v>48</v>
      </c>
      <c r="E1706" s="58" t="s">
        <v>2153</v>
      </c>
      <c r="F1706" s="56" t="s">
        <v>2154</v>
      </c>
      <c r="G1706" s="26" t="s">
        <v>77</v>
      </c>
      <c r="H1706" s="25" t="s">
        <v>2155</v>
      </c>
      <c r="I1706" s="26" t="s">
        <v>479</v>
      </c>
      <c r="J1706" s="56" t="s">
        <v>2154</v>
      </c>
      <c r="K1706" s="59" t="s">
        <v>2154</v>
      </c>
      <c r="L1706" s="48" t="s">
        <v>2156</v>
      </c>
      <c r="M1706" s="49">
        <v>45127</v>
      </c>
      <c r="N1706" s="49" t="s">
        <v>1614</v>
      </c>
      <c r="O1706" s="60">
        <v>0</v>
      </c>
      <c r="P1706" s="61">
        <v>5</v>
      </c>
      <c r="Q1706" s="30">
        <f t="shared" si="38"/>
        <v>0</v>
      </c>
      <c r="R1706" s="31">
        <v>202310</v>
      </c>
      <c r="S1706" s="62" t="s">
        <v>2160</v>
      </c>
      <c r="T1706" s="33"/>
      <c r="U1706" s="58"/>
      <c r="V1706" s="58"/>
      <c r="W1706" s="63"/>
      <c r="X1706" s="63"/>
      <c r="Y1706" s="36"/>
      <c r="Z1706" s="36"/>
      <c r="AA1706" s="36"/>
      <c r="AB1706" s="36"/>
      <c r="AC1706" s="36"/>
      <c r="AD1706" s="36"/>
      <c r="AE1706" s="36"/>
      <c r="AF1706" s="40" t="s">
        <v>484</v>
      </c>
      <c r="AG1706" s="42"/>
      <c r="AH1706" s="42"/>
      <c r="AI1706" s="43"/>
      <c r="AJ1706" s="43"/>
      <c r="AK1706" s="43"/>
      <c r="AL1706" s="43"/>
      <c r="AM1706" s="43"/>
      <c r="AN1706" s="42"/>
      <c r="AO1706" s="42"/>
      <c r="AP1706" s="42"/>
      <c r="AQ1706" s="43"/>
      <c r="AR1706" s="42"/>
      <c r="AS1706" s="42" t="s">
        <v>2054</v>
      </c>
    </row>
    <row r="1707" spans="1:45" ht="15" customHeight="1">
      <c r="A1707" s="56" t="s">
        <v>258</v>
      </c>
      <c r="B1707" s="21" t="s">
        <v>46</v>
      </c>
      <c r="C1707" s="57" t="s">
        <v>814</v>
      </c>
      <c r="D1707" s="22" t="s">
        <v>48</v>
      </c>
      <c r="E1707" s="58" t="s">
        <v>2153</v>
      </c>
      <c r="F1707" s="56" t="s">
        <v>2154</v>
      </c>
      <c r="G1707" s="26" t="s">
        <v>77</v>
      </c>
      <c r="H1707" s="25" t="s">
        <v>2161</v>
      </c>
      <c r="I1707" s="26" t="s">
        <v>479</v>
      </c>
      <c r="J1707" s="56" t="s">
        <v>2154</v>
      </c>
      <c r="K1707" s="59" t="s">
        <v>2154</v>
      </c>
      <c r="L1707" s="48" t="s">
        <v>2156</v>
      </c>
      <c r="M1707" s="49">
        <v>45163</v>
      </c>
      <c r="N1707" s="49" t="s">
        <v>1614</v>
      </c>
      <c r="O1707" s="60">
        <v>0</v>
      </c>
      <c r="P1707" s="61">
        <v>13</v>
      </c>
      <c r="Q1707" s="30">
        <f t="shared" si="38"/>
        <v>0</v>
      </c>
      <c r="R1707" s="31">
        <v>202310</v>
      </c>
      <c r="S1707" s="62" t="s">
        <v>2162</v>
      </c>
      <c r="T1707" s="33"/>
      <c r="U1707" s="58"/>
      <c r="V1707" s="58"/>
      <c r="W1707" s="63"/>
      <c r="X1707" s="63"/>
      <c r="Y1707" s="36"/>
      <c r="Z1707" s="36"/>
      <c r="AA1707" s="36"/>
      <c r="AB1707" s="36"/>
      <c r="AC1707" s="36"/>
      <c r="AD1707" s="36"/>
      <c r="AE1707" s="36"/>
      <c r="AF1707" s="40" t="s">
        <v>484</v>
      </c>
      <c r="AG1707" s="42"/>
      <c r="AH1707" s="42"/>
      <c r="AI1707" s="43"/>
      <c r="AJ1707" s="43"/>
      <c r="AK1707" s="43"/>
      <c r="AL1707" s="43"/>
      <c r="AM1707" s="43"/>
      <c r="AN1707" s="42"/>
      <c r="AO1707" s="42"/>
      <c r="AP1707" s="42"/>
      <c r="AQ1707" s="43"/>
      <c r="AR1707" s="42"/>
      <c r="AS1707" s="42" t="s">
        <v>2054</v>
      </c>
    </row>
    <row r="1708" spans="1:45" ht="15" customHeight="1">
      <c r="A1708" s="20" t="s">
        <v>258</v>
      </c>
      <c r="B1708" s="21" t="s">
        <v>46</v>
      </c>
      <c r="C1708" s="22" t="s">
        <v>188</v>
      </c>
      <c r="D1708" s="22" t="s">
        <v>48</v>
      </c>
      <c r="E1708" s="23" t="s">
        <v>431</v>
      </c>
      <c r="F1708" s="20" t="s">
        <v>2163</v>
      </c>
      <c r="G1708" s="20" t="s">
        <v>165</v>
      </c>
      <c r="H1708" s="25" t="s">
        <v>2164</v>
      </c>
      <c r="I1708" s="24" t="s">
        <v>491</v>
      </c>
      <c r="J1708" s="20" t="s">
        <v>1307</v>
      </c>
      <c r="K1708" s="26" t="s">
        <v>2165</v>
      </c>
      <c r="L1708" s="20" t="s">
        <v>1309</v>
      </c>
      <c r="M1708" s="156">
        <v>44958</v>
      </c>
      <c r="N1708" s="20"/>
      <c r="O1708" s="28">
        <v>0</v>
      </c>
      <c r="P1708" s="29">
        <v>160</v>
      </c>
      <c r="Q1708" s="30">
        <f t="shared" si="38"/>
        <v>0</v>
      </c>
      <c r="R1708" s="31">
        <v>202310</v>
      </c>
      <c r="S1708" s="32" t="s">
        <v>2166</v>
      </c>
      <c r="T1708" s="33"/>
      <c r="U1708" s="32"/>
      <c r="V1708" s="32"/>
      <c r="W1708" s="35"/>
      <c r="X1708" s="35"/>
      <c r="Y1708" s="36">
        <v>44958</v>
      </c>
      <c r="Z1708" s="36">
        <v>45322</v>
      </c>
      <c r="AA1708" s="36"/>
      <c r="AB1708" s="36"/>
      <c r="AC1708" s="36"/>
      <c r="AD1708" s="36"/>
      <c r="AE1708" s="36"/>
      <c r="AF1708" s="40" t="s">
        <v>484</v>
      </c>
      <c r="AG1708" s="42"/>
      <c r="AH1708" s="42"/>
      <c r="AI1708" s="43"/>
      <c r="AJ1708" s="43"/>
      <c r="AK1708" s="43"/>
      <c r="AL1708" s="43"/>
      <c r="AM1708" s="43"/>
      <c r="AN1708" s="42"/>
      <c r="AO1708" s="42"/>
      <c r="AP1708" s="42"/>
      <c r="AQ1708" s="42"/>
      <c r="AR1708" s="42"/>
      <c r="AS1708" s="42"/>
    </row>
    <row r="1709" spans="1:45" ht="15" customHeight="1">
      <c r="A1709" s="21" t="s">
        <v>258</v>
      </c>
      <c r="B1709" s="21" t="s">
        <v>46</v>
      </c>
      <c r="C1709" s="65" t="s">
        <v>188</v>
      </c>
      <c r="D1709" s="21" t="s">
        <v>48</v>
      </c>
      <c r="E1709" s="80" t="s">
        <v>2167</v>
      </c>
      <c r="F1709" s="21" t="s">
        <v>2168</v>
      </c>
      <c r="G1709" s="26" t="s">
        <v>114</v>
      </c>
      <c r="H1709" s="25" t="s">
        <v>2169</v>
      </c>
      <c r="I1709" s="26" t="s">
        <v>114</v>
      </c>
      <c r="J1709" s="21" t="s">
        <v>2170</v>
      </c>
      <c r="K1709" s="81"/>
      <c r="L1709" s="48"/>
      <c r="M1709" s="49">
        <v>43831</v>
      </c>
      <c r="N1709" s="49" t="s">
        <v>2151</v>
      </c>
      <c r="O1709" s="68">
        <v>642045.5</v>
      </c>
      <c r="P1709" s="51">
        <v>1</v>
      </c>
      <c r="Q1709" s="51">
        <f t="shared" si="38"/>
        <v>642045.5</v>
      </c>
      <c r="R1709" s="31">
        <v>202310</v>
      </c>
      <c r="S1709" s="108" t="s">
        <v>2171</v>
      </c>
      <c r="T1709" s="33"/>
      <c r="U1709" s="108"/>
      <c r="V1709" s="78"/>
      <c r="W1709" s="67"/>
      <c r="X1709" s="67"/>
      <c r="Y1709" s="36">
        <v>44197</v>
      </c>
      <c r="Z1709" s="36">
        <v>44561</v>
      </c>
      <c r="AA1709" s="36"/>
      <c r="AB1709" s="36"/>
      <c r="AC1709" s="36"/>
      <c r="AD1709" s="36"/>
      <c r="AE1709" s="36"/>
      <c r="AF1709" s="53" t="s">
        <v>68</v>
      </c>
      <c r="AG1709" s="42"/>
      <c r="AH1709" s="42"/>
      <c r="AI1709" s="43"/>
      <c r="AJ1709" s="43"/>
      <c r="AK1709" s="43"/>
      <c r="AL1709" s="43"/>
      <c r="AM1709" s="43"/>
      <c r="AN1709" s="42"/>
      <c r="AO1709" s="42"/>
      <c r="AP1709" s="42"/>
      <c r="AQ1709" s="43"/>
      <c r="AR1709" s="42"/>
      <c r="AS1709" s="42"/>
    </row>
    <row r="1710" spans="1:45" ht="15" customHeight="1">
      <c r="A1710" s="21" t="s">
        <v>258</v>
      </c>
      <c r="B1710" s="21" t="s">
        <v>46</v>
      </c>
      <c r="C1710" s="65" t="s">
        <v>188</v>
      </c>
      <c r="D1710" s="21" t="s">
        <v>48</v>
      </c>
      <c r="E1710" s="80" t="s">
        <v>2167</v>
      </c>
      <c r="F1710" s="21" t="s">
        <v>2168</v>
      </c>
      <c r="G1710" s="26" t="s">
        <v>114</v>
      </c>
      <c r="H1710" s="25" t="s">
        <v>2169</v>
      </c>
      <c r="I1710" s="26" t="s">
        <v>114</v>
      </c>
      <c r="J1710" s="21" t="s">
        <v>2170</v>
      </c>
      <c r="K1710" s="81"/>
      <c r="L1710" s="48"/>
      <c r="M1710" s="49">
        <v>44561</v>
      </c>
      <c r="N1710" s="49" t="s">
        <v>2151</v>
      </c>
      <c r="O1710" s="68">
        <v>642045.5</v>
      </c>
      <c r="P1710" s="51">
        <v>-1</v>
      </c>
      <c r="Q1710" s="51">
        <f t="shared" si="38"/>
        <v>-642045.5</v>
      </c>
      <c r="R1710" s="31">
        <v>202310</v>
      </c>
      <c r="S1710" s="108" t="s">
        <v>2172</v>
      </c>
      <c r="T1710" s="33"/>
      <c r="U1710" s="108"/>
      <c r="V1710" s="78"/>
      <c r="W1710" s="67"/>
      <c r="X1710" s="67"/>
      <c r="Y1710" s="36">
        <v>44197</v>
      </c>
      <c r="Z1710" s="36">
        <v>44561</v>
      </c>
      <c r="AA1710" s="36"/>
      <c r="AB1710" s="36"/>
      <c r="AC1710" s="36"/>
      <c r="AD1710" s="36"/>
      <c r="AE1710" s="36"/>
      <c r="AF1710" s="53" t="s">
        <v>68</v>
      </c>
      <c r="AG1710" s="42"/>
      <c r="AH1710" s="42"/>
      <c r="AI1710" s="43"/>
      <c r="AJ1710" s="43"/>
      <c r="AK1710" s="43"/>
      <c r="AL1710" s="43"/>
      <c r="AM1710" s="43"/>
      <c r="AN1710" s="42"/>
      <c r="AO1710" s="42"/>
      <c r="AP1710" s="42"/>
      <c r="AQ1710" s="43"/>
      <c r="AR1710" s="42"/>
      <c r="AS1710" s="42"/>
    </row>
    <row r="1711" spans="1:45" ht="15" customHeight="1">
      <c r="A1711" s="65" t="s">
        <v>258</v>
      </c>
      <c r="B1711" s="21" t="s">
        <v>46</v>
      </c>
      <c r="C1711" s="21" t="s">
        <v>188</v>
      </c>
      <c r="D1711" s="21" t="s">
        <v>48</v>
      </c>
      <c r="E1711" s="66" t="s">
        <v>2167</v>
      </c>
      <c r="F1711" s="65" t="s">
        <v>2168</v>
      </c>
      <c r="G1711" s="26" t="s">
        <v>62</v>
      </c>
      <c r="H1711" s="45" t="s">
        <v>2173</v>
      </c>
      <c r="I1711" s="24" t="s">
        <v>64</v>
      </c>
      <c r="J1711" s="47" t="s">
        <v>2174</v>
      </c>
      <c r="K1711" s="47"/>
      <c r="L1711" s="48"/>
      <c r="M1711" s="49">
        <v>44102</v>
      </c>
      <c r="N1711" s="49" t="s">
        <v>66</v>
      </c>
      <c r="O1711" s="61">
        <v>400</v>
      </c>
      <c r="P1711" s="51">
        <v>30</v>
      </c>
      <c r="Q1711" s="51">
        <f t="shared" si="38"/>
        <v>12000</v>
      </c>
      <c r="R1711" s="31">
        <v>202310</v>
      </c>
      <c r="S1711" s="108" t="s">
        <v>2175</v>
      </c>
      <c r="T1711" s="33"/>
      <c r="U1711" s="108"/>
      <c r="V1711" s="78"/>
      <c r="W1711" s="67"/>
      <c r="X1711" s="67"/>
      <c r="Y1711" s="36">
        <v>44102</v>
      </c>
      <c r="Z1711" s="36">
        <v>45562</v>
      </c>
      <c r="AA1711" s="36"/>
      <c r="AB1711" s="36"/>
      <c r="AC1711" s="36"/>
      <c r="AD1711" s="36"/>
      <c r="AE1711" s="36"/>
      <c r="AF1711" s="53" t="s">
        <v>68</v>
      </c>
      <c r="AG1711" s="42"/>
      <c r="AH1711" s="42"/>
      <c r="AI1711" s="43"/>
      <c r="AJ1711" s="43"/>
      <c r="AK1711" s="43"/>
      <c r="AL1711" s="43"/>
      <c r="AM1711" s="43"/>
      <c r="AN1711" s="42"/>
      <c r="AO1711" s="42"/>
      <c r="AP1711" s="42"/>
      <c r="AQ1711" s="43"/>
      <c r="AR1711" s="42"/>
      <c r="AS1711" s="42"/>
    </row>
    <row r="1712" spans="1:45" ht="15" customHeight="1">
      <c r="A1712" s="65" t="s">
        <v>258</v>
      </c>
      <c r="B1712" s="21" t="s">
        <v>46</v>
      </c>
      <c r="C1712" s="21" t="s">
        <v>188</v>
      </c>
      <c r="D1712" s="21" t="s">
        <v>48</v>
      </c>
      <c r="E1712" s="66" t="s">
        <v>2167</v>
      </c>
      <c r="F1712" s="65" t="s">
        <v>2168</v>
      </c>
      <c r="G1712" s="26" t="s">
        <v>62</v>
      </c>
      <c r="H1712" s="45" t="s">
        <v>2173</v>
      </c>
      <c r="I1712" s="24" t="s">
        <v>64</v>
      </c>
      <c r="J1712" s="47" t="s">
        <v>2176</v>
      </c>
      <c r="K1712" s="47"/>
      <c r="L1712" s="48"/>
      <c r="M1712" s="49">
        <v>44102</v>
      </c>
      <c r="N1712" s="49" t="s">
        <v>66</v>
      </c>
      <c r="O1712" s="61">
        <v>400</v>
      </c>
      <c r="P1712" s="51">
        <v>30</v>
      </c>
      <c r="Q1712" s="51">
        <f t="shared" si="38"/>
        <v>12000</v>
      </c>
      <c r="R1712" s="31">
        <v>202310</v>
      </c>
      <c r="S1712" s="108" t="s">
        <v>2175</v>
      </c>
      <c r="T1712" s="33"/>
      <c r="U1712" s="108"/>
      <c r="V1712" s="78"/>
      <c r="W1712" s="67"/>
      <c r="X1712" s="67"/>
      <c r="Y1712" s="36">
        <v>44102</v>
      </c>
      <c r="Z1712" s="36">
        <v>45562</v>
      </c>
      <c r="AA1712" s="36"/>
      <c r="AB1712" s="36"/>
      <c r="AC1712" s="36"/>
      <c r="AD1712" s="36"/>
      <c r="AE1712" s="36"/>
      <c r="AF1712" s="53" t="s">
        <v>68</v>
      </c>
      <c r="AG1712" s="42"/>
      <c r="AH1712" s="42"/>
      <c r="AI1712" s="43"/>
      <c r="AJ1712" s="43"/>
      <c r="AK1712" s="43"/>
      <c r="AL1712" s="43"/>
      <c r="AM1712" s="43"/>
      <c r="AN1712" s="42"/>
      <c r="AO1712" s="42"/>
      <c r="AP1712" s="42"/>
      <c r="AQ1712" s="43"/>
      <c r="AR1712" s="42"/>
      <c r="AS1712" s="42"/>
    </row>
    <row r="1713" spans="1:45" ht="15" customHeight="1">
      <c r="A1713" s="65" t="s">
        <v>258</v>
      </c>
      <c r="B1713" s="21" t="s">
        <v>46</v>
      </c>
      <c r="C1713" s="21" t="s">
        <v>188</v>
      </c>
      <c r="D1713" s="21" t="s">
        <v>48</v>
      </c>
      <c r="E1713" s="66" t="s">
        <v>2167</v>
      </c>
      <c r="F1713" s="65" t="s">
        <v>2168</v>
      </c>
      <c r="G1713" s="26" t="s">
        <v>62</v>
      </c>
      <c r="H1713" s="45" t="s">
        <v>2173</v>
      </c>
      <c r="I1713" s="24" t="s">
        <v>64</v>
      </c>
      <c r="J1713" s="47" t="s">
        <v>2177</v>
      </c>
      <c r="K1713" s="47"/>
      <c r="L1713" s="48"/>
      <c r="M1713" s="49">
        <v>44102</v>
      </c>
      <c r="N1713" s="49" t="s">
        <v>66</v>
      </c>
      <c r="O1713" s="61">
        <v>400</v>
      </c>
      <c r="P1713" s="51">
        <v>30</v>
      </c>
      <c r="Q1713" s="51">
        <f t="shared" si="38"/>
        <v>12000</v>
      </c>
      <c r="R1713" s="31">
        <v>202310</v>
      </c>
      <c r="S1713" s="108" t="s">
        <v>2175</v>
      </c>
      <c r="T1713" s="33"/>
      <c r="U1713" s="108"/>
      <c r="V1713" s="78"/>
      <c r="W1713" s="67"/>
      <c r="X1713" s="67"/>
      <c r="Y1713" s="36">
        <v>44102</v>
      </c>
      <c r="Z1713" s="36">
        <v>45562</v>
      </c>
      <c r="AA1713" s="36"/>
      <c r="AB1713" s="36"/>
      <c r="AC1713" s="36"/>
      <c r="AD1713" s="36"/>
      <c r="AE1713" s="36"/>
      <c r="AF1713" s="53" t="s">
        <v>68</v>
      </c>
      <c r="AG1713" s="42"/>
      <c r="AH1713" s="42"/>
      <c r="AI1713" s="43"/>
      <c r="AJ1713" s="43"/>
      <c r="AK1713" s="43"/>
      <c r="AL1713" s="43"/>
      <c r="AM1713" s="43"/>
      <c r="AN1713" s="42"/>
      <c r="AO1713" s="42"/>
      <c r="AP1713" s="42"/>
      <c r="AQ1713" s="43"/>
      <c r="AR1713" s="42"/>
      <c r="AS1713" s="42"/>
    </row>
    <row r="1714" spans="1:45" ht="15" customHeight="1">
      <c r="A1714" s="65" t="s">
        <v>258</v>
      </c>
      <c r="B1714" s="21" t="s">
        <v>46</v>
      </c>
      <c r="C1714" s="21" t="s">
        <v>188</v>
      </c>
      <c r="D1714" s="21" t="s">
        <v>48</v>
      </c>
      <c r="E1714" s="66" t="s">
        <v>2167</v>
      </c>
      <c r="F1714" s="65" t="s">
        <v>2168</v>
      </c>
      <c r="G1714" s="26" t="s">
        <v>62</v>
      </c>
      <c r="H1714" s="45" t="s">
        <v>2173</v>
      </c>
      <c r="I1714" s="24" t="s">
        <v>64</v>
      </c>
      <c r="J1714" s="47" t="s">
        <v>2178</v>
      </c>
      <c r="K1714" s="47"/>
      <c r="L1714" s="48"/>
      <c r="M1714" s="49">
        <v>44102</v>
      </c>
      <c r="N1714" s="49" t="s">
        <v>66</v>
      </c>
      <c r="O1714" s="61">
        <v>400</v>
      </c>
      <c r="P1714" s="51">
        <v>40</v>
      </c>
      <c r="Q1714" s="51">
        <f t="shared" si="38"/>
        <v>16000</v>
      </c>
      <c r="R1714" s="31">
        <v>202310</v>
      </c>
      <c r="S1714" s="108" t="s">
        <v>2175</v>
      </c>
      <c r="T1714" s="33"/>
      <c r="U1714" s="108"/>
      <c r="V1714" s="78"/>
      <c r="W1714" s="67"/>
      <c r="X1714" s="67"/>
      <c r="Y1714" s="36">
        <v>44102</v>
      </c>
      <c r="Z1714" s="36">
        <v>45562</v>
      </c>
      <c r="AA1714" s="36"/>
      <c r="AB1714" s="36"/>
      <c r="AC1714" s="36"/>
      <c r="AD1714" s="36"/>
      <c r="AE1714" s="36"/>
      <c r="AF1714" s="53" t="s">
        <v>68</v>
      </c>
      <c r="AG1714" s="42"/>
      <c r="AH1714" s="42"/>
      <c r="AI1714" s="43"/>
      <c r="AJ1714" s="43"/>
      <c r="AK1714" s="43"/>
      <c r="AL1714" s="43"/>
      <c r="AM1714" s="43"/>
      <c r="AN1714" s="42"/>
      <c r="AO1714" s="42"/>
      <c r="AP1714" s="42"/>
      <c r="AQ1714" s="43"/>
      <c r="AR1714" s="42"/>
      <c r="AS1714" s="42"/>
    </row>
    <row r="1715" spans="1:45" ht="15" customHeight="1">
      <c r="A1715" s="65" t="s">
        <v>258</v>
      </c>
      <c r="B1715" s="21" t="s">
        <v>46</v>
      </c>
      <c r="C1715" s="21" t="s">
        <v>188</v>
      </c>
      <c r="D1715" s="21" t="s">
        <v>48</v>
      </c>
      <c r="E1715" s="66" t="s">
        <v>2167</v>
      </c>
      <c r="F1715" s="65" t="s">
        <v>2168</v>
      </c>
      <c r="G1715" s="26" t="s">
        <v>62</v>
      </c>
      <c r="H1715" s="45" t="s">
        <v>2173</v>
      </c>
      <c r="I1715" s="24" t="s">
        <v>64</v>
      </c>
      <c r="J1715" s="47" t="s">
        <v>2179</v>
      </c>
      <c r="K1715" s="47"/>
      <c r="L1715" s="48"/>
      <c r="M1715" s="49">
        <v>44260</v>
      </c>
      <c r="N1715" s="49" t="s">
        <v>66</v>
      </c>
      <c r="O1715" s="61">
        <v>400</v>
      </c>
      <c r="P1715" s="51">
        <v>55</v>
      </c>
      <c r="Q1715" s="51">
        <f t="shared" si="38"/>
        <v>22000</v>
      </c>
      <c r="R1715" s="31">
        <v>202310</v>
      </c>
      <c r="S1715" s="79" t="s">
        <v>2179</v>
      </c>
      <c r="T1715" s="33"/>
      <c r="U1715" s="108"/>
      <c r="V1715" s="79"/>
      <c r="W1715" s="67"/>
      <c r="X1715" s="67"/>
      <c r="Y1715" s="36">
        <v>44102</v>
      </c>
      <c r="Z1715" s="36">
        <v>45562</v>
      </c>
      <c r="AA1715" s="36"/>
      <c r="AB1715" s="36"/>
      <c r="AC1715" s="36"/>
      <c r="AD1715" s="36"/>
      <c r="AE1715" s="36"/>
      <c r="AF1715" s="53" t="s">
        <v>68</v>
      </c>
      <c r="AG1715" s="42"/>
      <c r="AH1715" s="42"/>
      <c r="AI1715" s="43"/>
      <c r="AJ1715" s="43"/>
      <c r="AK1715" s="43"/>
      <c r="AL1715" s="43"/>
      <c r="AM1715" s="43"/>
      <c r="AN1715" s="42"/>
      <c r="AO1715" s="42"/>
      <c r="AP1715" s="42"/>
      <c r="AQ1715" s="43"/>
      <c r="AR1715" s="42"/>
      <c r="AS1715" s="42"/>
    </row>
    <row r="1716" spans="1:45" ht="15" customHeight="1">
      <c r="A1716" s="65" t="s">
        <v>258</v>
      </c>
      <c r="B1716" s="21" t="s">
        <v>46</v>
      </c>
      <c r="C1716" s="21" t="s">
        <v>188</v>
      </c>
      <c r="D1716" s="21" t="s">
        <v>48</v>
      </c>
      <c r="E1716" s="66" t="s">
        <v>2167</v>
      </c>
      <c r="F1716" s="65" t="s">
        <v>2168</v>
      </c>
      <c r="G1716" s="26" t="s">
        <v>62</v>
      </c>
      <c r="H1716" s="45" t="s">
        <v>2173</v>
      </c>
      <c r="I1716" s="24" t="s">
        <v>64</v>
      </c>
      <c r="J1716" s="47" t="s">
        <v>2180</v>
      </c>
      <c r="K1716" s="47"/>
      <c r="L1716" s="48"/>
      <c r="M1716" s="49">
        <v>44260</v>
      </c>
      <c r="N1716" s="49" t="s">
        <v>66</v>
      </c>
      <c r="O1716" s="61">
        <v>400</v>
      </c>
      <c r="P1716" s="51">
        <v>42.5</v>
      </c>
      <c r="Q1716" s="51">
        <f t="shared" si="38"/>
        <v>17000</v>
      </c>
      <c r="R1716" s="31">
        <v>202310</v>
      </c>
      <c r="S1716" s="79" t="s">
        <v>2180</v>
      </c>
      <c r="T1716" s="33"/>
      <c r="U1716" s="108"/>
      <c r="V1716" s="79"/>
      <c r="W1716" s="67"/>
      <c r="X1716" s="67"/>
      <c r="Y1716" s="36">
        <v>44102</v>
      </c>
      <c r="Z1716" s="36">
        <v>45562</v>
      </c>
      <c r="AA1716" s="36"/>
      <c r="AB1716" s="36"/>
      <c r="AC1716" s="36"/>
      <c r="AD1716" s="36"/>
      <c r="AE1716" s="36"/>
      <c r="AF1716" s="53" t="s">
        <v>68</v>
      </c>
      <c r="AG1716" s="42"/>
      <c r="AH1716" s="42"/>
      <c r="AI1716" s="43"/>
      <c r="AJ1716" s="43"/>
      <c r="AK1716" s="43"/>
      <c r="AL1716" s="43"/>
      <c r="AM1716" s="43"/>
      <c r="AN1716" s="42"/>
      <c r="AO1716" s="42"/>
      <c r="AP1716" s="42"/>
      <c r="AQ1716" s="43"/>
      <c r="AR1716" s="42"/>
      <c r="AS1716" s="42"/>
    </row>
    <row r="1717" spans="1:45" ht="15" customHeight="1">
      <c r="A1717" s="65" t="s">
        <v>258</v>
      </c>
      <c r="B1717" s="21" t="s">
        <v>46</v>
      </c>
      <c r="C1717" s="21" t="s">
        <v>188</v>
      </c>
      <c r="D1717" s="21" t="s">
        <v>48</v>
      </c>
      <c r="E1717" s="66" t="s">
        <v>2167</v>
      </c>
      <c r="F1717" s="65" t="s">
        <v>2168</v>
      </c>
      <c r="G1717" s="26" t="s">
        <v>62</v>
      </c>
      <c r="H1717" s="45" t="s">
        <v>2173</v>
      </c>
      <c r="I1717" s="24" t="s">
        <v>64</v>
      </c>
      <c r="J1717" s="47" t="s">
        <v>2181</v>
      </c>
      <c r="K1717" s="47"/>
      <c r="L1717" s="48"/>
      <c r="M1717" s="49">
        <v>44282</v>
      </c>
      <c r="N1717" s="49" t="s">
        <v>66</v>
      </c>
      <c r="O1717" s="61">
        <v>400</v>
      </c>
      <c r="P1717" s="51">
        <v>93</v>
      </c>
      <c r="Q1717" s="51">
        <f t="shared" si="38"/>
        <v>37200</v>
      </c>
      <c r="R1717" s="31">
        <v>202310</v>
      </c>
      <c r="S1717" s="79" t="s">
        <v>2181</v>
      </c>
      <c r="T1717" s="33"/>
      <c r="U1717" s="108"/>
      <c r="V1717" s="79"/>
      <c r="W1717" s="67"/>
      <c r="X1717" s="67"/>
      <c r="Y1717" s="36">
        <v>44102</v>
      </c>
      <c r="Z1717" s="36">
        <v>45562</v>
      </c>
      <c r="AA1717" s="36"/>
      <c r="AB1717" s="36"/>
      <c r="AC1717" s="36"/>
      <c r="AD1717" s="36"/>
      <c r="AE1717" s="36"/>
      <c r="AF1717" s="53" t="s">
        <v>68</v>
      </c>
      <c r="AG1717" s="42"/>
      <c r="AH1717" s="42"/>
      <c r="AI1717" s="43"/>
      <c r="AJ1717" s="43"/>
      <c r="AK1717" s="43"/>
      <c r="AL1717" s="43"/>
      <c r="AM1717" s="43"/>
      <c r="AN1717" s="42"/>
      <c r="AO1717" s="42"/>
      <c r="AP1717" s="42"/>
      <c r="AQ1717" s="43"/>
      <c r="AR1717" s="42"/>
      <c r="AS1717" s="42"/>
    </row>
    <row r="1718" spans="1:45" ht="15" customHeight="1">
      <c r="A1718" s="65" t="s">
        <v>258</v>
      </c>
      <c r="B1718" s="21" t="s">
        <v>46</v>
      </c>
      <c r="C1718" s="21" t="s">
        <v>188</v>
      </c>
      <c r="D1718" s="21" t="s">
        <v>48</v>
      </c>
      <c r="E1718" s="66" t="s">
        <v>2167</v>
      </c>
      <c r="F1718" s="65" t="s">
        <v>2168</v>
      </c>
      <c r="G1718" s="26" t="s">
        <v>62</v>
      </c>
      <c r="H1718" s="45" t="s">
        <v>2173</v>
      </c>
      <c r="I1718" s="24" t="s">
        <v>64</v>
      </c>
      <c r="J1718" s="47" t="s">
        <v>2182</v>
      </c>
      <c r="K1718" s="47"/>
      <c r="L1718" s="48"/>
      <c r="M1718" s="49">
        <v>44282</v>
      </c>
      <c r="N1718" s="49" t="s">
        <v>66</v>
      </c>
      <c r="O1718" s="61">
        <v>400</v>
      </c>
      <c r="P1718" s="51">
        <v>68</v>
      </c>
      <c r="Q1718" s="51">
        <f t="shared" si="38"/>
        <v>27200</v>
      </c>
      <c r="R1718" s="31">
        <v>202310</v>
      </c>
      <c r="S1718" s="79" t="s">
        <v>2182</v>
      </c>
      <c r="T1718" s="33"/>
      <c r="U1718" s="108"/>
      <c r="V1718" s="79"/>
      <c r="W1718" s="67"/>
      <c r="X1718" s="67"/>
      <c r="Y1718" s="36">
        <v>44102</v>
      </c>
      <c r="Z1718" s="36">
        <v>45562</v>
      </c>
      <c r="AA1718" s="36"/>
      <c r="AB1718" s="36"/>
      <c r="AC1718" s="36"/>
      <c r="AD1718" s="36"/>
      <c r="AE1718" s="36"/>
      <c r="AF1718" s="53" t="s">
        <v>68</v>
      </c>
      <c r="AG1718" s="42"/>
      <c r="AH1718" s="42"/>
      <c r="AI1718" s="43"/>
      <c r="AJ1718" s="43"/>
      <c r="AK1718" s="43"/>
      <c r="AL1718" s="43"/>
      <c r="AM1718" s="43"/>
      <c r="AN1718" s="42"/>
      <c r="AO1718" s="42"/>
      <c r="AP1718" s="42"/>
      <c r="AQ1718" s="43"/>
      <c r="AR1718" s="42"/>
      <c r="AS1718" s="42"/>
    </row>
    <row r="1719" spans="1:45" ht="15" customHeight="1">
      <c r="A1719" s="21" t="s">
        <v>258</v>
      </c>
      <c r="B1719" s="22" t="s">
        <v>46</v>
      </c>
      <c r="C1719" s="21" t="s">
        <v>887</v>
      </c>
      <c r="D1719" s="21" t="s">
        <v>888</v>
      </c>
      <c r="E1719" s="80" t="s">
        <v>2183</v>
      </c>
      <c r="F1719" s="21" t="s">
        <v>2184</v>
      </c>
      <c r="G1719" s="101" t="s">
        <v>114</v>
      </c>
      <c r="H1719" s="133" t="s">
        <v>2185</v>
      </c>
      <c r="I1719" s="65" t="s">
        <v>114</v>
      </c>
      <c r="J1719" s="65" t="s">
        <v>2186</v>
      </c>
      <c r="K1719" s="104"/>
      <c r="L1719" s="48"/>
      <c r="M1719" s="27">
        <v>43704</v>
      </c>
      <c r="N1719" s="105" t="s">
        <v>2187</v>
      </c>
      <c r="O1719" s="147">
        <v>260000</v>
      </c>
      <c r="P1719" s="147">
        <v>1</v>
      </c>
      <c r="Q1719" s="51">
        <f t="shared" si="38"/>
        <v>260000</v>
      </c>
      <c r="R1719" s="31">
        <v>202310</v>
      </c>
      <c r="S1719" s="54" t="s">
        <v>2188</v>
      </c>
      <c r="T1719" s="33"/>
      <c r="U1719" s="54"/>
      <c r="V1719" s="54"/>
      <c r="W1719" s="52"/>
      <c r="X1719" s="52"/>
      <c r="Y1719" s="36">
        <v>44800</v>
      </c>
      <c r="Z1719" s="36">
        <v>45530</v>
      </c>
      <c r="AA1719" s="36"/>
      <c r="AB1719" s="36"/>
      <c r="AC1719" s="36"/>
      <c r="AD1719" s="36"/>
      <c r="AE1719" s="36"/>
      <c r="AF1719" s="53" t="s">
        <v>68</v>
      </c>
      <c r="AG1719" s="42"/>
      <c r="AH1719" s="43"/>
      <c r="AI1719" s="43"/>
      <c r="AJ1719" s="43"/>
      <c r="AK1719" s="43"/>
      <c r="AL1719" s="43"/>
      <c r="AM1719" s="43"/>
      <c r="AN1719" s="42"/>
      <c r="AO1719" s="42"/>
      <c r="AP1719" s="42"/>
      <c r="AQ1719" s="43"/>
      <c r="AR1719" s="42"/>
      <c r="AS1719" s="42"/>
    </row>
    <row r="1720" spans="1:45" ht="15" customHeight="1">
      <c r="A1720" s="21" t="s">
        <v>258</v>
      </c>
      <c r="B1720" s="22" t="s">
        <v>46</v>
      </c>
      <c r="C1720" s="21" t="s">
        <v>887</v>
      </c>
      <c r="D1720" s="21" t="s">
        <v>888</v>
      </c>
      <c r="E1720" s="80" t="s">
        <v>2183</v>
      </c>
      <c r="F1720" s="21" t="s">
        <v>2184</v>
      </c>
      <c r="G1720" s="101" t="s">
        <v>114</v>
      </c>
      <c r="H1720" s="133" t="s">
        <v>2185</v>
      </c>
      <c r="I1720" s="65" t="s">
        <v>114</v>
      </c>
      <c r="J1720" s="65" t="s">
        <v>2189</v>
      </c>
      <c r="K1720" s="104"/>
      <c r="L1720" s="48"/>
      <c r="M1720" s="27">
        <v>43704</v>
      </c>
      <c r="N1720" s="105" t="s">
        <v>2187</v>
      </c>
      <c r="O1720" s="147">
        <v>260000</v>
      </c>
      <c r="P1720" s="147">
        <v>1</v>
      </c>
      <c r="Q1720" s="51">
        <f t="shared" si="38"/>
        <v>260000</v>
      </c>
      <c r="R1720" s="31">
        <v>202310</v>
      </c>
      <c r="S1720" s="54" t="s">
        <v>2190</v>
      </c>
      <c r="T1720" s="33"/>
      <c r="U1720" s="54"/>
      <c r="V1720" s="54"/>
      <c r="W1720" s="52"/>
      <c r="X1720" s="52"/>
      <c r="Y1720" s="36">
        <v>44800</v>
      </c>
      <c r="Z1720" s="36">
        <v>45530</v>
      </c>
      <c r="AA1720" s="36"/>
      <c r="AB1720" s="36"/>
      <c r="AC1720" s="36"/>
      <c r="AD1720" s="36"/>
      <c r="AE1720" s="36"/>
      <c r="AF1720" s="53" t="s">
        <v>68</v>
      </c>
      <c r="AG1720" s="42"/>
      <c r="AH1720" s="43"/>
      <c r="AI1720" s="43"/>
      <c r="AJ1720" s="43"/>
      <c r="AK1720" s="43"/>
      <c r="AL1720" s="43"/>
      <c r="AM1720" s="43"/>
      <c r="AN1720" s="42"/>
      <c r="AO1720" s="42"/>
      <c r="AP1720" s="42"/>
      <c r="AQ1720" s="43"/>
      <c r="AR1720" s="42"/>
      <c r="AS1720" s="42"/>
    </row>
    <row r="1721" spans="1:45" ht="15" customHeight="1">
      <c r="A1721" s="21" t="s">
        <v>258</v>
      </c>
      <c r="B1721" s="22" t="s">
        <v>46</v>
      </c>
      <c r="C1721" s="21" t="s">
        <v>887</v>
      </c>
      <c r="D1721" s="21" t="s">
        <v>888</v>
      </c>
      <c r="E1721" s="80" t="s">
        <v>2183</v>
      </c>
      <c r="F1721" s="21" t="s">
        <v>2184</v>
      </c>
      <c r="G1721" s="101" t="s">
        <v>77</v>
      </c>
      <c r="H1721" s="25" t="s">
        <v>2191</v>
      </c>
      <c r="I1721" s="65" t="s">
        <v>479</v>
      </c>
      <c r="J1721" s="65"/>
      <c r="K1721" s="26" t="s">
        <v>2192</v>
      </c>
      <c r="L1721" s="48" t="s">
        <v>2193</v>
      </c>
      <c r="M1721" s="27">
        <v>44228</v>
      </c>
      <c r="N1721" s="105" t="s">
        <v>1310</v>
      </c>
      <c r="O1721" s="147">
        <v>0</v>
      </c>
      <c r="P1721" s="147">
        <v>4</v>
      </c>
      <c r="Q1721" s="51">
        <f t="shared" si="38"/>
        <v>0</v>
      </c>
      <c r="R1721" s="31">
        <v>202310</v>
      </c>
      <c r="S1721" s="54" t="s">
        <v>2194</v>
      </c>
      <c r="T1721" s="33"/>
      <c r="U1721" s="54"/>
      <c r="V1721" s="54"/>
      <c r="W1721" s="52"/>
      <c r="X1721" s="52"/>
      <c r="Y1721" s="36"/>
      <c r="Z1721" s="36"/>
      <c r="AA1721" s="36"/>
      <c r="AB1721" s="36"/>
      <c r="AC1721" s="36"/>
      <c r="AD1721" s="36"/>
      <c r="AE1721" s="36"/>
      <c r="AF1721" s="53" t="s">
        <v>503</v>
      </c>
      <c r="AG1721" s="42"/>
      <c r="AH1721" s="43"/>
      <c r="AI1721" s="43"/>
      <c r="AJ1721" s="43"/>
      <c r="AK1721" s="43"/>
      <c r="AL1721" s="43"/>
      <c r="AM1721" s="43"/>
      <c r="AN1721" s="42"/>
      <c r="AO1721" s="42"/>
      <c r="AP1721" s="42"/>
      <c r="AQ1721" s="43"/>
      <c r="AR1721" s="42"/>
      <c r="AS1721" s="42"/>
    </row>
    <row r="1722" spans="1:45" ht="15" customHeight="1">
      <c r="A1722" s="21" t="s">
        <v>258</v>
      </c>
      <c r="B1722" s="22" t="s">
        <v>46</v>
      </c>
      <c r="C1722" s="21" t="s">
        <v>887</v>
      </c>
      <c r="D1722" s="21" t="s">
        <v>888</v>
      </c>
      <c r="E1722" s="80" t="s">
        <v>2183</v>
      </c>
      <c r="F1722" s="21" t="s">
        <v>2184</v>
      </c>
      <c r="G1722" s="101" t="s">
        <v>77</v>
      </c>
      <c r="H1722" s="25" t="s">
        <v>2191</v>
      </c>
      <c r="I1722" s="65" t="s">
        <v>479</v>
      </c>
      <c r="J1722" s="65"/>
      <c r="K1722" s="26" t="s">
        <v>2192</v>
      </c>
      <c r="L1722" s="48" t="s">
        <v>2193</v>
      </c>
      <c r="M1722" s="27">
        <v>44573</v>
      </c>
      <c r="N1722" s="105" t="s">
        <v>1310</v>
      </c>
      <c r="O1722" s="147">
        <v>0</v>
      </c>
      <c r="P1722" s="147">
        <v>-1</v>
      </c>
      <c r="Q1722" s="51">
        <f t="shared" si="38"/>
        <v>0</v>
      </c>
      <c r="R1722" s="31">
        <v>202310</v>
      </c>
      <c r="S1722" s="54" t="s">
        <v>2195</v>
      </c>
      <c r="T1722" s="33"/>
      <c r="U1722" s="54"/>
      <c r="V1722" s="54"/>
      <c r="W1722" s="52"/>
      <c r="X1722" s="52"/>
      <c r="Y1722" s="36"/>
      <c r="Z1722" s="36"/>
      <c r="AA1722" s="36"/>
      <c r="AB1722" s="36"/>
      <c r="AC1722" s="36"/>
      <c r="AD1722" s="36"/>
      <c r="AE1722" s="36"/>
      <c r="AF1722" s="53" t="s">
        <v>503</v>
      </c>
      <c r="AG1722" s="42"/>
      <c r="AH1722" s="43"/>
      <c r="AI1722" s="43"/>
      <c r="AJ1722" s="43"/>
      <c r="AK1722" s="43"/>
      <c r="AL1722" s="43"/>
      <c r="AM1722" s="43"/>
      <c r="AN1722" s="42"/>
      <c r="AO1722" s="42"/>
      <c r="AP1722" s="42"/>
      <c r="AQ1722" s="43"/>
      <c r="AR1722" s="42"/>
      <c r="AS1722" s="42"/>
    </row>
    <row r="1723" spans="1:45" ht="15" customHeight="1">
      <c r="A1723" s="21" t="s">
        <v>258</v>
      </c>
      <c r="B1723" s="22" t="s">
        <v>46</v>
      </c>
      <c r="C1723" s="21" t="s">
        <v>887</v>
      </c>
      <c r="D1723" s="21" t="s">
        <v>888</v>
      </c>
      <c r="E1723" s="80" t="s">
        <v>2183</v>
      </c>
      <c r="F1723" s="21" t="s">
        <v>2184</v>
      </c>
      <c r="G1723" s="101" t="s">
        <v>77</v>
      </c>
      <c r="H1723" s="25" t="s">
        <v>2191</v>
      </c>
      <c r="I1723" s="65" t="s">
        <v>479</v>
      </c>
      <c r="J1723" s="65"/>
      <c r="K1723" s="26" t="s">
        <v>2192</v>
      </c>
      <c r="L1723" s="48" t="s">
        <v>2193</v>
      </c>
      <c r="M1723" s="27">
        <v>44883</v>
      </c>
      <c r="N1723" s="105" t="s">
        <v>1310</v>
      </c>
      <c r="O1723" s="147">
        <v>0</v>
      </c>
      <c r="P1723" s="147">
        <v>-3</v>
      </c>
      <c r="Q1723" s="51">
        <f t="shared" si="38"/>
        <v>0</v>
      </c>
      <c r="R1723" s="31">
        <v>202310</v>
      </c>
      <c r="S1723" s="54" t="s">
        <v>2196</v>
      </c>
      <c r="T1723" s="33"/>
      <c r="U1723" s="54"/>
      <c r="V1723" s="54"/>
      <c r="W1723" s="52"/>
      <c r="X1723" s="52"/>
      <c r="Y1723" s="36"/>
      <c r="Z1723" s="36"/>
      <c r="AA1723" s="36"/>
      <c r="AB1723" s="36"/>
      <c r="AC1723" s="36"/>
      <c r="AD1723" s="36"/>
      <c r="AE1723" s="36"/>
      <c r="AF1723" s="53" t="s">
        <v>503</v>
      </c>
      <c r="AG1723" s="42"/>
      <c r="AH1723" s="43"/>
      <c r="AI1723" s="43"/>
      <c r="AJ1723" s="43"/>
      <c r="AK1723" s="43"/>
      <c r="AL1723" s="43"/>
      <c r="AM1723" s="43"/>
      <c r="AN1723" s="42"/>
      <c r="AO1723" s="42"/>
      <c r="AP1723" s="42"/>
      <c r="AQ1723" s="43"/>
      <c r="AR1723" s="42"/>
      <c r="AS1723" s="42"/>
    </row>
    <row r="1724" spans="1:45" ht="15" customHeight="1">
      <c r="A1724" s="21" t="s">
        <v>258</v>
      </c>
      <c r="B1724" s="22" t="s">
        <v>46</v>
      </c>
      <c r="C1724" s="21" t="s">
        <v>887</v>
      </c>
      <c r="D1724" s="21" t="s">
        <v>888</v>
      </c>
      <c r="E1724" s="80" t="s">
        <v>2183</v>
      </c>
      <c r="F1724" s="21" t="s">
        <v>2184</v>
      </c>
      <c r="G1724" s="101" t="s">
        <v>77</v>
      </c>
      <c r="H1724" s="25" t="s">
        <v>2191</v>
      </c>
      <c r="I1724" s="65" t="s">
        <v>479</v>
      </c>
      <c r="J1724" s="65"/>
      <c r="K1724" s="26" t="s">
        <v>2192</v>
      </c>
      <c r="L1724" s="48" t="s">
        <v>2193</v>
      </c>
      <c r="M1724" s="27">
        <v>44896</v>
      </c>
      <c r="N1724" s="105" t="s">
        <v>1310</v>
      </c>
      <c r="O1724" s="147">
        <v>0</v>
      </c>
      <c r="P1724" s="147">
        <v>3</v>
      </c>
      <c r="Q1724" s="51">
        <f t="shared" si="38"/>
        <v>0</v>
      </c>
      <c r="R1724" s="31">
        <v>202310</v>
      </c>
      <c r="S1724" s="54" t="s">
        <v>2197</v>
      </c>
      <c r="T1724" s="33"/>
      <c r="U1724" s="54"/>
      <c r="V1724" s="54"/>
      <c r="W1724" s="52"/>
      <c r="X1724" s="52"/>
      <c r="Y1724" s="36"/>
      <c r="Z1724" s="36"/>
      <c r="AA1724" s="36"/>
      <c r="AB1724" s="36"/>
      <c r="AC1724" s="36"/>
      <c r="AD1724" s="36"/>
      <c r="AE1724" s="36"/>
      <c r="AF1724" s="53" t="s">
        <v>503</v>
      </c>
      <c r="AG1724" s="42"/>
      <c r="AH1724" s="43"/>
      <c r="AI1724" s="43"/>
      <c r="AJ1724" s="43"/>
      <c r="AK1724" s="43"/>
      <c r="AL1724" s="43"/>
      <c r="AM1724" s="43"/>
      <c r="AN1724" s="42"/>
      <c r="AO1724" s="42"/>
      <c r="AP1724" s="42"/>
      <c r="AQ1724" s="43"/>
      <c r="AR1724" s="42"/>
      <c r="AS1724" s="42"/>
    </row>
    <row r="1725" spans="1:45" ht="15" customHeight="1">
      <c r="A1725" s="21" t="s">
        <v>258</v>
      </c>
      <c r="B1725" s="22" t="s">
        <v>46</v>
      </c>
      <c r="C1725" s="21" t="s">
        <v>887</v>
      </c>
      <c r="D1725" s="21" t="s">
        <v>888</v>
      </c>
      <c r="E1725" s="80" t="s">
        <v>2183</v>
      </c>
      <c r="F1725" s="21" t="s">
        <v>2184</v>
      </c>
      <c r="G1725" s="101" t="s">
        <v>165</v>
      </c>
      <c r="H1725" s="25" t="s">
        <v>2191</v>
      </c>
      <c r="I1725" s="65" t="s">
        <v>491</v>
      </c>
      <c r="J1725" s="65"/>
      <c r="K1725" s="26" t="s">
        <v>2192</v>
      </c>
      <c r="L1725" s="48"/>
      <c r="M1725" s="27">
        <v>44228</v>
      </c>
      <c r="N1725" s="105"/>
      <c r="O1725" s="147">
        <v>0</v>
      </c>
      <c r="P1725" s="147">
        <v>288</v>
      </c>
      <c r="Q1725" s="51">
        <f t="shared" si="38"/>
        <v>0</v>
      </c>
      <c r="R1725" s="31">
        <v>202310</v>
      </c>
      <c r="S1725" s="54" t="s">
        <v>2198</v>
      </c>
      <c r="T1725" s="33"/>
      <c r="U1725" s="54"/>
      <c r="V1725" s="54"/>
      <c r="W1725" s="52"/>
      <c r="X1725" s="52"/>
      <c r="Y1725" s="36"/>
      <c r="Z1725" s="36"/>
      <c r="AA1725" s="36"/>
      <c r="AB1725" s="36"/>
      <c r="AC1725" s="36"/>
      <c r="AD1725" s="36"/>
      <c r="AE1725" s="36"/>
      <c r="AF1725" s="53" t="s">
        <v>503</v>
      </c>
      <c r="AG1725" s="42"/>
      <c r="AH1725" s="43"/>
      <c r="AI1725" s="43"/>
      <c r="AJ1725" s="43"/>
      <c r="AK1725" s="43"/>
      <c r="AL1725" s="43"/>
      <c r="AM1725" s="43"/>
      <c r="AN1725" s="42"/>
      <c r="AO1725" s="42"/>
      <c r="AP1725" s="42"/>
      <c r="AQ1725" s="43"/>
      <c r="AR1725" s="42"/>
      <c r="AS1725" s="42"/>
    </row>
    <row r="1726" spans="1:45" ht="15" customHeight="1">
      <c r="A1726" s="21" t="s">
        <v>258</v>
      </c>
      <c r="B1726" s="22" t="s">
        <v>46</v>
      </c>
      <c r="C1726" s="21" t="s">
        <v>887</v>
      </c>
      <c r="D1726" s="21" t="s">
        <v>888</v>
      </c>
      <c r="E1726" s="80" t="s">
        <v>2183</v>
      </c>
      <c r="F1726" s="21" t="s">
        <v>2184</v>
      </c>
      <c r="G1726" s="101" t="s">
        <v>165</v>
      </c>
      <c r="H1726" s="25" t="s">
        <v>2191</v>
      </c>
      <c r="I1726" s="65" t="s">
        <v>491</v>
      </c>
      <c r="J1726" s="65"/>
      <c r="K1726" s="26" t="s">
        <v>2192</v>
      </c>
      <c r="L1726" s="48"/>
      <c r="M1726" s="27">
        <v>44883</v>
      </c>
      <c r="N1726" s="105"/>
      <c r="O1726" s="147">
        <v>0</v>
      </c>
      <c r="P1726" s="147">
        <v>-288</v>
      </c>
      <c r="Q1726" s="51">
        <f t="shared" si="38"/>
        <v>0</v>
      </c>
      <c r="R1726" s="31">
        <v>202310</v>
      </c>
      <c r="S1726" s="54" t="s">
        <v>2199</v>
      </c>
      <c r="T1726" s="33"/>
      <c r="U1726" s="54"/>
      <c r="V1726" s="54"/>
      <c r="W1726" s="52"/>
      <c r="X1726" s="52"/>
      <c r="Y1726" s="36"/>
      <c r="Z1726" s="36"/>
      <c r="AA1726" s="36"/>
      <c r="AB1726" s="36"/>
      <c r="AC1726" s="36"/>
      <c r="AD1726" s="36"/>
      <c r="AE1726" s="36"/>
      <c r="AF1726" s="53" t="s">
        <v>503</v>
      </c>
      <c r="AG1726" s="42"/>
      <c r="AH1726" s="43"/>
      <c r="AI1726" s="43"/>
      <c r="AJ1726" s="43"/>
      <c r="AK1726" s="43"/>
      <c r="AL1726" s="43"/>
      <c r="AM1726" s="43"/>
      <c r="AN1726" s="42"/>
      <c r="AO1726" s="42"/>
      <c r="AP1726" s="42"/>
      <c r="AQ1726" s="43"/>
      <c r="AR1726" s="42"/>
      <c r="AS1726" s="42"/>
    </row>
    <row r="1727" spans="1:45" ht="15" customHeight="1">
      <c r="A1727" s="21" t="s">
        <v>258</v>
      </c>
      <c r="B1727" s="22" t="s">
        <v>46</v>
      </c>
      <c r="C1727" s="21" t="s">
        <v>887</v>
      </c>
      <c r="D1727" s="21" t="s">
        <v>888</v>
      </c>
      <c r="E1727" s="80" t="s">
        <v>2183</v>
      </c>
      <c r="F1727" s="21" t="s">
        <v>2184</v>
      </c>
      <c r="G1727" s="101" t="s">
        <v>165</v>
      </c>
      <c r="H1727" s="25" t="s">
        <v>2191</v>
      </c>
      <c r="I1727" s="65" t="s">
        <v>491</v>
      </c>
      <c r="J1727" s="65"/>
      <c r="K1727" s="26" t="s">
        <v>2192</v>
      </c>
      <c r="L1727" s="48"/>
      <c r="M1727" s="27">
        <v>44896</v>
      </c>
      <c r="N1727" s="105"/>
      <c r="O1727" s="147">
        <v>0</v>
      </c>
      <c r="P1727" s="147">
        <v>288</v>
      </c>
      <c r="Q1727" s="51">
        <f t="shared" si="38"/>
        <v>0</v>
      </c>
      <c r="R1727" s="31">
        <v>202310</v>
      </c>
      <c r="S1727" s="54" t="s">
        <v>2200</v>
      </c>
      <c r="T1727" s="33"/>
      <c r="U1727" s="54"/>
      <c r="V1727" s="54"/>
      <c r="W1727" s="52"/>
      <c r="X1727" s="52"/>
      <c r="Y1727" s="36"/>
      <c r="Z1727" s="36"/>
      <c r="AA1727" s="36"/>
      <c r="AB1727" s="36"/>
      <c r="AC1727" s="36"/>
      <c r="AD1727" s="36"/>
      <c r="AE1727" s="36"/>
      <c r="AF1727" s="53" t="s">
        <v>503</v>
      </c>
      <c r="AG1727" s="42"/>
      <c r="AH1727" s="43"/>
      <c r="AI1727" s="43"/>
      <c r="AJ1727" s="43"/>
      <c r="AK1727" s="43"/>
      <c r="AL1727" s="43"/>
      <c r="AM1727" s="43"/>
      <c r="AN1727" s="42"/>
      <c r="AO1727" s="42"/>
      <c r="AP1727" s="42"/>
      <c r="AQ1727" s="43"/>
      <c r="AR1727" s="42"/>
      <c r="AS1727" s="42"/>
    </row>
    <row r="1728" spans="1:45" ht="15" customHeight="1">
      <c r="A1728" s="21" t="s">
        <v>258</v>
      </c>
      <c r="B1728" s="22" t="s">
        <v>46</v>
      </c>
      <c r="C1728" s="21" t="s">
        <v>887</v>
      </c>
      <c r="D1728" s="21" t="s">
        <v>888</v>
      </c>
      <c r="E1728" s="80" t="s">
        <v>2183</v>
      </c>
      <c r="F1728" s="21" t="s">
        <v>2184</v>
      </c>
      <c r="G1728" s="101" t="s">
        <v>165</v>
      </c>
      <c r="H1728" s="25" t="s">
        <v>2201</v>
      </c>
      <c r="I1728" s="65" t="s">
        <v>167</v>
      </c>
      <c r="J1728" s="65"/>
      <c r="K1728" s="104" t="s">
        <v>2202</v>
      </c>
      <c r="L1728" s="48"/>
      <c r="M1728" s="27" t="s">
        <v>851</v>
      </c>
      <c r="N1728" s="105"/>
      <c r="O1728" s="147">
        <v>0</v>
      </c>
      <c r="P1728" s="147">
        <v>1536</v>
      </c>
      <c r="Q1728" s="51">
        <f t="shared" si="38"/>
        <v>0</v>
      </c>
      <c r="R1728" s="31">
        <v>202310</v>
      </c>
      <c r="S1728" s="54" t="s">
        <v>2203</v>
      </c>
      <c r="T1728" s="33"/>
      <c r="U1728" s="54"/>
      <c r="V1728" s="54"/>
      <c r="W1728" s="52"/>
      <c r="X1728" s="52"/>
      <c r="Y1728" s="36"/>
      <c r="Z1728" s="36"/>
      <c r="AA1728" s="36"/>
      <c r="AB1728" s="36"/>
      <c r="AC1728" s="36"/>
      <c r="AD1728" s="36"/>
      <c r="AE1728" s="36"/>
      <c r="AF1728" s="53" t="s">
        <v>68</v>
      </c>
      <c r="AG1728" s="42"/>
      <c r="AH1728" s="43"/>
      <c r="AI1728" s="43"/>
      <c r="AJ1728" s="43"/>
      <c r="AK1728" s="43"/>
      <c r="AL1728" s="43"/>
      <c r="AM1728" s="43"/>
      <c r="AN1728" s="42"/>
      <c r="AO1728" s="42"/>
      <c r="AP1728" s="42"/>
      <c r="AQ1728" s="43"/>
      <c r="AR1728" s="42"/>
      <c r="AS1728" s="42"/>
    </row>
    <row r="1729" spans="1:45" ht="15" customHeight="1">
      <c r="A1729" s="21" t="s">
        <v>258</v>
      </c>
      <c r="B1729" s="22" t="s">
        <v>46</v>
      </c>
      <c r="C1729" s="21" t="s">
        <v>887</v>
      </c>
      <c r="D1729" s="21" t="s">
        <v>888</v>
      </c>
      <c r="E1729" s="80" t="s">
        <v>2183</v>
      </c>
      <c r="F1729" s="21" t="s">
        <v>2184</v>
      </c>
      <c r="G1729" s="101" t="s">
        <v>77</v>
      </c>
      <c r="H1729" s="25" t="s">
        <v>2204</v>
      </c>
      <c r="I1729" s="65" t="s">
        <v>479</v>
      </c>
      <c r="J1729" s="104"/>
      <c r="K1729" s="104" t="s">
        <v>2205</v>
      </c>
      <c r="L1729" s="48" t="s">
        <v>2206</v>
      </c>
      <c r="M1729" s="192">
        <v>44958</v>
      </c>
      <c r="N1729" s="194" t="s">
        <v>1310</v>
      </c>
      <c r="O1729" s="147">
        <v>0</v>
      </c>
      <c r="P1729" s="149">
        <v>3</v>
      </c>
      <c r="Q1729" s="51">
        <f t="shared" si="38"/>
        <v>0</v>
      </c>
      <c r="R1729" s="31">
        <v>202310</v>
      </c>
      <c r="S1729" s="54" t="s">
        <v>2207</v>
      </c>
      <c r="T1729" s="33"/>
      <c r="U1729" s="54"/>
      <c r="V1729" s="195"/>
      <c r="W1729" s="36"/>
      <c r="X1729" s="36"/>
      <c r="Y1729" s="36"/>
      <c r="Z1729" s="36"/>
      <c r="AA1729" s="36"/>
      <c r="AB1729" s="36"/>
      <c r="AC1729" s="36"/>
      <c r="AD1729" s="36"/>
      <c r="AE1729" s="36"/>
      <c r="AF1729" s="53" t="s">
        <v>503</v>
      </c>
      <c r="AG1729" s="148"/>
      <c r="AH1729" s="43"/>
      <c r="AI1729" s="43"/>
      <c r="AJ1729" s="43"/>
      <c r="AK1729" s="43"/>
      <c r="AL1729" s="43"/>
      <c r="AM1729" s="42"/>
      <c r="AN1729" s="42"/>
      <c r="AO1729" s="42"/>
      <c r="AP1729" s="42"/>
      <c r="AQ1729" s="42"/>
      <c r="AR1729" s="42"/>
      <c r="AS1729" s="42"/>
    </row>
    <row r="1730" spans="1:45" ht="15" customHeight="1">
      <c r="A1730" s="21" t="s">
        <v>258</v>
      </c>
      <c r="B1730" s="22" t="s">
        <v>46</v>
      </c>
      <c r="C1730" s="21" t="s">
        <v>887</v>
      </c>
      <c r="D1730" s="21" t="s">
        <v>888</v>
      </c>
      <c r="E1730" s="80" t="s">
        <v>2183</v>
      </c>
      <c r="F1730" s="21" t="s">
        <v>2184</v>
      </c>
      <c r="G1730" s="101" t="s">
        <v>77</v>
      </c>
      <c r="H1730" s="25" t="s">
        <v>2204</v>
      </c>
      <c r="I1730" s="65" t="s">
        <v>479</v>
      </c>
      <c r="J1730" s="104"/>
      <c r="K1730" s="104" t="s">
        <v>2205</v>
      </c>
      <c r="L1730" s="48" t="s">
        <v>2206</v>
      </c>
      <c r="M1730" s="192">
        <v>45107</v>
      </c>
      <c r="N1730" s="194" t="s">
        <v>1310</v>
      </c>
      <c r="O1730" s="147">
        <v>0</v>
      </c>
      <c r="P1730" s="149">
        <v>-3</v>
      </c>
      <c r="Q1730" s="51">
        <f t="shared" si="38"/>
        <v>0</v>
      </c>
      <c r="R1730" s="31">
        <v>202310</v>
      </c>
      <c r="S1730" s="54" t="s">
        <v>2208</v>
      </c>
      <c r="T1730" s="33"/>
      <c r="U1730" s="54"/>
      <c r="V1730" s="195"/>
      <c r="W1730" s="36"/>
      <c r="X1730" s="36"/>
      <c r="Y1730" s="36"/>
      <c r="Z1730" s="36"/>
      <c r="AA1730" s="36"/>
      <c r="AB1730" s="36"/>
      <c r="AC1730" s="36"/>
      <c r="AD1730" s="36"/>
      <c r="AE1730" s="36"/>
      <c r="AF1730" s="53" t="s">
        <v>503</v>
      </c>
      <c r="AG1730" s="148"/>
      <c r="AH1730" s="43"/>
      <c r="AI1730" s="43"/>
      <c r="AJ1730" s="43"/>
      <c r="AK1730" s="43"/>
      <c r="AL1730" s="43"/>
      <c r="AM1730" s="42"/>
      <c r="AN1730" s="42"/>
      <c r="AO1730" s="42"/>
      <c r="AP1730" s="42"/>
      <c r="AQ1730" s="42"/>
      <c r="AR1730" s="42"/>
      <c r="AS1730" s="42"/>
    </row>
    <row r="1731" spans="1:45" ht="15" customHeight="1">
      <c r="A1731" s="21" t="s">
        <v>258</v>
      </c>
      <c r="B1731" s="22" t="s">
        <v>46</v>
      </c>
      <c r="C1731" s="21" t="s">
        <v>887</v>
      </c>
      <c r="D1731" s="21" t="s">
        <v>888</v>
      </c>
      <c r="E1731" s="80" t="s">
        <v>2183</v>
      </c>
      <c r="F1731" s="21" t="s">
        <v>2184</v>
      </c>
      <c r="G1731" s="101" t="s">
        <v>165</v>
      </c>
      <c r="H1731" s="25" t="s">
        <v>2204</v>
      </c>
      <c r="I1731" s="65" t="s">
        <v>491</v>
      </c>
      <c r="J1731" s="65"/>
      <c r="K1731" s="26" t="s">
        <v>2205</v>
      </c>
      <c r="L1731" s="48" t="s">
        <v>2206</v>
      </c>
      <c r="M1731" s="27">
        <v>44958</v>
      </c>
      <c r="N1731" s="105"/>
      <c r="O1731" s="147">
        <v>0</v>
      </c>
      <c r="P1731" s="147">
        <v>160</v>
      </c>
      <c r="Q1731" s="51">
        <f t="shared" si="38"/>
        <v>0</v>
      </c>
      <c r="R1731" s="31">
        <v>202310</v>
      </c>
      <c r="S1731" s="54" t="s">
        <v>2209</v>
      </c>
      <c r="T1731" s="33"/>
      <c r="U1731" s="54"/>
      <c r="V1731" s="151"/>
      <c r="W1731" s="42"/>
      <c r="X1731" s="42"/>
      <c r="Y1731" s="36"/>
      <c r="Z1731" s="36"/>
      <c r="AA1731" s="36"/>
      <c r="AB1731" s="36"/>
      <c r="AC1731" s="36"/>
      <c r="AD1731" s="36"/>
      <c r="AE1731" s="36"/>
      <c r="AF1731" s="40" t="s">
        <v>503</v>
      </c>
      <c r="AG1731" s="42"/>
      <c r="AH1731" s="42"/>
      <c r="AI1731" s="43"/>
      <c r="AJ1731" s="43"/>
      <c r="AK1731" s="43"/>
      <c r="AL1731" s="43"/>
      <c r="AM1731" s="43"/>
      <c r="AN1731" s="42"/>
      <c r="AO1731" s="42"/>
      <c r="AP1731" s="42"/>
      <c r="AQ1731" s="42"/>
      <c r="AR1731" s="42"/>
      <c r="AS1731" s="42"/>
    </row>
    <row r="1732" spans="1:45" ht="15" customHeight="1">
      <c r="A1732" s="21" t="s">
        <v>258</v>
      </c>
      <c r="B1732" s="22" t="s">
        <v>46</v>
      </c>
      <c r="C1732" s="21" t="s">
        <v>887</v>
      </c>
      <c r="D1732" s="21" t="s">
        <v>888</v>
      </c>
      <c r="E1732" s="80" t="s">
        <v>2183</v>
      </c>
      <c r="F1732" s="21" t="s">
        <v>2184</v>
      </c>
      <c r="G1732" s="101" t="s">
        <v>165</v>
      </c>
      <c r="H1732" s="25" t="s">
        <v>2204</v>
      </c>
      <c r="I1732" s="65" t="s">
        <v>491</v>
      </c>
      <c r="J1732" s="65"/>
      <c r="K1732" s="26" t="s">
        <v>2205</v>
      </c>
      <c r="L1732" s="48" t="s">
        <v>2206</v>
      </c>
      <c r="M1732" s="192">
        <v>45107</v>
      </c>
      <c r="N1732" s="105"/>
      <c r="O1732" s="147">
        <v>0</v>
      </c>
      <c r="P1732" s="147">
        <v>-160</v>
      </c>
      <c r="Q1732" s="51">
        <f t="shared" si="38"/>
        <v>0</v>
      </c>
      <c r="R1732" s="31">
        <v>202310</v>
      </c>
      <c r="S1732" s="54" t="s">
        <v>2209</v>
      </c>
      <c r="T1732" s="33"/>
      <c r="U1732" s="54"/>
      <c r="V1732" s="151"/>
      <c r="W1732" s="42"/>
      <c r="X1732" s="42"/>
      <c r="Y1732" s="36"/>
      <c r="Z1732" s="36"/>
      <c r="AA1732" s="36"/>
      <c r="AB1732" s="36"/>
      <c r="AC1732" s="36"/>
      <c r="AD1732" s="36"/>
      <c r="AE1732" s="36"/>
      <c r="AF1732" s="40" t="s">
        <v>503</v>
      </c>
      <c r="AG1732" s="42"/>
      <c r="AH1732" s="42"/>
      <c r="AI1732" s="43"/>
      <c r="AJ1732" s="43"/>
      <c r="AK1732" s="43"/>
      <c r="AL1732" s="43"/>
      <c r="AM1732" s="43"/>
      <c r="AN1732" s="42"/>
      <c r="AO1732" s="42"/>
      <c r="AP1732" s="42"/>
      <c r="AQ1732" s="42"/>
      <c r="AR1732" s="42"/>
      <c r="AS1732" s="42"/>
    </row>
    <row r="1733" spans="1:45" ht="15" customHeight="1">
      <c r="A1733" s="21" t="s">
        <v>258</v>
      </c>
      <c r="B1733" s="22" t="s">
        <v>46</v>
      </c>
      <c r="C1733" s="21" t="s">
        <v>887</v>
      </c>
      <c r="D1733" s="21" t="s">
        <v>888</v>
      </c>
      <c r="E1733" s="80" t="s">
        <v>2183</v>
      </c>
      <c r="F1733" s="21" t="s">
        <v>2184</v>
      </c>
      <c r="G1733" s="101" t="s">
        <v>77</v>
      </c>
      <c r="H1733" s="25" t="s">
        <v>2204</v>
      </c>
      <c r="I1733" s="65" t="s">
        <v>479</v>
      </c>
      <c r="J1733" s="104"/>
      <c r="K1733" s="104" t="s">
        <v>2205</v>
      </c>
      <c r="L1733" s="48" t="s">
        <v>2206</v>
      </c>
      <c r="M1733" s="192">
        <v>45139</v>
      </c>
      <c r="N1733" s="194" t="s">
        <v>1310</v>
      </c>
      <c r="O1733" s="147">
        <v>0</v>
      </c>
      <c r="P1733" s="149">
        <v>3</v>
      </c>
      <c r="Q1733" s="51">
        <f t="shared" ref="Q1733:Q1735" si="39">ROUND(O1733*P1733,2)</f>
        <v>0</v>
      </c>
      <c r="R1733" s="31">
        <v>202310</v>
      </c>
      <c r="S1733" s="54" t="s">
        <v>2210</v>
      </c>
      <c r="T1733" s="33"/>
      <c r="U1733" s="54"/>
      <c r="V1733" s="195"/>
      <c r="W1733" s="36"/>
      <c r="X1733" s="36"/>
      <c r="Y1733" s="36"/>
      <c r="Z1733" s="36"/>
      <c r="AA1733" s="36"/>
      <c r="AB1733" s="36"/>
      <c r="AC1733" s="36"/>
      <c r="AD1733" s="36"/>
      <c r="AE1733" s="36"/>
      <c r="AF1733" s="53" t="s">
        <v>503</v>
      </c>
      <c r="AG1733" s="148"/>
      <c r="AH1733" s="43"/>
      <c r="AI1733" s="43"/>
      <c r="AJ1733" s="43"/>
      <c r="AK1733" s="43"/>
      <c r="AL1733" s="43"/>
      <c r="AM1733" s="42"/>
      <c r="AN1733" s="42"/>
      <c r="AO1733" s="42"/>
      <c r="AP1733" s="42"/>
      <c r="AQ1733" s="42"/>
      <c r="AR1733" s="42"/>
      <c r="AS1733" s="42"/>
    </row>
    <row r="1734" spans="1:45" ht="15" customHeight="1">
      <c r="A1734" s="21" t="s">
        <v>258</v>
      </c>
      <c r="B1734" s="22" t="s">
        <v>46</v>
      </c>
      <c r="C1734" s="21" t="s">
        <v>887</v>
      </c>
      <c r="D1734" s="21" t="s">
        <v>888</v>
      </c>
      <c r="E1734" s="80" t="s">
        <v>2183</v>
      </c>
      <c r="F1734" s="21" t="s">
        <v>2184</v>
      </c>
      <c r="G1734" s="101" t="s">
        <v>165</v>
      </c>
      <c r="H1734" s="25" t="s">
        <v>2204</v>
      </c>
      <c r="I1734" s="65" t="s">
        <v>491</v>
      </c>
      <c r="J1734" s="65"/>
      <c r="K1734" s="26" t="s">
        <v>2205</v>
      </c>
      <c r="L1734" s="48" t="s">
        <v>2206</v>
      </c>
      <c r="M1734" s="192">
        <v>45139</v>
      </c>
      <c r="N1734" s="105" t="s">
        <v>653</v>
      </c>
      <c r="O1734" s="147">
        <v>0</v>
      </c>
      <c r="P1734" s="147">
        <v>160</v>
      </c>
      <c r="Q1734" s="51">
        <f t="shared" si="39"/>
        <v>0</v>
      </c>
      <c r="R1734" s="31">
        <v>202310</v>
      </c>
      <c r="S1734" s="54" t="s">
        <v>2211</v>
      </c>
      <c r="T1734" s="33"/>
      <c r="U1734" s="54"/>
      <c r="V1734" s="151"/>
      <c r="W1734" s="42"/>
      <c r="X1734" s="42"/>
      <c r="Y1734" s="36"/>
      <c r="Z1734" s="36"/>
      <c r="AA1734" s="36"/>
      <c r="AB1734" s="36"/>
      <c r="AC1734" s="36"/>
      <c r="AD1734" s="36"/>
      <c r="AE1734" s="36"/>
      <c r="AF1734" s="40" t="s">
        <v>503</v>
      </c>
      <c r="AG1734" s="42"/>
      <c r="AH1734" s="42"/>
      <c r="AI1734" s="43"/>
      <c r="AJ1734" s="43"/>
      <c r="AK1734" s="43"/>
      <c r="AL1734" s="43"/>
      <c r="AM1734" s="43"/>
      <c r="AN1734" s="42"/>
      <c r="AO1734" s="42"/>
      <c r="AP1734" s="42"/>
      <c r="AQ1734" s="42"/>
      <c r="AR1734" s="42"/>
      <c r="AS1734" s="42"/>
    </row>
    <row r="1735" spans="1:45" ht="15" customHeight="1">
      <c r="A1735" s="21" t="s">
        <v>258</v>
      </c>
      <c r="B1735" s="22" t="s">
        <v>46</v>
      </c>
      <c r="C1735" s="21" t="s">
        <v>887</v>
      </c>
      <c r="D1735" s="21" t="s">
        <v>888</v>
      </c>
      <c r="E1735" s="80" t="s">
        <v>2183</v>
      </c>
      <c r="F1735" s="21" t="s">
        <v>2184</v>
      </c>
      <c r="G1735" s="101" t="s">
        <v>165</v>
      </c>
      <c r="H1735" s="25" t="s">
        <v>2204</v>
      </c>
      <c r="I1735" s="65" t="s">
        <v>491</v>
      </c>
      <c r="J1735" s="65"/>
      <c r="K1735" s="26" t="s">
        <v>2205</v>
      </c>
      <c r="L1735" s="48" t="s">
        <v>2206</v>
      </c>
      <c r="M1735" s="192">
        <v>45139</v>
      </c>
      <c r="N1735" s="105" t="s">
        <v>656</v>
      </c>
      <c r="O1735" s="147">
        <v>0</v>
      </c>
      <c r="P1735" s="147">
        <v>0</v>
      </c>
      <c r="Q1735" s="51">
        <f t="shared" si="39"/>
        <v>0</v>
      </c>
      <c r="R1735" s="31">
        <v>202310</v>
      </c>
      <c r="S1735" s="54" t="s">
        <v>2212</v>
      </c>
      <c r="T1735" s="33"/>
      <c r="U1735" s="54"/>
      <c r="V1735" s="151"/>
      <c r="W1735" s="42"/>
      <c r="X1735" s="42"/>
      <c r="Y1735" s="36"/>
      <c r="Z1735" s="36"/>
      <c r="AA1735" s="36"/>
      <c r="AB1735" s="36"/>
      <c r="AC1735" s="36"/>
      <c r="AD1735" s="36"/>
      <c r="AE1735" s="36"/>
      <c r="AF1735" s="40" t="s">
        <v>503</v>
      </c>
      <c r="AG1735" s="42"/>
      <c r="AH1735" s="42"/>
      <c r="AI1735" s="43"/>
      <c r="AJ1735" s="43"/>
      <c r="AK1735" s="43"/>
      <c r="AL1735" s="43"/>
      <c r="AM1735" s="43"/>
      <c r="AN1735" s="42"/>
      <c r="AO1735" s="42"/>
      <c r="AP1735" s="42"/>
      <c r="AQ1735" s="42"/>
      <c r="AR1735" s="42"/>
      <c r="AS1735" s="42"/>
    </row>
    <row r="1736" spans="1:45" ht="15" customHeight="1">
      <c r="A1736" s="21" t="s">
        <v>258</v>
      </c>
      <c r="B1736" s="22" t="s">
        <v>46</v>
      </c>
      <c r="C1736" s="21" t="s">
        <v>887</v>
      </c>
      <c r="D1736" s="21" t="s">
        <v>888</v>
      </c>
      <c r="E1736" s="80" t="s">
        <v>2183</v>
      </c>
      <c r="F1736" s="21" t="s">
        <v>2184</v>
      </c>
      <c r="G1736" s="101" t="s">
        <v>77</v>
      </c>
      <c r="H1736" s="25" t="s">
        <v>2213</v>
      </c>
      <c r="I1736" s="65" t="s">
        <v>78</v>
      </c>
      <c r="J1736" s="65" t="s">
        <v>2214</v>
      </c>
      <c r="K1736" s="104"/>
      <c r="L1736" s="48" t="s">
        <v>1592</v>
      </c>
      <c r="M1736" s="27">
        <v>43123</v>
      </c>
      <c r="N1736" s="105" t="s">
        <v>177</v>
      </c>
      <c r="O1736" s="147">
        <v>4000</v>
      </c>
      <c r="P1736" s="147">
        <v>87</v>
      </c>
      <c r="Q1736" s="51">
        <f>O1736*P1736</f>
        <v>348000</v>
      </c>
      <c r="R1736" s="31">
        <v>202310</v>
      </c>
      <c r="S1736" s="54" t="s">
        <v>2215</v>
      </c>
      <c r="T1736" s="33"/>
      <c r="U1736" s="54"/>
      <c r="V1736" s="54"/>
      <c r="W1736" s="52"/>
      <c r="X1736" s="52"/>
      <c r="Y1736" s="36">
        <v>44986</v>
      </c>
      <c r="Z1736" s="36">
        <v>45351</v>
      </c>
      <c r="AA1736" s="36"/>
      <c r="AB1736" s="36"/>
      <c r="AC1736" s="36"/>
      <c r="AD1736" s="36"/>
      <c r="AE1736" s="36"/>
      <c r="AF1736" s="53" t="s">
        <v>68</v>
      </c>
      <c r="AG1736" s="42"/>
      <c r="AH1736" s="43"/>
      <c r="AI1736" s="43"/>
      <c r="AJ1736" s="43"/>
      <c r="AK1736" s="43"/>
      <c r="AL1736" s="43"/>
      <c r="AM1736" s="43"/>
      <c r="AN1736" s="42"/>
      <c r="AO1736" s="42"/>
      <c r="AP1736" s="42"/>
      <c r="AQ1736" s="43"/>
      <c r="AR1736" s="42"/>
      <c r="AS1736" s="42"/>
    </row>
    <row r="1737" spans="1:45" ht="15" customHeight="1">
      <c r="A1737" s="21" t="s">
        <v>258</v>
      </c>
      <c r="B1737" s="22" t="s">
        <v>46</v>
      </c>
      <c r="C1737" s="21" t="s">
        <v>887</v>
      </c>
      <c r="D1737" s="21" t="s">
        <v>888</v>
      </c>
      <c r="E1737" s="80" t="s">
        <v>2183</v>
      </c>
      <c r="F1737" s="21" t="s">
        <v>2184</v>
      </c>
      <c r="G1737" s="101" t="s">
        <v>77</v>
      </c>
      <c r="H1737" s="25" t="s">
        <v>2213</v>
      </c>
      <c r="I1737" s="65" t="s">
        <v>78</v>
      </c>
      <c r="J1737" s="65" t="s">
        <v>2214</v>
      </c>
      <c r="K1737" s="104"/>
      <c r="L1737" s="48" t="s">
        <v>1592</v>
      </c>
      <c r="M1737" s="27">
        <v>43131</v>
      </c>
      <c r="N1737" s="105" t="s">
        <v>356</v>
      </c>
      <c r="O1737" s="147">
        <v>12222.22</v>
      </c>
      <c r="P1737" s="147">
        <v>6</v>
      </c>
      <c r="Q1737" s="51">
        <f t="shared" ref="Q1737:Q1803" si="40">ROUND(O1737*P1737,2)</f>
        <v>73333.320000000007</v>
      </c>
      <c r="R1737" s="31">
        <v>202310</v>
      </c>
      <c r="S1737" s="54" t="s">
        <v>2216</v>
      </c>
      <c r="T1737" s="33"/>
      <c r="U1737" s="54"/>
      <c r="V1737" s="54"/>
      <c r="W1737" s="52"/>
      <c r="X1737" s="52"/>
      <c r="Y1737" s="36">
        <v>44986</v>
      </c>
      <c r="Z1737" s="36">
        <v>45351</v>
      </c>
      <c r="AA1737" s="36"/>
      <c r="AB1737" s="36"/>
      <c r="AC1737" s="36"/>
      <c r="AD1737" s="36"/>
      <c r="AE1737" s="36"/>
      <c r="AF1737" s="53" t="s">
        <v>68</v>
      </c>
      <c r="AG1737" s="42"/>
      <c r="AH1737" s="43"/>
      <c r="AI1737" s="43"/>
      <c r="AJ1737" s="43"/>
      <c r="AK1737" s="43"/>
      <c r="AL1737" s="43"/>
      <c r="AM1737" s="43"/>
      <c r="AN1737" s="42"/>
      <c r="AO1737" s="42"/>
      <c r="AP1737" s="42"/>
      <c r="AQ1737" s="43"/>
      <c r="AR1737" s="42"/>
      <c r="AS1737" s="42"/>
    </row>
    <row r="1738" spans="1:45" ht="15" customHeight="1">
      <c r="A1738" s="21" t="s">
        <v>258</v>
      </c>
      <c r="B1738" s="22" t="s">
        <v>46</v>
      </c>
      <c r="C1738" s="21" t="s">
        <v>887</v>
      </c>
      <c r="D1738" s="21" t="s">
        <v>888</v>
      </c>
      <c r="E1738" s="80" t="s">
        <v>2183</v>
      </c>
      <c r="F1738" s="21" t="s">
        <v>2184</v>
      </c>
      <c r="G1738" s="101" t="s">
        <v>77</v>
      </c>
      <c r="H1738" s="25" t="s">
        <v>2213</v>
      </c>
      <c r="I1738" s="65" t="s">
        <v>78</v>
      </c>
      <c r="J1738" s="65" t="s">
        <v>2214</v>
      </c>
      <c r="K1738" s="104"/>
      <c r="L1738" s="48" t="s">
        <v>1592</v>
      </c>
      <c r="M1738" s="27">
        <v>43132</v>
      </c>
      <c r="N1738" s="105" t="s">
        <v>343</v>
      </c>
      <c r="O1738" s="147">
        <v>5333.33</v>
      </c>
      <c r="P1738" s="147">
        <v>2</v>
      </c>
      <c r="Q1738" s="51">
        <f t="shared" si="40"/>
        <v>10666.66</v>
      </c>
      <c r="R1738" s="31">
        <v>202310</v>
      </c>
      <c r="S1738" s="54" t="s">
        <v>2217</v>
      </c>
      <c r="T1738" s="33"/>
      <c r="U1738" s="54"/>
      <c r="V1738" s="54"/>
      <c r="W1738" s="52"/>
      <c r="X1738" s="52"/>
      <c r="Y1738" s="36">
        <v>44986</v>
      </c>
      <c r="Z1738" s="36">
        <v>45351</v>
      </c>
      <c r="AA1738" s="36"/>
      <c r="AB1738" s="36"/>
      <c r="AC1738" s="36"/>
      <c r="AD1738" s="36"/>
      <c r="AE1738" s="36"/>
      <c r="AF1738" s="53" t="s">
        <v>68</v>
      </c>
      <c r="AG1738" s="42"/>
      <c r="AH1738" s="43"/>
      <c r="AI1738" s="43"/>
      <c r="AJ1738" s="43"/>
      <c r="AK1738" s="43"/>
      <c r="AL1738" s="43"/>
      <c r="AM1738" s="43"/>
      <c r="AN1738" s="42"/>
      <c r="AO1738" s="42"/>
      <c r="AP1738" s="42"/>
      <c r="AQ1738" s="43"/>
      <c r="AR1738" s="42"/>
      <c r="AS1738" s="42"/>
    </row>
    <row r="1739" spans="1:45" ht="15" customHeight="1">
      <c r="A1739" s="21" t="s">
        <v>258</v>
      </c>
      <c r="B1739" s="22" t="s">
        <v>46</v>
      </c>
      <c r="C1739" s="21" t="s">
        <v>887</v>
      </c>
      <c r="D1739" s="21" t="s">
        <v>888</v>
      </c>
      <c r="E1739" s="80" t="s">
        <v>2183</v>
      </c>
      <c r="F1739" s="21" t="s">
        <v>2184</v>
      </c>
      <c r="G1739" s="101" t="s">
        <v>77</v>
      </c>
      <c r="H1739" s="25" t="s">
        <v>2213</v>
      </c>
      <c r="I1739" s="65" t="s">
        <v>78</v>
      </c>
      <c r="J1739" s="65" t="s">
        <v>2214</v>
      </c>
      <c r="K1739" s="104"/>
      <c r="L1739" s="48" t="s">
        <v>1592</v>
      </c>
      <c r="M1739" s="27">
        <v>43131</v>
      </c>
      <c r="N1739" s="105" t="s">
        <v>346</v>
      </c>
      <c r="O1739" s="147">
        <v>7111.11</v>
      </c>
      <c r="P1739" s="147">
        <v>1</v>
      </c>
      <c r="Q1739" s="51">
        <f t="shared" si="40"/>
        <v>7111.11</v>
      </c>
      <c r="R1739" s="31">
        <v>202310</v>
      </c>
      <c r="S1739" s="54" t="s">
        <v>2218</v>
      </c>
      <c r="T1739" s="33"/>
      <c r="U1739" s="54"/>
      <c r="V1739" s="54"/>
      <c r="W1739" s="52"/>
      <c r="X1739" s="52"/>
      <c r="Y1739" s="36">
        <v>44986</v>
      </c>
      <c r="Z1739" s="36">
        <v>45351</v>
      </c>
      <c r="AA1739" s="36"/>
      <c r="AB1739" s="36"/>
      <c r="AC1739" s="36"/>
      <c r="AD1739" s="36"/>
      <c r="AE1739" s="36"/>
      <c r="AF1739" s="53" t="s">
        <v>68</v>
      </c>
      <c r="AG1739" s="42"/>
      <c r="AH1739" s="43"/>
      <c r="AI1739" s="43"/>
      <c r="AJ1739" s="43"/>
      <c r="AK1739" s="43"/>
      <c r="AL1739" s="43"/>
      <c r="AM1739" s="43"/>
      <c r="AN1739" s="42"/>
      <c r="AO1739" s="42"/>
      <c r="AP1739" s="42"/>
      <c r="AQ1739" s="43"/>
      <c r="AR1739" s="42"/>
      <c r="AS1739" s="42"/>
    </row>
    <row r="1740" spans="1:45" ht="15" customHeight="1">
      <c r="A1740" s="21" t="s">
        <v>258</v>
      </c>
      <c r="B1740" s="22" t="s">
        <v>46</v>
      </c>
      <c r="C1740" s="21" t="s">
        <v>887</v>
      </c>
      <c r="D1740" s="21" t="s">
        <v>888</v>
      </c>
      <c r="E1740" s="80" t="s">
        <v>2183</v>
      </c>
      <c r="F1740" s="21" t="s">
        <v>2184</v>
      </c>
      <c r="G1740" s="101" t="s">
        <v>77</v>
      </c>
      <c r="H1740" s="25" t="s">
        <v>2213</v>
      </c>
      <c r="I1740" s="65" t="s">
        <v>78</v>
      </c>
      <c r="J1740" s="65" t="s">
        <v>2214</v>
      </c>
      <c r="K1740" s="104"/>
      <c r="L1740" s="48" t="s">
        <v>1592</v>
      </c>
      <c r="M1740" s="27">
        <v>43160</v>
      </c>
      <c r="N1740" s="105" t="s">
        <v>177</v>
      </c>
      <c r="O1740" s="147">
        <v>4000</v>
      </c>
      <c r="P1740" s="147">
        <v>2</v>
      </c>
      <c r="Q1740" s="51">
        <f t="shared" si="40"/>
        <v>8000</v>
      </c>
      <c r="R1740" s="31">
        <v>202310</v>
      </c>
      <c r="S1740" s="54" t="s">
        <v>2219</v>
      </c>
      <c r="T1740" s="33"/>
      <c r="U1740" s="54"/>
      <c r="V1740" s="54"/>
      <c r="W1740" s="52"/>
      <c r="X1740" s="52"/>
      <c r="Y1740" s="36">
        <v>44986</v>
      </c>
      <c r="Z1740" s="36">
        <v>45351</v>
      </c>
      <c r="AA1740" s="36"/>
      <c r="AB1740" s="36"/>
      <c r="AC1740" s="36"/>
      <c r="AD1740" s="36"/>
      <c r="AE1740" s="36"/>
      <c r="AF1740" s="53" t="s">
        <v>68</v>
      </c>
      <c r="AG1740" s="42"/>
      <c r="AH1740" s="43"/>
      <c r="AI1740" s="43"/>
      <c r="AJ1740" s="43"/>
      <c r="AK1740" s="43"/>
      <c r="AL1740" s="43"/>
      <c r="AM1740" s="43"/>
      <c r="AN1740" s="42"/>
      <c r="AO1740" s="42"/>
      <c r="AP1740" s="42"/>
      <c r="AQ1740" s="43"/>
      <c r="AR1740" s="42"/>
      <c r="AS1740" s="42"/>
    </row>
    <row r="1741" spans="1:45" ht="15" customHeight="1">
      <c r="A1741" s="21" t="s">
        <v>258</v>
      </c>
      <c r="B1741" s="22" t="s">
        <v>46</v>
      </c>
      <c r="C1741" s="21" t="s">
        <v>887</v>
      </c>
      <c r="D1741" s="21" t="s">
        <v>888</v>
      </c>
      <c r="E1741" s="80" t="s">
        <v>2183</v>
      </c>
      <c r="F1741" s="21" t="s">
        <v>2184</v>
      </c>
      <c r="G1741" s="101" t="s">
        <v>77</v>
      </c>
      <c r="H1741" s="25" t="s">
        <v>2213</v>
      </c>
      <c r="I1741" s="65" t="s">
        <v>78</v>
      </c>
      <c r="J1741" s="65" t="s">
        <v>2214</v>
      </c>
      <c r="K1741" s="104"/>
      <c r="L1741" s="48" t="s">
        <v>1592</v>
      </c>
      <c r="M1741" s="27">
        <v>43231</v>
      </c>
      <c r="N1741" s="105" t="s">
        <v>177</v>
      </c>
      <c r="O1741" s="147">
        <v>4000</v>
      </c>
      <c r="P1741" s="147">
        <v>2</v>
      </c>
      <c r="Q1741" s="51">
        <f t="shared" si="40"/>
        <v>8000</v>
      </c>
      <c r="R1741" s="31">
        <v>202310</v>
      </c>
      <c r="S1741" s="54" t="s">
        <v>2220</v>
      </c>
      <c r="T1741" s="33"/>
      <c r="U1741" s="54"/>
      <c r="V1741" s="54"/>
      <c r="W1741" s="52"/>
      <c r="X1741" s="52"/>
      <c r="Y1741" s="36">
        <v>44986</v>
      </c>
      <c r="Z1741" s="36">
        <v>45351</v>
      </c>
      <c r="AA1741" s="36"/>
      <c r="AB1741" s="36"/>
      <c r="AC1741" s="36"/>
      <c r="AD1741" s="36"/>
      <c r="AE1741" s="36"/>
      <c r="AF1741" s="53" t="s">
        <v>68</v>
      </c>
      <c r="AG1741" s="42"/>
      <c r="AH1741" s="43"/>
      <c r="AI1741" s="43"/>
      <c r="AJ1741" s="43"/>
      <c r="AK1741" s="43"/>
      <c r="AL1741" s="43"/>
      <c r="AM1741" s="43"/>
      <c r="AN1741" s="42"/>
      <c r="AO1741" s="42"/>
      <c r="AP1741" s="42"/>
      <c r="AQ1741" s="43"/>
      <c r="AR1741" s="42"/>
      <c r="AS1741" s="42"/>
    </row>
    <row r="1742" spans="1:45" ht="15" customHeight="1">
      <c r="A1742" s="21" t="s">
        <v>258</v>
      </c>
      <c r="B1742" s="22" t="s">
        <v>46</v>
      </c>
      <c r="C1742" s="21" t="s">
        <v>887</v>
      </c>
      <c r="D1742" s="21" t="s">
        <v>888</v>
      </c>
      <c r="E1742" s="80" t="s">
        <v>2183</v>
      </c>
      <c r="F1742" s="21" t="s">
        <v>2184</v>
      </c>
      <c r="G1742" s="101" t="s">
        <v>77</v>
      </c>
      <c r="H1742" s="25" t="s">
        <v>2213</v>
      </c>
      <c r="I1742" s="65" t="s">
        <v>78</v>
      </c>
      <c r="J1742" s="65" t="s">
        <v>2214</v>
      </c>
      <c r="K1742" s="104"/>
      <c r="L1742" s="48" t="s">
        <v>1592</v>
      </c>
      <c r="M1742" s="27">
        <v>43251</v>
      </c>
      <c r="N1742" s="105" t="s">
        <v>177</v>
      </c>
      <c r="O1742" s="147">
        <v>4000</v>
      </c>
      <c r="P1742" s="147">
        <v>2</v>
      </c>
      <c r="Q1742" s="51">
        <f t="shared" si="40"/>
        <v>8000</v>
      </c>
      <c r="R1742" s="31">
        <v>202310</v>
      </c>
      <c r="S1742" s="54" t="s">
        <v>2221</v>
      </c>
      <c r="T1742" s="33"/>
      <c r="U1742" s="54"/>
      <c r="V1742" s="54"/>
      <c r="W1742" s="52"/>
      <c r="X1742" s="52"/>
      <c r="Y1742" s="36">
        <v>44986</v>
      </c>
      <c r="Z1742" s="36">
        <v>45351</v>
      </c>
      <c r="AA1742" s="36"/>
      <c r="AB1742" s="36"/>
      <c r="AC1742" s="36"/>
      <c r="AD1742" s="36"/>
      <c r="AE1742" s="36"/>
      <c r="AF1742" s="53" t="s">
        <v>68</v>
      </c>
      <c r="AG1742" s="42"/>
      <c r="AH1742" s="43"/>
      <c r="AI1742" s="43"/>
      <c r="AJ1742" s="43"/>
      <c r="AK1742" s="43"/>
      <c r="AL1742" s="43"/>
      <c r="AM1742" s="43"/>
      <c r="AN1742" s="42"/>
      <c r="AO1742" s="42"/>
      <c r="AP1742" s="42"/>
      <c r="AQ1742" s="43"/>
      <c r="AR1742" s="42"/>
      <c r="AS1742" s="42"/>
    </row>
    <row r="1743" spans="1:45" ht="15" customHeight="1">
      <c r="A1743" s="21" t="s">
        <v>258</v>
      </c>
      <c r="B1743" s="22" t="s">
        <v>46</v>
      </c>
      <c r="C1743" s="21" t="s">
        <v>887</v>
      </c>
      <c r="D1743" s="21" t="s">
        <v>888</v>
      </c>
      <c r="E1743" s="80" t="s">
        <v>2183</v>
      </c>
      <c r="F1743" s="21" t="s">
        <v>2184</v>
      </c>
      <c r="G1743" s="101" t="s">
        <v>77</v>
      </c>
      <c r="H1743" s="25" t="s">
        <v>2213</v>
      </c>
      <c r="I1743" s="65" t="s">
        <v>78</v>
      </c>
      <c r="J1743" s="65" t="s">
        <v>2214</v>
      </c>
      <c r="K1743" s="104"/>
      <c r="L1743" s="48" t="s">
        <v>1592</v>
      </c>
      <c r="M1743" s="27">
        <v>43252</v>
      </c>
      <c r="N1743" s="105" t="s">
        <v>177</v>
      </c>
      <c r="O1743" s="147">
        <v>4000</v>
      </c>
      <c r="P1743" s="147">
        <v>1</v>
      </c>
      <c r="Q1743" s="51">
        <f t="shared" si="40"/>
        <v>4000</v>
      </c>
      <c r="R1743" s="31">
        <v>202310</v>
      </c>
      <c r="S1743" s="54" t="s">
        <v>2222</v>
      </c>
      <c r="T1743" s="33"/>
      <c r="U1743" s="54"/>
      <c r="V1743" s="54"/>
      <c r="W1743" s="52"/>
      <c r="X1743" s="52"/>
      <c r="Y1743" s="36">
        <v>44986</v>
      </c>
      <c r="Z1743" s="36">
        <v>45351</v>
      </c>
      <c r="AA1743" s="36"/>
      <c r="AB1743" s="36"/>
      <c r="AC1743" s="36"/>
      <c r="AD1743" s="36"/>
      <c r="AE1743" s="36"/>
      <c r="AF1743" s="53" t="s">
        <v>68</v>
      </c>
      <c r="AG1743" s="42"/>
      <c r="AH1743" s="43"/>
      <c r="AI1743" s="43"/>
      <c r="AJ1743" s="43"/>
      <c r="AK1743" s="43"/>
      <c r="AL1743" s="43"/>
      <c r="AM1743" s="43"/>
      <c r="AN1743" s="42"/>
      <c r="AO1743" s="42"/>
      <c r="AP1743" s="42"/>
      <c r="AQ1743" s="43"/>
      <c r="AR1743" s="42"/>
      <c r="AS1743" s="42"/>
    </row>
    <row r="1744" spans="1:45" ht="15" customHeight="1">
      <c r="A1744" s="21" t="s">
        <v>258</v>
      </c>
      <c r="B1744" s="22" t="s">
        <v>46</v>
      </c>
      <c r="C1744" s="21" t="s">
        <v>887</v>
      </c>
      <c r="D1744" s="21" t="s">
        <v>888</v>
      </c>
      <c r="E1744" s="80" t="s">
        <v>2183</v>
      </c>
      <c r="F1744" s="21" t="s">
        <v>2184</v>
      </c>
      <c r="G1744" s="101" t="s">
        <v>77</v>
      </c>
      <c r="H1744" s="25" t="s">
        <v>2213</v>
      </c>
      <c r="I1744" s="65" t="s">
        <v>78</v>
      </c>
      <c r="J1744" s="65" t="s">
        <v>2214</v>
      </c>
      <c r="K1744" s="104"/>
      <c r="L1744" s="48" t="s">
        <v>1592</v>
      </c>
      <c r="M1744" s="27">
        <v>43273</v>
      </c>
      <c r="N1744" s="105" t="s">
        <v>177</v>
      </c>
      <c r="O1744" s="147">
        <v>4000</v>
      </c>
      <c r="P1744" s="147">
        <v>19</v>
      </c>
      <c r="Q1744" s="51">
        <f t="shared" si="40"/>
        <v>76000</v>
      </c>
      <c r="R1744" s="31">
        <v>202310</v>
      </c>
      <c r="S1744" s="54" t="s">
        <v>2223</v>
      </c>
      <c r="T1744" s="33"/>
      <c r="U1744" s="54"/>
      <c r="V1744" s="54"/>
      <c r="W1744" s="52"/>
      <c r="X1744" s="52"/>
      <c r="Y1744" s="36">
        <v>44986</v>
      </c>
      <c r="Z1744" s="36">
        <v>45351</v>
      </c>
      <c r="AA1744" s="36"/>
      <c r="AB1744" s="36"/>
      <c r="AC1744" s="36"/>
      <c r="AD1744" s="36"/>
      <c r="AE1744" s="36"/>
      <c r="AF1744" s="53" t="s">
        <v>68</v>
      </c>
      <c r="AG1744" s="42"/>
      <c r="AH1744" s="43"/>
      <c r="AI1744" s="43"/>
      <c r="AJ1744" s="43"/>
      <c r="AK1744" s="43"/>
      <c r="AL1744" s="43"/>
      <c r="AM1744" s="43"/>
      <c r="AN1744" s="42"/>
      <c r="AO1744" s="42"/>
      <c r="AP1744" s="42"/>
      <c r="AQ1744" s="43"/>
      <c r="AR1744" s="42"/>
      <c r="AS1744" s="42"/>
    </row>
    <row r="1745" spans="1:45" ht="15" customHeight="1">
      <c r="A1745" s="21" t="s">
        <v>258</v>
      </c>
      <c r="B1745" s="22" t="s">
        <v>46</v>
      </c>
      <c r="C1745" s="21" t="s">
        <v>887</v>
      </c>
      <c r="D1745" s="21" t="s">
        <v>888</v>
      </c>
      <c r="E1745" s="80" t="s">
        <v>2183</v>
      </c>
      <c r="F1745" s="21" t="s">
        <v>2184</v>
      </c>
      <c r="G1745" s="101" t="s">
        <v>77</v>
      </c>
      <c r="H1745" s="25" t="s">
        <v>2213</v>
      </c>
      <c r="I1745" s="65" t="s">
        <v>78</v>
      </c>
      <c r="J1745" s="65" t="s">
        <v>2214</v>
      </c>
      <c r="K1745" s="104"/>
      <c r="L1745" s="48" t="s">
        <v>1592</v>
      </c>
      <c r="M1745" s="27">
        <v>43276</v>
      </c>
      <c r="N1745" s="105" t="s">
        <v>177</v>
      </c>
      <c r="O1745" s="147">
        <v>4000</v>
      </c>
      <c r="P1745" s="147">
        <v>1</v>
      </c>
      <c r="Q1745" s="51">
        <f t="shared" si="40"/>
        <v>4000</v>
      </c>
      <c r="R1745" s="31">
        <v>202310</v>
      </c>
      <c r="S1745" s="54" t="s">
        <v>2224</v>
      </c>
      <c r="T1745" s="33"/>
      <c r="U1745" s="54"/>
      <c r="V1745" s="54"/>
      <c r="W1745" s="52"/>
      <c r="X1745" s="52"/>
      <c r="Y1745" s="36">
        <v>44986</v>
      </c>
      <c r="Z1745" s="36">
        <v>45351</v>
      </c>
      <c r="AA1745" s="36"/>
      <c r="AB1745" s="36"/>
      <c r="AC1745" s="36"/>
      <c r="AD1745" s="36"/>
      <c r="AE1745" s="36"/>
      <c r="AF1745" s="53" t="s">
        <v>68</v>
      </c>
      <c r="AG1745" s="42"/>
      <c r="AH1745" s="43"/>
      <c r="AI1745" s="43"/>
      <c r="AJ1745" s="43"/>
      <c r="AK1745" s="43"/>
      <c r="AL1745" s="43"/>
      <c r="AM1745" s="43"/>
      <c r="AN1745" s="42"/>
      <c r="AO1745" s="42"/>
      <c r="AP1745" s="42"/>
      <c r="AQ1745" s="43"/>
      <c r="AR1745" s="42"/>
      <c r="AS1745" s="42"/>
    </row>
    <row r="1746" spans="1:45" ht="15" customHeight="1">
      <c r="A1746" s="21" t="s">
        <v>258</v>
      </c>
      <c r="B1746" s="22" t="s">
        <v>46</v>
      </c>
      <c r="C1746" s="21" t="s">
        <v>887</v>
      </c>
      <c r="D1746" s="21" t="s">
        <v>888</v>
      </c>
      <c r="E1746" s="80" t="s">
        <v>2183</v>
      </c>
      <c r="F1746" s="21" t="s">
        <v>2184</v>
      </c>
      <c r="G1746" s="101" t="s">
        <v>77</v>
      </c>
      <c r="H1746" s="25" t="s">
        <v>2213</v>
      </c>
      <c r="I1746" s="65" t="s">
        <v>78</v>
      </c>
      <c r="J1746" s="65" t="s">
        <v>2214</v>
      </c>
      <c r="K1746" s="104"/>
      <c r="L1746" s="48" t="s">
        <v>1592</v>
      </c>
      <c r="M1746" s="27">
        <v>43278</v>
      </c>
      <c r="N1746" s="105" t="s">
        <v>177</v>
      </c>
      <c r="O1746" s="147">
        <v>4000</v>
      </c>
      <c r="P1746" s="147">
        <v>1</v>
      </c>
      <c r="Q1746" s="51">
        <f t="shared" si="40"/>
        <v>4000</v>
      </c>
      <c r="R1746" s="31">
        <v>202310</v>
      </c>
      <c r="S1746" s="54" t="s">
        <v>2225</v>
      </c>
      <c r="T1746" s="33"/>
      <c r="U1746" s="54"/>
      <c r="V1746" s="54"/>
      <c r="W1746" s="52"/>
      <c r="X1746" s="52"/>
      <c r="Y1746" s="36">
        <v>44986</v>
      </c>
      <c r="Z1746" s="36">
        <v>45351</v>
      </c>
      <c r="AA1746" s="36"/>
      <c r="AB1746" s="36"/>
      <c r="AC1746" s="36"/>
      <c r="AD1746" s="36"/>
      <c r="AE1746" s="36"/>
      <c r="AF1746" s="53" t="s">
        <v>68</v>
      </c>
      <c r="AG1746" s="42"/>
      <c r="AH1746" s="43"/>
      <c r="AI1746" s="43"/>
      <c r="AJ1746" s="43"/>
      <c r="AK1746" s="43"/>
      <c r="AL1746" s="43"/>
      <c r="AM1746" s="43"/>
      <c r="AN1746" s="42"/>
      <c r="AO1746" s="42"/>
      <c r="AP1746" s="42"/>
      <c r="AQ1746" s="43"/>
      <c r="AR1746" s="42"/>
      <c r="AS1746" s="42"/>
    </row>
    <row r="1747" spans="1:45" ht="15" customHeight="1">
      <c r="A1747" s="21" t="s">
        <v>258</v>
      </c>
      <c r="B1747" s="22" t="s">
        <v>46</v>
      </c>
      <c r="C1747" s="21" t="s">
        <v>887</v>
      </c>
      <c r="D1747" s="21" t="s">
        <v>888</v>
      </c>
      <c r="E1747" s="80" t="s">
        <v>2183</v>
      </c>
      <c r="F1747" s="21" t="s">
        <v>2184</v>
      </c>
      <c r="G1747" s="101" t="s">
        <v>77</v>
      </c>
      <c r="H1747" s="25" t="s">
        <v>2213</v>
      </c>
      <c r="I1747" s="65" t="s">
        <v>78</v>
      </c>
      <c r="J1747" s="65" t="s">
        <v>2214</v>
      </c>
      <c r="K1747" s="104"/>
      <c r="L1747" s="48" t="s">
        <v>1592</v>
      </c>
      <c r="M1747" s="27">
        <v>43301</v>
      </c>
      <c r="N1747" s="105" t="s">
        <v>177</v>
      </c>
      <c r="O1747" s="147">
        <v>4000</v>
      </c>
      <c r="P1747" s="147">
        <v>9</v>
      </c>
      <c r="Q1747" s="51">
        <f t="shared" si="40"/>
        <v>36000</v>
      </c>
      <c r="R1747" s="31">
        <v>202310</v>
      </c>
      <c r="S1747" s="54" t="s">
        <v>2226</v>
      </c>
      <c r="T1747" s="33"/>
      <c r="U1747" s="54"/>
      <c r="V1747" s="54"/>
      <c r="W1747" s="52"/>
      <c r="X1747" s="52"/>
      <c r="Y1747" s="36">
        <v>44986</v>
      </c>
      <c r="Z1747" s="36">
        <v>45351</v>
      </c>
      <c r="AA1747" s="36"/>
      <c r="AB1747" s="36"/>
      <c r="AC1747" s="36"/>
      <c r="AD1747" s="36"/>
      <c r="AE1747" s="36"/>
      <c r="AF1747" s="53" t="s">
        <v>68</v>
      </c>
      <c r="AG1747" s="42"/>
      <c r="AH1747" s="43"/>
      <c r="AI1747" s="43"/>
      <c r="AJ1747" s="43"/>
      <c r="AK1747" s="43"/>
      <c r="AL1747" s="43"/>
      <c r="AM1747" s="43"/>
      <c r="AN1747" s="42"/>
      <c r="AO1747" s="42"/>
      <c r="AP1747" s="42"/>
      <c r="AQ1747" s="43"/>
      <c r="AR1747" s="42"/>
      <c r="AS1747" s="42"/>
    </row>
    <row r="1748" spans="1:45" ht="15" customHeight="1">
      <c r="A1748" s="21" t="s">
        <v>258</v>
      </c>
      <c r="B1748" s="22" t="s">
        <v>46</v>
      </c>
      <c r="C1748" s="21" t="s">
        <v>887</v>
      </c>
      <c r="D1748" s="21" t="s">
        <v>888</v>
      </c>
      <c r="E1748" s="80" t="s">
        <v>2183</v>
      </c>
      <c r="F1748" s="21" t="s">
        <v>2184</v>
      </c>
      <c r="G1748" s="101" t="s">
        <v>77</v>
      </c>
      <c r="H1748" s="25" t="s">
        <v>2213</v>
      </c>
      <c r="I1748" s="65" t="s">
        <v>78</v>
      </c>
      <c r="J1748" s="65" t="s">
        <v>2214</v>
      </c>
      <c r="K1748" s="104"/>
      <c r="L1748" s="48" t="s">
        <v>1592</v>
      </c>
      <c r="M1748" s="27">
        <v>43306</v>
      </c>
      <c r="N1748" s="105" t="s">
        <v>177</v>
      </c>
      <c r="O1748" s="147">
        <v>4000</v>
      </c>
      <c r="P1748" s="147">
        <v>4</v>
      </c>
      <c r="Q1748" s="51">
        <f t="shared" si="40"/>
        <v>16000</v>
      </c>
      <c r="R1748" s="31">
        <v>202310</v>
      </c>
      <c r="S1748" s="54" t="s">
        <v>2227</v>
      </c>
      <c r="T1748" s="33"/>
      <c r="U1748" s="54"/>
      <c r="V1748" s="54"/>
      <c r="W1748" s="52"/>
      <c r="X1748" s="52"/>
      <c r="Y1748" s="36">
        <v>44986</v>
      </c>
      <c r="Z1748" s="36">
        <v>45351</v>
      </c>
      <c r="AA1748" s="36"/>
      <c r="AB1748" s="36"/>
      <c r="AC1748" s="36"/>
      <c r="AD1748" s="36"/>
      <c r="AE1748" s="36"/>
      <c r="AF1748" s="53" t="s">
        <v>68</v>
      </c>
      <c r="AG1748" s="42"/>
      <c r="AH1748" s="43"/>
      <c r="AI1748" s="43"/>
      <c r="AJ1748" s="43"/>
      <c r="AK1748" s="43"/>
      <c r="AL1748" s="43"/>
      <c r="AM1748" s="43"/>
      <c r="AN1748" s="42"/>
      <c r="AO1748" s="42"/>
      <c r="AP1748" s="42"/>
      <c r="AQ1748" s="43"/>
      <c r="AR1748" s="42"/>
      <c r="AS1748" s="42"/>
    </row>
    <row r="1749" spans="1:45" ht="15" customHeight="1">
      <c r="A1749" s="21" t="s">
        <v>258</v>
      </c>
      <c r="B1749" s="22" t="s">
        <v>46</v>
      </c>
      <c r="C1749" s="21" t="s">
        <v>887</v>
      </c>
      <c r="D1749" s="21" t="s">
        <v>888</v>
      </c>
      <c r="E1749" s="80" t="s">
        <v>2183</v>
      </c>
      <c r="F1749" s="21" t="s">
        <v>2184</v>
      </c>
      <c r="G1749" s="101" t="s">
        <v>77</v>
      </c>
      <c r="H1749" s="25" t="s">
        <v>2213</v>
      </c>
      <c r="I1749" s="65" t="s">
        <v>78</v>
      </c>
      <c r="J1749" s="65" t="s">
        <v>2214</v>
      </c>
      <c r="K1749" s="104"/>
      <c r="L1749" s="48" t="s">
        <v>1592</v>
      </c>
      <c r="M1749" s="27">
        <v>43335</v>
      </c>
      <c r="N1749" s="105" t="s">
        <v>177</v>
      </c>
      <c r="O1749" s="147">
        <v>4000</v>
      </c>
      <c r="P1749" s="147">
        <v>13</v>
      </c>
      <c r="Q1749" s="51">
        <f t="shared" si="40"/>
        <v>52000</v>
      </c>
      <c r="R1749" s="31">
        <v>202310</v>
      </c>
      <c r="S1749" s="54" t="s">
        <v>2228</v>
      </c>
      <c r="T1749" s="33"/>
      <c r="U1749" s="54"/>
      <c r="V1749" s="54"/>
      <c r="W1749" s="52"/>
      <c r="X1749" s="52"/>
      <c r="Y1749" s="36">
        <v>44986</v>
      </c>
      <c r="Z1749" s="36">
        <v>45351</v>
      </c>
      <c r="AA1749" s="36"/>
      <c r="AB1749" s="36"/>
      <c r="AC1749" s="36"/>
      <c r="AD1749" s="36"/>
      <c r="AE1749" s="36"/>
      <c r="AF1749" s="53" t="s">
        <v>68</v>
      </c>
      <c r="AG1749" s="42"/>
      <c r="AH1749" s="43"/>
      <c r="AI1749" s="43"/>
      <c r="AJ1749" s="43"/>
      <c r="AK1749" s="43"/>
      <c r="AL1749" s="43"/>
      <c r="AM1749" s="43"/>
      <c r="AN1749" s="42"/>
      <c r="AO1749" s="42"/>
      <c r="AP1749" s="42"/>
      <c r="AQ1749" s="43"/>
      <c r="AR1749" s="42"/>
      <c r="AS1749" s="42"/>
    </row>
    <row r="1750" spans="1:45" ht="15" customHeight="1">
      <c r="A1750" s="21" t="s">
        <v>258</v>
      </c>
      <c r="B1750" s="22" t="s">
        <v>46</v>
      </c>
      <c r="C1750" s="21" t="s">
        <v>887</v>
      </c>
      <c r="D1750" s="21" t="s">
        <v>888</v>
      </c>
      <c r="E1750" s="80" t="s">
        <v>2183</v>
      </c>
      <c r="F1750" s="21" t="s">
        <v>2184</v>
      </c>
      <c r="G1750" s="101" t="s">
        <v>77</v>
      </c>
      <c r="H1750" s="25" t="s">
        <v>2213</v>
      </c>
      <c r="I1750" s="65" t="s">
        <v>78</v>
      </c>
      <c r="J1750" s="65" t="s">
        <v>2214</v>
      </c>
      <c r="K1750" s="104"/>
      <c r="L1750" s="48" t="s">
        <v>1592</v>
      </c>
      <c r="M1750" s="27">
        <v>43336</v>
      </c>
      <c r="N1750" s="105" t="s">
        <v>177</v>
      </c>
      <c r="O1750" s="147">
        <v>4000</v>
      </c>
      <c r="P1750" s="147">
        <v>1</v>
      </c>
      <c r="Q1750" s="51">
        <f t="shared" si="40"/>
        <v>4000</v>
      </c>
      <c r="R1750" s="31">
        <v>202310</v>
      </c>
      <c r="S1750" s="54" t="s">
        <v>2229</v>
      </c>
      <c r="T1750" s="33"/>
      <c r="U1750" s="54"/>
      <c r="V1750" s="54"/>
      <c r="W1750" s="52"/>
      <c r="X1750" s="52"/>
      <c r="Y1750" s="36">
        <v>44986</v>
      </c>
      <c r="Z1750" s="36">
        <v>45351</v>
      </c>
      <c r="AA1750" s="36"/>
      <c r="AB1750" s="36"/>
      <c r="AC1750" s="36"/>
      <c r="AD1750" s="36"/>
      <c r="AE1750" s="36"/>
      <c r="AF1750" s="53" t="s">
        <v>68</v>
      </c>
      <c r="AG1750" s="42"/>
      <c r="AH1750" s="43"/>
      <c r="AI1750" s="43"/>
      <c r="AJ1750" s="43"/>
      <c r="AK1750" s="43"/>
      <c r="AL1750" s="43"/>
      <c r="AM1750" s="43"/>
      <c r="AN1750" s="42"/>
      <c r="AO1750" s="42"/>
      <c r="AP1750" s="42"/>
      <c r="AQ1750" s="43"/>
      <c r="AR1750" s="42"/>
      <c r="AS1750" s="42"/>
    </row>
    <row r="1751" spans="1:45" ht="15" customHeight="1">
      <c r="A1751" s="21" t="s">
        <v>258</v>
      </c>
      <c r="B1751" s="22" t="s">
        <v>46</v>
      </c>
      <c r="C1751" s="21" t="s">
        <v>887</v>
      </c>
      <c r="D1751" s="21" t="s">
        <v>888</v>
      </c>
      <c r="E1751" s="80" t="s">
        <v>2183</v>
      </c>
      <c r="F1751" s="21" t="s">
        <v>2184</v>
      </c>
      <c r="G1751" s="101" t="s">
        <v>77</v>
      </c>
      <c r="H1751" s="25" t="s">
        <v>2213</v>
      </c>
      <c r="I1751" s="65" t="s">
        <v>78</v>
      </c>
      <c r="J1751" s="65" t="s">
        <v>2214</v>
      </c>
      <c r="K1751" s="104"/>
      <c r="L1751" s="48" t="s">
        <v>1592</v>
      </c>
      <c r="M1751" s="27">
        <v>43339</v>
      </c>
      <c r="N1751" s="105" t="s">
        <v>177</v>
      </c>
      <c r="O1751" s="147">
        <v>4000</v>
      </c>
      <c r="P1751" s="147">
        <v>7</v>
      </c>
      <c r="Q1751" s="51">
        <f t="shared" si="40"/>
        <v>28000</v>
      </c>
      <c r="R1751" s="31">
        <v>202310</v>
      </c>
      <c r="S1751" s="54" t="s">
        <v>2230</v>
      </c>
      <c r="T1751" s="33"/>
      <c r="U1751" s="54"/>
      <c r="V1751" s="54"/>
      <c r="W1751" s="52"/>
      <c r="X1751" s="52"/>
      <c r="Y1751" s="36">
        <v>44986</v>
      </c>
      <c r="Z1751" s="36">
        <v>45351</v>
      </c>
      <c r="AA1751" s="36"/>
      <c r="AB1751" s="36"/>
      <c r="AC1751" s="36"/>
      <c r="AD1751" s="36"/>
      <c r="AE1751" s="36"/>
      <c r="AF1751" s="53" t="s">
        <v>68</v>
      </c>
      <c r="AG1751" s="42"/>
      <c r="AH1751" s="43"/>
      <c r="AI1751" s="43"/>
      <c r="AJ1751" s="43"/>
      <c r="AK1751" s="43"/>
      <c r="AL1751" s="43"/>
      <c r="AM1751" s="43"/>
      <c r="AN1751" s="42"/>
      <c r="AO1751" s="42"/>
      <c r="AP1751" s="42"/>
      <c r="AQ1751" s="43"/>
      <c r="AR1751" s="42"/>
      <c r="AS1751" s="42"/>
    </row>
    <row r="1752" spans="1:45" ht="15" customHeight="1">
      <c r="A1752" s="21" t="s">
        <v>258</v>
      </c>
      <c r="B1752" s="22" t="s">
        <v>46</v>
      </c>
      <c r="C1752" s="21" t="s">
        <v>887</v>
      </c>
      <c r="D1752" s="21" t="s">
        <v>888</v>
      </c>
      <c r="E1752" s="80" t="s">
        <v>2183</v>
      </c>
      <c r="F1752" s="21" t="s">
        <v>2184</v>
      </c>
      <c r="G1752" s="101" t="s">
        <v>77</v>
      </c>
      <c r="H1752" s="25" t="s">
        <v>2213</v>
      </c>
      <c r="I1752" s="65" t="s">
        <v>78</v>
      </c>
      <c r="J1752" s="65" t="s">
        <v>2214</v>
      </c>
      <c r="K1752" s="104"/>
      <c r="L1752" s="48" t="s">
        <v>1592</v>
      </c>
      <c r="M1752" s="27">
        <v>43346</v>
      </c>
      <c r="N1752" s="105" t="s">
        <v>177</v>
      </c>
      <c r="O1752" s="147">
        <v>4000</v>
      </c>
      <c r="P1752" s="147">
        <v>10</v>
      </c>
      <c r="Q1752" s="51">
        <f t="shared" si="40"/>
        <v>40000</v>
      </c>
      <c r="R1752" s="31">
        <v>202310</v>
      </c>
      <c r="S1752" s="54" t="s">
        <v>2231</v>
      </c>
      <c r="T1752" s="33"/>
      <c r="U1752" s="54"/>
      <c r="V1752" s="54"/>
      <c r="W1752" s="52"/>
      <c r="X1752" s="52"/>
      <c r="Y1752" s="36">
        <v>44986</v>
      </c>
      <c r="Z1752" s="36">
        <v>45351</v>
      </c>
      <c r="AA1752" s="36"/>
      <c r="AB1752" s="36"/>
      <c r="AC1752" s="36"/>
      <c r="AD1752" s="36"/>
      <c r="AE1752" s="36"/>
      <c r="AF1752" s="53" t="s">
        <v>68</v>
      </c>
      <c r="AG1752" s="42"/>
      <c r="AH1752" s="43"/>
      <c r="AI1752" s="43"/>
      <c r="AJ1752" s="43"/>
      <c r="AK1752" s="43"/>
      <c r="AL1752" s="43"/>
      <c r="AM1752" s="43"/>
      <c r="AN1752" s="42"/>
      <c r="AO1752" s="42"/>
      <c r="AP1752" s="42"/>
      <c r="AQ1752" s="43"/>
      <c r="AR1752" s="42"/>
      <c r="AS1752" s="42"/>
    </row>
    <row r="1753" spans="1:45" ht="15" customHeight="1">
      <c r="A1753" s="21" t="s">
        <v>258</v>
      </c>
      <c r="B1753" s="22" t="s">
        <v>46</v>
      </c>
      <c r="C1753" s="21" t="s">
        <v>887</v>
      </c>
      <c r="D1753" s="21" t="s">
        <v>888</v>
      </c>
      <c r="E1753" s="80" t="s">
        <v>2183</v>
      </c>
      <c r="F1753" s="21" t="s">
        <v>2184</v>
      </c>
      <c r="G1753" s="101" t="s">
        <v>77</v>
      </c>
      <c r="H1753" s="25" t="s">
        <v>2213</v>
      </c>
      <c r="I1753" s="65" t="s">
        <v>78</v>
      </c>
      <c r="J1753" s="65" t="s">
        <v>2214</v>
      </c>
      <c r="K1753" s="104"/>
      <c r="L1753" s="48" t="s">
        <v>1592</v>
      </c>
      <c r="M1753" s="27">
        <v>43353</v>
      </c>
      <c r="N1753" s="105" t="s">
        <v>177</v>
      </c>
      <c r="O1753" s="147">
        <v>4000</v>
      </c>
      <c r="P1753" s="147">
        <v>10</v>
      </c>
      <c r="Q1753" s="51">
        <f t="shared" si="40"/>
        <v>40000</v>
      </c>
      <c r="R1753" s="31">
        <v>202310</v>
      </c>
      <c r="S1753" s="54" t="s">
        <v>2232</v>
      </c>
      <c r="T1753" s="33"/>
      <c r="U1753" s="54"/>
      <c r="V1753" s="54"/>
      <c r="W1753" s="52"/>
      <c r="X1753" s="52"/>
      <c r="Y1753" s="36">
        <v>44986</v>
      </c>
      <c r="Z1753" s="36">
        <v>45351</v>
      </c>
      <c r="AA1753" s="36"/>
      <c r="AB1753" s="36"/>
      <c r="AC1753" s="36"/>
      <c r="AD1753" s="36"/>
      <c r="AE1753" s="36"/>
      <c r="AF1753" s="53" t="s">
        <v>68</v>
      </c>
      <c r="AG1753" s="42"/>
      <c r="AH1753" s="43"/>
      <c r="AI1753" s="43"/>
      <c r="AJ1753" s="43"/>
      <c r="AK1753" s="43"/>
      <c r="AL1753" s="43"/>
      <c r="AM1753" s="43"/>
      <c r="AN1753" s="42"/>
      <c r="AO1753" s="42"/>
      <c r="AP1753" s="42"/>
      <c r="AQ1753" s="43"/>
      <c r="AR1753" s="42"/>
      <c r="AS1753" s="42"/>
    </row>
    <row r="1754" spans="1:45" ht="15" customHeight="1">
      <c r="A1754" s="21" t="s">
        <v>258</v>
      </c>
      <c r="B1754" s="22" t="s">
        <v>46</v>
      </c>
      <c r="C1754" s="21" t="s">
        <v>887</v>
      </c>
      <c r="D1754" s="21" t="s">
        <v>888</v>
      </c>
      <c r="E1754" s="80" t="s">
        <v>2183</v>
      </c>
      <c r="F1754" s="21" t="s">
        <v>2184</v>
      </c>
      <c r="G1754" s="101" t="s">
        <v>77</v>
      </c>
      <c r="H1754" s="25" t="s">
        <v>2213</v>
      </c>
      <c r="I1754" s="65" t="s">
        <v>78</v>
      </c>
      <c r="J1754" s="65" t="s">
        <v>2214</v>
      </c>
      <c r="K1754" s="104"/>
      <c r="L1754" s="48" t="s">
        <v>1592</v>
      </c>
      <c r="M1754" s="27">
        <v>43360</v>
      </c>
      <c r="N1754" s="105" t="s">
        <v>177</v>
      </c>
      <c r="O1754" s="147">
        <v>4000</v>
      </c>
      <c r="P1754" s="147">
        <v>1</v>
      </c>
      <c r="Q1754" s="51">
        <f t="shared" si="40"/>
        <v>4000</v>
      </c>
      <c r="R1754" s="31">
        <v>202310</v>
      </c>
      <c r="S1754" s="54" t="s">
        <v>2233</v>
      </c>
      <c r="T1754" s="33"/>
      <c r="U1754" s="54"/>
      <c r="V1754" s="54"/>
      <c r="W1754" s="52"/>
      <c r="X1754" s="52"/>
      <c r="Y1754" s="36">
        <v>44986</v>
      </c>
      <c r="Z1754" s="36">
        <v>45351</v>
      </c>
      <c r="AA1754" s="36"/>
      <c r="AB1754" s="36"/>
      <c r="AC1754" s="36"/>
      <c r="AD1754" s="36"/>
      <c r="AE1754" s="36"/>
      <c r="AF1754" s="53" t="s">
        <v>68</v>
      </c>
      <c r="AG1754" s="42"/>
      <c r="AH1754" s="43"/>
      <c r="AI1754" s="43"/>
      <c r="AJ1754" s="43"/>
      <c r="AK1754" s="43"/>
      <c r="AL1754" s="43"/>
      <c r="AM1754" s="43"/>
      <c r="AN1754" s="42"/>
      <c r="AO1754" s="42"/>
      <c r="AP1754" s="42"/>
      <c r="AQ1754" s="43"/>
      <c r="AR1754" s="42"/>
      <c r="AS1754" s="42"/>
    </row>
    <row r="1755" spans="1:45" ht="15" customHeight="1">
      <c r="A1755" s="21" t="s">
        <v>258</v>
      </c>
      <c r="B1755" s="22" t="s">
        <v>46</v>
      </c>
      <c r="C1755" s="21" t="s">
        <v>887</v>
      </c>
      <c r="D1755" s="21" t="s">
        <v>888</v>
      </c>
      <c r="E1755" s="80" t="s">
        <v>2183</v>
      </c>
      <c r="F1755" s="21" t="s">
        <v>2184</v>
      </c>
      <c r="G1755" s="101" t="s">
        <v>77</v>
      </c>
      <c r="H1755" s="25" t="s">
        <v>2213</v>
      </c>
      <c r="I1755" s="65" t="s">
        <v>78</v>
      </c>
      <c r="J1755" s="65" t="s">
        <v>2214</v>
      </c>
      <c r="K1755" s="104"/>
      <c r="L1755" s="48" t="s">
        <v>1592</v>
      </c>
      <c r="M1755" s="27">
        <v>43404</v>
      </c>
      <c r="N1755" s="105" t="s">
        <v>177</v>
      </c>
      <c r="O1755" s="147">
        <v>4000</v>
      </c>
      <c r="P1755" s="147">
        <v>12</v>
      </c>
      <c r="Q1755" s="51">
        <f t="shared" si="40"/>
        <v>48000</v>
      </c>
      <c r="R1755" s="31">
        <v>202310</v>
      </c>
      <c r="S1755" s="54" t="s">
        <v>2234</v>
      </c>
      <c r="T1755" s="33"/>
      <c r="U1755" s="54"/>
      <c r="V1755" s="54"/>
      <c r="W1755" s="52"/>
      <c r="X1755" s="52"/>
      <c r="Y1755" s="36">
        <v>44986</v>
      </c>
      <c r="Z1755" s="36">
        <v>45351</v>
      </c>
      <c r="AA1755" s="36"/>
      <c r="AB1755" s="36"/>
      <c r="AC1755" s="36"/>
      <c r="AD1755" s="36"/>
      <c r="AE1755" s="36"/>
      <c r="AF1755" s="53" t="s">
        <v>68</v>
      </c>
      <c r="AG1755" s="42"/>
      <c r="AH1755" s="43"/>
      <c r="AI1755" s="43"/>
      <c r="AJ1755" s="43"/>
      <c r="AK1755" s="43"/>
      <c r="AL1755" s="43"/>
      <c r="AM1755" s="43"/>
      <c r="AN1755" s="42"/>
      <c r="AO1755" s="42"/>
      <c r="AP1755" s="42"/>
      <c r="AQ1755" s="43"/>
      <c r="AR1755" s="42"/>
      <c r="AS1755" s="42"/>
    </row>
    <row r="1756" spans="1:45" ht="15" customHeight="1">
      <c r="A1756" s="21" t="s">
        <v>258</v>
      </c>
      <c r="B1756" s="22" t="s">
        <v>46</v>
      </c>
      <c r="C1756" s="21" t="s">
        <v>887</v>
      </c>
      <c r="D1756" s="21" t="s">
        <v>888</v>
      </c>
      <c r="E1756" s="80" t="s">
        <v>2183</v>
      </c>
      <c r="F1756" s="21" t="s">
        <v>2184</v>
      </c>
      <c r="G1756" s="101" t="s">
        <v>77</v>
      </c>
      <c r="H1756" s="25" t="s">
        <v>2213</v>
      </c>
      <c r="I1756" s="65" t="s">
        <v>78</v>
      </c>
      <c r="J1756" s="65" t="s">
        <v>2214</v>
      </c>
      <c r="K1756" s="104"/>
      <c r="L1756" s="48" t="s">
        <v>1592</v>
      </c>
      <c r="M1756" s="27">
        <v>43412</v>
      </c>
      <c r="N1756" s="105" t="s">
        <v>177</v>
      </c>
      <c r="O1756" s="147">
        <v>4000</v>
      </c>
      <c r="P1756" s="147">
        <v>25</v>
      </c>
      <c r="Q1756" s="51">
        <f t="shared" si="40"/>
        <v>100000</v>
      </c>
      <c r="R1756" s="31">
        <v>202310</v>
      </c>
      <c r="S1756" s="54" t="s">
        <v>2235</v>
      </c>
      <c r="T1756" s="33"/>
      <c r="U1756" s="54"/>
      <c r="V1756" s="54"/>
      <c r="W1756" s="52"/>
      <c r="X1756" s="52"/>
      <c r="Y1756" s="36">
        <v>44986</v>
      </c>
      <c r="Z1756" s="36">
        <v>45351</v>
      </c>
      <c r="AA1756" s="36"/>
      <c r="AB1756" s="36"/>
      <c r="AC1756" s="36"/>
      <c r="AD1756" s="36"/>
      <c r="AE1756" s="36"/>
      <c r="AF1756" s="53" t="s">
        <v>68</v>
      </c>
      <c r="AG1756" s="42"/>
      <c r="AH1756" s="43"/>
      <c r="AI1756" s="43"/>
      <c r="AJ1756" s="43"/>
      <c r="AK1756" s="43"/>
      <c r="AL1756" s="43"/>
      <c r="AM1756" s="43"/>
      <c r="AN1756" s="42"/>
      <c r="AO1756" s="42"/>
      <c r="AP1756" s="42"/>
      <c r="AQ1756" s="43"/>
      <c r="AR1756" s="42"/>
      <c r="AS1756" s="42"/>
    </row>
    <row r="1757" spans="1:45" ht="15" customHeight="1">
      <c r="A1757" s="21" t="s">
        <v>258</v>
      </c>
      <c r="B1757" s="22" t="s">
        <v>46</v>
      </c>
      <c r="C1757" s="21" t="s">
        <v>887</v>
      </c>
      <c r="D1757" s="21" t="s">
        <v>888</v>
      </c>
      <c r="E1757" s="80" t="s">
        <v>2183</v>
      </c>
      <c r="F1757" s="21" t="s">
        <v>2184</v>
      </c>
      <c r="G1757" s="101" t="s">
        <v>77</v>
      </c>
      <c r="H1757" s="25" t="s">
        <v>2213</v>
      </c>
      <c r="I1757" s="65" t="s">
        <v>78</v>
      </c>
      <c r="J1757" s="65" t="s">
        <v>2214</v>
      </c>
      <c r="K1757" s="104"/>
      <c r="L1757" s="48" t="s">
        <v>1592</v>
      </c>
      <c r="M1757" s="27">
        <v>43416</v>
      </c>
      <c r="N1757" s="105" t="s">
        <v>177</v>
      </c>
      <c r="O1757" s="147">
        <v>4000</v>
      </c>
      <c r="P1757" s="147">
        <v>2</v>
      </c>
      <c r="Q1757" s="51">
        <f t="shared" si="40"/>
        <v>8000</v>
      </c>
      <c r="R1757" s="31">
        <v>202310</v>
      </c>
      <c r="S1757" s="54" t="s">
        <v>2236</v>
      </c>
      <c r="T1757" s="33"/>
      <c r="U1757" s="54"/>
      <c r="V1757" s="54"/>
      <c r="W1757" s="52"/>
      <c r="X1757" s="52"/>
      <c r="Y1757" s="36">
        <v>44986</v>
      </c>
      <c r="Z1757" s="36">
        <v>45351</v>
      </c>
      <c r="AA1757" s="36"/>
      <c r="AB1757" s="36"/>
      <c r="AC1757" s="36"/>
      <c r="AD1757" s="36"/>
      <c r="AE1757" s="36"/>
      <c r="AF1757" s="53" t="s">
        <v>68</v>
      </c>
      <c r="AG1757" s="42"/>
      <c r="AH1757" s="43"/>
      <c r="AI1757" s="43"/>
      <c r="AJ1757" s="43"/>
      <c r="AK1757" s="43"/>
      <c r="AL1757" s="43"/>
      <c r="AM1757" s="43"/>
      <c r="AN1757" s="42"/>
      <c r="AO1757" s="42"/>
      <c r="AP1757" s="42"/>
      <c r="AQ1757" s="43"/>
      <c r="AR1757" s="42"/>
      <c r="AS1757" s="42"/>
    </row>
    <row r="1758" spans="1:45" ht="15" customHeight="1">
      <c r="A1758" s="21" t="s">
        <v>258</v>
      </c>
      <c r="B1758" s="22" t="s">
        <v>46</v>
      </c>
      <c r="C1758" s="21" t="s">
        <v>887</v>
      </c>
      <c r="D1758" s="21" t="s">
        <v>888</v>
      </c>
      <c r="E1758" s="80" t="s">
        <v>2183</v>
      </c>
      <c r="F1758" s="21" t="s">
        <v>2184</v>
      </c>
      <c r="G1758" s="101" t="s">
        <v>77</v>
      </c>
      <c r="H1758" s="25" t="s">
        <v>2213</v>
      </c>
      <c r="I1758" s="65" t="s">
        <v>78</v>
      </c>
      <c r="J1758" s="65" t="s">
        <v>2214</v>
      </c>
      <c r="K1758" s="104"/>
      <c r="L1758" s="48" t="s">
        <v>1592</v>
      </c>
      <c r="M1758" s="27">
        <v>43417</v>
      </c>
      <c r="N1758" s="105" t="s">
        <v>177</v>
      </c>
      <c r="O1758" s="147">
        <v>4000</v>
      </c>
      <c r="P1758" s="147">
        <v>9</v>
      </c>
      <c r="Q1758" s="51">
        <f t="shared" si="40"/>
        <v>36000</v>
      </c>
      <c r="R1758" s="31">
        <v>202310</v>
      </c>
      <c r="S1758" s="54" t="s">
        <v>2237</v>
      </c>
      <c r="T1758" s="33"/>
      <c r="U1758" s="54"/>
      <c r="V1758" s="54"/>
      <c r="W1758" s="52"/>
      <c r="X1758" s="52"/>
      <c r="Y1758" s="36">
        <v>44986</v>
      </c>
      <c r="Z1758" s="36">
        <v>45351</v>
      </c>
      <c r="AA1758" s="36"/>
      <c r="AB1758" s="36"/>
      <c r="AC1758" s="36"/>
      <c r="AD1758" s="36"/>
      <c r="AE1758" s="36"/>
      <c r="AF1758" s="53" t="s">
        <v>68</v>
      </c>
      <c r="AG1758" s="42"/>
      <c r="AH1758" s="43"/>
      <c r="AI1758" s="43"/>
      <c r="AJ1758" s="43"/>
      <c r="AK1758" s="43"/>
      <c r="AL1758" s="43"/>
      <c r="AM1758" s="43"/>
      <c r="AN1758" s="42"/>
      <c r="AO1758" s="42"/>
      <c r="AP1758" s="42"/>
      <c r="AQ1758" s="43"/>
      <c r="AR1758" s="42"/>
      <c r="AS1758" s="42"/>
    </row>
    <row r="1759" spans="1:45" ht="15" customHeight="1">
      <c r="A1759" s="21" t="s">
        <v>258</v>
      </c>
      <c r="B1759" s="22" t="s">
        <v>46</v>
      </c>
      <c r="C1759" s="21" t="s">
        <v>887</v>
      </c>
      <c r="D1759" s="21" t="s">
        <v>888</v>
      </c>
      <c r="E1759" s="80" t="s">
        <v>2183</v>
      </c>
      <c r="F1759" s="21" t="s">
        <v>2184</v>
      </c>
      <c r="G1759" s="101" t="s">
        <v>77</v>
      </c>
      <c r="H1759" s="25" t="s">
        <v>2213</v>
      </c>
      <c r="I1759" s="65" t="s">
        <v>78</v>
      </c>
      <c r="J1759" s="65" t="s">
        <v>2214</v>
      </c>
      <c r="K1759" s="104"/>
      <c r="L1759" s="48" t="s">
        <v>1592</v>
      </c>
      <c r="M1759" s="27">
        <v>43424</v>
      </c>
      <c r="N1759" s="105" t="s">
        <v>177</v>
      </c>
      <c r="O1759" s="147">
        <v>4000</v>
      </c>
      <c r="P1759" s="147">
        <v>2</v>
      </c>
      <c r="Q1759" s="51">
        <f t="shared" si="40"/>
        <v>8000</v>
      </c>
      <c r="R1759" s="31">
        <v>202310</v>
      </c>
      <c r="S1759" s="54" t="s">
        <v>2238</v>
      </c>
      <c r="T1759" s="33"/>
      <c r="U1759" s="54"/>
      <c r="V1759" s="54"/>
      <c r="W1759" s="52"/>
      <c r="X1759" s="52"/>
      <c r="Y1759" s="36">
        <v>44986</v>
      </c>
      <c r="Z1759" s="36">
        <v>45351</v>
      </c>
      <c r="AA1759" s="36"/>
      <c r="AB1759" s="36"/>
      <c r="AC1759" s="36"/>
      <c r="AD1759" s="36"/>
      <c r="AE1759" s="36"/>
      <c r="AF1759" s="53" t="s">
        <v>68</v>
      </c>
      <c r="AG1759" s="42"/>
      <c r="AH1759" s="43"/>
      <c r="AI1759" s="43"/>
      <c r="AJ1759" s="43"/>
      <c r="AK1759" s="43"/>
      <c r="AL1759" s="43"/>
      <c r="AM1759" s="43"/>
      <c r="AN1759" s="42"/>
      <c r="AO1759" s="42"/>
      <c r="AP1759" s="42"/>
      <c r="AQ1759" s="43"/>
      <c r="AR1759" s="42"/>
      <c r="AS1759" s="42"/>
    </row>
    <row r="1760" spans="1:45" ht="15" customHeight="1">
      <c r="A1760" s="21" t="s">
        <v>258</v>
      </c>
      <c r="B1760" s="22" t="s">
        <v>46</v>
      </c>
      <c r="C1760" s="21" t="s">
        <v>887</v>
      </c>
      <c r="D1760" s="21" t="s">
        <v>888</v>
      </c>
      <c r="E1760" s="80" t="s">
        <v>2183</v>
      </c>
      <c r="F1760" s="21" t="s">
        <v>2184</v>
      </c>
      <c r="G1760" s="101" t="s">
        <v>77</v>
      </c>
      <c r="H1760" s="25" t="s">
        <v>2213</v>
      </c>
      <c r="I1760" s="65" t="s">
        <v>78</v>
      </c>
      <c r="J1760" s="65" t="s">
        <v>2214</v>
      </c>
      <c r="K1760" s="104"/>
      <c r="L1760" s="48" t="s">
        <v>1592</v>
      </c>
      <c r="M1760" s="27">
        <v>43434</v>
      </c>
      <c r="N1760" s="105" t="s">
        <v>177</v>
      </c>
      <c r="O1760" s="147">
        <v>4000</v>
      </c>
      <c r="P1760" s="147">
        <v>-2</v>
      </c>
      <c r="Q1760" s="51">
        <f t="shared" si="40"/>
        <v>-8000</v>
      </c>
      <c r="R1760" s="31">
        <v>202310</v>
      </c>
      <c r="S1760" s="54" t="s">
        <v>2239</v>
      </c>
      <c r="T1760" s="33"/>
      <c r="U1760" s="54"/>
      <c r="V1760" s="54"/>
      <c r="W1760" s="52"/>
      <c r="X1760" s="52"/>
      <c r="Y1760" s="36">
        <v>44986</v>
      </c>
      <c r="Z1760" s="36">
        <v>45351</v>
      </c>
      <c r="AA1760" s="36"/>
      <c r="AB1760" s="36"/>
      <c r="AC1760" s="36"/>
      <c r="AD1760" s="36"/>
      <c r="AE1760" s="36"/>
      <c r="AF1760" s="53" t="s">
        <v>68</v>
      </c>
      <c r="AG1760" s="42"/>
      <c r="AH1760" s="43"/>
      <c r="AI1760" s="43"/>
      <c r="AJ1760" s="43"/>
      <c r="AK1760" s="43"/>
      <c r="AL1760" s="43"/>
      <c r="AM1760" s="43"/>
      <c r="AN1760" s="42"/>
      <c r="AO1760" s="42"/>
      <c r="AP1760" s="42"/>
      <c r="AQ1760" s="43"/>
      <c r="AR1760" s="42"/>
      <c r="AS1760" s="42"/>
    </row>
    <row r="1761" spans="1:45" ht="15" customHeight="1">
      <c r="A1761" s="21" t="s">
        <v>258</v>
      </c>
      <c r="B1761" s="22" t="s">
        <v>46</v>
      </c>
      <c r="C1761" s="21" t="s">
        <v>887</v>
      </c>
      <c r="D1761" s="21" t="s">
        <v>888</v>
      </c>
      <c r="E1761" s="80" t="s">
        <v>2183</v>
      </c>
      <c r="F1761" s="21" t="s">
        <v>2184</v>
      </c>
      <c r="G1761" s="101" t="s">
        <v>77</v>
      </c>
      <c r="H1761" s="25" t="s">
        <v>2213</v>
      </c>
      <c r="I1761" s="65" t="s">
        <v>78</v>
      </c>
      <c r="J1761" s="65" t="s">
        <v>2214</v>
      </c>
      <c r="K1761" s="104"/>
      <c r="L1761" s="48" t="s">
        <v>1592</v>
      </c>
      <c r="M1761" s="27">
        <v>43434</v>
      </c>
      <c r="N1761" s="105" t="s">
        <v>177</v>
      </c>
      <c r="O1761" s="147">
        <v>4000</v>
      </c>
      <c r="P1761" s="147">
        <v>11</v>
      </c>
      <c r="Q1761" s="51">
        <f t="shared" si="40"/>
        <v>44000</v>
      </c>
      <c r="R1761" s="31">
        <v>202310</v>
      </c>
      <c r="S1761" s="54" t="s">
        <v>2240</v>
      </c>
      <c r="T1761" s="33"/>
      <c r="U1761" s="54"/>
      <c r="V1761" s="54"/>
      <c r="W1761" s="52"/>
      <c r="X1761" s="52"/>
      <c r="Y1761" s="36">
        <v>44986</v>
      </c>
      <c r="Z1761" s="36">
        <v>45351</v>
      </c>
      <c r="AA1761" s="36"/>
      <c r="AB1761" s="36"/>
      <c r="AC1761" s="36"/>
      <c r="AD1761" s="36"/>
      <c r="AE1761" s="36"/>
      <c r="AF1761" s="53" t="s">
        <v>68</v>
      </c>
      <c r="AG1761" s="42"/>
      <c r="AH1761" s="43"/>
      <c r="AI1761" s="43"/>
      <c r="AJ1761" s="43"/>
      <c r="AK1761" s="43"/>
      <c r="AL1761" s="43"/>
      <c r="AM1761" s="43"/>
      <c r="AN1761" s="42"/>
      <c r="AO1761" s="42"/>
      <c r="AP1761" s="42"/>
      <c r="AQ1761" s="43"/>
      <c r="AR1761" s="42"/>
      <c r="AS1761" s="42"/>
    </row>
    <row r="1762" spans="1:45" ht="15" customHeight="1">
      <c r="A1762" s="21" t="s">
        <v>258</v>
      </c>
      <c r="B1762" s="22" t="s">
        <v>46</v>
      </c>
      <c r="C1762" s="21" t="s">
        <v>887</v>
      </c>
      <c r="D1762" s="21" t="s">
        <v>888</v>
      </c>
      <c r="E1762" s="80" t="s">
        <v>2183</v>
      </c>
      <c r="F1762" s="21" t="s">
        <v>2184</v>
      </c>
      <c r="G1762" s="101" t="s">
        <v>77</v>
      </c>
      <c r="H1762" s="25" t="s">
        <v>2213</v>
      </c>
      <c r="I1762" s="65" t="s">
        <v>78</v>
      </c>
      <c r="J1762" s="65" t="s">
        <v>2214</v>
      </c>
      <c r="K1762" s="104"/>
      <c r="L1762" s="48" t="s">
        <v>1592</v>
      </c>
      <c r="M1762" s="27">
        <v>43436</v>
      </c>
      <c r="N1762" s="105" t="s">
        <v>177</v>
      </c>
      <c r="O1762" s="147">
        <v>4000</v>
      </c>
      <c r="P1762" s="147">
        <v>1</v>
      </c>
      <c r="Q1762" s="51">
        <f t="shared" si="40"/>
        <v>4000</v>
      </c>
      <c r="R1762" s="31">
        <v>202310</v>
      </c>
      <c r="S1762" s="54" t="s">
        <v>2241</v>
      </c>
      <c r="T1762" s="33"/>
      <c r="U1762" s="54"/>
      <c r="V1762" s="54"/>
      <c r="W1762" s="52"/>
      <c r="X1762" s="52"/>
      <c r="Y1762" s="36">
        <v>44986</v>
      </c>
      <c r="Z1762" s="36">
        <v>45351</v>
      </c>
      <c r="AA1762" s="36"/>
      <c r="AB1762" s="36"/>
      <c r="AC1762" s="36"/>
      <c r="AD1762" s="36"/>
      <c r="AE1762" s="36"/>
      <c r="AF1762" s="53" t="s">
        <v>68</v>
      </c>
      <c r="AG1762" s="42"/>
      <c r="AH1762" s="43"/>
      <c r="AI1762" s="43"/>
      <c r="AJ1762" s="43"/>
      <c r="AK1762" s="43"/>
      <c r="AL1762" s="43"/>
      <c r="AM1762" s="43"/>
      <c r="AN1762" s="42"/>
      <c r="AO1762" s="42"/>
      <c r="AP1762" s="42"/>
      <c r="AQ1762" s="43"/>
      <c r="AR1762" s="42"/>
      <c r="AS1762" s="42"/>
    </row>
    <row r="1763" spans="1:45" ht="15" customHeight="1">
      <c r="A1763" s="21" t="s">
        <v>258</v>
      </c>
      <c r="B1763" s="22" t="s">
        <v>46</v>
      </c>
      <c r="C1763" s="21" t="s">
        <v>887</v>
      </c>
      <c r="D1763" s="21" t="s">
        <v>888</v>
      </c>
      <c r="E1763" s="80" t="s">
        <v>2183</v>
      </c>
      <c r="F1763" s="21" t="s">
        <v>2184</v>
      </c>
      <c r="G1763" s="101" t="s">
        <v>77</v>
      </c>
      <c r="H1763" s="25" t="s">
        <v>2213</v>
      </c>
      <c r="I1763" s="65" t="s">
        <v>78</v>
      </c>
      <c r="J1763" s="65" t="s">
        <v>2214</v>
      </c>
      <c r="K1763" s="104"/>
      <c r="L1763" s="48" t="s">
        <v>1592</v>
      </c>
      <c r="M1763" s="27">
        <v>43462</v>
      </c>
      <c r="N1763" s="105" t="s">
        <v>177</v>
      </c>
      <c r="O1763" s="147">
        <v>4000</v>
      </c>
      <c r="P1763" s="147">
        <v>4</v>
      </c>
      <c r="Q1763" s="51">
        <f t="shared" si="40"/>
        <v>16000</v>
      </c>
      <c r="R1763" s="31">
        <v>202310</v>
      </c>
      <c r="S1763" s="54" t="s">
        <v>2242</v>
      </c>
      <c r="T1763" s="33"/>
      <c r="U1763" s="54"/>
      <c r="V1763" s="54"/>
      <c r="W1763" s="52"/>
      <c r="X1763" s="52"/>
      <c r="Y1763" s="36">
        <v>44986</v>
      </c>
      <c r="Z1763" s="36">
        <v>45351</v>
      </c>
      <c r="AA1763" s="36"/>
      <c r="AB1763" s="36"/>
      <c r="AC1763" s="36"/>
      <c r="AD1763" s="36"/>
      <c r="AE1763" s="36"/>
      <c r="AF1763" s="53" t="s">
        <v>68</v>
      </c>
      <c r="AG1763" s="42"/>
      <c r="AH1763" s="43"/>
      <c r="AI1763" s="43"/>
      <c r="AJ1763" s="43"/>
      <c r="AK1763" s="43"/>
      <c r="AL1763" s="43"/>
      <c r="AM1763" s="43"/>
      <c r="AN1763" s="42"/>
      <c r="AO1763" s="42"/>
      <c r="AP1763" s="42"/>
      <c r="AQ1763" s="43"/>
      <c r="AR1763" s="42"/>
      <c r="AS1763" s="42"/>
    </row>
    <row r="1764" spans="1:45" ht="15" customHeight="1">
      <c r="A1764" s="21" t="s">
        <v>258</v>
      </c>
      <c r="B1764" s="22" t="s">
        <v>46</v>
      </c>
      <c r="C1764" s="21" t="s">
        <v>887</v>
      </c>
      <c r="D1764" s="21" t="s">
        <v>888</v>
      </c>
      <c r="E1764" s="80" t="s">
        <v>2183</v>
      </c>
      <c r="F1764" s="21" t="s">
        <v>2184</v>
      </c>
      <c r="G1764" s="101" t="s">
        <v>77</v>
      </c>
      <c r="H1764" s="25" t="s">
        <v>2213</v>
      </c>
      <c r="I1764" s="65" t="s">
        <v>78</v>
      </c>
      <c r="J1764" s="65" t="s">
        <v>2214</v>
      </c>
      <c r="K1764" s="104"/>
      <c r="L1764" s="48" t="s">
        <v>1592</v>
      </c>
      <c r="M1764" s="27">
        <v>43484</v>
      </c>
      <c r="N1764" s="105" t="s">
        <v>177</v>
      </c>
      <c r="O1764" s="147">
        <v>4000</v>
      </c>
      <c r="P1764" s="147">
        <v>20</v>
      </c>
      <c r="Q1764" s="51">
        <f t="shared" si="40"/>
        <v>80000</v>
      </c>
      <c r="R1764" s="31">
        <v>202310</v>
      </c>
      <c r="S1764" s="54" t="s">
        <v>2243</v>
      </c>
      <c r="T1764" s="33"/>
      <c r="U1764" s="54"/>
      <c r="V1764" s="54"/>
      <c r="W1764" s="52"/>
      <c r="X1764" s="52"/>
      <c r="Y1764" s="36">
        <v>44986</v>
      </c>
      <c r="Z1764" s="36">
        <v>45351</v>
      </c>
      <c r="AA1764" s="36"/>
      <c r="AB1764" s="36"/>
      <c r="AC1764" s="36"/>
      <c r="AD1764" s="36"/>
      <c r="AE1764" s="36"/>
      <c r="AF1764" s="53" t="s">
        <v>68</v>
      </c>
      <c r="AG1764" s="42"/>
      <c r="AH1764" s="43"/>
      <c r="AI1764" s="43"/>
      <c r="AJ1764" s="43"/>
      <c r="AK1764" s="43"/>
      <c r="AL1764" s="43"/>
      <c r="AM1764" s="43"/>
      <c r="AN1764" s="42"/>
      <c r="AO1764" s="42"/>
      <c r="AP1764" s="42"/>
      <c r="AQ1764" s="43"/>
      <c r="AR1764" s="42"/>
      <c r="AS1764" s="42"/>
    </row>
    <row r="1765" spans="1:45" ht="15" customHeight="1">
      <c r="A1765" s="21" t="s">
        <v>258</v>
      </c>
      <c r="B1765" s="22" t="s">
        <v>46</v>
      </c>
      <c r="C1765" s="21" t="s">
        <v>887</v>
      </c>
      <c r="D1765" s="21" t="s">
        <v>888</v>
      </c>
      <c r="E1765" s="80" t="s">
        <v>2183</v>
      </c>
      <c r="F1765" s="21" t="s">
        <v>2184</v>
      </c>
      <c r="G1765" s="101" t="s">
        <v>77</v>
      </c>
      <c r="H1765" s="25" t="s">
        <v>2213</v>
      </c>
      <c r="I1765" s="65" t="s">
        <v>78</v>
      </c>
      <c r="J1765" s="65" t="s">
        <v>2214</v>
      </c>
      <c r="K1765" s="104"/>
      <c r="L1765" s="48" t="s">
        <v>1592</v>
      </c>
      <c r="M1765" s="27">
        <v>43484</v>
      </c>
      <c r="N1765" s="105" t="s">
        <v>177</v>
      </c>
      <c r="O1765" s="147">
        <v>4000</v>
      </c>
      <c r="P1765" s="147">
        <v>20</v>
      </c>
      <c r="Q1765" s="51">
        <f t="shared" si="40"/>
        <v>80000</v>
      </c>
      <c r="R1765" s="31">
        <v>202310</v>
      </c>
      <c r="S1765" s="54" t="s">
        <v>2244</v>
      </c>
      <c r="T1765" s="33"/>
      <c r="U1765" s="54"/>
      <c r="V1765" s="54"/>
      <c r="W1765" s="52"/>
      <c r="X1765" s="52"/>
      <c r="Y1765" s="36">
        <v>44986</v>
      </c>
      <c r="Z1765" s="36">
        <v>45351</v>
      </c>
      <c r="AA1765" s="36"/>
      <c r="AB1765" s="36"/>
      <c r="AC1765" s="36"/>
      <c r="AD1765" s="36"/>
      <c r="AE1765" s="36"/>
      <c r="AF1765" s="53" t="s">
        <v>68</v>
      </c>
      <c r="AG1765" s="42"/>
      <c r="AH1765" s="43"/>
      <c r="AI1765" s="43"/>
      <c r="AJ1765" s="43"/>
      <c r="AK1765" s="43"/>
      <c r="AL1765" s="43"/>
      <c r="AM1765" s="43"/>
      <c r="AN1765" s="42"/>
      <c r="AO1765" s="42"/>
      <c r="AP1765" s="42"/>
      <c r="AQ1765" s="43"/>
      <c r="AR1765" s="42"/>
      <c r="AS1765" s="42"/>
    </row>
    <row r="1766" spans="1:45" ht="15" customHeight="1">
      <c r="A1766" s="21" t="s">
        <v>258</v>
      </c>
      <c r="B1766" s="22" t="s">
        <v>46</v>
      </c>
      <c r="C1766" s="21" t="s">
        <v>887</v>
      </c>
      <c r="D1766" s="21" t="s">
        <v>888</v>
      </c>
      <c r="E1766" s="80" t="s">
        <v>2183</v>
      </c>
      <c r="F1766" s="21" t="s">
        <v>2184</v>
      </c>
      <c r="G1766" s="101" t="s">
        <v>77</v>
      </c>
      <c r="H1766" s="25" t="s">
        <v>2213</v>
      </c>
      <c r="I1766" s="65" t="s">
        <v>78</v>
      </c>
      <c r="J1766" s="65" t="s">
        <v>2214</v>
      </c>
      <c r="K1766" s="104"/>
      <c r="L1766" s="48" t="s">
        <v>1592</v>
      </c>
      <c r="M1766" s="27">
        <v>43486</v>
      </c>
      <c r="N1766" s="105" t="s">
        <v>177</v>
      </c>
      <c r="O1766" s="147">
        <v>4000</v>
      </c>
      <c r="P1766" s="147">
        <v>26</v>
      </c>
      <c r="Q1766" s="51">
        <f t="shared" si="40"/>
        <v>104000</v>
      </c>
      <c r="R1766" s="31">
        <v>202310</v>
      </c>
      <c r="S1766" s="54" t="s">
        <v>2245</v>
      </c>
      <c r="T1766" s="33"/>
      <c r="U1766" s="54"/>
      <c r="V1766" s="54"/>
      <c r="W1766" s="52"/>
      <c r="X1766" s="52"/>
      <c r="Y1766" s="36">
        <v>44986</v>
      </c>
      <c r="Z1766" s="36">
        <v>45351</v>
      </c>
      <c r="AA1766" s="36"/>
      <c r="AB1766" s="36"/>
      <c r="AC1766" s="36"/>
      <c r="AD1766" s="36"/>
      <c r="AE1766" s="36"/>
      <c r="AF1766" s="53" t="s">
        <v>68</v>
      </c>
      <c r="AG1766" s="42"/>
      <c r="AH1766" s="43"/>
      <c r="AI1766" s="43"/>
      <c r="AJ1766" s="43"/>
      <c r="AK1766" s="43"/>
      <c r="AL1766" s="43"/>
      <c r="AM1766" s="43"/>
      <c r="AN1766" s="42"/>
      <c r="AO1766" s="42"/>
      <c r="AP1766" s="42"/>
      <c r="AQ1766" s="43"/>
      <c r="AR1766" s="42"/>
      <c r="AS1766" s="42"/>
    </row>
    <row r="1767" spans="1:45" ht="15" customHeight="1">
      <c r="A1767" s="21" t="s">
        <v>258</v>
      </c>
      <c r="B1767" s="22" t="s">
        <v>46</v>
      </c>
      <c r="C1767" s="21" t="s">
        <v>887</v>
      </c>
      <c r="D1767" s="21" t="s">
        <v>888</v>
      </c>
      <c r="E1767" s="80" t="s">
        <v>2183</v>
      </c>
      <c r="F1767" s="21" t="s">
        <v>2184</v>
      </c>
      <c r="G1767" s="101" t="s">
        <v>77</v>
      </c>
      <c r="H1767" s="25" t="s">
        <v>2213</v>
      </c>
      <c r="I1767" s="65" t="s">
        <v>78</v>
      </c>
      <c r="J1767" s="65" t="s">
        <v>2214</v>
      </c>
      <c r="K1767" s="104"/>
      <c r="L1767" s="48" t="s">
        <v>1592</v>
      </c>
      <c r="M1767" s="27">
        <v>43490</v>
      </c>
      <c r="N1767" s="105" t="s">
        <v>177</v>
      </c>
      <c r="O1767" s="147">
        <v>4000</v>
      </c>
      <c r="P1767" s="147">
        <v>1</v>
      </c>
      <c r="Q1767" s="51">
        <f t="shared" si="40"/>
        <v>4000</v>
      </c>
      <c r="R1767" s="31">
        <v>202310</v>
      </c>
      <c r="S1767" s="54" t="s">
        <v>2246</v>
      </c>
      <c r="T1767" s="33"/>
      <c r="U1767" s="54"/>
      <c r="V1767" s="54"/>
      <c r="W1767" s="52"/>
      <c r="X1767" s="52"/>
      <c r="Y1767" s="36">
        <v>44986</v>
      </c>
      <c r="Z1767" s="36">
        <v>45351</v>
      </c>
      <c r="AA1767" s="36"/>
      <c r="AB1767" s="36"/>
      <c r="AC1767" s="36"/>
      <c r="AD1767" s="36"/>
      <c r="AE1767" s="36"/>
      <c r="AF1767" s="53" t="s">
        <v>68</v>
      </c>
      <c r="AG1767" s="42"/>
      <c r="AH1767" s="43"/>
      <c r="AI1767" s="43"/>
      <c r="AJ1767" s="43"/>
      <c r="AK1767" s="43"/>
      <c r="AL1767" s="43"/>
      <c r="AM1767" s="43"/>
      <c r="AN1767" s="42"/>
      <c r="AO1767" s="42"/>
      <c r="AP1767" s="42"/>
      <c r="AQ1767" s="43"/>
      <c r="AR1767" s="42"/>
      <c r="AS1767" s="42"/>
    </row>
    <row r="1768" spans="1:45" ht="15" customHeight="1">
      <c r="A1768" s="21" t="s">
        <v>258</v>
      </c>
      <c r="B1768" s="22" t="s">
        <v>46</v>
      </c>
      <c r="C1768" s="21" t="s">
        <v>887</v>
      </c>
      <c r="D1768" s="21" t="s">
        <v>888</v>
      </c>
      <c r="E1768" s="80" t="s">
        <v>2183</v>
      </c>
      <c r="F1768" s="21" t="s">
        <v>2184</v>
      </c>
      <c r="G1768" s="101" t="s">
        <v>77</v>
      </c>
      <c r="H1768" s="25" t="s">
        <v>2213</v>
      </c>
      <c r="I1768" s="65" t="s">
        <v>78</v>
      </c>
      <c r="J1768" s="65" t="s">
        <v>2214</v>
      </c>
      <c r="K1768" s="104"/>
      <c r="L1768" s="48" t="s">
        <v>1592</v>
      </c>
      <c r="M1768" s="27">
        <v>43542</v>
      </c>
      <c r="N1768" s="105" t="s">
        <v>177</v>
      </c>
      <c r="O1768" s="147">
        <v>4000</v>
      </c>
      <c r="P1768" s="147">
        <v>2</v>
      </c>
      <c r="Q1768" s="51">
        <f t="shared" si="40"/>
        <v>8000</v>
      </c>
      <c r="R1768" s="31">
        <v>202310</v>
      </c>
      <c r="S1768" s="54" t="s">
        <v>2247</v>
      </c>
      <c r="T1768" s="33"/>
      <c r="U1768" s="54"/>
      <c r="V1768" s="54"/>
      <c r="W1768" s="52"/>
      <c r="X1768" s="52"/>
      <c r="Y1768" s="36">
        <v>44986</v>
      </c>
      <c r="Z1768" s="36">
        <v>45351</v>
      </c>
      <c r="AA1768" s="36"/>
      <c r="AB1768" s="36"/>
      <c r="AC1768" s="36"/>
      <c r="AD1768" s="36"/>
      <c r="AE1768" s="36"/>
      <c r="AF1768" s="53" t="s">
        <v>68</v>
      </c>
      <c r="AG1768" s="42"/>
      <c r="AH1768" s="43"/>
      <c r="AI1768" s="43"/>
      <c r="AJ1768" s="43"/>
      <c r="AK1768" s="43"/>
      <c r="AL1768" s="43"/>
      <c r="AM1768" s="43"/>
      <c r="AN1768" s="42"/>
      <c r="AO1768" s="42"/>
      <c r="AP1768" s="42"/>
      <c r="AQ1768" s="43"/>
      <c r="AR1768" s="42"/>
      <c r="AS1768" s="42"/>
    </row>
    <row r="1769" spans="1:45" ht="15" customHeight="1">
      <c r="A1769" s="21" t="s">
        <v>258</v>
      </c>
      <c r="B1769" s="22" t="s">
        <v>46</v>
      </c>
      <c r="C1769" s="21" t="s">
        <v>887</v>
      </c>
      <c r="D1769" s="21" t="s">
        <v>888</v>
      </c>
      <c r="E1769" s="80" t="s">
        <v>2183</v>
      </c>
      <c r="F1769" s="21" t="s">
        <v>2184</v>
      </c>
      <c r="G1769" s="101" t="s">
        <v>77</v>
      </c>
      <c r="H1769" s="25" t="s">
        <v>2213</v>
      </c>
      <c r="I1769" s="65" t="s">
        <v>78</v>
      </c>
      <c r="J1769" s="65" t="s">
        <v>2214</v>
      </c>
      <c r="K1769" s="104"/>
      <c r="L1769" s="48" t="s">
        <v>1592</v>
      </c>
      <c r="M1769" s="27">
        <v>43594</v>
      </c>
      <c r="N1769" s="105" t="s">
        <v>177</v>
      </c>
      <c r="O1769" s="147">
        <v>4000</v>
      </c>
      <c r="P1769" s="147">
        <v>16</v>
      </c>
      <c r="Q1769" s="51">
        <f t="shared" si="40"/>
        <v>64000</v>
      </c>
      <c r="R1769" s="31">
        <v>202310</v>
      </c>
      <c r="S1769" s="54" t="s">
        <v>2248</v>
      </c>
      <c r="T1769" s="33"/>
      <c r="U1769" s="54"/>
      <c r="V1769" s="54"/>
      <c r="W1769" s="52"/>
      <c r="X1769" s="52"/>
      <c r="Y1769" s="36">
        <v>44986</v>
      </c>
      <c r="Z1769" s="36">
        <v>45351</v>
      </c>
      <c r="AA1769" s="36"/>
      <c r="AB1769" s="36"/>
      <c r="AC1769" s="36"/>
      <c r="AD1769" s="36"/>
      <c r="AE1769" s="36"/>
      <c r="AF1769" s="53" t="s">
        <v>68</v>
      </c>
      <c r="AG1769" s="42"/>
      <c r="AH1769" s="43"/>
      <c r="AI1769" s="43"/>
      <c r="AJ1769" s="43"/>
      <c r="AK1769" s="43"/>
      <c r="AL1769" s="43"/>
      <c r="AM1769" s="43"/>
      <c r="AN1769" s="42"/>
      <c r="AO1769" s="42"/>
      <c r="AP1769" s="42"/>
      <c r="AQ1769" s="43"/>
      <c r="AR1769" s="42"/>
      <c r="AS1769" s="42"/>
    </row>
    <row r="1770" spans="1:45" ht="15" customHeight="1">
      <c r="A1770" s="21" t="s">
        <v>258</v>
      </c>
      <c r="B1770" s="22" t="s">
        <v>46</v>
      </c>
      <c r="C1770" s="21" t="s">
        <v>887</v>
      </c>
      <c r="D1770" s="21" t="s">
        <v>888</v>
      </c>
      <c r="E1770" s="80" t="s">
        <v>2183</v>
      </c>
      <c r="F1770" s="21" t="s">
        <v>2184</v>
      </c>
      <c r="G1770" s="101" t="s">
        <v>77</v>
      </c>
      <c r="H1770" s="25" t="s">
        <v>2213</v>
      </c>
      <c r="I1770" s="65" t="s">
        <v>78</v>
      </c>
      <c r="J1770" s="65" t="s">
        <v>2214</v>
      </c>
      <c r="K1770" s="104"/>
      <c r="L1770" s="48" t="s">
        <v>1592</v>
      </c>
      <c r="M1770" s="27">
        <v>43595</v>
      </c>
      <c r="N1770" s="105" t="s">
        <v>177</v>
      </c>
      <c r="O1770" s="147">
        <v>4000</v>
      </c>
      <c r="P1770" s="147">
        <v>10</v>
      </c>
      <c r="Q1770" s="51">
        <f t="shared" si="40"/>
        <v>40000</v>
      </c>
      <c r="R1770" s="31">
        <v>202310</v>
      </c>
      <c r="S1770" s="54" t="s">
        <v>2249</v>
      </c>
      <c r="T1770" s="33"/>
      <c r="U1770" s="54"/>
      <c r="V1770" s="54"/>
      <c r="W1770" s="52"/>
      <c r="X1770" s="52"/>
      <c r="Y1770" s="36">
        <v>44986</v>
      </c>
      <c r="Z1770" s="36">
        <v>45351</v>
      </c>
      <c r="AA1770" s="36"/>
      <c r="AB1770" s="36"/>
      <c r="AC1770" s="36"/>
      <c r="AD1770" s="36"/>
      <c r="AE1770" s="36"/>
      <c r="AF1770" s="53" t="s">
        <v>68</v>
      </c>
      <c r="AG1770" s="42"/>
      <c r="AH1770" s="43"/>
      <c r="AI1770" s="43"/>
      <c r="AJ1770" s="43"/>
      <c r="AK1770" s="43"/>
      <c r="AL1770" s="43"/>
      <c r="AM1770" s="43"/>
      <c r="AN1770" s="42"/>
      <c r="AO1770" s="42"/>
      <c r="AP1770" s="42"/>
      <c r="AQ1770" s="43"/>
      <c r="AR1770" s="42"/>
      <c r="AS1770" s="42"/>
    </row>
    <row r="1771" spans="1:45" ht="15" customHeight="1">
      <c r="A1771" s="21" t="s">
        <v>258</v>
      </c>
      <c r="B1771" s="22" t="s">
        <v>46</v>
      </c>
      <c r="C1771" s="21" t="s">
        <v>887</v>
      </c>
      <c r="D1771" s="21" t="s">
        <v>888</v>
      </c>
      <c r="E1771" s="80" t="s">
        <v>2183</v>
      </c>
      <c r="F1771" s="21" t="s">
        <v>2184</v>
      </c>
      <c r="G1771" s="101" t="s">
        <v>77</v>
      </c>
      <c r="H1771" s="25" t="s">
        <v>2213</v>
      </c>
      <c r="I1771" s="65" t="s">
        <v>78</v>
      </c>
      <c r="J1771" s="65" t="s">
        <v>2214</v>
      </c>
      <c r="K1771" s="104"/>
      <c r="L1771" s="48" t="s">
        <v>1592</v>
      </c>
      <c r="M1771" s="27">
        <v>43600</v>
      </c>
      <c r="N1771" s="105" t="s">
        <v>177</v>
      </c>
      <c r="O1771" s="147">
        <v>4000</v>
      </c>
      <c r="P1771" s="147">
        <v>20</v>
      </c>
      <c r="Q1771" s="51">
        <f t="shared" si="40"/>
        <v>80000</v>
      </c>
      <c r="R1771" s="31">
        <v>202310</v>
      </c>
      <c r="S1771" s="54" t="s">
        <v>2250</v>
      </c>
      <c r="T1771" s="33"/>
      <c r="U1771" s="54"/>
      <c r="V1771" s="54"/>
      <c r="W1771" s="52"/>
      <c r="X1771" s="52"/>
      <c r="Y1771" s="36">
        <v>44986</v>
      </c>
      <c r="Z1771" s="36">
        <v>45351</v>
      </c>
      <c r="AA1771" s="36"/>
      <c r="AB1771" s="36"/>
      <c r="AC1771" s="36"/>
      <c r="AD1771" s="36"/>
      <c r="AE1771" s="36"/>
      <c r="AF1771" s="53" t="s">
        <v>68</v>
      </c>
      <c r="AG1771" s="42"/>
      <c r="AH1771" s="43"/>
      <c r="AI1771" s="43"/>
      <c r="AJ1771" s="43"/>
      <c r="AK1771" s="43"/>
      <c r="AL1771" s="43"/>
      <c r="AM1771" s="43"/>
      <c r="AN1771" s="42"/>
      <c r="AO1771" s="42"/>
      <c r="AP1771" s="42"/>
      <c r="AQ1771" s="43"/>
      <c r="AR1771" s="42"/>
      <c r="AS1771" s="42"/>
    </row>
    <row r="1772" spans="1:45" ht="15" customHeight="1">
      <c r="A1772" s="21" t="s">
        <v>258</v>
      </c>
      <c r="B1772" s="22" t="s">
        <v>46</v>
      </c>
      <c r="C1772" s="21" t="s">
        <v>887</v>
      </c>
      <c r="D1772" s="21" t="s">
        <v>888</v>
      </c>
      <c r="E1772" s="80" t="s">
        <v>2183</v>
      </c>
      <c r="F1772" s="21" t="s">
        <v>2184</v>
      </c>
      <c r="G1772" s="101" t="s">
        <v>77</v>
      </c>
      <c r="H1772" s="25" t="s">
        <v>2213</v>
      </c>
      <c r="I1772" s="65" t="s">
        <v>78</v>
      </c>
      <c r="J1772" s="65" t="s">
        <v>2214</v>
      </c>
      <c r="K1772" s="104"/>
      <c r="L1772" s="48" t="s">
        <v>1592</v>
      </c>
      <c r="M1772" s="27">
        <v>43600</v>
      </c>
      <c r="N1772" s="105" t="s">
        <v>177</v>
      </c>
      <c r="O1772" s="147">
        <v>4000</v>
      </c>
      <c r="P1772" s="147">
        <v>5</v>
      </c>
      <c r="Q1772" s="51">
        <f t="shared" si="40"/>
        <v>20000</v>
      </c>
      <c r="R1772" s="31">
        <v>202310</v>
      </c>
      <c r="S1772" s="54" t="s">
        <v>2251</v>
      </c>
      <c r="T1772" s="33"/>
      <c r="U1772" s="54"/>
      <c r="V1772" s="54"/>
      <c r="W1772" s="52"/>
      <c r="X1772" s="52"/>
      <c r="Y1772" s="36">
        <v>44986</v>
      </c>
      <c r="Z1772" s="36">
        <v>45351</v>
      </c>
      <c r="AA1772" s="36"/>
      <c r="AB1772" s="36"/>
      <c r="AC1772" s="36"/>
      <c r="AD1772" s="36"/>
      <c r="AE1772" s="36"/>
      <c r="AF1772" s="53" t="s">
        <v>68</v>
      </c>
      <c r="AG1772" s="42"/>
      <c r="AH1772" s="43"/>
      <c r="AI1772" s="43"/>
      <c r="AJ1772" s="43"/>
      <c r="AK1772" s="43"/>
      <c r="AL1772" s="43"/>
      <c r="AM1772" s="43"/>
      <c r="AN1772" s="42"/>
      <c r="AO1772" s="42"/>
      <c r="AP1772" s="42"/>
      <c r="AQ1772" s="43"/>
      <c r="AR1772" s="42"/>
      <c r="AS1772" s="42"/>
    </row>
    <row r="1773" spans="1:45" ht="15" customHeight="1">
      <c r="A1773" s="21" t="s">
        <v>258</v>
      </c>
      <c r="B1773" s="22" t="s">
        <v>46</v>
      </c>
      <c r="C1773" s="21" t="s">
        <v>887</v>
      </c>
      <c r="D1773" s="21" t="s">
        <v>888</v>
      </c>
      <c r="E1773" s="80" t="s">
        <v>2183</v>
      </c>
      <c r="F1773" s="21" t="s">
        <v>2184</v>
      </c>
      <c r="G1773" s="101" t="s">
        <v>77</v>
      </c>
      <c r="H1773" s="25" t="s">
        <v>2213</v>
      </c>
      <c r="I1773" s="65" t="s">
        <v>78</v>
      </c>
      <c r="J1773" s="65" t="s">
        <v>2214</v>
      </c>
      <c r="K1773" s="104"/>
      <c r="L1773" s="48" t="s">
        <v>1592</v>
      </c>
      <c r="M1773" s="27">
        <v>43616</v>
      </c>
      <c r="N1773" s="105" t="s">
        <v>177</v>
      </c>
      <c r="O1773" s="147">
        <v>4000</v>
      </c>
      <c r="P1773" s="147">
        <v>12</v>
      </c>
      <c r="Q1773" s="51">
        <f t="shared" si="40"/>
        <v>48000</v>
      </c>
      <c r="R1773" s="31">
        <v>202310</v>
      </c>
      <c r="S1773" s="54" t="s">
        <v>2252</v>
      </c>
      <c r="T1773" s="33"/>
      <c r="U1773" s="54"/>
      <c r="V1773" s="54"/>
      <c r="W1773" s="52"/>
      <c r="X1773" s="52"/>
      <c r="Y1773" s="36">
        <v>44986</v>
      </c>
      <c r="Z1773" s="36">
        <v>45351</v>
      </c>
      <c r="AA1773" s="36"/>
      <c r="AB1773" s="36"/>
      <c r="AC1773" s="36"/>
      <c r="AD1773" s="36"/>
      <c r="AE1773" s="36"/>
      <c r="AF1773" s="53" t="s">
        <v>68</v>
      </c>
      <c r="AG1773" s="42"/>
      <c r="AH1773" s="43"/>
      <c r="AI1773" s="43"/>
      <c r="AJ1773" s="43"/>
      <c r="AK1773" s="43"/>
      <c r="AL1773" s="43"/>
      <c r="AM1773" s="43"/>
      <c r="AN1773" s="42"/>
      <c r="AO1773" s="42"/>
      <c r="AP1773" s="42"/>
      <c r="AQ1773" s="43"/>
      <c r="AR1773" s="42"/>
      <c r="AS1773" s="42"/>
    </row>
    <row r="1774" spans="1:45" ht="15" customHeight="1">
      <c r="A1774" s="21" t="s">
        <v>258</v>
      </c>
      <c r="B1774" s="22" t="s">
        <v>46</v>
      </c>
      <c r="C1774" s="21" t="s">
        <v>887</v>
      </c>
      <c r="D1774" s="21" t="s">
        <v>888</v>
      </c>
      <c r="E1774" s="80" t="s">
        <v>2183</v>
      </c>
      <c r="F1774" s="21" t="s">
        <v>2184</v>
      </c>
      <c r="G1774" s="101" t="s">
        <v>77</v>
      </c>
      <c r="H1774" s="25" t="s">
        <v>2213</v>
      </c>
      <c r="I1774" s="65" t="s">
        <v>78</v>
      </c>
      <c r="J1774" s="65" t="s">
        <v>2214</v>
      </c>
      <c r="K1774" s="104"/>
      <c r="L1774" s="48" t="s">
        <v>1592</v>
      </c>
      <c r="M1774" s="27">
        <v>43644</v>
      </c>
      <c r="N1774" s="105" t="s">
        <v>177</v>
      </c>
      <c r="O1774" s="147">
        <v>4000</v>
      </c>
      <c r="P1774" s="147">
        <v>5</v>
      </c>
      <c r="Q1774" s="51">
        <f t="shared" si="40"/>
        <v>20000</v>
      </c>
      <c r="R1774" s="31">
        <v>202310</v>
      </c>
      <c r="S1774" s="54" t="s">
        <v>2253</v>
      </c>
      <c r="T1774" s="33"/>
      <c r="U1774" s="54"/>
      <c r="V1774" s="54"/>
      <c r="W1774" s="52"/>
      <c r="X1774" s="52"/>
      <c r="Y1774" s="36">
        <v>44986</v>
      </c>
      <c r="Z1774" s="36">
        <v>45351</v>
      </c>
      <c r="AA1774" s="36"/>
      <c r="AB1774" s="36"/>
      <c r="AC1774" s="36"/>
      <c r="AD1774" s="36"/>
      <c r="AE1774" s="36"/>
      <c r="AF1774" s="53" t="s">
        <v>68</v>
      </c>
      <c r="AG1774" s="42"/>
      <c r="AH1774" s="43"/>
      <c r="AI1774" s="43"/>
      <c r="AJ1774" s="43"/>
      <c r="AK1774" s="43"/>
      <c r="AL1774" s="43"/>
      <c r="AM1774" s="43"/>
      <c r="AN1774" s="42"/>
      <c r="AO1774" s="42"/>
      <c r="AP1774" s="42"/>
      <c r="AQ1774" s="43"/>
      <c r="AR1774" s="42"/>
      <c r="AS1774" s="42"/>
    </row>
    <row r="1775" spans="1:45" ht="15" customHeight="1">
      <c r="A1775" s="21" t="s">
        <v>258</v>
      </c>
      <c r="B1775" s="22" t="s">
        <v>46</v>
      </c>
      <c r="C1775" s="21" t="s">
        <v>887</v>
      </c>
      <c r="D1775" s="21" t="s">
        <v>888</v>
      </c>
      <c r="E1775" s="80" t="s">
        <v>2183</v>
      </c>
      <c r="F1775" s="21" t="s">
        <v>2184</v>
      </c>
      <c r="G1775" s="101" t="s">
        <v>77</v>
      </c>
      <c r="H1775" s="25" t="s">
        <v>2213</v>
      </c>
      <c r="I1775" s="65" t="s">
        <v>78</v>
      </c>
      <c r="J1775" s="65" t="s">
        <v>2214</v>
      </c>
      <c r="K1775" s="104"/>
      <c r="L1775" s="48" t="s">
        <v>1592</v>
      </c>
      <c r="M1775" s="27">
        <v>43612</v>
      </c>
      <c r="N1775" s="105" t="s">
        <v>346</v>
      </c>
      <c r="O1775" s="147">
        <v>7111.11</v>
      </c>
      <c r="P1775" s="147">
        <v>-1</v>
      </c>
      <c r="Q1775" s="51">
        <f t="shared" si="40"/>
        <v>-7111.11</v>
      </c>
      <c r="R1775" s="31">
        <v>202310</v>
      </c>
      <c r="S1775" s="54" t="s">
        <v>2254</v>
      </c>
      <c r="T1775" s="33"/>
      <c r="U1775" s="54"/>
      <c r="V1775" s="54"/>
      <c r="W1775" s="52"/>
      <c r="X1775" s="52"/>
      <c r="Y1775" s="36">
        <v>44986</v>
      </c>
      <c r="Z1775" s="36">
        <v>45351</v>
      </c>
      <c r="AA1775" s="36"/>
      <c r="AB1775" s="36"/>
      <c r="AC1775" s="36"/>
      <c r="AD1775" s="36"/>
      <c r="AE1775" s="36"/>
      <c r="AF1775" s="53" t="s">
        <v>68</v>
      </c>
      <c r="AG1775" s="42"/>
      <c r="AH1775" s="43"/>
      <c r="AI1775" s="43"/>
      <c r="AJ1775" s="43"/>
      <c r="AK1775" s="43"/>
      <c r="AL1775" s="43"/>
      <c r="AM1775" s="43"/>
      <c r="AN1775" s="42"/>
      <c r="AO1775" s="42"/>
      <c r="AP1775" s="42"/>
      <c r="AQ1775" s="43"/>
      <c r="AR1775" s="42"/>
      <c r="AS1775" s="42"/>
    </row>
    <row r="1776" spans="1:45" ht="15" customHeight="1">
      <c r="A1776" s="21" t="s">
        <v>258</v>
      </c>
      <c r="B1776" s="22" t="s">
        <v>46</v>
      </c>
      <c r="C1776" s="21" t="s">
        <v>887</v>
      </c>
      <c r="D1776" s="21" t="s">
        <v>888</v>
      </c>
      <c r="E1776" s="80" t="s">
        <v>2183</v>
      </c>
      <c r="F1776" s="21" t="s">
        <v>2184</v>
      </c>
      <c r="G1776" s="101" t="s">
        <v>77</v>
      </c>
      <c r="H1776" s="25" t="s">
        <v>2213</v>
      </c>
      <c r="I1776" s="65" t="s">
        <v>78</v>
      </c>
      <c r="J1776" s="65" t="s">
        <v>2214</v>
      </c>
      <c r="K1776" s="104"/>
      <c r="L1776" s="48" t="s">
        <v>1592</v>
      </c>
      <c r="M1776" s="27">
        <v>43656</v>
      </c>
      <c r="N1776" s="105" t="s">
        <v>177</v>
      </c>
      <c r="O1776" s="147">
        <v>4000</v>
      </c>
      <c r="P1776" s="147">
        <v>10</v>
      </c>
      <c r="Q1776" s="51">
        <f t="shared" si="40"/>
        <v>40000</v>
      </c>
      <c r="R1776" s="31">
        <v>202310</v>
      </c>
      <c r="S1776" s="54" t="s">
        <v>2255</v>
      </c>
      <c r="T1776" s="33"/>
      <c r="U1776" s="54"/>
      <c r="V1776" s="54"/>
      <c r="W1776" s="52"/>
      <c r="X1776" s="52"/>
      <c r="Y1776" s="36">
        <v>44986</v>
      </c>
      <c r="Z1776" s="36">
        <v>45351</v>
      </c>
      <c r="AA1776" s="36"/>
      <c r="AB1776" s="36"/>
      <c r="AC1776" s="36"/>
      <c r="AD1776" s="36"/>
      <c r="AE1776" s="36"/>
      <c r="AF1776" s="53" t="s">
        <v>68</v>
      </c>
      <c r="AG1776" s="42"/>
      <c r="AH1776" s="43"/>
      <c r="AI1776" s="43"/>
      <c r="AJ1776" s="43"/>
      <c r="AK1776" s="43"/>
      <c r="AL1776" s="43"/>
      <c r="AM1776" s="43"/>
      <c r="AN1776" s="42"/>
      <c r="AO1776" s="42"/>
      <c r="AP1776" s="42"/>
      <c r="AQ1776" s="43"/>
      <c r="AR1776" s="42"/>
      <c r="AS1776" s="42"/>
    </row>
    <row r="1777" spans="1:45" ht="15" customHeight="1">
      <c r="A1777" s="21" t="s">
        <v>258</v>
      </c>
      <c r="B1777" s="22" t="s">
        <v>46</v>
      </c>
      <c r="C1777" s="21" t="s">
        <v>887</v>
      </c>
      <c r="D1777" s="21" t="s">
        <v>888</v>
      </c>
      <c r="E1777" s="80" t="s">
        <v>2183</v>
      </c>
      <c r="F1777" s="21" t="s">
        <v>2184</v>
      </c>
      <c r="G1777" s="101" t="s">
        <v>77</v>
      </c>
      <c r="H1777" s="25" t="s">
        <v>2213</v>
      </c>
      <c r="I1777" s="65" t="s">
        <v>78</v>
      </c>
      <c r="J1777" s="65" t="s">
        <v>2214</v>
      </c>
      <c r="K1777" s="104"/>
      <c r="L1777" s="48" t="s">
        <v>1592</v>
      </c>
      <c r="M1777" s="27">
        <v>43656</v>
      </c>
      <c r="N1777" s="105" t="s">
        <v>177</v>
      </c>
      <c r="O1777" s="147">
        <v>4000</v>
      </c>
      <c r="P1777" s="147">
        <v>8</v>
      </c>
      <c r="Q1777" s="51">
        <f t="shared" si="40"/>
        <v>32000</v>
      </c>
      <c r="R1777" s="31">
        <v>202310</v>
      </c>
      <c r="S1777" s="54" t="s">
        <v>2256</v>
      </c>
      <c r="T1777" s="33"/>
      <c r="U1777" s="54"/>
      <c r="V1777" s="54"/>
      <c r="W1777" s="52"/>
      <c r="X1777" s="52"/>
      <c r="Y1777" s="36">
        <v>44986</v>
      </c>
      <c r="Z1777" s="36">
        <v>45351</v>
      </c>
      <c r="AA1777" s="36"/>
      <c r="AB1777" s="36"/>
      <c r="AC1777" s="36"/>
      <c r="AD1777" s="36"/>
      <c r="AE1777" s="36"/>
      <c r="AF1777" s="53" t="s">
        <v>68</v>
      </c>
      <c r="AG1777" s="42"/>
      <c r="AH1777" s="43"/>
      <c r="AI1777" s="43"/>
      <c r="AJ1777" s="43"/>
      <c r="AK1777" s="43"/>
      <c r="AL1777" s="43"/>
      <c r="AM1777" s="43"/>
      <c r="AN1777" s="42"/>
      <c r="AO1777" s="42"/>
      <c r="AP1777" s="42"/>
      <c r="AQ1777" s="43"/>
      <c r="AR1777" s="42"/>
      <c r="AS1777" s="42"/>
    </row>
    <row r="1778" spans="1:45" ht="15" customHeight="1">
      <c r="A1778" s="21" t="s">
        <v>258</v>
      </c>
      <c r="B1778" s="22" t="s">
        <v>46</v>
      </c>
      <c r="C1778" s="21" t="s">
        <v>887</v>
      </c>
      <c r="D1778" s="21" t="s">
        <v>888</v>
      </c>
      <c r="E1778" s="80" t="s">
        <v>2183</v>
      </c>
      <c r="F1778" s="21" t="s">
        <v>2184</v>
      </c>
      <c r="G1778" s="101" t="s">
        <v>77</v>
      </c>
      <c r="H1778" s="25" t="s">
        <v>2213</v>
      </c>
      <c r="I1778" s="65" t="s">
        <v>78</v>
      </c>
      <c r="J1778" s="65" t="s">
        <v>2214</v>
      </c>
      <c r="K1778" s="104"/>
      <c r="L1778" s="48" t="s">
        <v>1592</v>
      </c>
      <c r="M1778" s="27">
        <v>43686</v>
      </c>
      <c r="N1778" s="105" t="s">
        <v>177</v>
      </c>
      <c r="O1778" s="147">
        <v>4000</v>
      </c>
      <c r="P1778" s="147">
        <v>1</v>
      </c>
      <c r="Q1778" s="51">
        <f t="shared" si="40"/>
        <v>4000</v>
      </c>
      <c r="R1778" s="31">
        <v>202310</v>
      </c>
      <c r="S1778" s="54" t="s">
        <v>2257</v>
      </c>
      <c r="T1778" s="33"/>
      <c r="U1778" s="54"/>
      <c r="V1778" s="54"/>
      <c r="W1778" s="52"/>
      <c r="X1778" s="52"/>
      <c r="Y1778" s="36">
        <v>44986</v>
      </c>
      <c r="Z1778" s="36">
        <v>45351</v>
      </c>
      <c r="AA1778" s="36"/>
      <c r="AB1778" s="36"/>
      <c r="AC1778" s="36"/>
      <c r="AD1778" s="36"/>
      <c r="AE1778" s="36"/>
      <c r="AF1778" s="53" t="s">
        <v>68</v>
      </c>
      <c r="AG1778" s="42"/>
      <c r="AH1778" s="43"/>
      <c r="AI1778" s="43"/>
      <c r="AJ1778" s="43"/>
      <c r="AK1778" s="43"/>
      <c r="AL1778" s="43"/>
      <c r="AM1778" s="43"/>
      <c r="AN1778" s="42"/>
      <c r="AO1778" s="42"/>
      <c r="AP1778" s="42"/>
      <c r="AQ1778" s="43"/>
      <c r="AR1778" s="42"/>
      <c r="AS1778" s="42"/>
    </row>
    <row r="1779" spans="1:45" ht="15" customHeight="1">
      <c r="A1779" s="21" t="s">
        <v>258</v>
      </c>
      <c r="B1779" s="22" t="s">
        <v>46</v>
      </c>
      <c r="C1779" s="21" t="s">
        <v>887</v>
      </c>
      <c r="D1779" s="21" t="s">
        <v>888</v>
      </c>
      <c r="E1779" s="80" t="s">
        <v>2183</v>
      </c>
      <c r="F1779" s="21" t="s">
        <v>2184</v>
      </c>
      <c r="G1779" s="101" t="s">
        <v>77</v>
      </c>
      <c r="H1779" s="25" t="s">
        <v>2213</v>
      </c>
      <c r="I1779" s="65" t="s">
        <v>78</v>
      </c>
      <c r="J1779" s="65" t="s">
        <v>2214</v>
      </c>
      <c r="K1779" s="104"/>
      <c r="L1779" s="48" t="s">
        <v>1592</v>
      </c>
      <c r="M1779" s="27">
        <v>43696</v>
      </c>
      <c r="N1779" s="105" t="s">
        <v>346</v>
      </c>
      <c r="O1779" s="147">
        <v>7111.11</v>
      </c>
      <c r="P1779" s="147">
        <v>1</v>
      </c>
      <c r="Q1779" s="51">
        <f t="shared" si="40"/>
        <v>7111.11</v>
      </c>
      <c r="R1779" s="31">
        <v>202310</v>
      </c>
      <c r="S1779" s="54" t="s">
        <v>2258</v>
      </c>
      <c r="T1779" s="33"/>
      <c r="U1779" s="54"/>
      <c r="V1779" s="54"/>
      <c r="W1779" s="52"/>
      <c r="X1779" s="52"/>
      <c r="Y1779" s="36">
        <v>44986</v>
      </c>
      <c r="Z1779" s="36">
        <v>45351</v>
      </c>
      <c r="AA1779" s="36"/>
      <c r="AB1779" s="36"/>
      <c r="AC1779" s="36"/>
      <c r="AD1779" s="36"/>
      <c r="AE1779" s="36"/>
      <c r="AF1779" s="53" t="s">
        <v>68</v>
      </c>
      <c r="AG1779" s="42"/>
      <c r="AH1779" s="43"/>
      <c r="AI1779" s="43"/>
      <c r="AJ1779" s="43"/>
      <c r="AK1779" s="43"/>
      <c r="AL1779" s="43"/>
      <c r="AM1779" s="43"/>
      <c r="AN1779" s="42"/>
      <c r="AO1779" s="42"/>
      <c r="AP1779" s="42"/>
      <c r="AQ1779" s="43"/>
      <c r="AR1779" s="42"/>
      <c r="AS1779" s="42"/>
    </row>
    <row r="1780" spans="1:45" ht="15" customHeight="1">
      <c r="A1780" s="21" t="s">
        <v>258</v>
      </c>
      <c r="B1780" s="22" t="s">
        <v>46</v>
      </c>
      <c r="C1780" s="21" t="s">
        <v>887</v>
      </c>
      <c r="D1780" s="21" t="s">
        <v>888</v>
      </c>
      <c r="E1780" s="80" t="s">
        <v>2183</v>
      </c>
      <c r="F1780" s="21" t="s">
        <v>2184</v>
      </c>
      <c r="G1780" s="101" t="s">
        <v>77</v>
      </c>
      <c r="H1780" s="25" t="s">
        <v>2213</v>
      </c>
      <c r="I1780" s="65" t="s">
        <v>78</v>
      </c>
      <c r="J1780" s="65" t="s">
        <v>2214</v>
      </c>
      <c r="K1780" s="104"/>
      <c r="L1780" s="48" t="s">
        <v>1592</v>
      </c>
      <c r="M1780" s="27">
        <v>44031</v>
      </c>
      <c r="N1780" s="105" t="s">
        <v>177</v>
      </c>
      <c r="O1780" s="147">
        <v>4000</v>
      </c>
      <c r="P1780" s="147">
        <v>1</v>
      </c>
      <c r="Q1780" s="51">
        <f t="shared" si="40"/>
        <v>4000</v>
      </c>
      <c r="R1780" s="31">
        <v>202310</v>
      </c>
      <c r="S1780" s="54" t="s">
        <v>2259</v>
      </c>
      <c r="T1780" s="33"/>
      <c r="U1780" s="54"/>
      <c r="V1780" s="54"/>
      <c r="W1780" s="52"/>
      <c r="X1780" s="52"/>
      <c r="Y1780" s="36">
        <v>44986</v>
      </c>
      <c r="Z1780" s="36">
        <v>45351</v>
      </c>
      <c r="AA1780" s="36"/>
      <c r="AB1780" s="36"/>
      <c r="AC1780" s="36"/>
      <c r="AD1780" s="36"/>
      <c r="AE1780" s="36"/>
      <c r="AF1780" s="53" t="s">
        <v>68</v>
      </c>
      <c r="AG1780" s="42"/>
      <c r="AH1780" s="43"/>
      <c r="AI1780" s="43"/>
      <c r="AJ1780" s="43"/>
      <c r="AK1780" s="43"/>
      <c r="AL1780" s="43"/>
      <c r="AM1780" s="43"/>
      <c r="AN1780" s="42"/>
      <c r="AO1780" s="42"/>
      <c r="AP1780" s="42"/>
      <c r="AQ1780" s="43"/>
      <c r="AR1780" s="42"/>
      <c r="AS1780" s="42"/>
    </row>
    <row r="1781" spans="1:45" ht="15" customHeight="1">
      <c r="A1781" s="21" t="s">
        <v>258</v>
      </c>
      <c r="B1781" s="22" t="s">
        <v>46</v>
      </c>
      <c r="C1781" s="21" t="s">
        <v>887</v>
      </c>
      <c r="D1781" s="21" t="s">
        <v>888</v>
      </c>
      <c r="E1781" s="80" t="s">
        <v>2183</v>
      </c>
      <c r="F1781" s="21" t="s">
        <v>2184</v>
      </c>
      <c r="G1781" s="101" t="s">
        <v>77</v>
      </c>
      <c r="H1781" s="25" t="s">
        <v>2213</v>
      </c>
      <c r="I1781" s="65" t="s">
        <v>78</v>
      </c>
      <c r="J1781" s="65" t="s">
        <v>2214</v>
      </c>
      <c r="K1781" s="104"/>
      <c r="L1781" s="48" t="s">
        <v>1592</v>
      </c>
      <c r="M1781" s="27">
        <v>44150</v>
      </c>
      <c r="N1781" s="105" t="s">
        <v>177</v>
      </c>
      <c r="O1781" s="147">
        <v>4000</v>
      </c>
      <c r="P1781" s="147">
        <v>-1</v>
      </c>
      <c r="Q1781" s="51">
        <f t="shared" si="40"/>
        <v>-4000</v>
      </c>
      <c r="R1781" s="31">
        <v>202310</v>
      </c>
      <c r="S1781" s="54" t="s">
        <v>2260</v>
      </c>
      <c r="T1781" s="33"/>
      <c r="U1781" s="54"/>
      <c r="V1781" s="54"/>
      <c r="W1781" s="52"/>
      <c r="X1781" s="52"/>
      <c r="Y1781" s="36">
        <v>44986</v>
      </c>
      <c r="Z1781" s="36">
        <v>45351</v>
      </c>
      <c r="AA1781" s="36"/>
      <c r="AB1781" s="36"/>
      <c r="AC1781" s="36"/>
      <c r="AD1781" s="36"/>
      <c r="AE1781" s="36"/>
      <c r="AF1781" s="53" t="s">
        <v>68</v>
      </c>
      <c r="AG1781" s="42"/>
      <c r="AH1781" s="43"/>
      <c r="AI1781" s="43"/>
      <c r="AJ1781" s="43"/>
      <c r="AK1781" s="43"/>
      <c r="AL1781" s="43"/>
      <c r="AM1781" s="43"/>
      <c r="AN1781" s="42"/>
      <c r="AO1781" s="42"/>
      <c r="AP1781" s="42"/>
      <c r="AQ1781" s="43"/>
      <c r="AR1781" s="42"/>
      <c r="AS1781" s="42"/>
    </row>
    <row r="1782" spans="1:45" ht="15" customHeight="1">
      <c r="A1782" s="21" t="s">
        <v>258</v>
      </c>
      <c r="B1782" s="22" t="s">
        <v>46</v>
      </c>
      <c r="C1782" s="21" t="s">
        <v>887</v>
      </c>
      <c r="D1782" s="21" t="s">
        <v>888</v>
      </c>
      <c r="E1782" s="80" t="s">
        <v>2183</v>
      </c>
      <c r="F1782" s="21" t="s">
        <v>2184</v>
      </c>
      <c r="G1782" s="101" t="s">
        <v>77</v>
      </c>
      <c r="H1782" s="25" t="s">
        <v>2213</v>
      </c>
      <c r="I1782" s="65" t="s">
        <v>78</v>
      </c>
      <c r="J1782" s="65" t="s">
        <v>2214</v>
      </c>
      <c r="K1782" s="104"/>
      <c r="L1782" s="48" t="s">
        <v>1592</v>
      </c>
      <c r="M1782" s="27">
        <v>44974</v>
      </c>
      <c r="N1782" s="105" t="s">
        <v>356</v>
      </c>
      <c r="O1782" s="147">
        <v>12222.22</v>
      </c>
      <c r="P1782" s="147">
        <v>2</v>
      </c>
      <c r="Q1782" s="51">
        <f>ROUND(O1782*P1782,2)</f>
        <v>24444.44</v>
      </c>
      <c r="R1782" s="31">
        <v>202310</v>
      </c>
      <c r="S1782" s="54" t="s">
        <v>2261</v>
      </c>
      <c r="T1782" s="33"/>
      <c r="U1782" s="54"/>
      <c r="V1782" s="54"/>
      <c r="W1782" s="52"/>
      <c r="X1782" s="52"/>
      <c r="Y1782" s="36">
        <v>44986</v>
      </c>
      <c r="Z1782" s="36">
        <v>45351</v>
      </c>
      <c r="AA1782" s="36"/>
      <c r="AB1782" s="36"/>
      <c r="AC1782" s="36"/>
      <c r="AD1782" s="36"/>
      <c r="AE1782" s="36"/>
      <c r="AF1782" s="53" t="s">
        <v>68</v>
      </c>
      <c r="AG1782" s="42"/>
      <c r="AH1782" s="43"/>
      <c r="AI1782" s="43"/>
      <c r="AJ1782" s="43"/>
      <c r="AK1782" s="43"/>
      <c r="AL1782" s="43"/>
      <c r="AM1782" s="43"/>
      <c r="AN1782" s="42"/>
      <c r="AO1782" s="42"/>
      <c r="AP1782" s="42"/>
      <c r="AQ1782" s="43"/>
      <c r="AR1782" s="42"/>
      <c r="AS1782" s="42"/>
    </row>
    <row r="1783" spans="1:45" ht="15" customHeight="1">
      <c r="A1783" s="21" t="s">
        <v>258</v>
      </c>
      <c r="B1783" s="22" t="s">
        <v>46</v>
      </c>
      <c r="C1783" s="21" t="s">
        <v>887</v>
      </c>
      <c r="D1783" s="21" t="s">
        <v>888</v>
      </c>
      <c r="E1783" s="80" t="s">
        <v>2183</v>
      </c>
      <c r="F1783" s="21" t="s">
        <v>2184</v>
      </c>
      <c r="G1783" s="101" t="s">
        <v>77</v>
      </c>
      <c r="H1783" s="25" t="s">
        <v>2213</v>
      </c>
      <c r="I1783" s="65" t="s">
        <v>78</v>
      </c>
      <c r="J1783" s="65" t="s">
        <v>2214</v>
      </c>
      <c r="K1783" s="104"/>
      <c r="L1783" s="48" t="s">
        <v>1592</v>
      </c>
      <c r="M1783" s="27">
        <v>45104</v>
      </c>
      <c r="N1783" s="105" t="s">
        <v>177</v>
      </c>
      <c r="O1783" s="147">
        <v>4000</v>
      </c>
      <c r="P1783" s="147">
        <v>-36</v>
      </c>
      <c r="Q1783" s="51">
        <f>ROUND(O1783*P1783,2)</f>
        <v>-144000</v>
      </c>
      <c r="R1783" s="31">
        <v>202310</v>
      </c>
      <c r="S1783" s="54" t="s">
        <v>2262</v>
      </c>
      <c r="T1783" s="33"/>
      <c r="U1783" s="54"/>
      <c r="V1783" s="54"/>
      <c r="W1783" s="52"/>
      <c r="X1783" s="52"/>
      <c r="Y1783" s="36">
        <v>44986</v>
      </c>
      <c r="Z1783" s="36">
        <v>45351</v>
      </c>
      <c r="AA1783" s="36"/>
      <c r="AB1783" s="36"/>
      <c r="AC1783" s="36"/>
      <c r="AD1783" s="36"/>
      <c r="AE1783" s="36"/>
      <c r="AF1783" s="53" t="s">
        <v>68</v>
      </c>
      <c r="AG1783" s="42"/>
      <c r="AH1783" s="43"/>
      <c r="AI1783" s="43"/>
      <c r="AJ1783" s="43"/>
      <c r="AK1783" s="43"/>
      <c r="AL1783" s="43"/>
      <c r="AM1783" s="43"/>
      <c r="AN1783" s="42"/>
      <c r="AO1783" s="42"/>
      <c r="AP1783" s="42"/>
      <c r="AQ1783" s="43"/>
      <c r="AR1783" s="42"/>
      <c r="AS1783" s="42"/>
    </row>
    <row r="1784" spans="1:45" ht="15" customHeight="1">
      <c r="A1784" s="21" t="s">
        <v>258</v>
      </c>
      <c r="B1784" s="22" t="s">
        <v>46</v>
      </c>
      <c r="C1784" s="21" t="s">
        <v>887</v>
      </c>
      <c r="D1784" s="21" t="s">
        <v>888</v>
      </c>
      <c r="E1784" s="80" t="s">
        <v>2183</v>
      </c>
      <c r="F1784" s="21" t="s">
        <v>2184</v>
      </c>
      <c r="G1784" s="101" t="s">
        <v>114</v>
      </c>
      <c r="H1784" s="25" t="s">
        <v>2213</v>
      </c>
      <c r="I1784" s="65" t="s">
        <v>114</v>
      </c>
      <c r="J1784" s="65" t="s">
        <v>2263</v>
      </c>
      <c r="K1784" s="104"/>
      <c r="L1784" s="48"/>
      <c r="M1784" s="27">
        <v>43140</v>
      </c>
      <c r="N1784" s="105" t="s">
        <v>2151</v>
      </c>
      <c r="O1784" s="147">
        <v>300000</v>
      </c>
      <c r="P1784" s="147">
        <v>1</v>
      </c>
      <c r="Q1784" s="51">
        <f t="shared" si="40"/>
        <v>300000</v>
      </c>
      <c r="R1784" s="31">
        <v>202310</v>
      </c>
      <c r="S1784" s="54" t="s">
        <v>2264</v>
      </c>
      <c r="T1784" s="33"/>
      <c r="U1784" s="54"/>
      <c r="V1784" s="54"/>
      <c r="W1784" s="52"/>
      <c r="X1784" s="52"/>
      <c r="Y1784" s="36">
        <v>44986</v>
      </c>
      <c r="Z1784" s="36">
        <v>45351</v>
      </c>
      <c r="AA1784" s="36"/>
      <c r="AB1784" s="36"/>
      <c r="AC1784" s="36"/>
      <c r="AD1784" s="36"/>
      <c r="AE1784" s="36"/>
      <c r="AF1784" s="53" t="s">
        <v>68</v>
      </c>
      <c r="AG1784" s="42"/>
      <c r="AH1784" s="43"/>
      <c r="AI1784" s="43"/>
      <c r="AJ1784" s="43"/>
      <c r="AK1784" s="43"/>
      <c r="AL1784" s="43"/>
      <c r="AM1784" s="43"/>
      <c r="AN1784" s="42"/>
      <c r="AO1784" s="42"/>
      <c r="AP1784" s="42"/>
      <c r="AQ1784" s="43"/>
      <c r="AR1784" s="42"/>
      <c r="AS1784" s="42"/>
    </row>
    <row r="1785" spans="1:45" ht="15" customHeight="1">
      <c r="A1785" s="21" t="s">
        <v>258</v>
      </c>
      <c r="B1785" s="22" t="s">
        <v>46</v>
      </c>
      <c r="C1785" s="21" t="s">
        <v>887</v>
      </c>
      <c r="D1785" s="21" t="s">
        <v>888</v>
      </c>
      <c r="E1785" s="80" t="s">
        <v>2183</v>
      </c>
      <c r="F1785" s="21" t="s">
        <v>2184</v>
      </c>
      <c r="G1785" s="101" t="s">
        <v>77</v>
      </c>
      <c r="H1785" s="25" t="s">
        <v>2265</v>
      </c>
      <c r="I1785" s="65" t="s">
        <v>479</v>
      </c>
      <c r="J1785" s="65" t="s">
        <v>2266</v>
      </c>
      <c r="K1785" s="26" t="s">
        <v>2267</v>
      </c>
      <c r="L1785" s="48" t="s">
        <v>2193</v>
      </c>
      <c r="M1785" s="27">
        <v>43482</v>
      </c>
      <c r="N1785" s="105" t="s">
        <v>1310</v>
      </c>
      <c r="O1785" s="147">
        <v>0</v>
      </c>
      <c r="P1785" s="147">
        <v>7</v>
      </c>
      <c r="Q1785" s="51">
        <f t="shared" si="40"/>
        <v>0</v>
      </c>
      <c r="R1785" s="31">
        <v>202310</v>
      </c>
      <c r="S1785" s="54" t="s">
        <v>2268</v>
      </c>
      <c r="T1785" s="33"/>
      <c r="U1785" s="54"/>
      <c r="V1785" s="54"/>
      <c r="W1785" s="52"/>
      <c r="X1785" s="52"/>
      <c r="Y1785" s="36">
        <v>45017</v>
      </c>
      <c r="Z1785" s="36">
        <v>45382</v>
      </c>
      <c r="AA1785" s="36"/>
      <c r="AB1785" s="36"/>
      <c r="AC1785" s="36"/>
      <c r="AD1785" s="36"/>
      <c r="AE1785" s="36"/>
      <c r="AF1785" s="53" t="s">
        <v>503</v>
      </c>
      <c r="AG1785" s="42"/>
      <c r="AH1785" s="43"/>
      <c r="AI1785" s="43"/>
      <c r="AJ1785" s="43"/>
      <c r="AK1785" s="43"/>
      <c r="AL1785" s="43"/>
      <c r="AM1785" s="43"/>
      <c r="AN1785" s="42"/>
      <c r="AO1785" s="42"/>
      <c r="AP1785" s="42"/>
      <c r="AQ1785" s="43"/>
      <c r="AR1785" s="42"/>
      <c r="AS1785" s="42"/>
    </row>
    <row r="1786" spans="1:45" ht="15" customHeight="1">
      <c r="A1786" s="21" t="s">
        <v>258</v>
      </c>
      <c r="B1786" s="22" t="s">
        <v>46</v>
      </c>
      <c r="C1786" s="21" t="s">
        <v>887</v>
      </c>
      <c r="D1786" s="21" t="s">
        <v>888</v>
      </c>
      <c r="E1786" s="80" t="s">
        <v>2183</v>
      </c>
      <c r="F1786" s="21" t="s">
        <v>2184</v>
      </c>
      <c r="G1786" s="101" t="s">
        <v>77</v>
      </c>
      <c r="H1786" s="25" t="s">
        <v>2265</v>
      </c>
      <c r="I1786" s="65" t="s">
        <v>479</v>
      </c>
      <c r="J1786" s="65" t="s">
        <v>2269</v>
      </c>
      <c r="K1786" s="104" t="s">
        <v>2270</v>
      </c>
      <c r="L1786" s="48" t="s">
        <v>2193</v>
      </c>
      <c r="M1786" s="27">
        <v>43229</v>
      </c>
      <c r="N1786" s="105" t="s">
        <v>1310</v>
      </c>
      <c r="O1786" s="147">
        <v>0</v>
      </c>
      <c r="P1786" s="147">
        <v>7</v>
      </c>
      <c r="Q1786" s="51">
        <f t="shared" si="40"/>
        <v>0</v>
      </c>
      <c r="R1786" s="31">
        <v>202310</v>
      </c>
      <c r="S1786" s="54" t="s">
        <v>2271</v>
      </c>
      <c r="T1786" s="33"/>
      <c r="U1786" s="54"/>
      <c r="V1786" s="54"/>
      <c r="W1786" s="52"/>
      <c r="X1786" s="52"/>
      <c r="Y1786" s="36">
        <v>45017</v>
      </c>
      <c r="Z1786" s="36">
        <v>45382</v>
      </c>
      <c r="AA1786" s="36"/>
      <c r="AB1786" s="36"/>
      <c r="AC1786" s="36"/>
      <c r="AD1786" s="36"/>
      <c r="AE1786" s="36"/>
      <c r="AF1786" s="53" t="s">
        <v>503</v>
      </c>
      <c r="AG1786" s="42"/>
      <c r="AH1786" s="43"/>
      <c r="AI1786" s="43"/>
      <c r="AJ1786" s="43"/>
      <c r="AK1786" s="43"/>
      <c r="AL1786" s="43"/>
      <c r="AM1786" s="43"/>
      <c r="AN1786" s="42"/>
      <c r="AO1786" s="42"/>
      <c r="AP1786" s="42"/>
      <c r="AQ1786" s="43"/>
      <c r="AR1786" s="42"/>
      <c r="AS1786" s="42"/>
    </row>
    <row r="1787" spans="1:45" ht="15" customHeight="1">
      <c r="A1787" s="21" t="s">
        <v>258</v>
      </c>
      <c r="B1787" s="22" t="s">
        <v>46</v>
      </c>
      <c r="C1787" s="21" t="s">
        <v>887</v>
      </c>
      <c r="D1787" s="21" t="s">
        <v>888</v>
      </c>
      <c r="E1787" s="80" t="s">
        <v>2183</v>
      </c>
      <c r="F1787" s="21" t="s">
        <v>2184</v>
      </c>
      <c r="G1787" s="101" t="s">
        <v>77</v>
      </c>
      <c r="H1787" s="25" t="s">
        <v>2265</v>
      </c>
      <c r="I1787" s="65" t="s">
        <v>479</v>
      </c>
      <c r="J1787" s="65" t="s">
        <v>2269</v>
      </c>
      <c r="K1787" s="104" t="s">
        <v>2270</v>
      </c>
      <c r="L1787" s="48" t="s">
        <v>2193</v>
      </c>
      <c r="M1787" s="27">
        <v>44421</v>
      </c>
      <c r="N1787" s="105" t="s">
        <v>1310</v>
      </c>
      <c r="O1787" s="147">
        <v>0</v>
      </c>
      <c r="P1787" s="147">
        <v>-7</v>
      </c>
      <c r="Q1787" s="51">
        <f t="shared" si="40"/>
        <v>0</v>
      </c>
      <c r="R1787" s="31">
        <v>202310</v>
      </c>
      <c r="S1787" s="54" t="s">
        <v>2272</v>
      </c>
      <c r="T1787" s="33"/>
      <c r="U1787" s="54"/>
      <c r="V1787" s="54"/>
      <c r="W1787" s="52"/>
      <c r="X1787" s="52"/>
      <c r="Y1787" s="36">
        <v>45017</v>
      </c>
      <c r="Z1787" s="36">
        <v>45382</v>
      </c>
      <c r="AA1787" s="36"/>
      <c r="AB1787" s="36"/>
      <c r="AC1787" s="36"/>
      <c r="AD1787" s="36"/>
      <c r="AE1787" s="36"/>
      <c r="AF1787" s="53" t="s">
        <v>503</v>
      </c>
      <c r="AG1787" s="42"/>
      <c r="AH1787" s="43"/>
      <c r="AI1787" s="43"/>
      <c r="AJ1787" s="43"/>
      <c r="AK1787" s="43"/>
      <c r="AL1787" s="43"/>
      <c r="AM1787" s="43"/>
      <c r="AN1787" s="42"/>
      <c r="AO1787" s="42"/>
      <c r="AP1787" s="42"/>
      <c r="AQ1787" s="43"/>
      <c r="AR1787" s="42"/>
      <c r="AS1787" s="42"/>
    </row>
    <row r="1788" spans="1:45" ht="15" customHeight="1">
      <c r="A1788" s="21" t="s">
        <v>258</v>
      </c>
      <c r="B1788" s="22" t="s">
        <v>46</v>
      </c>
      <c r="C1788" s="21" t="s">
        <v>887</v>
      </c>
      <c r="D1788" s="21" t="s">
        <v>888</v>
      </c>
      <c r="E1788" s="80" t="s">
        <v>2183</v>
      </c>
      <c r="F1788" s="21" t="s">
        <v>2184</v>
      </c>
      <c r="G1788" s="101" t="s">
        <v>77</v>
      </c>
      <c r="H1788" s="25" t="s">
        <v>2265</v>
      </c>
      <c r="I1788" s="65" t="s">
        <v>479</v>
      </c>
      <c r="J1788" s="65" t="s">
        <v>2269</v>
      </c>
      <c r="K1788" s="104" t="s">
        <v>2273</v>
      </c>
      <c r="L1788" s="48" t="s">
        <v>2193</v>
      </c>
      <c r="M1788" s="27">
        <v>43997</v>
      </c>
      <c r="N1788" s="105" t="s">
        <v>1310</v>
      </c>
      <c r="O1788" s="147">
        <v>0</v>
      </c>
      <c r="P1788" s="147">
        <v>2</v>
      </c>
      <c r="Q1788" s="51">
        <f t="shared" si="40"/>
        <v>0</v>
      </c>
      <c r="R1788" s="31">
        <v>202310</v>
      </c>
      <c r="S1788" s="54" t="s">
        <v>2274</v>
      </c>
      <c r="T1788" s="33"/>
      <c r="U1788" s="54"/>
      <c r="V1788" s="54"/>
      <c r="W1788" s="52"/>
      <c r="X1788" s="52"/>
      <c r="Y1788" s="36">
        <v>45017</v>
      </c>
      <c r="Z1788" s="36">
        <v>45382</v>
      </c>
      <c r="AA1788" s="36"/>
      <c r="AB1788" s="36"/>
      <c r="AC1788" s="36"/>
      <c r="AD1788" s="36"/>
      <c r="AE1788" s="36"/>
      <c r="AF1788" s="53" t="s">
        <v>503</v>
      </c>
      <c r="AG1788" s="42"/>
      <c r="AH1788" s="43"/>
      <c r="AI1788" s="43"/>
      <c r="AJ1788" s="43"/>
      <c r="AK1788" s="43"/>
      <c r="AL1788" s="43"/>
      <c r="AM1788" s="43"/>
      <c r="AN1788" s="42"/>
      <c r="AO1788" s="42"/>
      <c r="AP1788" s="42"/>
      <c r="AQ1788" s="43"/>
      <c r="AR1788" s="42"/>
      <c r="AS1788" s="42"/>
    </row>
    <row r="1789" spans="1:45" ht="15" customHeight="1">
      <c r="A1789" s="21" t="s">
        <v>258</v>
      </c>
      <c r="B1789" s="22" t="s">
        <v>46</v>
      </c>
      <c r="C1789" s="21" t="s">
        <v>887</v>
      </c>
      <c r="D1789" s="21" t="s">
        <v>888</v>
      </c>
      <c r="E1789" s="80" t="s">
        <v>2183</v>
      </c>
      <c r="F1789" s="21" t="s">
        <v>2184</v>
      </c>
      <c r="G1789" s="101" t="s">
        <v>77</v>
      </c>
      <c r="H1789" s="25" t="s">
        <v>2265</v>
      </c>
      <c r="I1789" s="65" t="s">
        <v>479</v>
      </c>
      <c r="J1789" s="65" t="s">
        <v>2269</v>
      </c>
      <c r="K1789" s="104" t="s">
        <v>2273</v>
      </c>
      <c r="L1789" s="48" t="s">
        <v>2193</v>
      </c>
      <c r="M1789" s="27">
        <v>44617</v>
      </c>
      <c r="N1789" s="105" t="s">
        <v>1310</v>
      </c>
      <c r="O1789" s="147">
        <v>0</v>
      </c>
      <c r="P1789" s="147">
        <v>2</v>
      </c>
      <c r="Q1789" s="51">
        <f t="shared" si="40"/>
        <v>0</v>
      </c>
      <c r="R1789" s="31">
        <v>202310</v>
      </c>
      <c r="S1789" s="54" t="s">
        <v>2275</v>
      </c>
      <c r="T1789" s="33"/>
      <c r="U1789" s="54"/>
      <c r="V1789" s="54"/>
      <c r="W1789" s="52"/>
      <c r="X1789" s="52"/>
      <c r="Y1789" s="36">
        <v>45017</v>
      </c>
      <c r="Z1789" s="36">
        <v>45382</v>
      </c>
      <c r="AA1789" s="36"/>
      <c r="AB1789" s="36"/>
      <c r="AC1789" s="36"/>
      <c r="AD1789" s="36"/>
      <c r="AE1789" s="36"/>
      <c r="AF1789" s="53" t="s">
        <v>503</v>
      </c>
      <c r="AG1789" s="42"/>
      <c r="AH1789" s="43"/>
      <c r="AI1789" s="43"/>
      <c r="AJ1789" s="43"/>
      <c r="AK1789" s="43"/>
      <c r="AL1789" s="43"/>
      <c r="AM1789" s="43"/>
      <c r="AN1789" s="42"/>
      <c r="AO1789" s="42"/>
      <c r="AP1789" s="42"/>
      <c r="AQ1789" s="43"/>
      <c r="AR1789" s="42"/>
      <c r="AS1789" s="42"/>
    </row>
    <row r="1790" spans="1:45" ht="15" customHeight="1">
      <c r="A1790" s="21" t="s">
        <v>258</v>
      </c>
      <c r="B1790" s="22" t="s">
        <v>46</v>
      </c>
      <c r="C1790" s="21" t="s">
        <v>887</v>
      </c>
      <c r="D1790" s="21" t="s">
        <v>888</v>
      </c>
      <c r="E1790" s="80" t="s">
        <v>2183</v>
      </c>
      <c r="F1790" s="21" t="s">
        <v>2184</v>
      </c>
      <c r="G1790" s="101" t="s">
        <v>77</v>
      </c>
      <c r="H1790" s="25" t="s">
        <v>2265</v>
      </c>
      <c r="I1790" s="65" t="s">
        <v>479</v>
      </c>
      <c r="J1790" s="65" t="s">
        <v>2269</v>
      </c>
      <c r="K1790" s="104" t="s">
        <v>2273</v>
      </c>
      <c r="L1790" s="48" t="s">
        <v>2193</v>
      </c>
      <c r="M1790" s="27">
        <v>44712</v>
      </c>
      <c r="N1790" s="105" t="s">
        <v>1310</v>
      </c>
      <c r="O1790" s="147">
        <v>0</v>
      </c>
      <c r="P1790" s="147">
        <v>-4</v>
      </c>
      <c r="Q1790" s="51">
        <f t="shared" si="40"/>
        <v>0</v>
      </c>
      <c r="R1790" s="31">
        <v>202310</v>
      </c>
      <c r="S1790" s="54" t="s">
        <v>2276</v>
      </c>
      <c r="T1790" s="33"/>
      <c r="U1790" s="54"/>
      <c r="V1790" s="54"/>
      <c r="W1790" s="52"/>
      <c r="X1790" s="52"/>
      <c r="Y1790" s="36">
        <v>45017</v>
      </c>
      <c r="Z1790" s="36">
        <v>45382</v>
      </c>
      <c r="AA1790" s="36"/>
      <c r="AB1790" s="36"/>
      <c r="AC1790" s="36"/>
      <c r="AD1790" s="36"/>
      <c r="AE1790" s="36"/>
      <c r="AF1790" s="53" t="s">
        <v>503</v>
      </c>
      <c r="AG1790" s="42"/>
      <c r="AH1790" s="43"/>
      <c r="AI1790" s="43"/>
      <c r="AJ1790" s="43"/>
      <c r="AK1790" s="43"/>
      <c r="AL1790" s="43"/>
      <c r="AM1790" s="43"/>
      <c r="AN1790" s="42"/>
      <c r="AO1790" s="42"/>
      <c r="AP1790" s="42"/>
      <c r="AQ1790" s="43"/>
      <c r="AR1790" s="42"/>
      <c r="AS1790" s="42"/>
    </row>
    <row r="1791" spans="1:45" ht="15" customHeight="1">
      <c r="A1791" s="21" t="s">
        <v>258</v>
      </c>
      <c r="B1791" s="22" t="s">
        <v>46</v>
      </c>
      <c r="C1791" s="21" t="s">
        <v>887</v>
      </c>
      <c r="D1791" s="21" t="s">
        <v>888</v>
      </c>
      <c r="E1791" s="80" t="s">
        <v>2183</v>
      </c>
      <c r="F1791" s="21" t="s">
        <v>2184</v>
      </c>
      <c r="G1791" s="101" t="s">
        <v>165</v>
      </c>
      <c r="H1791" s="25" t="s">
        <v>2265</v>
      </c>
      <c r="I1791" s="65" t="s">
        <v>491</v>
      </c>
      <c r="J1791" s="65" t="s">
        <v>2269</v>
      </c>
      <c r="K1791" s="104" t="s">
        <v>2273</v>
      </c>
      <c r="L1791" s="48"/>
      <c r="M1791" s="27">
        <v>43997</v>
      </c>
      <c r="N1791" s="105"/>
      <c r="O1791" s="147">
        <v>0</v>
      </c>
      <c r="P1791" s="147">
        <v>288</v>
      </c>
      <c r="Q1791" s="51">
        <f t="shared" si="40"/>
        <v>0</v>
      </c>
      <c r="R1791" s="31">
        <v>202310</v>
      </c>
      <c r="S1791" s="54" t="s">
        <v>2277</v>
      </c>
      <c r="T1791" s="33"/>
      <c r="U1791" s="54"/>
      <c r="V1791" s="54"/>
      <c r="W1791" s="52"/>
      <c r="X1791" s="52"/>
      <c r="Y1791" s="36">
        <v>45017</v>
      </c>
      <c r="Z1791" s="36">
        <v>45382</v>
      </c>
      <c r="AA1791" s="36"/>
      <c r="AB1791" s="36"/>
      <c r="AC1791" s="36"/>
      <c r="AD1791" s="36"/>
      <c r="AE1791" s="36"/>
      <c r="AF1791" s="53" t="s">
        <v>503</v>
      </c>
      <c r="AG1791" s="42"/>
      <c r="AH1791" s="43"/>
      <c r="AI1791" s="43"/>
      <c r="AJ1791" s="43"/>
      <c r="AK1791" s="43"/>
      <c r="AL1791" s="43"/>
      <c r="AM1791" s="43"/>
      <c r="AN1791" s="42"/>
      <c r="AO1791" s="42"/>
      <c r="AP1791" s="42"/>
      <c r="AQ1791" s="43"/>
      <c r="AR1791" s="42"/>
      <c r="AS1791" s="42"/>
    </row>
    <row r="1792" spans="1:45" ht="15" customHeight="1">
      <c r="A1792" s="21" t="s">
        <v>258</v>
      </c>
      <c r="B1792" s="22" t="s">
        <v>46</v>
      </c>
      <c r="C1792" s="21" t="s">
        <v>887</v>
      </c>
      <c r="D1792" s="21" t="s">
        <v>888</v>
      </c>
      <c r="E1792" s="80" t="s">
        <v>2183</v>
      </c>
      <c r="F1792" s="21" t="s">
        <v>2184</v>
      </c>
      <c r="G1792" s="101" t="s">
        <v>165</v>
      </c>
      <c r="H1792" s="25" t="s">
        <v>2265</v>
      </c>
      <c r="I1792" s="65" t="s">
        <v>491</v>
      </c>
      <c r="J1792" s="65" t="s">
        <v>2269</v>
      </c>
      <c r="K1792" s="104" t="s">
        <v>2273</v>
      </c>
      <c r="L1792" s="48"/>
      <c r="M1792" s="27">
        <v>44712</v>
      </c>
      <c r="N1792" s="105"/>
      <c r="O1792" s="147">
        <v>0</v>
      </c>
      <c r="P1792" s="147">
        <v>-288</v>
      </c>
      <c r="Q1792" s="51">
        <f t="shared" si="40"/>
        <v>0</v>
      </c>
      <c r="R1792" s="31">
        <v>202310</v>
      </c>
      <c r="S1792" s="54" t="s">
        <v>2278</v>
      </c>
      <c r="T1792" s="33"/>
      <c r="U1792" s="54"/>
      <c r="V1792" s="54"/>
      <c r="W1792" s="52"/>
      <c r="X1792" s="52"/>
      <c r="Y1792" s="36">
        <v>45017</v>
      </c>
      <c r="Z1792" s="36">
        <v>45382</v>
      </c>
      <c r="AA1792" s="36"/>
      <c r="AB1792" s="36"/>
      <c r="AC1792" s="36"/>
      <c r="AD1792" s="36"/>
      <c r="AE1792" s="36"/>
      <c r="AF1792" s="53" t="s">
        <v>503</v>
      </c>
      <c r="AG1792" s="42"/>
      <c r="AH1792" s="43"/>
      <c r="AI1792" s="43"/>
      <c r="AJ1792" s="43"/>
      <c r="AK1792" s="43"/>
      <c r="AL1792" s="43"/>
      <c r="AM1792" s="43"/>
      <c r="AN1792" s="42"/>
      <c r="AO1792" s="42"/>
      <c r="AP1792" s="42"/>
      <c r="AQ1792" s="43"/>
      <c r="AR1792" s="42"/>
      <c r="AS1792" s="42"/>
    </row>
    <row r="1793" spans="1:45" ht="15" customHeight="1">
      <c r="A1793" s="21" t="s">
        <v>258</v>
      </c>
      <c r="B1793" s="22" t="s">
        <v>46</v>
      </c>
      <c r="C1793" s="21" t="s">
        <v>887</v>
      </c>
      <c r="D1793" s="21" t="s">
        <v>888</v>
      </c>
      <c r="E1793" s="80" t="s">
        <v>2183</v>
      </c>
      <c r="F1793" s="21" t="s">
        <v>2184</v>
      </c>
      <c r="G1793" s="101" t="s">
        <v>77</v>
      </c>
      <c r="H1793" s="25" t="s">
        <v>2265</v>
      </c>
      <c r="I1793" s="65" t="s">
        <v>2279</v>
      </c>
      <c r="J1793" s="65" t="s">
        <v>2269</v>
      </c>
      <c r="K1793" s="104" t="s">
        <v>2280</v>
      </c>
      <c r="L1793" s="48" t="s">
        <v>2193</v>
      </c>
      <c r="M1793" s="27" t="s">
        <v>611</v>
      </c>
      <c r="N1793" s="105" t="s">
        <v>1310</v>
      </c>
      <c r="O1793" s="147">
        <v>0</v>
      </c>
      <c r="P1793" s="147">
        <v>3</v>
      </c>
      <c r="Q1793" s="51">
        <f t="shared" si="40"/>
        <v>0</v>
      </c>
      <c r="R1793" s="31">
        <v>202310</v>
      </c>
      <c r="S1793" s="54" t="s">
        <v>2281</v>
      </c>
      <c r="T1793" s="33"/>
      <c r="U1793" s="54"/>
      <c r="V1793" s="54"/>
      <c r="W1793" s="52"/>
      <c r="X1793" s="52"/>
      <c r="Y1793" s="36">
        <v>45017</v>
      </c>
      <c r="Z1793" s="36">
        <v>45382</v>
      </c>
      <c r="AA1793" s="36"/>
      <c r="AB1793" s="36"/>
      <c r="AC1793" s="36"/>
      <c r="AD1793" s="36"/>
      <c r="AE1793" s="36"/>
      <c r="AF1793" s="53" t="s">
        <v>853</v>
      </c>
      <c r="AG1793" s="42"/>
      <c r="AH1793" s="43"/>
      <c r="AI1793" s="43"/>
      <c r="AJ1793" s="43"/>
      <c r="AK1793" s="43"/>
      <c r="AL1793" s="43"/>
      <c r="AM1793" s="43"/>
      <c r="AN1793" s="42"/>
      <c r="AO1793" s="42"/>
      <c r="AP1793" s="42"/>
      <c r="AQ1793" s="43"/>
      <c r="AR1793" s="42"/>
      <c r="AS1793" s="42"/>
    </row>
    <row r="1794" spans="1:45" ht="15" customHeight="1">
      <c r="A1794" s="21" t="s">
        <v>258</v>
      </c>
      <c r="B1794" s="22" t="s">
        <v>46</v>
      </c>
      <c r="C1794" s="21" t="s">
        <v>887</v>
      </c>
      <c r="D1794" s="21" t="s">
        <v>888</v>
      </c>
      <c r="E1794" s="80" t="s">
        <v>2183</v>
      </c>
      <c r="F1794" s="21" t="s">
        <v>2184</v>
      </c>
      <c r="G1794" s="101" t="s">
        <v>165</v>
      </c>
      <c r="H1794" s="25" t="s">
        <v>2265</v>
      </c>
      <c r="I1794" s="65" t="s">
        <v>859</v>
      </c>
      <c r="J1794" s="65" t="s">
        <v>2269</v>
      </c>
      <c r="K1794" s="104" t="s">
        <v>2280</v>
      </c>
      <c r="L1794" s="48"/>
      <c r="M1794" s="27" t="s">
        <v>851</v>
      </c>
      <c r="N1794" s="105"/>
      <c r="O1794" s="147">
        <v>20</v>
      </c>
      <c r="P1794" s="147">
        <v>256</v>
      </c>
      <c r="Q1794" s="51">
        <f t="shared" si="40"/>
        <v>5120</v>
      </c>
      <c r="R1794" s="31">
        <v>202310</v>
      </c>
      <c r="S1794" s="54" t="s">
        <v>2282</v>
      </c>
      <c r="T1794" s="33"/>
      <c r="U1794" s="54"/>
      <c r="V1794" s="54"/>
      <c r="W1794" s="52"/>
      <c r="X1794" s="52"/>
      <c r="Y1794" s="36">
        <v>45017</v>
      </c>
      <c r="Z1794" s="36">
        <v>45382</v>
      </c>
      <c r="AA1794" s="36"/>
      <c r="AB1794" s="36"/>
      <c r="AC1794" s="36"/>
      <c r="AD1794" s="36"/>
      <c r="AE1794" s="36"/>
      <c r="AF1794" s="53" t="s">
        <v>853</v>
      </c>
      <c r="AG1794" s="42"/>
      <c r="AH1794" s="43"/>
      <c r="AI1794" s="43"/>
      <c r="AJ1794" s="43"/>
      <c r="AK1794" s="43"/>
      <c r="AL1794" s="43"/>
      <c r="AM1794" s="43"/>
      <c r="AN1794" s="42"/>
      <c r="AO1794" s="42"/>
      <c r="AP1794" s="42"/>
      <c r="AQ1794" s="43"/>
      <c r="AR1794" s="42"/>
      <c r="AS1794" s="42"/>
    </row>
    <row r="1795" spans="1:45" ht="15" customHeight="1">
      <c r="A1795" s="21" t="s">
        <v>258</v>
      </c>
      <c r="B1795" s="22" t="s">
        <v>46</v>
      </c>
      <c r="C1795" s="21" t="s">
        <v>887</v>
      </c>
      <c r="D1795" s="21" t="s">
        <v>888</v>
      </c>
      <c r="E1795" s="80" t="s">
        <v>2183</v>
      </c>
      <c r="F1795" s="21" t="s">
        <v>2184</v>
      </c>
      <c r="G1795" s="101" t="s">
        <v>77</v>
      </c>
      <c r="H1795" s="25" t="s">
        <v>2265</v>
      </c>
      <c r="I1795" s="65" t="s">
        <v>2279</v>
      </c>
      <c r="J1795" s="65" t="s">
        <v>2269</v>
      </c>
      <c r="K1795" s="104" t="s">
        <v>2280</v>
      </c>
      <c r="L1795" s="48" t="s">
        <v>2193</v>
      </c>
      <c r="M1795" s="27">
        <v>44804</v>
      </c>
      <c r="N1795" s="105" t="s">
        <v>1310</v>
      </c>
      <c r="O1795" s="106">
        <v>0</v>
      </c>
      <c r="P1795" s="106">
        <v>-3</v>
      </c>
      <c r="Q1795" s="51">
        <f t="shared" si="40"/>
        <v>0</v>
      </c>
      <c r="R1795" s="31">
        <v>202310</v>
      </c>
      <c r="S1795" s="54" t="s">
        <v>2283</v>
      </c>
      <c r="T1795" s="33"/>
      <c r="U1795" s="54"/>
      <c r="V1795" s="54"/>
      <c r="W1795" s="52"/>
      <c r="X1795" s="52"/>
      <c r="Y1795" s="36">
        <v>45017</v>
      </c>
      <c r="Z1795" s="36">
        <v>45382</v>
      </c>
      <c r="AA1795" s="36"/>
      <c r="AB1795" s="36"/>
      <c r="AC1795" s="36"/>
      <c r="AD1795" s="36"/>
      <c r="AE1795" s="36"/>
      <c r="AF1795" s="53" t="s">
        <v>853</v>
      </c>
      <c r="AG1795" s="42"/>
      <c r="AH1795" s="43"/>
      <c r="AI1795" s="43"/>
      <c r="AJ1795" s="43"/>
      <c r="AK1795" s="43"/>
      <c r="AL1795" s="43"/>
      <c r="AM1795" s="43"/>
      <c r="AN1795" s="42"/>
      <c r="AO1795" s="42"/>
      <c r="AP1795" s="42"/>
      <c r="AQ1795" s="43"/>
      <c r="AR1795" s="42"/>
      <c r="AS1795" s="42"/>
    </row>
    <row r="1796" spans="1:45" ht="15" customHeight="1">
      <c r="A1796" s="21" t="s">
        <v>258</v>
      </c>
      <c r="B1796" s="22" t="s">
        <v>46</v>
      </c>
      <c r="C1796" s="21" t="s">
        <v>887</v>
      </c>
      <c r="D1796" s="21" t="s">
        <v>888</v>
      </c>
      <c r="E1796" s="80" t="s">
        <v>2183</v>
      </c>
      <c r="F1796" s="21" t="s">
        <v>2184</v>
      </c>
      <c r="G1796" s="101" t="s">
        <v>165</v>
      </c>
      <c r="H1796" s="25" t="s">
        <v>2265</v>
      </c>
      <c r="I1796" s="65" t="s">
        <v>859</v>
      </c>
      <c r="J1796" s="65" t="s">
        <v>2269</v>
      </c>
      <c r="K1796" s="104" t="s">
        <v>2280</v>
      </c>
      <c r="L1796" s="48"/>
      <c r="M1796" s="27">
        <v>44804</v>
      </c>
      <c r="N1796" s="105"/>
      <c r="O1796" s="106">
        <v>20</v>
      </c>
      <c r="P1796" s="106">
        <v>-256</v>
      </c>
      <c r="Q1796" s="51">
        <f t="shared" si="40"/>
        <v>-5120</v>
      </c>
      <c r="R1796" s="31">
        <v>202310</v>
      </c>
      <c r="S1796" s="54" t="s">
        <v>2284</v>
      </c>
      <c r="T1796" s="33"/>
      <c r="U1796" s="54"/>
      <c r="V1796" s="54"/>
      <c r="W1796" s="52"/>
      <c r="X1796" s="52"/>
      <c r="Y1796" s="36">
        <v>45017</v>
      </c>
      <c r="Z1796" s="36">
        <v>45382</v>
      </c>
      <c r="AA1796" s="36"/>
      <c r="AB1796" s="36"/>
      <c r="AC1796" s="36"/>
      <c r="AD1796" s="36"/>
      <c r="AE1796" s="36"/>
      <c r="AF1796" s="53" t="s">
        <v>853</v>
      </c>
      <c r="AG1796" s="42"/>
      <c r="AH1796" s="43"/>
      <c r="AI1796" s="43"/>
      <c r="AJ1796" s="43"/>
      <c r="AK1796" s="43"/>
      <c r="AL1796" s="43"/>
      <c r="AM1796" s="43"/>
      <c r="AN1796" s="42"/>
      <c r="AO1796" s="42"/>
      <c r="AP1796" s="42"/>
      <c r="AQ1796" s="43"/>
      <c r="AR1796" s="42"/>
      <c r="AS1796" s="42"/>
    </row>
    <row r="1797" spans="1:45" ht="15" customHeight="1">
      <c r="A1797" s="21" t="s">
        <v>258</v>
      </c>
      <c r="B1797" s="22" t="s">
        <v>46</v>
      </c>
      <c r="C1797" s="21" t="s">
        <v>887</v>
      </c>
      <c r="D1797" s="21" t="s">
        <v>888</v>
      </c>
      <c r="E1797" s="80" t="s">
        <v>2183</v>
      </c>
      <c r="F1797" s="21" t="s">
        <v>2184</v>
      </c>
      <c r="G1797" s="101" t="s">
        <v>77</v>
      </c>
      <c r="H1797" s="25" t="s">
        <v>2265</v>
      </c>
      <c r="I1797" s="65" t="s">
        <v>479</v>
      </c>
      <c r="J1797" s="65" t="s">
        <v>2269</v>
      </c>
      <c r="K1797" s="26" t="s">
        <v>2285</v>
      </c>
      <c r="L1797" s="48" t="s">
        <v>2286</v>
      </c>
      <c r="M1797" s="27" t="s">
        <v>851</v>
      </c>
      <c r="N1797" s="105" t="s">
        <v>177</v>
      </c>
      <c r="O1797" s="147">
        <v>0</v>
      </c>
      <c r="P1797" s="147">
        <v>5</v>
      </c>
      <c r="Q1797" s="51">
        <f t="shared" si="40"/>
        <v>0</v>
      </c>
      <c r="R1797" s="31">
        <v>202310</v>
      </c>
      <c r="S1797" s="54" t="s">
        <v>2287</v>
      </c>
      <c r="T1797" s="33"/>
      <c r="U1797" s="54"/>
      <c r="V1797" s="54"/>
      <c r="W1797" s="52"/>
      <c r="X1797" s="52"/>
      <c r="Y1797" s="36">
        <v>45017</v>
      </c>
      <c r="Z1797" s="36">
        <v>45382</v>
      </c>
      <c r="AA1797" s="36"/>
      <c r="AB1797" s="36"/>
      <c r="AC1797" s="36"/>
      <c r="AD1797" s="36"/>
      <c r="AE1797" s="36"/>
      <c r="AF1797" s="53" t="s">
        <v>503</v>
      </c>
      <c r="AG1797" s="42"/>
      <c r="AH1797" s="43"/>
      <c r="AI1797" s="43"/>
      <c r="AJ1797" s="43"/>
      <c r="AK1797" s="43"/>
      <c r="AL1797" s="43"/>
      <c r="AM1797" s="43"/>
      <c r="AN1797" s="42"/>
      <c r="AO1797" s="42"/>
      <c r="AP1797" s="42"/>
      <c r="AQ1797" s="43"/>
      <c r="AR1797" s="42"/>
      <c r="AS1797" s="42"/>
    </row>
    <row r="1798" spans="1:45" ht="15" customHeight="1">
      <c r="A1798" s="21" t="s">
        <v>258</v>
      </c>
      <c r="B1798" s="22" t="s">
        <v>46</v>
      </c>
      <c r="C1798" s="21" t="s">
        <v>887</v>
      </c>
      <c r="D1798" s="21" t="s">
        <v>888</v>
      </c>
      <c r="E1798" s="80" t="s">
        <v>2183</v>
      </c>
      <c r="F1798" s="21" t="s">
        <v>2184</v>
      </c>
      <c r="G1798" s="101" t="s">
        <v>165</v>
      </c>
      <c r="H1798" s="25" t="s">
        <v>2265</v>
      </c>
      <c r="I1798" s="65" t="s">
        <v>491</v>
      </c>
      <c r="J1798" s="65" t="s">
        <v>2269</v>
      </c>
      <c r="K1798" s="26" t="s">
        <v>2285</v>
      </c>
      <c r="L1798" s="48"/>
      <c r="M1798" s="27">
        <v>42217</v>
      </c>
      <c r="N1798" s="105"/>
      <c r="O1798" s="147">
        <v>0</v>
      </c>
      <c r="P1798" s="147">
        <v>256</v>
      </c>
      <c r="Q1798" s="51">
        <f t="shared" si="40"/>
        <v>0</v>
      </c>
      <c r="R1798" s="31">
        <v>202310</v>
      </c>
      <c r="S1798" s="54" t="s">
        <v>2288</v>
      </c>
      <c r="T1798" s="33"/>
      <c r="U1798" s="54"/>
      <c r="V1798" s="54"/>
      <c r="W1798" s="52"/>
      <c r="X1798" s="52"/>
      <c r="Y1798" s="36">
        <v>45017</v>
      </c>
      <c r="Z1798" s="36">
        <v>45382</v>
      </c>
      <c r="AA1798" s="36"/>
      <c r="AB1798" s="36"/>
      <c r="AC1798" s="36"/>
      <c r="AD1798" s="36"/>
      <c r="AE1798" s="36"/>
      <c r="AF1798" s="53" t="s">
        <v>503</v>
      </c>
      <c r="AG1798" s="42"/>
      <c r="AH1798" s="43"/>
      <c r="AI1798" s="43"/>
      <c r="AJ1798" s="43"/>
      <c r="AK1798" s="43"/>
      <c r="AL1798" s="43"/>
      <c r="AM1798" s="43"/>
      <c r="AN1798" s="42"/>
      <c r="AO1798" s="42"/>
      <c r="AP1798" s="42"/>
      <c r="AQ1798" s="43"/>
      <c r="AR1798" s="42"/>
      <c r="AS1798" s="42"/>
    </row>
    <row r="1799" spans="1:45" ht="15" customHeight="1">
      <c r="A1799" s="21" t="s">
        <v>258</v>
      </c>
      <c r="B1799" s="22" t="s">
        <v>46</v>
      </c>
      <c r="C1799" s="21" t="s">
        <v>887</v>
      </c>
      <c r="D1799" s="21" t="s">
        <v>888</v>
      </c>
      <c r="E1799" s="80" t="s">
        <v>2183</v>
      </c>
      <c r="F1799" s="21" t="s">
        <v>2184</v>
      </c>
      <c r="G1799" s="101" t="s">
        <v>165</v>
      </c>
      <c r="H1799" s="25" t="s">
        <v>2265</v>
      </c>
      <c r="I1799" s="65" t="s">
        <v>491</v>
      </c>
      <c r="J1799" s="65" t="s">
        <v>2269</v>
      </c>
      <c r="K1799" s="26" t="s">
        <v>2289</v>
      </c>
      <c r="L1799" s="48"/>
      <c r="M1799" s="27"/>
      <c r="N1799" s="105"/>
      <c r="O1799" s="147">
        <v>0</v>
      </c>
      <c r="P1799" s="147">
        <v>288</v>
      </c>
      <c r="Q1799" s="51">
        <f t="shared" si="40"/>
        <v>0</v>
      </c>
      <c r="R1799" s="31">
        <v>202310</v>
      </c>
      <c r="S1799" s="54" t="s">
        <v>2290</v>
      </c>
      <c r="T1799" s="33"/>
      <c r="U1799" s="54"/>
      <c r="V1799" s="54"/>
      <c r="W1799" s="52"/>
      <c r="X1799" s="52"/>
      <c r="Y1799" s="36">
        <v>45017</v>
      </c>
      <c r="Z1799" s="36">
        <v>45382</v>
      </c>
      <c r="AA1799" s="36"/>
      <c r="AB1799" s="36"/>
      <c r="AC1799" s="36"/>
      <c r="AD1799" s="36"/>
      <c r="AE1799" s="36"/>
      <c r="AF1799" s="53" t="s">
        <v>1589</v>
      </c>
      <c r="AG1799" s="42"/>
      <c r="AH1799" s="43"/>
      <c r="AI1799" s="43"/>
      <c r="AJ1799" s="43"/>
      <c r="AK1799" s="43"/>
      <c r="AL1799" s="43"/>
      <c r="AM1799" s="43"/>
      <c r="AN1799" s="42"/>
      <c r="AO1799" s="42"/>
      <c r="AP1799" s="42"/>
      <c r="AQ1799" s="43"/>
      <c r="AR1799" s="42"/>
      <c r="AS1799" s="42"/>
    </row>
    <row r="1800" spans="1:45" ht="15" customHeight="1">
      <c r="A1800" s="21" t="s">
        <v>258</v>
      </c>
      <c r="B1800" s="22" t="s">
        <v>46</v>
      </c>
      <c r="C1800" s="21" t="s">
        <v>887</v>
      </c>
      <c r="D1800" s="21" t="s">
        <v>888</v>
      </c>
      <c r="E1800" s="80" t="s">
        <v>2183</v>
      </c>
      <c r="F1800" s="21" t="s">
        <v>2184</v>
      </c>
      <c r="G1800" s="101" t="s">
        <v>165</v>
      </c>
      <c r="H1800" s="25" t="s">
        <v>2265</v>
      </c>
      <c r="I1800" s="65" t="s">
        <v>491</v>
      </c>
      <c r="J1800" s="65" t="s">
        <v>2269</v>
      </c>
      <c r="K1800" s="26" t="s">
        <v>2289</v>
      </c>
      <c r="L1800" s="48"/>
      <c r="M1800" s="27">
        <v>44153</v>
      </c>
      <c r="N1800" s="105"/>
      <c r="O1800" s="147">
        <v>0</v>
      </c>
      <c r="P1800" s="147">
        <v>256</v>
      </c>
      <c r="Q1800" s="51">
        <f t="shared" si="40"/>
        <v>0</v>
      </c>
      <c r="R1800" s="31">
        <v>202310</v>
      </c>
      <c r="S1800" s="54" t="s">
        <v>2291</v>
      </c>
      <c r="T1800" s="33"/>
      <c r="U1800" s="54"/>
      <c r="V1800" s="54"/>
      <c r="W1800" s="52"/>
      <c r="X1800" s="52"/>
      <c r="Y1800" s="36">
        <v>45017</v>
      </c>
      <c r="Z1800" s="36">
        <v>45382</v>
      </c>
      <c r="AA1800" s="36"/>
      <c r="AB1800" s="36"/>
      <c r="AC1800" s="36"/>
      <c r="AD1800" s="36"/>
      <c r="AE1800" s="36"/>
      <c r="AF1800" s="53" t="s">
        <v>484</v>
      </c>
      <c r="AG1800" s="42"/>
      <c r="AH1800" s="43"/>
      <c r="AI1800" s="43"/>
      <c r="AJ1800" s="43"/>
      <c r="AK1800" s="43"/>
      <c r="AL1800" s="43"/>
      <c r="AM1800" s="43"/>
      <c r="AN1800" s="42"/>
      <c r="AO1800" s="42"/>
      <c r="AP1800" s="42"/>
      <c r="AQ1800" s="43"/>
      <c r="AR1800" s="42"/>
      <c r="AS1800" s="42"/>
    </row>
    <row r="1801" spans="1:45" ht="15" customHeight="1">
      <c r="A1801" s="21" t="s">
        <v>258</v>
      </c>
      <c r="B1801" s="22" t="s">
        <v>46</v>
      </c>
      <c r="C1801" s="21" t="s">
        <v>887</v>
      </c>
      <c r="D1801" s="21" t="s">
        <v>888</v>
      </c>
      <c r="E1801" s="80" t="s">
        <v>2183</v>
      </c>
      <c r="F1801" s="21" t="s">
        <v>2184</v>
      </c>
      <c r="G1801" s="101" t="s">
        <v>165</v>
      </c>
      <c r="H1801" s="25" t="s">
        <v>2265</v>
      </c>
      <c r="I1801" s="65" t="s">
        <v>491</v>
      </c>
      <c r="J1801" s="65" t="s">
        <v>2269</v>
      </c>
      <c r="K1801" s="26" t="s">
        <v>2267</v>
      </c>
      <c r="L1801" s="48"/>
      <c r="M1801" s="27">
        <v>44153</v>
      </c>
      <c r="N1801" s="105"/>
      <c r="O1801" s="147">
        <v>0</v>
      </c>
      <c r="P1801" s="147">
        <v>544</v>
      </c>
      <c r="Q1801" s="51">
        <f t="shared" si="40"/>
        <v>0</v>
      </c>
      <c r="R1801" s="31">
        <v>202310</v>
      </c>
      <c r="S1801" s="54" t="s">
        <v>2292</v>
      </c>
      <c r="T1801" s="33"/>
      <c r="U1801" s="54"/>
      <c r="V1801" s="54"/>
      <c r="W1801" s="52"/>
      <c r="X1801" s="52"/>
      <c r="Y1801" s="36">
        <v>45017</v>
      </c>
      <c r="Z1801" s="36">
        <v>45382</v>
      </c>
      <c r="AA1801" s="36"/>
      <c r="AB1801" s="36"/>
      <c r="AC1801" s="36"/>
      <c r="AD1801" s="36"/>
      <c r="AE1801" s="36"/>
      <c r="AF1801" s="53" t="s">
        <v>503</v>
      </c>
      <c r="AG1801" s="42"/>
      <c r="AH1801" s="43"/>
      <c r="AI1801" s="43"/>
      <c r="AJ1801" s="43"/>
      <c r="AK1801" s="43"/>
      <c r="AL1801" s="43"/>
      <c r="AM1801" s="43"/>
      <c r="AN1801" s="42"/>
      <c r="AO1801" s="42"/>
      <c r="AP1801" s="42"/>
      <c r="AQ1801" s="43"/>
      <c r="AR1801" s="42"/>
      <c r="AS1801" s="42"/>
    </row>
    <row r="1802" spans="1:45" ht="15" customHeight="1">
      <c r="A1802" s="21" t="s">
        <v>258</v>
      </c>
      <c r="B1802" s="22" t="s">
        <v>46</v>
      </c>
      <c r="C1802" s="21" t="s">
        <v>887</v>
      </c>
      <c r="D1802" s="21" t="s">
        <v>888</v>
      </c>
      <c r="E1802" s="80" t="s">
        <v>2183</v>
      </c>
      <c r="F1802" s="21" t="s">
        <v>2184</v>
      </c>
      <c r="G1802" s="101" t="s">
        <v>165</v>
      </c>
      <c r="H1802" s="25" t="s">
        <v>2265</v>
      </c>
      <c r="I1802" s="65" t="s">
        <v>491</v>
      </c>
      <c r="J1802" s="65" t="s">
        <v>2269</v>
      </c>
      <c r="K1802" s="26" t="s">
        <v>2267</v>
      </c>
      <c r="L1802" s="48"/>
      <c r="M1802" s="27">
        <v>45107</v>
      </c>
      <c r="N1802" s="105"/>
      <c r="O1802" s="147">
        <v>0</v>
      </c>
      <c r="P1802" s="147">
        <v>-544</v>
      </c>
      <c r="Q1802" s="51">
        <f t="shared" si="40"/>
        <v>0</v>
      </c>
      <c r="R1802" s="31">
        <v>202310</v>
      </c>
      <c r="S1802" s="54" t="s">
        <v>2293</v>
      </c>
      <c r="T1802" s="33"/>
      <c r="U1802" s="54"/>
      <c r="V1802" s="54"/>
      <c r="W1802" s="52"/>
      <c r="X1802" s="52"/>
      <c r="Y1802" s="36">
        <v>45017</v>
      </c>
      <c r="Z1802" s="36">
        <v>45382</v>
      </c>
      <c r="AA1802" s="36"/>
      <c r="AB1802" s="36"/>
      <c r="AC1802" s="36"/>
      <c r="AD1802" s="36"/>
      <c r="AE1802" s="36"/>
      <c r="AF1802" s="53" t="s">
        <v>503</v>
      </c>
      <c r="AG1802" s="42"/>
      <c r="AH1802" s="43"/>
      <c r="AI1802" s="43"/>
      <c r="AJ1802" s="43"/>
      <c r="AK1802" s="43"/>
      <c r="AL1802" s="43"/>
      <c r="AM1802" s="43"/>
      <c r="AN1802" s="42"/>
      <c r="AO1802" s="42"/>
      <c r="AP1802" s="42"/>
      <c r="AQ1802" s="43"/>
      <c r="AR1802" s="42"/>
      <c r="AS1802" s="42"/>
    </row>
    <row r="1803" spans="1:45" ht="15" customHeight="1">
      <c r="A1803" s="21" t="s">
        <v>258</v>
      </c>
      <c r="B1803" s="22" t="s">
        <v>46</v>
      </c>
      <c r="C1803" s="21" t="s">
        <v>887</v>
      </c>
      <c r="D1803" s="21" t="s">
        <v>888</v>
      </c>
      <c r="E1803" s="80" t="s">
        <v>2183</v>
      </c>
      <c r="F1803" s="21" t="s">
        <v>2184</v>
      </c>
      <c r="G1803" s="101" t="s">
        <v>77</v>
      </c>
      <c r="H1803" s="25" t="s">
        <v>2265</v>
      </c>
      <c r="I1803" s="65" t="s">
        <v>479</v>
      </c>
      <c r="J1803" s="65"/>
      <c r="K1803" s="26" t="s">
        <v>2294</v>
      </c>
      <c r="L1803" s="48" t="s">
        <v>2193</v>
      </c>
      <c r="M1803" s="27">
        <v>44531</v>
      </c>
      <c r="N1803" s="105" t="s">
        <v>1310</v>
      </c>
      <c r="O1803" s="147">
        <v>0</v>
      </c>
      <c r="P1803" s="147">
        <v>2</v>
      </c>
      <c r="Q1803" s="51">
        <f t="shared" si="40"/>
        <v>0</v>
      </c>
      <c r="R1803" s="31">
        <v>202310</v>
      </c>
      <c r="S1803" s="54" t="s">
        <v>2295</v>
      </c>
      <c r="T1803" s="33"/>
      <c r="U1803" s="54"/>
      <c r="V1803" s="54"/>
      <c r="W1803" s="52"/>
      <c r="X1803" s="52"/>
      <c r="Y1803" s="36">
        <v>45017</v>
      </c>
      <c r="Z1803" s="36">
        <v>45382</v>
      </c>
      <c r="AA1803" s="36"/>
      <c r="AB1803" s="36"/>
      <c r="AC1803" s="36"/>
      <c r="AD1803" s="36"/>
      <c r="AE1803" s="36"/>
      <c r="AF1803" s="53" t="s">
        <v>503</v>
      </c>
      <c r="AG1803" s="42"/>
      <c r="AH1803" s="43"/>
      <c r="AI1803" s="43"/>
      <c r="AJ1803" s="43"/>
      <c r="AK1803" s="43"/>
      <c r="AL1803" s="43"/>
      <c r="AM1803" s="43"/>
      <c r="AN1803" s="42"/>
      <c r="AO1803" s="42"/>
      <c r="AP1803" s="42"/>
      <c r="AQ1803" s="43"/>
      <c r="AR1803" s="42"/>
      <c r="AS1803" s="42"/>
    </row>
    <row r="1804" spans="1:45" ht="15" customHeight="1">
      <c r="A1804" s="21" t="s">
        <v>258</v>
      </c>
      <c r="B1804" s="22" t="s">
        <v>46</v>
      </c>
      <c r="C1804" s="21" t="s">
        <v>887</v>
      </c>
      <c r="D1804" s="21" t="s">
        <v>888</v>
      </c>
      <c r="E1804" s="80" t="s">
        <v>2183</v>
      </c>
      <c r="F1804" s="21" t="s">
        <v>2184</v>
      </c>
      <c r="G1804" s="101" t="s">
        <v>77</v>
      </c>
      <c r="H1804" s="25" t="s">
        <v>2265</v>
      </c>
      <c r="I1804" s="65" t="s">
        <v>479</v>
      </c>
      <c r="J1804" s="65"/>
      <c r="K1804" s="26" t="s">
        <v>2294</v>
      </c>
      <c r="L1804" s="48" t="s">
        <v>2193</v>
      </c>
      <c r="M1804" s="27">
        <v>44926</v>
      </c>
      <c r="N1804" s="105" t="s">
        <v>1310</v>
      </c>
      <c r="O1804" s="147">
        <v>0</v>
      </c>
      <c r="P1804" s="147">
        <v>-2</v>
      </c>
      <c r="Q1804" s="51">
        <f t="shared" ref="Q1804:Q1872" si="41">ROUND(O1804*P1804,2)</f>
        <v>0</v>
      </c>
      <c r="R1804" s="31">
        <v>202310</v>
      </c>
      <c r="S1804" s="54" t="s">
        <v>2295</v>
      </c>
      <c r="T1804" s="33"/>
      <c r="U1804" s="54"/>
      <c r="V1804" s="54"/>
      <c r="W1804" s="52"/>
      <c r="X1804" s="52"/>
      <c r="Y1804" s="36">
        <v>45017</v>
      </c>
      <c r="Z1804" s="36">
        <v>45382</v>
      </c>
      <c r="AA1804" s="36"/>
      <c r="AB1804" s="36"/>
      <c r="AC1804" s="36"/>
      <c r="AD1804" s="36"/>
      <c r="AE1804" s="36"/>
      <c r="AF1804" s="53" t="s">
        <v>503</v>
      </c>
      <c r="AG1804" s="42"/>
      <c r="AH1804" s="43"/>
      <c r="AI1804" s="43"/>
      <c r="AJ1804" s="43"/>
      <c r="AK1804" s="43"/>
      <c r="AL1804" s="43"/>
      <c r="AM1804" s="43"/>
      <c r="AN1804" s="42"/>
      <c r="AO1804" s="42"/>
      <c r="AP1804" s="42"/>
      <c r="AQ1804" s="43"/>
      <c r="AR1804" s="42"/>
      <c r="AS1804" s="42"/>
    </row>
    <row r="1805" spans="1:45" ht="15" customHeight="1">
      <c r="A1805" s="21" t="s">
        <v>258</v>
      </c>
      <c r="B1805" s="22" t="s">
        <v>46</v>
      </c>
      <c r="C1805" s="21" t="s">
        <v>887</v>
      </c>
      <c r="D1805" s="21" t="s">
        <v>888</v>
      </c>
      <c r="E1805" s="80" t="s">
        <v>2183</v>
      </c>
      <c r="F1805" s="21" t="s">
        <v>2184</v>
      </c>
      <c r="G1805" s="101" t="s">
        <v>77</v>
      </c>
      <c r="H1805" s="25" t="s">
        <v>2265</v>
      </c>
      <c r="I1805" s="65" t="s">
        <v>479</v>
      </c>
      <c r="J1805" s="65"/>
      <c r="K1805" s="26" t="s">
        <v>2296</v>
      </c>
      <c r="L1805" s="48" t="s">
        <v>2193</v>
      </c>
      <c r="M1805" s="27">
        <v>44531</v>
      </c>
      <c r="N1805" s="105" t="s">
        <v>1310</v>
      </c>
      <c r="O1805" s="147">
        <v>0</v>
      </c>
      <c r="P1805" s="147">
        <v>2</v>
      </c>
      <c r="Q1805" s="51">
        <f t="shared" si="41"/>
        <v>0</v>
      </c>
      <c r="R1805" s="31">
        <v>202310</v>
      </c>
      <c r="S1805" s="54" t="s">
        <v>2297</v>
      </c>
      <c r="T1805" s="33"/>
      <c r="U1805" s="54"/>
      <c r="V1805" s="54"/>
      <c r="W1805" s="52"/>
      <c r="X1805" s="52"/>
      <c r="Y1805" s="36">
        <v>45017</v>
      </c>
      <c r="Z1805" s="36">
        <v>45382</v>
      </c>
      <c r="AA1805" s="36"/>
      <c r="AB1805" s="36"/>
      <c r="AC1805" s="36"/>
      <c r="AD1805" s="36"/>
      <c r="AE1805" s="36"/>
      <c r="AF1805" s="53" t="s">
        <v>503</v>
      </c>
      <c r="AG1805" s="42"/>
      <c r="AH1805" s="43"/>
      <c r="AI1805" s="43"/>
      <c r="AJ1805" s="43"/>
      <c r="AK1805" s="43"/>
      <c r="AL1805" s="43"/>
      <c r="AM1805" s="43"/>
      <c r="AN1805" s="42"/>
      <c r="AO1805" s="42"/>
      <c r="AP1805" s="42"/>
      <c r="AQ1805" s="43"/>
      <c r="AR1805" s="42"/>
      <c r="AS1805" s="42"/>
    </row>
    <row r="1806" spans="1:45" ht="15" customHeight="1">
      <c r="A1806" s="21" t="s">
        <v>258</v>
      </c>
      <c r="B1806" s="22" t="s">
        <v>46</v>
      </c>
      <c r="C1806" s="21" t="s">
        <v>887</v>
      </c>
      <c r="D1806" s="21" t="s">
        <v>888</v>
      </c>
      <c r="E1806" s="80" t="s">
        <v>2183</v>
      </c>
      <c r="F1806" s="21" t="s">
        <v>2184</v>
      </c>
      <c r="G1806" s="101" t="s">
        <v>77</v>
      </c>
      <c r="H1806" s="25" t="s">
        <v>2265</v>
      </c>
      <c r="I1806" s="65" t="s">
        <v>479</v>
      </c>
      <c r="J1806" s="65"/>
      <c r="K1806" s="26" t="s">
        <v>2296</v>
      </c>
      <c r="L1806" s="48" t="s">
        <v>2193</v>
      </c>
      <c r="M1806" s="27">
        <v>44926</v>
      </c>
      <c r="N1806" s="105" t="s">
        <v>1310</v>
      </c>
      <c r="O1806" s="147">
        <v>0</v>
      </c>
      <c r="P1806" s="147">
        <v>-2</v>
      </c>
      <c r="Q1806" s="51">
        <f t="shared" si="41"/>
        <v>0</v>
      </c>
      <c r="R1806" s="31">
        <v>202310</v>
      </c>
      <c r="S1806" s="54" t="s">
        <v>2297</v>
      </c>
      <c r="T1806" s="33"/>
      <c r="U1806" s="54"/>
      <c r="V1806" s="54"/>
      <c r="W1806" s="52"/>
      <c r="X1806" s="52"/>
      <c r="Y1806" s="36">
        <v>45017</v>
      </c>
      <c r="Z1806" s="36">
        <v>45382</v>
      </c>
      <c r="AA1806" s="36"/>
      <c r="AB1806" s="36"/>
      <c r="AC1806" s="36"/>
      <c r="AD1806" s="36"/>
      <c r="AE1806" s="36"/>
      <c r="AF1806" s="53" t="s">
        <v>503</v>
      </c>
      <c r="AG1806" s="42"/>
      <c r="AH1806" s="43"/>
      <c r="AI1806" s="43"/>
      <c r="AJ1806" s="43"/>
      <c r="AK1806" s="43"/>
      <c r="AL1806" s="43"/>
      <c r="AM1806" s="43"/>
      <c r="AN1806" s="42"/>
      <c r="AO1806" s="42"/>
      <c r="AP1806" s="42"/>
      <c r="AQ1806" s="43"/>
      <c r="AR1806" s="42"/>
      <c r="AS1806" s="42"/>
    </row>
    <row r="1807" spans="1:45" ht="15" customHeight="1">
      <c r="A1807" s="21" t="s">
        <v>258</v>
      </c>
      <c r="B1807" s="22" t="s">
        <v>46</v>
      </c>
      <c r="C1807" s="21" t="s">
        <v>887</v>
      </c>
      <c r="D1807" s="21" t="s">
        <v>888</v>
      </c>
      <c r="E1807" s="80" t="s">
        <v>2183</v>
      </c>
      <c r="F1807" s="21" t="s">
        <v>2184</v>
      </c>
      <c r="G1807" s="101" t="s">
        <v>165</v>
      </c>
      <c r="H1807" s="25" t="s">
        <v>2265</v>
      </c>
      <c r="I1807" s="65" t="s">
        <v>491</v>
      </c>
      <c r="J1807" s="65"/>
      <c r="K1807" s="26" t="s">
        <v>2294</v>
      </c>
      <c r="L1807" s="48"/>
      <c r="M1807" s="27">
        <v>44531</v>
      </c>
      <c r="N1807" s="105"/>
      <c r="O1807" s="147">
        <v>0</v>
      </c>
      <c r="P1807" s="147">
        <f>128+160</f>
        <v>288</v>
      </c>
      <c r="Q1807" s="51">
        <f t="shared" si="41"/>
        <v>0</v>
      </c>
      <c r="R1807" s="31">
        <v>202310</v>
      </c>
      <c r="S1807" s="54" t="s">
        <v>2298</v>
      </c>
      <c r="T1807" s="33"/>
      <c r="U1807" s="54"/>
      <c r="V1807" s="54"/>
      <c r="W1807" s="52"/>
      <c r="X1807" s="52"/>
      <c r="Y1807" s="36">
        <v>45017</v>
      </c>
      <c r="Z1807" s="36">
        <v>45382</v>
      </c>
      <c r="AA1807" s="36"/>
      <c r="AB1807" s="36"/>
      <c r="AC1807" s="36"/>
      <c r="AD1807" s="36"/>
      <c r="AE1807" s="36"/>
      <c r="AF1807" s="53" t="s">
        <v>503</v>
      </c>
      <c r="AG1807" s="42"/>
      <c r="AH1807" s="43"/>
      <c r="AI1807" s="43"/>
      <c r="AJ1807" s="43"/>
      <c r="AK1807" s="43"/>
      <c r="AL1807" s="43"/>
      <c r="AM1807" s="43"/>
      <c r="AN1807" s="42"/>
      <c r="AO1807" s="42"/>
      <c r="AP1807" s="42"/>
      <c r="AQ1807" s="43"/>
      <c r="AR1807" s="42"/>
      <c r="AS1807" s="42"/>
    </row>
    <row r="1808" spans="1:45" ht="15" customHeight="1">
      <c r="A1808" s="21" t="s">
        <v>258</v>
      </c>
      <c r="B1808" s="22" t="s">
        <v>46</v>
      </c>
      <c r="C1808" s="21" t="s">
        <v>887</v>
      </c>
      <c r="D1808" s="21" t="s">
        <v>888</v>
      </c>
      <c r="E1808" s="80" t="s">
        <v>2183</v>
      </c>
      <c r="F1808" s="21" t="s">
        <v>2184</v>
      </c>
      <c r="G1808" s="101" t="s">
        <v>165</v>
      </c>
      <c r="H1808" s="25" t="s">
        <v>2265</v>
      </c>
      <c r="I1808" s="65" t="s">
        <v>491</v>
      </c>
      <c r="J1808" s="65"/>
      <c r="K1808" s="26" t="s">
        <v>2294</v>
      </c>
      <c r="L1808" s="48"/>
      <c r="M1808" s="27">
        <v>44926</v>
      </c>
      <c r="N1808" s="105"/>
      <c r="O1808" s="147">
        <v>0</v>
      </c>
      <c r="P1808" s="147">
        <v>-288</v>
      </c>
      <c r="Q1808" s="51">
        <f t="shared" si="41"/>
        <v>0</v>
      </c>
      <c r="R1808" s="31">
        <v>202310</v>
      </c>
      <c r="S1808" s="54" t="s">
        <v>2298</v>
      </c>
      <c r="T1808" s="33"/>
      <c r="U1808" s="54"/>
      <c r="V1808" s="54"/>
      <c r="W1808" s="52"/>
      <c r="X1808" s="52"/>
      <c r="Y1808" s="36">
        <v>45017</v>
      </c>
      <c r="Z1808" s="36">
        <v>45382</v>
      </c>
      <c r="AA1808" s="36"/>
      <c r="AB1808" s="36"/>
      <c r="AC1808" s="36"/>
      <c r="AD1808" s="36"/>
      <c r="AE1808" s="36"/>
      <c r="AF1808" s="53" t="s">
        <v>503</v>
      </c>
      <c r="AG1808" s="42"/>
      <c r="AH1808" s="43"/>
      <c r="AI1808" s="43"/>
      <c r="AJ1808" s="43"/>
      <c r="AK1808" s="43"/>
      <c r="AL1808" s="43"/>
      <c r="AM1808" s="43"/>
      <c r="AN1808" s="42"/>
      <c r="AO1808" s="42"/>
      <c r="AP1808" s="42"/>
      <c r="AQ1808" s="43"/>
      <c r="AR1808" s="42"/>
      <c r="AS1808" s="42"/>
    </row>
    <row r="1809" spans="1:45" ht="15" customHeight="1">
      <c r="A1809" s="21" t="s">
        <v>258</v>
      </c>
      <c r="B1809" s="22" t="s">
        <v>46</v>
      </c>
      <c r="C1809" s="21" t="s">
        <v>887</v>
      </c>
      <c r="D1809" s="21" t="s">
        <v>888</v>
      </c>
      <c r="E1809" s="80" t="s">
        <v>2183</v>
      </c>
      <c r="F1809" s="21" t="s">
        <v>2184</v>
      </c>
      <c r="G1809" s="101" t="s">
        <v>165</v>
      </c>
      <c r="H1809" s="25" t="s">
        <v>2265</v>
      </c>
      <c r="I1809" s="65" t="s">
        <v>491</v>
      </c>
      <c r="J1809" s="65"/>
      <c r="K1809" s="26" t="s">
        <v>2296</v>
      </c>
      <c r="L1809" s="48"/>
      <c r="M1809" s="27">
        <v>44531</v>
      </c>
      <c r="N1809" s="105"/>
      <c r="O1809" s="147">
        <v>0</v>
      </c>
      <c r="P1809" s="147">
        <v>160</v>
      </c>
      <c r="Q1809" s="51">
        <f t="shared" si="41"/>
        <v>0</v>
      </c>
      <c r="R1809" s="31">
        <v>202310</v>
      </c>
      <c r="S1809" s="54" t="s">
        <v>2299</v>
      </c>
      <c r="T1809" s="33"/>
      <c r="U1809" s="54"/>
      <c r="V1809" s="54"/>
      <c r="W1809" s="52"/>
      <c r="X1809" s="52"/>
      <c r="Y1809" s="36">
        <v>45017</v>
      </c>
      <c r="Z1809" s="36">
        <v>45382</v>
      </c>
      <c r="AA1809" s="36"/>
      <c r="AB1809" s="36"/>
      <c r="AC1809" s="36"/>
      <c r="AD1809" s="36"/>
      <c r="AE1809" s="36"/>
      <c r="AF1809" s="53" t="s">
        <v>503</v>
      </c>
      <c r="AG1809" s="42"/>
      <c r="AH1809" s="43"/>
      <c r="AI1809" s="43"/>
      <c r="AJ1809" s="43"/>
      <c r="AK1809" s="43"/>
      <c r="AL1809" s="43"/>
      <c r="AM1809" s="43"/>
      <c r="AN1809" s="42"/>
      <c r="AO1809" s="42"/>
      <c r="AP1809" s="42"/>
      <c r="AQ1809" s="43"/>
      <c r="AR1809" s="42"/>
      <c r="AS1809" s="42"/>
    </row>
    <row r="1810" spans="1:45" ht="15" customHeight="1">
      <c r="A1810" s="21" t="s">
        <v>258</v>
      </c>
      <c r="B1810" s="22" t="s">
        <v>46</v>
      </c>
      <c r="C1810" s="21" t="s">
        <v>887</v>
      </c>
      <c r="D1810" s="21" t="s">
        <v>888</v>
      </c>
      <c r="E1810" s="80" t="s">
        <v>2183</v>
      </c>
      <c r="F1810" s="21" t="s">
        <v>2184</v>
      </c>
      <c r="G1810" s="101" t="s">
        <v>165</v>
      </c>
      <c r="H1810" s="25" t="s">
        <v>2265</v>
      </c>
      <c r="I1810" s="65" t="s">
        <v>491</v>
      </c>
      <c r="J1810" s="65"/>
      <c r="K1810" s="26" t="s">
        <v>2296</v>
      </c>
      <c r="L1810" s="48"/>
      <c r="M1810" s="27">
        <v>44926</v>
      </c>
      <c r="N1810" s="105"/>
      <c r="O1810" s="147">
        <v>0</v>
      </c>
      <c r="P1810" s="147">
        <v>-160</v>
      </c>
      <c r="Q1810" s="51">
        <f t="shared" si="41"/>
        <v>0</v>
      </c>
      <c r="R1810" s="31">
        <v>202310</v>
      </c>
      <c r="S1810" s="54" t="s">
        <v>2299</v>
      </c>
      <c r="T1810" s="33"/>
      <c r="U1810" s="54"/>
      <c r="V1810" s="54"/>
      <c r="W1810" s="52"/>
      <c r="X1810" s="52"/>
      <c r="Y1810" s="36">
        <v>45017</v>
      </c>
      <c r="Z1810" s="36">
        <v>45382</v>
      </c>
      <c r="AA1810" s="36"/>
      <c r="AB1810" s="36"/>
      <c r="AC1810" s="36"/>
      <c r="AD1810" s="36"/>
      <c r="AE1810" s="36"/>
      <c r="AF1810" s="53" t="s">
        <v>503</v>
      </c>
      <c r="AG1810" s="42"/>
      <c r="AH1810" s="43"/>
      <c r="AI1810" s="43"/>
      <c r="AJ1810" s="43"/>
      <c r="AK1810" s="43"/>
      <c r="AL1810" s="43"/>
      <c r="AM1810" s="43"/>
      <c r="AN1810" s="42"/>
      <c r="AO1810" s="42"/>
      <c r="AP1810" s="42"/>
      <c r="AQ1810" s="43"/>
      <c r="AR1810" s="42"/>
      <c r="AS1810" s="42"/>
    </row>
    <row r="1811" spans="1:45" ht="15" customHeight="1">
      <c r="A1811" s="65" t="s">
        <v>258</v>
      </c>
      <c r="B1811" s="21" t="s">
        <v>46</v>
      </c>
      <c r="C1811" s="21" t="s">
        <v>47</v>
      </c>
      <c r="D1811" s="21" t="s">
        <v>48</v>
      </c>
      <c r="E1811" s="66" t="s">
        <v>2300</v>
      </c>
      <c r="F1811" s="65" t="s">
        <v>2301</v>
      </c>
      <c r="G1811" s="47" t="s">
        <v>77</v>
      </c>
      <c r="H1811" s="45" t="s">
        <v>2302</v>
      </c>
      <c r="I1811" s="102" t="s">
        <v>78</v>
      </c>
      <c r="J1811" s="65" t="s">
        <v>785</v>
      </c>
      <c r="K1811" s="47"/>
      <c r="L1811" s="48" t="s">
        <v>700</v>
      </c>
      <c r="M1811" s="49">
        <v>44228</v>
      </c>
      <c r="N1811" s="49" t="s">
        <v>177</v>
      </c>
      <c r="O1811" s="61">
        <v>5323.03</v>
      </c>
      <c r="P1811" s="61">
        <v>500</v>
      </c>
      <c r="Q1811" s="51">
        <f t="shared" si="41"/>
        <v>2661515</v>
      </c>
      <c r="R1811" s="31">
        <v>202310</v>
      </c>
      <c r="S1811" s="109" t="s">
        <v>2303</v>
      </c>
      <c r="T1811" s="33"/>
      <c r="U1811" s="109"/>
      <c r="V1811" s="120"/>
      <c r="W1811" s="67"/>
      <c r="X1811" s="67"/>
      <c r="Y1811" s="36">
        <v>44228</v>
      </c>
      <c r="Z1811" s="36">
        <v>45382</v>
      </c>
      <c r="AA1811" s="36"/>
      <c r="AB1811" s="36"/>
      <c r="AC1811" s="36"/>
      <c r="AD1811" s="36"/>
      <c r="AE1811" s="36"/>
      <c r="AF1811" s="53" t="s">
        <v>68</v>
      </c>
      <c r="AG1811" s="42"/>
      <c r="AH1811" s="42"/>
      <c r="AI1811" s="43"/>
      <c r="AJ1811" s="43"/>
      <c r="AK1811" s="43"/>
      <c r="AL1811" s="43"/>
      <c r="AM1811" s="43"/>
      <c r="AN1811" s="42"/>
      <c r="AO1811" s="42"/>
      <c r="AP1811" s="42"/>
      <c r="AQ1811" s="43"/>
      <c r="AR1811" s="42"/>
      <c r="AS1811" s="42"/>
    </row>
    <row r="1812" spans="1:45" ht="15" customHeight="1">
      <c r="A1812" s="65" t="s">
        <v>258</v>
      </c>
      <c r="B1812" s="21" t="s">
        <v>46</v>
      </c>
      <c r="C1812" s="21" t="s">
        <v>47</v>
      </c>
      <c r="D1812" s="21" t="s">
        <v>48</v>
      </c>
      <c r="E1812" s="66" t="s">
        <v>2300</v>
      </c>
      <c r="F1812" s="65" t="s">
        <v>2301</v>
      </c>
      <c r="G1812" s="47" t="s">
        <v>77</v>
      </c>
      <c r="H1812" s="45" t="s">
        <v>2302</v>
      </c>
      <c r="I1812" s="102" t="s">
        <v>78</v>
      </c>
      <c r="J1812" s="65" t="s">
        <v>785</v>
      </c>
      <c r="K1812" s="47"/>
      <c r="L1812" s="48" t="s">
        <v>700</v>
      </c>
      <c r="M1812" s="49">
        <v>45007</v>
      </c>
      <c r="N1812" s="49" t="s">
        <v>177</v>
      </c>
      <c r="O1812" s="61">
        <v>5323.03</v>
      </c>
      <c r="P1812" s="61">
        <v>-10</v>
      </c>
      <c r="Q1812" s="51">
        <f t="shared" si="41"/>
        <v>-53230.3</v>
      </c>
      <c r="R1812" s="31">
        <v>202310</v>
      </c>
      <c r="S1812" s="109" t="s">
        <v>2304</v>
      </c>
      <c r="T1812" s="33"/>
      <c r="U1812" s="109"/>
      <c r="V1812" s="120"/>
      <c r="W1812" s="67"/>
      <c r="X1812" s="67"/>
      <c r="Y1812" s="36">
        <v>44228</v>
      </c>
      <c r="Z1812" s="36">
        <v>45382</v>
      </c>
      <c r="AA1812" s="36"/>
      <c r="AB1812" s="36"/>
      <c r="AC1812" s="36"/>
      <c r="AD1812" s="36"/>
      <c r="AE1812" s="36"/>
      <c r="AF1812" s="53" t="s">
        <v>68</v>
      </c>
      <c r="AG1812" s="42"/>
      <c r="AH1812" s="42"/>
      <c r="AI1812" s="43"/>
      <c r="AJ1812" s="43"/>
      <c r="AK1812" s="43"/>
      <c r="AL1812" s="43"/>
      <c r="AM1812" s="43"/>
      <c r="AN1812" s="42"/>
      <c r="AO1812" s="42"/>
      <c r="AP1812" s="42"/>
      <c r="AQ1812" s="43"/>
      <c r="AR1812" s="42"/>
      <c r="AS1812" s="42"/>
    </row>
    <row r="1813" spans="1:45" ht="15" customHeight="1">
      <c r="A1813" s="65" t="s">
        <v>258</v>
      </c>
      <c r="B1813" s="21" t="s">
        <v>46</v>
      </c>
      <c r="C1813" s="21" t="s">
        <v>47</v>
      </c>
      <c r="D1813" s="21" t="s">
        <v>48</v>
      </c>
      <c r="E1813" s="66" t="s">
        <v>2300</v>
      </c>
      <c r="F1813" s="65" t="s">
        <v>2301</v>
      </c>
      <c r="G1813" s="47" t="s">
        <v>77</v>
      </c>
      <c r="H1813" s="45" t="s">
        <v>2302</v>
      </c>
      <c r="I1813" s="102" t="s">
        <v>78</v>
      </c>
      <c r="J1813" s="65" t="s">
        <v>785</v>
      </c>
      <c r="K1813" s="47"/>
      <c r="L1813" s="48" t="s">
        <v>700</v>
      </c>
      <c r="M1813" s="49">
        <v>45014</v>
      </c>
      <c r="N1813" s="49" t="s">
        <v>177</v>
      </c>
      <c r="O1813" s="61">
        <v>5323.03</v>
      </c>
      <c r="P1813" s="61">
        <v>1</v>
      </c>
      <c r="Q1813" s="51">
        <f t="shared" si="41"/>
        <v>5323.03</v>
      </c>
      <c r="R1813" s="31">
        <v>202310</v>
      </c>
      <c r="S1813" s="109" t="s">
        <v>2305</v>
      </c>
      <c r="T1813" s="33"/>
      <c r="U1813" s="109"/>
      <c r="V1813" s="120"/>
      <c r="W1813" s="67"/>
      <c r="X1813" s="67"/>
      <c r="Y1813" s="36">
        <v>44228</v>
      </c>
      <c r="Z1813" s="36">
        <v>45382</v>
      </c>
      <c r="AA1813" s="36"/>
      <c r="AB1813" s="36"/>
      <c r="AC1813" s="36"/>
      <c r="AD1813" s="36"/>
      <c r="AE1813" s="36"/>
      <c r="AF1813" s="53" t="s">
        <v>68</v>
      </c>
      <c r="AG1813" s="42"/>
      <c r="AH1813" s="42"/>
      <c r="AI1813" s="43"/>
      <c r="AJ1813" s="43"/>
      <c r="AK1813" s="43"/>
      <c r="AL1813" s="43"/>
      <c r="AM1813" s="43"/>
      <c r="AN1813" s="42"/>
      <c r="AO1813" s="42"/>
      <c r="AP1813" s="42"/>
      <c r="AQ1813" s="43"/>
      <c r="AR1813" s="42"/>
      <c r="AS1813" s="42"/>
    </row>
    <row r="1814" spans="1:45" ht="15" customHeight="1">
      <c r="A1814" s="65" t="s">
        <v>258</v>
      </c>
      <c r="B1814" s="21" t="s">
        <v>46</v>
      </c>
      <c r="C1814" s="21" t="s">
        <v>47</v>
      </c>
      <c r="D1814" s="21" t="s">
        <v>48</v>
      </c>
      <c r="E1814" s="66" t="s">
        <v>2300</v>
      </c>
      <c r="F1814" s="65" t="s">
        <v>2301</v>
      </c>
      <c r="G1814" s="47" t="s">
        <v>77</v>
      </c>
      <c r="H1814" s="45" t="s">
        <v>2302</v>
      </c>
      <c r="I1814" s="102" t="s">
        <v>78</v>
      </c>
      <c r="J1814" s="65" t="s">
        <v>785</v>
      </c>
      <c r="K1814" s="47"/>
      <c r="L1814" s="48" t="s">
        <v>700</v>
      </c>
      <c r="M1814" s="49">
        <v>45034</v>
      </c>
      <c r="N1814" s="49" t="s">
        <v>177</v>
      </c>
      <c r="O1814" s="61">
        <v>5323.03</v>
      </c>
      <c r="P1814" s="61">
        <v>-1</v>
      </c>
      <c r="Q1814" s="51">
        <f t="shared" si="41"/>
        <v>-5323.03</v>
      </c>
      <c r="R1814" s="31">
        <v>202310</v>
      </c>
      <c r="S1814" s="109" t="s">
        <v>2305</v>
      </c>
      <c r="T1814" s="33"/>
      <c r="U1814" s="109"/>
      <c r="V1814" s="120"/>
      <c r="W1814" s="67"/>
      <c r="X1814" s="67"/>
      <c r="Y1814" s="36">
        <v>44228</v>
      </c>
      <c r="Z1814" s="36">
        <v>45382</v>
      </c>
      <c r="AA1814" s="36"/>
      <c r="AB1814" s="36"/>
      <c r="AC1814" s="36"/>
      <c r="AD1814" s="36"/>
      <c r="AE1814" s="36"/>
      <c r="AF1814" s="53" t="s">
        <v>68</v>
      </c>
      <c r="AG1814" s="42"/>
      <c r="AH1814" s="42"/>
      <c r="AI1814" s="43"/>
      <c r="AJ1814" s="43"/>
      <c r="AK1814" s="43"/>
      <c r="AL1814" s="43"/>
      <c r="AM1814" s="43"/>
      <c r="AN1814" s="42"/>
      <c r="AO1814" s="42"/>
      <c r="AP1814" s="42"/>
      <c r="AQ1814" s="43"/>
      <c r="AR1814" s="42"/>
      <c r="AS1814" s="42"/>
    </row>
    <row r="1815" spans="1:45" ht="15" customHeight="1">
      <c r="A1815" s="65" t="s">
        <v>258</v>
      </c>
      <c r="B1815" s="21" t="s">
        <v>46</v>
      </c>
      <c r="C1815" s="21" t="s">
        <v>47</v>
      </c>
      <c r="D1815" s="21" t="s">
        <v>48</v>
      </c>
      <c r="E1815" s="66" t="s">
        <v>2300</v>
      </c>
      <c r="F1815" s="65" t="s">
        <v>2301</v>
      </c>
      <c r="G1815" s="47" t="s">
        <v>77</v>
      </c>
      <c r="H1815" s="45" t="s">
        <v>2302</v>
      </c>
      <c r="I1815" s="102" t="s">
        <v>78</v>
      </c>
      <c r="J1815" s="65" t="s">
        <v>785</v>
      </c>
      <c r="K1815" s="47"/>
      <c r="L1815" s="48" t="s">
        <v>700</v>
      </c>
      <c r="M1815" s="49">
        <v>45039</v>
      </c>
      <c r="N1815" s="49" t="s">
        <v>177</v>
      </c>
      <c r="O1815" s="61">
        <v>5323.03</v>
      </c>
      <c r="P1815" s="61">
        <v>1</v>
      </c>
      <c r="Q1815" s="51">
        <f t="shared" si="41"/>
        <v>5323.03</v>
      </c>
      <c r="R1815" s="31">
        <v>202310</v>
      </c>
      <c r="S1815" s="109" t="s">
        <v>2305</v>
      </c>
      <c r="T1815" s="33"/>
      <c r="U1815" s="109"/>
      <c r="V1815" s="120"/>
      <c r="W1815" s="67"/>
      <c r="X1815" s="67"/>
      <c r="Y1815" s="36">
        <v>44228</v>
      </c>
      <c r="Z1815" s="36">
        <v>45382</v>
      </c>
      <c r="AA1815" s="36"/>
      <c r="AB1815" s="36"/>
      <c r="AC1815" s="36"/>
      <c r="AD1815" s="36"/>
      <c r="AE1815" s="36"/>
      <c r="AF1815" s="53" t="s">
        <v>68</v>
      </c>
      <c r="AG1815" s="42"/>
      <c r="AH1815" s="42"/>
      <c r="AI1815" s="43"/>
      <c r="AJ1815" s="43"/>
      <c r="AK1815" s="43"/>
      <c r="AL1815" s="43"/>
      <c r="AM1815" s="43"/>
      <c r="AN1815" s="42"/>
      <c r="AO1815" s="42"/>
      <c r="AP1815" s="42"/>
      <c r="AQ1815" s="43"/>
      <c r="AR1815" s="42"/>
      <c r="AS1815" s="42"/>
    </row>
    <row r="1816" spans="1:45" ht="15" customHeight="1">
      <c r="A1816" s="65" t="s">
        <v>258</v>
      </c>
      <c r="B1816" s="21" t="s">
        <v>46</v>
      </c>
      <c r="C1816" s="21" t="s">
        <v>47</v>
      </c>
      <c r="D1816" s="21" t="s">
        <v>48</v>
      </c>
      <c r="E1816" s="66" t="s">
        <v>2300</v>
      </c>
      <c r="F1816" s="65" t="s">
        <v>2306</v>
      </c>
      <c r="G1816" s="26" t="s">
        <v>114</v>
      </c>
      <c r="H1816" s="73" t="s">
        <v>2307</v>
      </c>
      <c r="I1816" s="26" t="s">
        <v>114</v>
      </c>
      <c r="J1816" s="26" t="s">
        <v>2308</v>
      </c>
      <c r="K1816" s="47"/>
      <c r="L1816" s="48"/>
      <c r="M1816" s="49">
        <v>44337</v>
      </c>
      <c r="N1816" s="47" t="s">
        <v>1606</v>
      </c>
      <c r="O1816" s="61">
        <v>2880</v>
      </c>
      <c r="P1816" s="51">
        <v>1</v>
      </c>
      <c r="Q1816" s="51">
        <f t="shared" si="41"/>
        <v>2880</v>
      </c>
      <c r="R1816" s="31">
        <v>202310</v>
      </c>
      <c r="S1816" s="32" t="s">
        <v>2308</v>
      </c>
      <c r="T1816" s="33"/>
      <c r="U1816" s="32"/>
      <c r="V1816" s="33"/>
      <c r="W1816" s="67"/>
      <c r="X1816" s="67"/>
      <c r="Y1816" s="36">
        <v>44702</v>
      </c>
      <c r="Z1816" s="36">
        <v>45432</v>
      </c>
      <c r="AA1816" s="36"/>
      <c r="AB1816" s="36"/>
      <c r="AC1816" s="36"/>
      <c r="AD1816" s="36"/>
      <c r="AE1816" s="36"/>
      <c r="AF1816" s="53" t="s">
        <v>68</v>
      </c>
      <c r="AG1816" s="42"/>
      <c r="AH1816" s="42"/>
      <c r="AI1816" s="43"/>
      <c r="AJ1816" s="43"/>
      <c r="AK1816" s="43"/>
      <c r="AL1816" s="43"/>
      <c r="AM1816" s="43"/>
      <c r="AN1816" s="42"/>
      <c r="AO1816" s="42"/>
      <c r="AP1816" s="42"/>
      <c r="AQ1816" s="43"/>
      <c r="AR1816" s="42"/>
      <c r="AS1816" s="42"/>
    </row>
    <row r="1817" spans="1:45" ht="15" customHeight="1">
      <c r="A1817" s="20" t="s">
        <v>258</v>
      </c>
      <c r="B1817" s="21" t="s">
        <v>46</v>
      </c>
      <c r="C1817" s="22" t="s">
        <v>47</v>
      </c>
      <c r="D1817" s="22" t="s">
        <v>48</v>
      </c>
      <c r="E1817" s="23" t="s">
        <v>2300</v>
      </c>
      <c r="F1817" s="20" t="s">
        <v>2309</v>
      </c>
      <c r="G1817" s="47" t="s">
        <v>77</v>
      </c>
      <c r="H1817" s="45" t="s">
        <v>2310</v>
      </c>
      <c r="I1817" s="24" t="s">
        <v>479</v>
      </c>
      <c r="J1817" s="20" t="s">
        <v>47</v>
      </c>
      <c r="K1817" s="26" t="s">
        <v>2309</v>
      </c>
      <c r="L1817" s="48" t="s">
        <v>2311</v>
      </c>
      <c r="M1817" s="49">
        <v>41653</v>
      </c>
      <c r="N1817" s="49" t="s">
        <v>504</v>
      </c>
      <c r="O1817" s="50">
        <v>5000</v>
      </c>
      <c r="P1817" s="51">
        <v>8</v>
      </c>
      <c r="Q1817" s="51">
        <f t="shared" si="41"/>
        <v>40000</v>
      </c>
      <c r="R1817" s="31">
        <v>202310</v>
      </c>
      <c r="S1817" s="109" t="s">
        <v>2312</v>
      </c>
      <c r="T1817" s="33"/>
      <c r="U1817" s="109"/>
      <c r="V1817" s="109"/>
      <c r="W1817" s="52"/>
      <c r="X1817" s="52"/>
      <c r="Y1817" s="36"/>
      <c r="Z1817" s="36"/>
      <c r="AA1817" s="36"/>
      <c r="AB1817" s="36"/>
      <c r="AC1817" s="36"/>
      <c r="AD1817" s="36"/>
      <c r="AE1817" s="36"/>
      <c r="AF1817" s="109" t="s">
        <v>503</v>
      </c>
      <c r="AG1817" s="42"/>
      <c r="AH1817" s="42"/>
      <c r="AI1817" s="43"/>
      <c r="AJ1817" s="43"/>
      <c r="AK1817" s="43"/>
      <c r="AL1817" s="43"/>
      <c r="AM1817" s="43"/>
      <c r="AN1817" s="42"/>
      <c r="AO1817" s="42"/>
      <c r="AP1817" s="42"/>
      <c r="AQ1817" s="43"/>
      <c r="AR1817" s="42"/>
      <c r="AS1817" s="42" t="s">
        <v>2313</v>
      </c>
    </row>
    <row r="1818" spans="1:45" ht="15" customHeight="1">
      <c r="A1818" s="20" t="s">
        <v>258</v>
      </c>
      <c r="B1818" s="21" t="s">
        <v>46</v>
      </c>
      <c r="C1818" s="22" t="s">
        <v>47</v>
      </c>
      <c r="D1818" s="22" t="s">
        <v>48</v>
      </c>
      <c r="E1818" s="23" t="s">
        <v>2300</v>
      </c>
      <c r="F1818" s="20" t="s">
        <v>2309</v>
      </c>
      <c r="G1818" s="47" t="s">
        <v>77</v>
      </c>
      <c r="H1818" s="45" t="s">
        <v>2310</v>
      </c>
      <c r="I1818" s="24" t="s">
        <v>479</v>
      </c>
      <c r="J1818" s="20" t="s">
        <v>47</v>
      </c>
      <c r="K1818" s="26" t="s">
        <v>2309</v>
      </c>
      <c r="L1818" s="48" t="s">
        <v>2311</v>
      </c>
      <c r="M1818" s="49">
        <v>41653</v>
      </c>
      <c r="N1818" s="49" t="s">
        <v>504</v>
      </c>
      <c r="O1818" s="50">
        <v>5000</v>
      </c>
      <c r="P1818" s="51">
        <v>3</v>
      </c>
      <c r="Q1818" s="51">
        <f t="shared" si="41"/>
        <v>15000</v>
      </c>
      <c r="R1818" s="31">
        <v>202310</v>
      </c>
      <c r="S1818" s="109" t="s">
        <v>2314</v>
      </c>
      <c r="T1818" s="33"/>
      <c r="U1818" s="109"/>
      <c r="V1818" s="109"/>
      <c r="W1818" s="52"/>
      <c r="X1818" s="52"/>
      <c r="Y1818" s="36"/>
      <c r="Z1818" s="36"/>
      <c r="AA1818" s="36"/>
      <c r="AB1818" s="36"/>
      <c r="AC1818" s="36"/>
      <c r="AD1818" s="36"/>
      <c r="AE1818" s="36"/>
      <c r="AF1818" s="109" t="s">
        <v>503</v>
      </c>
      <c r="AG1818" s="42"/>
      <c r="AH1818" s="42"/>
      <c r="AI1818" s="43"/>
      <c r="AJ1818" s="43"/>
      <c r="AK1818" s="43"/>
      <c r="AL1818" s="43"/>
      <c r="AM1818" s="43"/>
      <c r="AN1818" s="42"/>
      <c r="AO1818" s="42"/>
      <c r="AP1818" s="42"/>
      <c r="AQ1818" s="43"/>
      <c r="AR1818" s="42"/>
      <c r="AS1818" s="42" t="s">
        <v>2313</v>
      </c>
    </row>
    <row r="1819" spans="1:45" ht="15" customHeight="1">
      <c r="A1819" s="20" t="s">
        <v>258</v>
      </c>
      <c r="B1819" s="21" t="s">
        <v>46</v>
      </c>
      <c r="C1819" s="22" t="s">
        <v>47</v>
      </c>
      <c r="D1819" s="22" t="s">
        <v>48</v>
      </c>
      <c r="E1819" s="23" t="s">
        <v>2300</v>
      </c>
      <c r="F1819" s="20" t="s">
        <v>2309</v>
      </c>
      <c r="G1819" s="47" t="s">
        <v>77</v>
      </c>
      <c r="H1819" s="45" t="s">
        <v>2310</v>
      </c>
      <c r="I1819" s="24" t="s">
        <v>479</v>
      </c>
      <c r="J1819" s="20" t="s">
        <v>47</v>
      </c>
      <c r="K1819" s="26" t="s">
        <v>2309</v>
      </c>
      <c r="L1819" s="48" t="s">
        <v>2311</v>
      </c>
      <c r="M1819" s="49">
        <v>44439</v>
      </c>
      <c r="N1819" s="49" t="s">
        <v>504</v>
      </c>
      <c r="O1819" s="50">
        <v>5000</v>
      </c>
      <c r="P1819" s="51">
        <v>-9</v>
      </c>
      <c r="Q1819" s="51">
        <f t="shared" si="41"/>
        <v>-45000</v>
      </c>
      <c r="R1819" s="31">
        <v>202310</v>
      </c>
      <c r="S1819" s="196" t="s">
        <v>2315</v>
      </c>
      <c r="T1819" s="33"/>
      <c r="U1819" s="109"/>
      <c r="V1819" s="196"/>
      <c r="W1819" s="52"/>
      <c r="X1819" s="52"/>
      <c r="Y1819" s="36"/>
      <c r="Z1819" s="36"/>
      <c r="AA1819" s="36"/>
      <c r="AB1819" s="36"/>
      <c r="AC1819" s="36"/>
      <c r="AD1819" s="36"/>
      <c r="AE1819" s="36"/>
      <c r="AF1819" s="109" t="s">
        <v>503</v>
      </c>
      <c r="AG1819" s="42"/>
      <c r="AH1819" s="42"/>
      <c r="AI1819" s="43"/>
      <c r="AJ1819" s="43"/>
      <c r="AK1819" s="43"/>
      <c r="AL1819" s="43"/>
      <c r="AM1819" s="43"/>
      <c r="AN1819" s="42"/>
      <c r="AO1819" s="42"/>
      <c r="AP1819" s="42"/>
      <c r="AQ1819" s="43"/>
      <c r="AR1819" s="42"/>
      <c r="AS1819" s="42" t="s">
        <v>2313</v>
      </c>
    </row>
    <row r="1820" spans="1:45" ht="15" customHeight="1">
      <c r="A1820" s="20" t="s">
        <v>258</v>
      </c>
      <c r="B1820" s="21" t="s">
        <v>46</v>
      </c>
      <c r="C1820" s="22" t="s">
        <v>47</v>
      </c>
      <c r="D1820" s="22" t="s">
        <v>48</v>
      </c>
      <c r="E1820" s="23" t="s">
        <v>2300</v>
      </c>
      <c r="F1820" s="20" t="s">
        <v>2309</v>
      </c>
      <c r="G1820" s="47" t="s">
        <v>77</v>
      </c>
      <c r="H1820" s="45" t="s">
        <v>2310</v>
      </c>
      <c r="I1820" s="24" t="s">
        <v>479</v>
      </c>
      <c r="J1820" s="20" t="s">
        <v>47</v>
      </c>
      <c r="K1820" s="26" t="s">
        <v>2309</v>
      </c>
      <c r="L1820" s="48" t="s">
        <v>2311</v>
      </c>
      <c r="M1820" s="49">
        <v>44439</v>
      </c>
      <c r="N1820" s="49" t="s">
        <v>504</v>
      </c>
      <c r="O1820" s="50">
        <v>5000</v>
      </c>
      <c r="P1820" s="51">
        <v>-2</v>
      </c>
      <c r="Q1820" s="51">
        <f t="shared" si="41"/>
        <v>-10000</v>
      </c>
      <c r="R1820" s="31">
        <v>202310</v>
      </c>
      <c r="S1820" s="196" t="s">
        <v>2316</v>
      </c>
      <c r="T1820" s="33"/>
      <c r="U1820" s="109"/>
      <c r="V1820" s="196"/>
      <c r="W1820" s="52"/>
      <c r="X1820" s="52"/>
      <c r="Y1820" s="36"/>
      <c r="Z1820" s="36"/>
      <c r="AA1820" s="36"/>
      <c r="AB1820" s="36"/>
      <c r="AC1820" s="36"/>
      <c r="AD1820" s="36"/>
      <c r="AE1820" s="36"/>
      <c r="AF1820" s="109" t="s">
        <v>484</v>
      </c>
      <c r="AG1820" s="42"/>
      <c r="AH1820" s="42"/>
      <c r="AI1820" s="43"/>
      <c r="AJ1820" s="43"/>
      <c r="AK1820" s="43"/>
      <c r="AL1820" s="43"/>
      <c r="AM1820" s="43"/>
      <c r="AN1820" s="42"/>
      <c r="AO1820" s="42"/>
      <c r="AP1820" s="42"/>
      <c r="AQ1820" s="43"/>
      <c r="AR1820" s="42"/>
      <c r="AS1820" s="42" t="s">
        <v>2313</v>
      </c>
    </row>
    <row r="1821" spans="1:45" ht="15" customHeight="1">
      <c r="A1821" s="20" t="s">
        <v>258</v>
      </c>
      <c r="B1821" s="21" t="s">
        <v>46</v>
      </c>
      <c r="C1821" s="22" t="s">
        <v>47</v>
      </c>
      <c r="D1821" s="22" t="s">
        <v>48</v>
      </c>
      <c r="E1821" s="23" t="s">
        <v>2300</v>
      </c>
      <c r="F1821" s="20" t="s">
        <v>2309</v>
      </c>
      <c r="G1821" s="47" t="s">
        <v>77</v>
      </c>
      <c r="H1821" s="45" t="s">
        <v>2310</v>
      </c>
      <c r="I1821" s="24" t="s">
        <v>479</v>
      </c>
      <c r="J1821" s="20" t="s">
        <v>47</v>
      </c>
      <c r="K1821" s="26" t="s">
        <v>2309</v>
      </c>
      <c r="L1821" s="48" t="s">
        <v>2311</v>
      </c>
      <c r="M1821" s="49">
        <v>44440</v>
      </c>
      <c r="N1821" s="49" t="s">
        <v>504</v>
      </c>
      <c r="O1821" s="50">
        <v>5000</v>
      </c>
      <c r="P1821" s="51">
        <v>14</v>
      </c>
      <c r="Q1821" s="51">
        <f t="shared" si="41"/>
        <v>70000</v>
      </c>
      <c r="R1821" s="31">
        <v>202310</v>
      </c>
      <c r="S1821" s="196" t="s">
        <v>2317</v>
      </c>
      <c r="T1821" s="33"/>
      <c r="U1821" s="109"/>
      <c r="V1821" s="196"/>
      <c r="W1821" s="52"/>
      <c r="X1821" s="52"/>
      <c r="Y1821" s="36"/>
      <c r="Z1821" s="36"/>
      <c r="AA1821" s="36"/>
      <c r="AB1821" s="36"/>
      <c r="AC1821" s="36"/>
      <c r="AD1821" s="36"/>
      <c r="AE1821" s="36"/>
      <c r="AF1821" s="109" t="s">
        <v>503</v>
      </c>
      <c r="AG1821" s="42"/>
      <c r="AH1821" s="42"/>
      <c r="AI1821" s="43"/>
      <c r="AJ1821" s="43"/>
      <c r="AK1821" s="43"/>
      <c r="AL1821" s="43"/>
      <c r="AM1821" s="43"/>
      <c r="AN1821" s="42"/>
      <c r="AO1821" s="42"/>
      <c r="AP1821" s="42"/>
      <c r="AQ1821" s="43"/>
      <c r="AR1821" s="42"/>
      <c r="AS1821" s="42" t="s">
        <v>2313</v>
      </c>
    </row>
    <row r="1822" spans="1:45" ht="15" customHeight="1">
      <c r="A1822" s="20" t="s">
        <v>258</v>
      </c>
      <c r="B1822" s="21" t="s">
        <v>46</v>
      </c>
      <c r="C1822" s="22" t="s">
        <v>47</v>
      </c>
      <c r="D1822" s="22" t="s">
        <v>48</v>
      </c>
      <c r="E1822" s="23" t="s">
        <v>2300</v>
      </c>
      <c r="F1822" s="20" t="s">
        <v>2309</v>
      </c>
      <c r="G1822" s="47" t="s">
        <v>77</v>
      </c>
      <c r="H1822" s="45" t="s">
        <v>2310</v>
      </c>
      <c r="I1822" s="24" t="s">
        <v>479</v>
      </c>
      <c r="J1822" s="20" t="s">
        <v>47</v>
      </c>
      <c r="K1822" s="26" t="s">
        <v>2309</v>
      </c>
      <c r="L1822" s="48" t="s">
        <v>2311</v>
      </c>
      <c r="M1822" s="49">
        <v>44440</v>
      </c>
      <c r="N1822" s="49" t="s">
        <v>504</v>
      </c>
      <c r="O1822" s="50">
        <v>5000</v>
      </c>
      <c r="P1822" s="51">
        <v>1</v>
      </c>
      <c r="Q1822" s="51">
        <f t="shared" si="41"/>
        <v>5000</v>
      </c>
      <c r="R1822" s="31">
        <v>202310</v>
      </c>
      <c r="S1822" s="196" t="s">
        <v>2318</v>
      </c>
      <c r="T1822" s="33"/>
      <c r="U1822" s="109"/>
      <c r="V1822" s="196"/>
      <c r="W1822" s="52"/>
      <c r="X1822" s="52"/>
      <c r="Y1822" s="36"/>
      <c r="Z1822" s="36"/>
      <c r="AA1822" s="36"/>
      <c r="AB1822" s="36"/>
      <c r="AC1822" s="36"/>
      <c r="AD1822" s="36"/>
      <c r="AE1822" s="36"/>
      <c r="AF1822" s="109" t="s">
        <v>484</v>
      </c>
      <c r="AG1822" s="42"/>
      <c r="AH1822" s="42"/>
      <c r="AI1822" s="43"/>
      <c r="AJ1822" s="43"/>
      <c r="AK1822" s="43"/>
      <c r="AL1822" s="43"/>
      <c r="AM1822" s="43"/>
      <c r="AN1822" s="42"/>
      <c r="AO1822" s="42"/>
      <c r="AP1822" s="42"/>
      <c r="AQ1822" s="43"/>
      <c r="AR1822" s="42"/>
      <c r="AS1822" s="42" t="s">
        <v>2313</v>
      </c>
    </row>
    <row r="1823" spans="1:45" ht="15" customHeight="1">
      <c r="A1823" s="20" t="s">
        <v>258</v>
      </c>
      <c r="B1823" s="21" t="s">
        <v>46</v>
      </c>
      <c r="C1823" s="22" t="s">
        <v>47</v>
      </c>
      <c r="D1823" s="22" t="s">
        <v>48</v>
      </c>
      <c r="E1823" s="23" t="s">
        <v>2300</v>
      </c>
      <c r="F1823" s="20" t="s">
        <v>2309</v>
      </c>
      <c r="G1823" s="47" t="s">
        <v>77</v>
      </c>
      <c r="H1823" s="45" t="s">
        <v>2310</v>
      </c>
      <c r="I1823" s="24" t="s">
        <v>479</v>
      </c>
      <c r="J1823" s="20" t="s">
        <v>47</v>
      </c>
      <c r="K1823" s="26" t="s">
        <v>2309</v>
      </c>
      <c r="L1823" s="48" t="s">
        <v>2311</v>
      </c>
      <c r="M1823" s="49">
        <v>44453</v>
      </c>
      <c r="N1823" s="49" t="s">
        <v>504</v>
      </c>
      <c r="O1823" s="50">
        <v>5000</v>
      </c>
      <c r="P1823" s="51">
        <v>-4</v>
      </c>
      <c r="Q1823" s="51">
        <f t="shared" si="41"/>
        <v>-20000</v>
      </c>
      <c r="R1823" s="31">
        <v>202310</v>
      </c>
      <c r="S1823" s="196" t="s">
        <v>2319</v>
      </c>
      <c r="T1823" s="33"/>
      <c r="U1823" s="109"/>
      <c r="V1823" s="196"/>
      <c r="W1823" s="52"/>
      <c r="X1823" s="52"/>
      <c r="Y1823" s="36"/>
      <c r="Z1823" s="36"/>
      <c r="AA1823" s="36"/>
      <c r="AB1823" s="36"/>
      <c r="AC1823" s="36"/>
      <c r="AD1823" s="36"/>
      <c r="AE1823" s="36"/>
      <c r="AF1823" s="109" t="s">
        <v>503</v>
      </c>
      <c r="AG1823" s="42"/>
      <c r="AH1823" s="42"/>
      <c r="AI1823" s="43"/>
      <c r="AJ1823" s="43"/>
      <c r="AK1823" s="43"/>
      <c r="AL1823" s="43"/>
      <c r="AM1823" s="43"/>
      <c r="AN1823" s="42"/>
      <c r="AO1823" s="42"/>
      <c r="AP1823" s="42"/>
      <c r="AQ1823" s="43"/>
      <c r="AR1823" s="42"/>
      <c r="AS1823" s="42" t="s">
        <v>2313</v>
      </c>
    </row>
    <row r="1824" spans="1:45" ht="15" customHeight="1">
      <c r="A1824" s="20" t="s">
        <v>258</v>
      </c>
      <c r="B1824" s="21" t="s">
        <v>46</v>
      </c>
      <c r="C1824" s="22" t="s">
        <v>47</v>
      </c>
      <c r="D1824" s="22" t="s">
        <v>48</v>
      </c>
      <c r="E1824" s="23" t="s">
        <v>2300</v>
      </c>
      <c r="F1824" s="20" t="s">
        <v>2309</v>
      </c>
      <c r="G1824" s="47" t="s">
        <v>77</v>
      </c>
      <c r="H1824" s="45" t="s">
        <v>2310</v>
      </c>
      <c r="I1824" s="24" t="s">
        <v>479</v>
      </c>
      <c r="J1824" s="20" t="s">
        <v>47</v>
      </c>
      <c r="K1824" s="26" t="s">
        <v>2309</v>
      </c>
      <c r="L1824" s="48" t="s">
        <v>2311</v>
      </c>
      <c r="M1824" s="49">
        <v>43719</v>
      </c>
      <c r="N1824" s="49" t="s">
        <v>504</v>
      </c>
      <c r="O1824" s="50">
        <v>5000</v>
      </c>
      <c r="P1824" s="51">
        <v>-2</v>
      </c>
      <c r="Q1824" s="51">
        <f t="shared" si="41"/>
        <v>-10000</v>
      </c>
      <c r="R1824" s="31">
        <v>202310</v>
      </c>
      <c r="S1824" s="109" t="s">
        <v>2320</v>
      </c>
      <c r="T1824" s="33"/>
      <c r="U1824" s="109"/>
      <c r="V1824" s="109"/>
      <c r="W1824" s="52"/>
      <c r="X1824" s="52"/>
      <c r="Y1824" s="36"/>
      <c r="Z1824" s="36"/>
      <c r="AA1824" s="36"/>
      <c r="AB1824" s="36"/>
      <c r="AC1824" s="36"/>
      <c r="AD1824" s="36"/>
      <c r="AE1824" s="36"/>
      <c r="AF1824" s="109" t="s">
        <v>503</v>
      </c>
      <c r="AG1824" s="42"/>
      <c r="AH1824" s="42"/>
      <c r="AI1824" s="43"/>
      <c r="AJ1824" s="43"/>
      <c r="AK1824" s="43"/>
      <c r="AL1824" s="43"/>
      <c r="AM1824" s="43"/>
      <c r="AN1824" s="42"/>
      <c r="AO1824" s="42"/>
      <c r="AP1824" s="42"/>
      <c r="AQ1824" s="43"/>
      <c r="AR1824" s="42"/>
      <c r="AS1824" s="42" t="s">
        <v>2313</v>
      </c>
    </row>
    <row r="1825" spans="1:45" ht="15" customHeight="1">
      <c r="A1825" s="20" t="s">
        <v>258</v>
      </c>
      <c r="B1825" s="21" t="s">
        <v>46</v>
      </c>
      <c r="C1825" s="22" t="s">
        <v>47</v>
      </c>
      <c r="D1825" s="22" t="s">
        <v>48</v>
      </c>
      <c r="E1825" s="23" t="s">
        <v>2300</v>
      </c>
      <c r="F1825" s="20" t="s">
        <v>2309</v>
      </c>
      <c r="G1825" s="47" t="s">
        <v>77</v>
      </c>
      <c r="H1825" s="45" t="s">
        <v>2310</v>
      </c>
      <c r="I1825" s="24" t="s">
        <v>479</v>
      </c>
      <c r="J1825" s="20" t="s">
        <v>47</v>
      </c>
      <c r="K1825" s="26" t="s">
        <v>2309</v>
      </c>
      <c r="L1825" s="48" t="s">
        <v>2311</v>
      </c>
      <c r="M1825" s="49">
        <v>43959</v>
      </c>
      <c r="N1825" s="49" t="s">
        <v>504</v>
      </c>
      <c r="O1825" s="50">
        <v>5000</v>
      </c>
      <c r="P1825" s="51">
        <v>2</v>
      </c>
      <c r="Q1825" s="30">
        <f t="shared" si="41"/>
        <v>10000</v>
      </c>
      <c r="R1825" s="31">
        <v>202310</v>
      </c>
      <c r="S1825" s="109" t="s">
        <v>2321</v>
      </c>
      <c r="T1825" s="33"/>
      <c r="U1825" s="109"/>
      <c r="V1825" s="109"/>
      <c r="W1825" s="52"/>
      <c r="X1825" s="52"/>
      <c r="Y1825" s="36"/>
      <c r="Z1825" s="36"/>
      <c r="AA1825" s="36"/>
      <c r="AB1825" s="36"/>
      <c r="AC1825" s="36"/>
      <c r="AD1825" s="36"/>
      <c r="AE1825" s="36"/>
      <c r="AF1825" s="109" t="s">
        <v>484</v>
      </c>
      <c r="AG1825" s="42"/>
      <c r="AH1825" s="42"/>
      <c r="AI1825" s="43"/>
      <c r="AJ1825" s="43"/>
      <c r="AK1825" s="43"/>
      <c r="AL1825" s="43"/>
      <c r="AM1825" s="43"/>
      <c r="AN1825" s="42"/>
      <c r="AO1825" s="42"/>
      <c r="AP1825" s="42"/>
      <c r="AQ1825" s="43"/>
      <c r="AR1825" s="42"/>
      <c r="AS1825" s="42" t="s">
        <v>2313</v>
      </c>
    </row>
    <row r="1826" spans="1:45" ht="15" customHeight="1">
      <c r="A1826" s="20" t="s">
        <v>258</v>
      </c>
      <c r="B1826" s="21" t="s">
        <v>46</v>
      </c>
      <c r="C1826" s="22" t="s">
        <v>47</v>
      </c>
      <c r="D1826" s="22" t="s">
        <v>48</v>
      </c>
      <c r="E1826" s="23" t="s">
        <v>2300</v>
      </c>
      <c r="F1826" s="20" t="s">
        <v>2309</v>
      </c>
      <c r="G1826" s="47" t="s">
        <v>77</v>
      </c>
      <c r="H1826" s="45" t="s">
        <v>2310</v>
      </c>
      <c r="I1826" s="24" t="s">
        <v>479</v>
      </c>
      <c r="J1826" s="20" t="s">
        <v>47</v>
      </c>
      <c r="K1826" s="26" t="s">
        <v>2309</v>
      </c>
      <c r="L1826" s="48" t="s">
        <v>2311</v>
      </c>
      <c r="M1826" s="49">
        <v>44827</v>
      </c>
      <c r="N1826" s="49" t="s">
        <v>504</v>
      </c>
      <c r="O1826" s="50">
        <v>5000</v>
      </c>
      <c r="P1826" s="51">
        <v>-7</v>
      </c>
      <c r="Q1826" s="51">
        <f t="shared" si="41"/>
        <v>-35000</v>
      </c>
      <c r="R1826" s="31">
        <v>202310</v>
      </c>
      <c r="S1826" s="109" t="s">
        <v>2322</v>
      </c>
      <c r="T1826" s="33"/>
      <c r="U1826" s="109"/>
      <c r="V1826" s="109"/>
      <c r="W1826" s="52"/>
      <c r="X1826" s="52"/>
      <c r="Y1826" s="36"/>
      <c r="Z1826" s="36"/>
      <c r="AA1826" s="36"/>
      <c r="AB1826" s="36"/>
      <c r="AC1826" s="36"/>
      <c r="AD1826" s="36"/>
      <c r="AE1826" s="36"/>
      <c r="AF1826" s="109" t="s">
        <v>503</v>
      </c>
      <c r="AG1826" s="42"/>
      <c r="AH1826" s="42"/>
      <c r="AI1826" s="43"/>
      <c r="AJ1826" s="43"/>
      <c r="AK1826" s="43"/>
      <c r="AL1826" s="43"/>
      <c r="AM1826" s="43"/>
      <c r="AN1826" s="42"/>
      <c r="AO1826" s="42"/>
      <c r="AP1826" s="42"/>
      <c r="AQ1826" s="43"/>
      <c r="AR1826" s="42"/>
      <c r="AS1826" s="42" t="s">
        <v>2313</v>
      </c>
    </row>
    <row r="1827" spans="1:45" ht="15" customHeight="1">
      <c r="A1827" s="20" t="s">
        <v>258</v>
      </c>
      <c r="B1827" s="21" t="s">
        <v>46</v>
      </c>
      <c r="C1827" s="22" t="s">
        <v>47</v>
      </c>
      <c r="D1827" s="22" t="s">
        <v>48</v>
      </c>
      <c r="E1827" s="23" t="s">
        <v>2300</v>
      </c>
      <c r="F1827" s="20" t="s">
        <v>2309</v>
      </c>
      <c r="G1827" s="47" t="s">
        <v>165</v>
      </c>
      <c r="H1827" s="45" t="s">
        <v>2310</v>
      </c>
      <c r="I1827" s="24" t="s">
        <v>491</v>
      </c>
      <c r="J1827" s="20" t="s">
        <v>47</v>
      </c>
      <c r="K1827" s="26" t="s">
        <v>2309</v>
      </c>
      <c r="L1827" s="48" t="s">
        <v>2311</v>
      </c>
      <c r="M1827" s="49" t="s">
        <v>2323</v>
      </c>
      <c r="N1827" s="49" t="s">
        <v>653</v>
      </c>
      <c r="O1827" s="50">
        <v>0</v>
      </c>
      <c r="P1827" s="51">
        <v>544</v>
      </c>
      <c r="Q1827" s="51">
        <f t="shared" si="41"/>
        <v>0</v>
      </c>
      <c r="R1827" s="31">
        <v>202310</v>
      </c>
      <c r="S1827" s="109" t="s">
        <v>2324</v>
      </c>
      <c r="T1827" s="33"/>
      <c r="U1827" s="109"/>
      <c r="V1827" s="109"/>
      <c r="W1827" s="52"/>
      <c r="X1827" s="52"/>
      <c r="Y1827" s="36"/>
      <c r="Z1827" s="36"/>
      <c r="AA1827" s="36"/>
      <c r="AB1827" s="36"/>
      <c r="AC1827" s="36"/>
      <c r="AD1827" s="36"/>
      <c r="AE1827" s="36"/>
      <c r="AF1827" s="40" t="s">
        <v>503</v>
      </c>
      <c r="AG1827" s="42"/>
      <c r="AH1827" s="42"/>
      <c r="AI1827" s="43"/>
      <c r="AJ1827" s="43"/>
      <c r="AK1827" s="43"/>
      <c r="AL1827" s="43"/>
      <c r="AM1827" s="43"/>
      <c r="AN1827" s="42"/>
      <c r="AO1827" s="42"/>
      <c r="AP1827" s="42"/>
      <c r="AQ1827" s="43"/>
      <c r="AR1827" s="42"/>
      <c r="AS1827" s="42" t="s">
        <v>2313</v>
      </c>
    </row>
    <row r="1828" spans="1:45" ht="15" customHeight="1">
      <c r="A1828" s="20" t="s">
        <v>258</v>
      </c>
      <c r="B1828" s="21" t="s">
        <v>46</v>
      </c>
      <c r="C1828" s="22" t="s">
        <v>47</v>
      </c>
      <c r="D1828" s="22" t="s">
        <v>48</v>
      </c>
      <c r="E1828" s="23" t="s">
        <v>2300</v>
      </c>
      <c r="F1828" s="20" t="s">
        <v>2309</v>
      </c>
      <c r="G1828" s="47" t="s">
        <v>165</v>
      </c>
      <c r="H1828" s="45" t="s">
        <v>2310</v>
      </c>
      <c r="I1828" s="24" t="s">
        <v>491</v>
      </c>
      <c r="J1828" s="20" t="s">
        <v>47</v>
      </c>
      <c r="K1828" s="26" t="s">
        <v>2309</v>
      </c>
      <c r="L1828" s="48" t="s">
        <v>2311</v>
      </c>
      <c r="M1828" s="49" t="s">
        <v>2323</v>
      </c>
      <c r="N1828" s="49" t="s">
        <v>653</v>
      </c>
      <c r="O1828" s="50">
        <v>0</v>
      </c>
      <c r="P1828" s="51">
        <v>128</v>
      </c>
      <c r="Q1828" s="51">
        <f t="shared" si="41"/>
        <v>0</v>
      </c>
      <c r="R1828" s="31">
        <v>202310</v>
      </c>
      <c r="S1828" s="109" t="s">
        <v>2325</v>
      </c>
      <c r="T1828" s="33"/>
      <c r="U1828" s="109"/>
      <c r="V1828" s="109"/>
      <c r="W1828" s="52"/>
      <c r="X1828" s="52"/>
      <c r="Y1828" s="36"/>
      <c r="Z1828" s="36"/>
      <c r="AA1828" s="36"/>
      <c r="AB1828" s="36"/>
      <c r="AC1828" s="36"/>
      <c r="AD1828" s="36"/>
      <c r="AE1828" s="36"/>
      <c r="AF1828" s="40" t="s">
        <v>484</v>
      </c>
      <c r="AG1828" s="42"/>
      <c r="AH1828" s="42"/>
      <c r="AI1828" s="43"/>
      <c r="AJ1828" s="43"/>
      <c r="AK1828" s="43"/>
      <c r="AL1828" s="43"/>
      <c r="AM1828" s="43"/>
      <c r="AN1828" s="42"/>
      <c r="AO1828" s="42"/>
      <c r="AP1828" s="42"/>
      <c r="AQ1828" s="43"/>
      <c r="AR1828" s="42"/>
      <c r="AS1828" s="42" t="s">
        <v>2313</v>
      </c>
    </row>
    <row r="1829" spans="1:45" ht="15" customHeight="1">
      <c r="A1829" s="20" t="s">
        <v>258</v>
      </c>
      <c r="B1829" s="21" t="s">
        <v>46</v>
      </c>
      <c r="C1829" s="22" t="s">
        <v>47</v>
      </c>
      <c r="D1829" s="22" t="s">
        <v>48</v>
      </c>
      <c r="E1829" s="23" t="s">
        <v>2300</v>
      </c>
      <c r="F1829" s="20" t="s">
        <v>2309</v>
      </c>
      <c r="G1829" s="47" t="s">
        <v>165</v>
      </c>
      <c r="H1829" s="45" t="s">
        <v>2310</v>
      </c>
      <c r="I1829" s="24" t="s">
        <v>491</v>
      </c>
      <c r="J1829" s="20" t="s">
        <v>47</v>
      </c>
      <c r="K1829" s="26" t="s">
        <v>2309</v>
      </c>
      <c r="L1829" s="48" t="s">
        <v>2311</v>
      </c>
      <c r="M1829" s="49">
        <v>44827</v>
      </c>
      <c r="N1829" s="49" t="s">
        <v>653</v>
      </c>
      <c r="O1829" s="50">
        <v>0</v>
      </c>
      <c r="P1829" s="51">
        <v>-256</v>
      </c>
      <c r="Q1829" s="51">
        <f t="shared" si="41"/>
        <v>0</v>
      </c>
      <c r="R1829" s="31">
        <v>202310</v>
      </c>
      <c r="S1829" s="109" t="s">
        <v>2326</v>
      </c>
      <c r="T1829" s="33"/>
      <c r="U1829" s="109"/>
      <c r="V1829" s="109"/>
      <c r="W1829" s="52"/>
      <c r="X1829" s="52"/>
      <c r="Y1829" s="36"/>
      <c r="Z1829" s="36"/>
      <c r="AA1829" s="36"/>
      <c r="AB1829" s="36"/>
      <c r="AC1829" s="36"/>
      <c r="AD1829" s="36"/>
      <c r="AE1829" s="36"/>
      <c r="AF1829" s="40" t="s">
        <v>503</v>
      </c>
      <c r="AG1829" s="42"/>
      <c r="AH1829" s="42"/>
      <c r="AI1829" s="43"/>
      <c r="AJ1829" s="43"/>
      <c r="AK1829" s="43"/>
      <c r="AL1829" s="43"/>
      <c r="AM1829" s="43"/>
      <c r="AN1829" s="42"/>
      <c r="AO1829" s="42"/>
      <c r="AP1829" s="42"/>
      <c r="AQ1829" s="43"/>
      <c r="AR1829" s="42"/>
      <c r="AS1829" s="42" t="s">
        <v>2313</v>
      </c>
    </row>
    <row r="1830" spans="1:45" ht="15" customHeight="1">
      <c r="A1830" s="20" t="s">
        <v>258</v>
      </c>
      <c r="B1830" s="21" t="s">
        <v>46</v>
      </c>
      <c r="C1830" s="22" t="s">
        <v>47</v>
      </c>
      <c r="D1830" s="22" t="s">
        <v>48</v>
      </c>
      <c r="E1830" s="23" t="s">
        <v>2300</v>
      </c>
      <c r="F1830" s="20" t="s">
        <v>2309</v>
      </c>
      <c r="G1830" s="47" t="s">
        <v>165</v>
      </c>
      <c r="H1830" s="45" t="s">
        <v>2310</v>
      </c>
      <c r="I1830" s="24" t="s">
        <v>491</v>
      </c>
      <c r="J1830" s="20" t="s">
        <v>47</v>
      </c>
      <c r="K1830" s="26" t="s">
        <v>2309</v>
      </c>
      <c r="L1830" s="48" t="s">
        <v>2311</v>
      </c>
      <c r="M1830" s="49"/>
      <c r="N1830" s="49" t="s">
        <v>656</v>
      </c>
      <c r="O1830" s="50">
        <v>0</v>
      </c>
      <c r="P1830" s="51">
        <v>0</v>
      </c>
      <c r="Q1830" s="51">
        <f t="shared" si="41"/>
        <v>0</v>
      </c>
      <c r="R1830" s="31">
        <v>202310</v>
      </c>
      <c r="S1830" s="109" t="s">
        <v>2327</v>
      </c>
      <c r="T1830" s="33"/>
      <c r="U1830" s="109"/>
      <c r="V1830" s="109"/>
      <c r="W1830" s="52"/>
      <c r="X1830" s="52"/>
      <c r="Y1830" s="36"/>
      <c r="Z1830" s="36"/>
      <c r="AA1830" s="36"/>
      <c r="AB1830" s="36"/>
      <c r="AC1830" s="36"/>
      <c r="AD1830" s="36"/>
      <c r="AE1830" s="36"/>
      <c r="AF1830" s="40" t="s">
        <v>484</v>
      </c>
      <c r="AG1830" s="42"/>
      <c r="AH1830" s="42"/>
      <c r="AI1830" s="43"/>
      <c r="AJ1830" s="43"/>
      <c r="AK1830" s="43"/>
      <c r="AL1830" s="43"/>
      <c r="AM1830" s="43"/>
      <c r="AN1830" s="42"/>
      <c r="AO1830" s="42"/>
      <c r="AP1830" s="42"/>
      <c r="AQ1830" s="43"/>
      <c r="AR1830" s="42"/>
      <c r="AS1830" s="42" t="s">
        <v>2313</v>
      </c>
    </row>
    <row r="1831" spans="1:45" ht="15" customHeight="1">
      <c r="A1831" s="56" t="s">
        <v>258</v>
      </c>
      <c r="B1831" s="21" t="s">
        <v>46</v>
      </c>
      <c r="C1831" s="57" t="s">
        <v>814</v>
      </c>
      <c r="D1831" s="22" t="s">
        <v>48</v>
      </c>
      <c r="E1831" s="58" t="s">
        <v>2328</v>
      </c>
      <c r="F1831" s="56" t="s">
        <v>2329</v>
      </c>
      <c r="G1831" s="26" t="s">
        <v>165</v>
      </c>
      <c r="H1831" s="25" t="s">
        <v>2330</v>
      </c>
      <c r="I1831" s="26" t="s">
        <v>491</v>
      </c>
      <c r="J1831" s="56" t="s">
        <v>2331</v>
      </c>
      <c r="K1831" s="59" t="s">
        <v>2331</v>
      </c>
      <c r="L1831" s="48" t="s">
        <v>2332</v>
      </c>
      <c r="M1831" s="49">
        <v>45001</v>
      </c>
      <c r="N1831" s="49" t="s">
        <v>168</v>
      </c>
      <c r="O1831" s="60">
        <v>0</v>
      </c>
      <c r="P1831" s="61">
        <v>640</v>
      </c>
      <c r="Q1831" s="51">
        <f t="shared" si="41"/>
        <v>0</v>
      </c>
      <c r="R1831" s="31">
        <v>202310</v>
      </c>
      <c r="S1831" s="62" t="s">
        <v>2333</v>
      </c>
      <c r="T1831" s="33"/>
      <c r="U1831" s="58" t="s">
        <v>2334</v>
      </c>
      <c r="V1831" s="58"/>
      <c r="W1831" s="63"/>
      <c r="X1831" s="63"/>
      <c r="Y1831" s="36"/>
      <c r="Z1831" s="36"/>
      <c r="AA1831" s="36"/>
      <c r="AB1831" s="36"/>
      <c r="AC1831" s="36"/>
      <c r="AD1831" s="36"/>
      <c r="AE1831" s="36"/>
      <c r="AF1831" s="40" t="s">
        <v>484</v>
      </c>
      <c r="AG1831" s="42"/>
      <c r="AH1831" s="42"/>
      <c r="AI1831" s="43"/>
      <c r="AJ1831" s="43"/>
      <c r="AK1831" s="43"/>
      <c r="AL1831" s="43"/>
      <c r="AM1831" s="43"/>
      <c r="AN1831" s="42"/>
      <c r="AO1831" s="42"/>
      <c r="AP1831" s="42"/>
      <c r="AQ1831" s="43"/>
      <c r="AR1831" s="42"/>
      <c r="AS1831" s="42" t="s">
        <v>2054</v>
      </c>
    </row>
    <row r="1832" spans="1:45" ht="15" customHeight="1">
      <c r="A1832" s="56" t="s">
        <v>258</v>
      </c>
      <c r="B1832" s="21" t="s">
        <v>46</v>
      </c>
      <c r="C1832" s="57" t="s">
        <v>814</v>
      </c>
      <c r="D1832" s="22" t="s">
        <v>48</v>
      </c>
      <c r="E1832" s="58" t="s">
        <v>2328</v>
      </c>
      <c r="F1832" s="56" t="s">
        <v>2329</v>
      </c>
      <c r="G1832" s="26" t="s">
        <v>165</v>
      </c>
      <c r="H1832" s="25" t="s">
        <v>2330</v>
      </c>
      <c r="I1832" s="26" t="s">
        <v>491</v>
      </c>
      <c r="J1832" s="56" t="s">
        <v>2331</v>
      </c>
      <c r="K1832" s="59" t="s">
        <v>2331</v>
      </c>
      <c r="L1832" s="48" t="s">
        <v>2332</v>
      </c>
      <c r="M1832" s="49">
        <v>45001</v>
      </c>
      <c r="N1832" s="49" t="s">
        <v>646</v>
      </c>
      <c r="O1832" s="60">
        <v>0</v>
      </c>
      <c r="P1832" s="61">
        <v>1</v>
      </c>
      <c r="Q1832" s="51">
        <f t="shared" si="41"/>
        <v>0</v>
      </c>
      <c r="R1832" s="31">
        <v>202310</v>
      </c>
      <c r="S1832" s="62" t="s">
        <v>2335</v>
      </c>
      <c r="T1832" s="33"/>
      <c r="U1832" s="58" t="s">
        <v>2336</v>
      </c>
      <c r="V1832" s="58"/>
      <c r="W1832" s="63"/>
      <c r="X1832" s="63"/>
      <c r="Y1832" s="36"/>
      <c r="Z1832" s="36"/>
      <c r="AA1832" s="36"/>
      <c r="AB1832" s="36"/>
      <c r="AC1832" s="36"/>
      <c r="AD1832" s="36"/>
      <c r="AE1832" s="36"/>
      <c r="AF1832" s="40" t="s">
        <v>484</v>
      </c>
      <c r="AG1832" s="42"/>
      <c r="AH1832" s="42"/>
      <c r="AI1832" s="43"/>
      <c r="AJ1832" s="43"/>
      <c r="AK1832" s="43"/>
      <c r="AL1832" s="43"/>
      <c r="AM1832" s="43"/>
      <c r="AN1832" s="42"/>
      <c r="AO1832" s="42"/>
      <c r="AP1832" s="42"/>
      <c r="AQ1832" s="43"/>
      <c r="AR1832" s="42"/>
      <c r="AS1832" s="42" t="s">
        <v>2054</v>
      </c>
    </row>
    <row r="1833" spans="1:45" ht="15" customHeight="1">
      <c r="A1833" s="56" t="s">
        <v>258</v>
      </c>
      <c r="B1833" s="21" t="s">
        <v>46</v>
      </c>
      <c r="C1833" s="57" t="s">
        <v>814</v>
      </c>
      <c r="D1833" s="22" t="s">
        <v>48</v>
      </c>
      <c r="E1833" s="58" t="s">
        <v>2328</v>
      </c>
      <c r="F1833" s="56" t="s">
        <v>2329</v>
      </c>
      <c r="G1833" s="26" t="s">
        <v>77</v>
      </c>
      <c r="H1833" s="25" t="s">
        <v>2330</v>
      </c>
      <c r="I1833" s="26" t="s">
        <v>479</v>
      </c>
      <c r="J1833" s="56" t="s">
        <v>2331</v>
      </c>
      <c r="K1833" s="59" t="s">
        <v>2331</v>
      </c>
      <c r="L1833" s="48" t="s">
        <v>2332</v>
      </c>
      <c r="M1833" s="49">
        <v>45001</v>
      </c>
      <c r="N1833" s="49" t="s">
        <v>1614</v>
      </c>
      <c r="O1833" s="60">
        <v>0</v>
      </c>
      <c r="P1833" s="61">
        <v>1</v>
      </c>
      <c r="Q1833" s="51">
        <f t="shared" si="41"/>
        <v>0</v>
      </c>
      <c r="R1833" s="31">
        <v>202310</v>
      </c>
      <c r="S1833" s="62" t="s">
        <v>2337</v>
      </c>
      <c r="T1833" s="33"/>
      <c r="U1833" s="58" t="s">
        <v>2336</v>
      </c>
      <c r="V1833" s="58"/>
      <c r="W1833" s="63"/>
      <c r="X1833" s="63"/>
      <c r="Y1833" s="36"/>
      <c r="Z1833" s="36"/>
      <c r="AA1833" s="36"/>
      <c r="AB1833" s="36"/>
      <c r="AC1833" s="36"/>
      <c r="AD1833" s="36"/>
      <c r="AE1833" s="36"/>
      <c r="AF1833" s="40" t="s">
        <v>484</v>
      </c>
      <c r="AG1833" s="42"/>
      <c r="AH1833" s="42"/>
      <c r="AI1833" s="43"/>
      <c r="AJ1833" s="43"/>
      <c r="AK1833" s="43"/>
      <c r="AL1833" s="43"/>
      <c r="AM1833" s="43"/>
      <c r="AN1833" s="42"/>
      <c r="AO1833" s="42"/>
      <c r="AP1833" s="42"/>
      <c r="AQ1833" s="43"/>
      <c r="AR1833" s="42"/>
      <c r="AS1833" s="42" t="s">
        <v>2054</v>
      </c>
    </row>
    <row r="1834" spans="1:45" ht="15" customHeight="1">
      <c r="A1834" s="56" t="s">
        <v>258</v>
      </c>
      <c r="B1834" s="21" t="s">
        <v>46</v>
      </c>
      <c r="C1834" s="57" t="s">
        <v>814</v>
      </c>
      <c r="D1834" s="22" t="s">
        <v>48</v>
      </c>
      <c r="E1834" s="58" t="s">
        <v>2328</v>
      </c>
      <c r="F1834" s="56" t="s">
        <v>2329</v>
      </c>
      <c r="G1834" s="26" t="s">
        <v>165</v>
      </c>
      <c r="H1834" s="25" t="s">
        <v>2338</v>
      </c>
      <c r="I1834" s="26" t="s">
        <v>491</v>
      </c>
      <c r="J1834" s="56" t="s">
        <v>2339</v>
      </c>
      <c r="K1834" s="59" t="s">
        <v>2339</v>
      </c>
      <c r="L1834" s="48" t="s">
        <v>2332</v>
      </c>
      <c r="M1834" s="49" t="s">
        <v>2340</v>
      </c>
      <c r="N1834" s="49" t="s">
        <v>168</v>
      </c>
      <c r="O1834" s="60">
        <v>0</v>
      </c>
      <c r="P1834" s="61">
        <v>128</v>
      </c>
      <c r="Q1834" s="51">
        <f t="shared" si="41"/>
        <v>0</v>
      </c>
      <c r="R1834" s="31">
        <v>202310</v>
      </c>
      <c r="S1834" s="62" t="s">
        <v>2341</v>
      </c>
      <c r="T1834" s="33"/>
      <c r="U1834" s="58"/>
      <c r="V1834" s="58"/>
      <c r="W1834" s="63"/>
      <c r="X1834" s="63"/>
      <c r="Y1834" s="36"/>
      <c r="Z1834" s="36"/>
      <c r="AA1834" s="36"/>
      <c r="AB1834" s="36"/>
      <c r="AC1834" s="36"/>
      <c r="AD1834" s="36"/>
      <c r="AE1834" s="36"/>
      <c r="AF1834" s="40" t="s">
        <v>503</v>
      </c>
      <c r="AG1834" s="42"/>
      <c r="AH1834" s="42"/>
      <c r="AI1834" s="43"/>
      <c r="AJ1834" s="43"/>
      <c r="AK1834" s="43"/>
      <c r="AL1834" s="43"/>
      <c r="AM1834" s="43"/>
      <c r="AN1834" s="42"/>
      <c r="AO1834" s="42"/>
      <c r="AP1834" s="42"/>
      <c r="AQ1834" s="43"/>
      <c r="AR1834" s="42"/>
      <c r="AS1834" s="42" t="s">
        <v>2054</v>
      </c>
    </row>
    <row r="1835" spans="1:45" ht="15" customHeight="1">
      <c r="A1835" s="56" t="s">
        <v>258</v>
      </c>
      <c r="B1835" s="21" t="s">
        <v>46</v>
      </c>
      <c r="C1835" s="57" t="s">
        <v>814</v>
      </c>
      <c r="D1835" s="22" t="s">
        <v>48</v>
      </c>
      <c r="E1835" s="58" t="s">
        <v>2328</v>
      </c>
      <c r="F1835" s="56" t="s">
        <v>2329</v>
      </c>
      <c r="G1835" s="26" t="s">
        <v>165</v>
      </c>
      <c r="H1835" s="25" t="s">
        <v>2338</v>
      </c>
      <c r="I1835" s="26" t="s">
        <v>491</v>
      </c>
      <c r="J1835" s="56" t="s">
        <v>2339</v>
      </c>
      <c r="K1835" s="59" t="s">
        <v>2339</v>
      </c>
      <c r="L1835" s="48" t="s">
        <v>2332</v>
      </c>
      <c r="M1835" s="49" t="s">
        <v>2340</v>
      </c>
      <c r="N1835" s="49" t="s">
        <v>168</v>
      </c>
      <c r="O1835" s="60">
        <v>0</v>
      </c>
      <c r="P1835" s="61">
        <v>128</v>
      </c>
      <c r="Q1835" s="51">
        <f t="shared" si="41"/>
        <v>0</v>
      </c>
      <c r="R1835" s="31">
        <v>202310</v>
      </c>
      <c r="S1835" s="62" t="s">
        <v>2342</v>
      </c>
      <c r="T1835" s="33"/>
      <c r="U1835" s="58"/>
      <c r="V1835" s="58"/>
      <c r="W1835" s="63"/>
      <c r="X1835" s="63"/>
      <c r="Y1835" s="36"/>
      <c r="Z1835" s="36"/>
      <c r="AA1835" s="36"/>
      <c r="AB1835" s="36"/>
      <c r="AC1835" s="36"/>
      <c r="AD1835" s="36"/>
      <c r="AE1835" s="36"/>
      <c r="AF1835" s="40" t="s">
        <v>484</v>
      </c>
      <c r="AG1835" s="42"/>
      <c r="AH1835" s="42"/>
      <c r="AI1835" s="43"/>
      <c r="AJ1835" s="43"/>
      <c r="AK1835" s="43"/>
      <c r="AL1835" s="43"/>
      <c r="AM1835" s="43"/>
      <c r="AN1835" s="42"/>
      <c r="AO1835" s="42"/>
      <c r="AP1835" s="42"/>
      <c r="AQ1835" s="43"/>
      <c r="AR1835" s="42"/>
      <c r="AS1835" s="42" t="s">
        <v>2054</v>
      </c>
    </row>
    <row r="1836" spans="1:45" ht="15" customHeight="1">
      <c r="A1836" s="56" t="s">
        <v>258</v>
      </c>
      <c r="B1836" s="21" t="s">
        <v>46</v>
      </c>
      <c r="C1836" s="57" t="s">
        <v>814</v>
      </c>
      <c r="D1836" s="22" t="s">
        <v>48</v>
      </c>
      <c r="E1836" s="58" t="s">
        <v>2328</v>
      </c>
      <c r="F1836" s="56" t="s">
        <v>2329</v>
      </c>
      <c r="G1836" s="26" t="s">
        <v>165</v>
      </c>
      <c r="H1836" s="25" t="s">
        <v>2338</v>
      </c>
      <c r="I1836" s="26" t="s">
        <v>491</v>
      </c>
      <c r="J1836" s="56" t="s">
        <v>2339</v>
      </c>
      <c r="K1836" s="59" t="s">
        <v>2339</v>
      </c>
      <c r="L1836" s="48" t="s">
        <v>2332</v>
      </c>
      <c r="M1836" s="49" t="s">
        <v>2340</v>
      </c>
      <c r="N1836" s="49" t="s">
        <v>168</v>
      </c>
      <c r="O1836" s="60">
        <v>50</v>
      </c>
      <c r="P1836" s="61">
        <v>128</v>
      </c>
      <c r="Q1836" s="51">
        <f t="shared" si="41"/>
        <v>6400</v>
      </c>
      <c r="R1836" s="31">
        <v>202310</v>
      </c>
      <c r="S1836" s="62" t="s">
        <v>2341</v>
      </c>
      <c r="T1836" s="33"/>
      <c r="U1836" s="58"/>
      <c r="V1836" s="58"/>
      <c r="W1836" s="63"/>
      <c r="X1836" s="63"/>
      <c r="Y1836" s="36"/>
      <c r="Z1836" s="36"/>
      <c r="AA1836" s="36"/>
      <c r="AB1836" s="36"/>
      <c r="AC1836" s="36"/>
      <c r="AD1836" s="36"/>
      <c r="AE1836" s="36"/>
      <c r="AF1836" s="40" t="s">
        <v>503</v>
      </c>
      <c r="AG1836" s="42"/>
      <c r="AH1836" s="42"/>
      <c r="AI1836" s="43"/>
      <c r="AJ1836" s="43"/>
      <c r="AK1836" s="43"/>
      <c r="AL1836" s="43"/>
      <c r="AM1836" s="43"/>
      <c r="AN1836" s="42"/>
      <c r="AO1836" s="42"/>
      <c r="AP1836" s="42"/>
      <c r="AQ1836" s="43"/>
      <c r="AR1836" s="42"/>
      <c r="AS1836" s="42" t="s">
        <v>2054</v>
      </c>
    </row>
    <row r="1837" spans="1:45" ht="15" customHeight="1">
      <c r="A1837" s="56" t="s">
        <v>258</v>
      </c>
      <c r="B1837" s="21" t="s">
        <v>46</v>
      </c>
      <c r="C1837" s="57" t="s">
        <v>814</v>
      </c>
      <c r="D1837" s="22" t="s">
        <v>48</v>
      </c>
      <c r="E1837" s="58" t="s">
        <v>2328</v>
      </c>
      <c r="F1837" s="56" t="s">
        <v>2329</v>
      </c>
      <c r="G1837" s="26" t="s">
        <v>165</v>
      </c>
      <c r="H1837" s="25" t="s">
        <v>2338</v>
      </c>
      <c r="I1837" s="26" t="s">
        <v>491</v>
      </c>
      <c r="J1837" s="56" t="s">
        <v>2339</v>
      </c>
      <c r="K1837" s="59" t="s">
        <v>2339</v>
      </c>
      <c r="L1837" s="48" t="s">
        <v>2332</v>
      </c>
      <c r="M1837" s="49">
        <v>44317</v>
      </c>
      <c r="N1837" s="49" t="s">
        <v>168</v>
      </c>
      <c r="O1837" s="60">
        <v>50</v>
      </c>
      <c r="P1837" s="61">
        <v>128</v>
      </c>
      <c r="Q1837" s="51">
        <f t="shared" si="41"/>
        <v>6400</v>
      </c>
      <c r="R1837" s="31">
        <v>202310</v>
      </c>
      <c r="S1837" s="62" t="s">
        <v>2343</v>
      </c>
      <c r="T1837" s="33"/>
      <c r="U1837" s="58"/>
      <c r="V1837" s="58"/>
      <c r="W1837" s="63"/>
      <c r="X1837" s="63"/>
      <c r="Y1837" s="36"/>
      <c r="Z1837" s="36"/>
      <c r="AA1837" s="36"/>
      <c r="AB1837" s="36"/>
      <c r="AC1837" s="36"/>
      <c r="AD1837" s="36"/>
      <c r="AE1837" s="36"/>
      <c r="AF1837" s="40" t="s">
        <v>2344</v>
      </c>
      <c r="AG1837" s="42"/>
      <c r="AH1837" s="42"/>
      <c r="AI1837" s="43"/>
      <c r="AJ1837" s="43"/>
      <c r="AK1837" s="43"/>
      <c r="AL1837" s="43"/>
      <c r="AM1837" s="43"/>
      <c r="AN1837" s="42"/>
      <c r="AO1837" s="42"/>
      <c r="AP1837" s="42"/>
      <c r="AQ1837" s="43"/>
      <c r="AR1837" s="42"/>
      <c r="AS1837" s="42" t="s">
        <v>2054</v>
      </c>
    </row>
    <row r="1838" spans="1:45" ht="15" customHeight="1">
      <c r="A1838" s="56" t="s">
        <v>258</v>
      </c>
      <c r="B1838" s="21" t="s">
        <v>46</v>
      </c>
      <c r="C1838" s="57" t="s">
        <v>814</v>
      </c>
      <c r="D1838" s="22" t="s">
        <v>48</v>
      </c>
      <c r="E1838" s="58" t="s">
        <v>2328</v>
      </c>
      <c r="F1838" s="56" t="s">
        <v>2329</v>
      </c>
      <c r="G1838" s="26" t="s">
        <v>165</v>
      </c>
      <c r="H1838" s="25" t="s">
        <v>2338</v>
      </c>
      <c r="I1838" s="26" t="s">
        <v>491</v>
      </c>
      <c r="J1838" s="56" t="s">
        <v>2339</v>
      </c>
      <c r="K1838" s="59" t="s">
        <v>2339</v>
      </c>
      <c r="L1838" s="48" t="s">
        <v>2332</v>
      </c>
      <c r="M1838" s="49">
        <v>44399</v>
      </c>
      <c r="N1838" s="49" t="s">
        <v>168</v>
      </c>
      <c r="O1838" s="60">
        <v>50</v>
      </c>
      <c r="P1838" s="61">
        <v>-96</v>
      </c>
      <c r="Q1838" s="51">
        <f t="shared" si="41"/>
        <v>-4800</v>
      </c>
      <c r="R1838" s="31">
        <v>202310</v>
      </c>
      <c r="S1838" s="62" t="s">
        <v>2345</v>
      </c>
      <c r="T1838" s="33"/>
      <c r="U1838" s="58"/>
      <c r="V1838" s="58"/>
      <c r="W1838" s="63"/>
      <c r="X1838" s="63"/>
      <c r="Y1838" s="36"/>
      <c r="Z1838" s="36"/>
      <c r="AA1838" s="36"/>
      <c r="AB1838" s="36"/>
      <c r="AC1838" s="36"/>
      <c r="AD1838" s="36"/>
      <c r="AE1838" s="36"/>
      <c r="AF1838" s="40" t="s">
        <v>503</v>
      </c>
      <c r="AG1838" s="42"/>
      <c r="AH1838" s="42"/>
      <c r="AI1838" s="43"/>
      <c r="AJ1838" s="43"/>
      <c r="AK1838" s="43"/>
      <c r="AL1838" s="43"/>
      <c r="AM1838" s="43"/>
      <c r="AN1838" s="42"/>
      <c r="AO1838" s="42"/>
      <c r="AP1838" s="42"/>
      <c r="AQ1838" s="43"/>
      <c r="AR1838" s="42"/>
      <c r="AS1838" s="42" t="s">
        <v>2054</v>
      </c>
    </row>
    <row r="1839" spans="1:45" ht="15" customHeight="1">
      <c r="A1839" s="56" t="s">
        <v>258</v>
      </c>
      <c r="B1839" s="21" t="s">
        <v>46</v>
      </c>
      <c r="C1839" s="57" t="s">
        <v>814</v>
      </c>
      <c r="D1839" s="22" t="s">
        <v>48</v>
      </c>
      <c r="E1839" s="58" t="s">
        <v>2328</v>
      </c>
      <c r="F1839" s="56" t="s">
        <v>2329</v>
      </c>
      <c r="G1839" s="26" t="s">
        <v>165</v>
      </c>
      <c r="H1839" s="25" t="s">
        <v>2338</v>
      </c>
      <c r="I1839" s="26" t="s">
        <v>491</v>
      </c>
      <c r="J1839" s="56" t="s">
        <v>2339</v>
      </c>
      <c r="K1839" s="59" t="s">
        <v>2339</v>
      </c>
      <c r="L1839" s="48" t="s">
        <v>2332</v>
      </c>
      <c r="M1839" s="49"/>
      <c r="N1839" s="49" t="s">
        <v>656</v>
      </c>
      <c r="O1839" s="60">
        <v>0</v>
      </c>
      <c r="P1839" s="61">
        <v>0</v>
      </c>
      <c r="Q1839" s="51">
        <f t="shared" si="41"/>
        <v>0</v>
      </c>
      <c r="R1839" s="31">
        <v>202310</v>
      </c>
      <c r="S1839" s="62" t="s">
        <v>2346</v>
      </c>
      <c r="T1839" s="33"/>
      <c r="U1839" s="58"/>
      <c r="V1839" s="58"/>
      <c r="W1839" s="63"/>
      <c r="X1839" s="63"/>
      <c r="Y1839" s="36"/>
      <c r="Z1839" s="36"/>
      <c r="AA1839" s="36"/>
      <c r="AB1839" s="36"/>
      <c r="AC1839" s="36"/>
      <c r="AD1839" s="36"/>
      <c r="AE1839" s="36"/>
      <c r="AF1839" s="40" t="s">
        <v>2344</v>
      </c>
      <c r="AG1839" s="42"/>
      <c r="AH1839" s="42"/>
      <c r="AI1839" s="43"/>
      <c r="AJ1839" s="43"/>
      <c r="AK1839" s="43"/>
      <c r="AL1839" s="43"/>
      <c r="AM1839" s="43"/>
      <c r="AN1839" s="42"/>
      <c r="AO1839" s="42"/>
      <c r="AP1839" s="42"/>
      <c r="AQ1839" s="43"/>
      <c r="AR1839" s="42"/>
      <c r="AS1839" s="42" t="s">
        <v>2054</v>
      </c>
    </row>
    <row r="1840" spans="1:45" ht="15" customHeight="1">
      <c r="A1840" s="56" t="s">
        <v>258</v>
      </c>
      <c r="B1840" s="21" t="s">
        <v>46</v>
      </c>
      <c r="C1840" s="57" t="s">
        <v>814</v>
      </c>
      <c r="D1840" s="22" t="s">
        <v>48</v>
      </c>
      <c r="E1840" s="58" t="s">
        <v>2328</v>
      </c>
      <c r="F1840" s="56" t="s">
        <v>2329</v>
      </c>
      <c r="G1840" s="26" t="s">
        <v>77</v>
      </c>
      <c r="H1840" s="25" t="s">
        <v>2338</v>
      </c>
      <c r="I1840" s="26" t="s">
        <v>479</v>
      </c>
      <c r="J1840" s="56" t="s">
        <v>2339</v>
      </c>
      <c r="K1840" s="59" t="s">
        <v>2339</v>
      </c>
      <c r="L1840" s="48" t="s">
        <v>2332</v>
      </c>
      <c r="M1840" s="49" t="s">
        <v>2347</v>
      </c>
      <c r="N1840" s="49" t="s">
        <v>1614</v>
      </c>
      <c r="O1840" s="60">
        <v>0</v>
      </c>
      <c r="P1840" s="61">
        <v>4</v>
      </c>
      <c r="Q1840" s="51">
        <f t="shared" si="41"/>
        <v>0</v>
      </c>
      <c r="R1840" s="31">
        <v>202310</v>
      </c>
      <c r="S1840" s="62" t="s">
        <v>2348</v>
      </c>
      <c r="T1840" s="33"/>
      <c r="U1840" s="58"/>
      <c r="V1840" s="58"/>
      <c r="W1840" s="63"/>
      <c r="X1840" s="63"/>
      <c r="Y1840" s="36"/>
      <c r="Z1840" s="36"/>
      <c r="AA1840" s="36"/>
      <c r="AB1840" s="36"/>
      <c r="AC1840" s="36"/>
      <c r="AD1840" s="36"/>
      <c r="AE1840" s="36"/>
      <c r="AF1840" s="40" t="s">
        <v>503</v>
      </c>
      <c r="AG1840" s="42"/>
      <c r="AH1840" s="42"/>
      <c r="AI1840" s="43"/>
      <c r="AJ1840" s="43"/>
      <c r="AK1840" s="43"/>
      <c r="AL1840" s="43"/>
      <c r="AM1840" s="43"/>
      <c r="AN1840" s="42"/>
      <c r="AO1840" s="42"/>
      <c r="AP1840" s="42"/>
      <c r="AQ1840" s="43"/>
      <c r="AR1840" s="42"/>
      <c r="AS1840" s="42" t="s">
        <v>2054</v>
      </c>
    </row>
    <row r="1841" spans="1:45" ht="15" customHeight="1">
      <c r="A1841" s="56" t="s">
        <v>258</v>
      </c>
      <c r="B1841" s="21" t="s">
        <v>46</v>
      </c>
      <c r="C1841" s="57" t="s">
        <v>814</v>
      </c>
      <c r="D1841" s="22" t="s">
        <v>48</v>
      </c>
      <c r="E1841" s="58" t="s">
        <v>2328</v>
      </c>
      <c r="F1841" s="56" t="s">
        <v>2329</v>
      </c>
      <c r="G1841" s="26" t="s">
        <v>77</v>
      </c>
      <c r="H1841" s="25" t="s">
        <v>2338</v>
      </c>
      <c r="I1841" s="26" t="s">
        <v>479</v>
      </c>
      <c r="J1841" s="56" t="s">
        <v>2339</v>
      </c>
      <c r="K1841" s="59" t="s">
        <v>2339</v>
      </c>
      <c r="L1841" s="48" t="s">
        <v>2332</v>
      </c>
      <c r="M1841" s="49" t="s">
        <v>2347</v>
      </c>
      <c r="N1841" s="49" t="s">
        <v>1614</v>
      </c>
      <c r="O1841" s="60">
        <v>0</v>
      </c>
      <c r="P1841" s="61">
        <v>2</v>
      </c>
      <c r="Q1841" s="51">
        <f t="shared" si="41"/>
        <v>0</v>
      </c>
      <c r="R1841" s="31">
        <v>202310</v>
      </c>
      <c r="S1841" s="62" t="s">
        <v>2349</v>
      </c>
      <c r="T1841" s="33"/>
      <c r="U1841" s="58"/>
      <c r="V1841" s="58"/>
      <c r="W1841" s="63"/>
      <c r="X1841" s="63"/>
      <c r="Y1841" s="36"/>
      <c r="Z1841" s="36"/>
      <c r="AA1841" s="36"/>
      <c r="AB1841" s="36"/>
      <c r="AC1841" s="36"/>
      <c r="AD1841" s="36"/>
      <c r="AE1841" s="36"/>
      <c r="AF1841" s="40" t="s">
        <v>2344</v>
      </c>
      <c r="AG1841" s="42"/>
      <c r="AH1841" s="42"/>
      <c r="AI1841" s="43"/>
      <c r="AJ1841" s="43"/>
      <c r="AK1841" s="43"/>
      <c r="AL1841" s="43"/>
      <c r="AM1841" s="43"/>
      <c r="AN1841" s="42"/>
      <c r="AO1841" s="42"/>
      <c r="AP1841" s="42"/>
      <c r="AQ1841" s="43"/>
      <c r="AR1841" s="42"/>
      <c r="AS1841" s="42" t="s">
        <v>2054</v>
      </c>
    </row>
    <row r="1842" spans="1:45" ht="15" customHeight="1">
      <c r="A1842" s="56" t="s">
        <v>258</v>
      </c>
      <c r="B1842" s="21" t="s">
        <v>46</v>
      </c>
      <c r="C1842" s="57" t="s">
        <v>814</v>
      </c>
      <c r="D1842" s="22" t="s">
        <v>48</v>
      </c>
      <c r="E1842" s="58" t="s">
        <v>2328</v>
      </c>
      <c r="F1842" s="56" t="s">
        <v>2329</v>
      </c>
      <c r="G1842" s="26" t="s">
        <v>77</v>
      </c>
      <c r="H1842" s="25" t="s">
        <v>2338</v>
      </c>
      <c r="I1842" s="26" t="s">
        <v>479</v>
      </c>
      <c r="J1842" s="56" t="s">
        <v>2339</v>
      </c>
      <c r="K1842" s="59" t="s">
        <v>2339</v>
      </c>
      <c r="L1842" s="48" t="s">
        <v>2332</v>
      </c>
      <c r="M1842" s="49">
        <v>43951</v>
      </c>
      <c r="N1842" s="49" t="s">
        <v>1614</v>
      </c>
      <c r="O1842" s="60">
        <v>0</v>
      </c>
      <c r="P1842" s="61">
        <v>-2</v>
      </c>
      <c r="Q1842" s="51">
        <f t="shared" si="41"/>
        <v>0</v>
      </c>
      <c r="R1842" s="31">
        <v>202310</v>
      </c>
      <c r="S1842" s="62" t="s">
        <v>2350</v>
      </c>
      <c r="T1842" s="33"/>
      <c r="U1842" s="58"/>
      <c r="V1842" s="58"/>
      <c r="W1842" s="63"/>
      <c r="X1842" s="63"/>
      <c r="Y1842" s="36"/>
      <c r="Z1842" s="36"/>
      <c r="AA1842" s="36"/>
      <c r="AB1842" s="36"/>
      <c r="AC1842" s="36"/>
      <c r="AD1842" s="36"/>
      <c r="AE1842" s="36"/>
      <c r="AF1842" s="40" t="s">
        <v>503</v>
      </c>
      <c r="AG1842" s="42"/>
      <c r="AH1842" s="42"/>
      <c r="AI1842" s="43"/>
      <c r="AJ1842" s="43"/>
      <c r="AK1842" s="43"/>
      <c r="AL1842" s="43"/>
      <c r="AM1842" s="43"/>
      <c r="AN1842" s="42"/>
      <c r="AO1842" s="42"/>
      <c r="AP1842" s="42"/>
      <c r="AQ1842" s="43"/>
      <c r="AR1842" s="42"/>
      <c r="AS1842" s="42" t="s">
        <v>2054</v>
      </c>
    </row>
    <row r="1843" spans="1:45" ht="15" customHeight="1">
      <c r="A1843" s="56" t="s">
        <v>258</v>
      </c>
      <c r="B1843" s="21" t="s">
        <v>46</v>
      </c>
      <c r="C1843" s="57" t="s">
        <v>814</v>
      </c>
      <c r="D1843" s="22" t="s">
        <v>48</v>
      </c>
      <c r="E1843" s="58" t="s">
        <v>2328</v>
      </c>
      <c r="F1843" s="56" t="s">
        <v>2329</v>
      </c>
      <c r="G1843" s="26" t="s">
        <v>77</v>
      </c>
      <c r="H1843" s="25" t="s">
        <v>2338</v>
      </c>
      <c r="I1843" s="26" t="s">
        <v>479</v>
      </c>
      <c r="J1843" s="56" t="s">
        <v>2339</v>
      </c>
      <c r="K1843" s="59" t="s">
        <v>2339</v>
      </c>
      <c r="L1843" s="48" t="s">
        <v>2332</v>
      </c>
      <c r="M1843" s="49">
        <v>44317</v>
      </c>
      <c r="N1843" s="49" t="s">
        <v>1614</v>
      </c>
      <c r="O1843" s="60">
        <v>4000</v>
      </c>
      <c r="P1843" s="61">
        <v>1</v>
      </c>
      <c r="Q1843" s="51">
        <f t="shared" si="41"/>
        <v>4000</v>
      </c>
      <c r="R1843" s="31">
        <v>202310</v>
      </c>
      <c r="S1843" s="62" t="s">
        <v>2351</v>
      </c>
      <c r="T1843" s="33"/>
      <c r="U1843" s="58"/>
      <c r="V1843" s="58"/>
      <c r="W1843" s="63"/>
      <c r="X1843" s="63"/>
      <c r="Y1843" s="36"/>
      <c r="Z1843" s="36"/>
      <c r="AA1843" s="36"/>
      <c r="AB1843" s="36"/>
      <c r="AC1843" s="36"/>
      <c r="AD1843" s="36"/>
      <c r="AE1843" s="36"/>
      <c r="AF1843" s="40" t="s">
        <v>2344</v>
      </c>
      <c r="AG1843" s="42"/>
      <c r="AH1843" s="42"/>
      <c r="AI1843" s="43"/>
      <c r="AJ1843" s="43"/>
      <c r="AK1843" s="43"/>
      <c r="AL1843" s="43"/>
      <c r="AM1843" s="43"/>
      <c r="AN1843" s="42"/>
      <c r="AO1843" s="42"/>
      <c r="AP1843" s="42"/>
      <c r="AQ1843" s="43"/>
      <c r="AR1843" s="42"/>
      <c r="AS1843" s="42" t="s">
        <v>2054</v>
      </c>
    </row>
    <row r="1844" spans="1:45" ht="15" customHeight="1">
      <c r="A1844" s="56" t="s">
        <v>258</v>
      </c>
      <c r="B1844" s="21" t="s">
        <v>46</v>
      </c>
      <c r="C1844" s="57" t="s">
        <v>814</v>
      </c>
      <c r="D1844" s="22" t="s">
        <v>48</v>
      </c>
      <c r="E1844" s="58" t="s">
        <v>2352</v>
      </c>
      <c r="F1844" s="56" t="s">
        <v>2353</v>
      </c>
      <c r="G1844" s="26" t="s">
        <v>165</v>
      </c>
      <c r="H1844" s="25" t="s">
        <v>2354</v>
      </c>
      <c r="I1844" s="26" t="s">
        <v>491</v>
      </c>
      <c r="J1844" s="56" t="s">
        <v>2353</v>
      </c>
      <c r="K1844" s="59" t="s">
        <v>2353</v>
      </c>
      <c r="L1844" s="48" t="s">
        <v>2355</v>
      </c>
      <c r="M1844" s="49">
        <v>44774</v>
      </c>
      <c r="N1844" s="49" t="s">
        <v>168</v>
      </c>
      <c r="O1844" s="60">
        <v>0</v>
      </c>
      <c r="P1844" s="61">
        <v>320</v>
      </c>
      <c r="Q1844" s="51">
        <f t="shared" si="41"/>
        <v>0</v>
      </c>
      <c r="R1844" s="31">
        <v>202310</v>
      </c>
      <c r="S1844" s="62" t="s">
        <v>2356</v>
      </c>
      <c r="T1844" s="33"/>
      <c r="U1844" s="58"/>
      <c r="V1844" s="58"/>
      <c r="W1844" s="63"/>
      <c r="X1844" s="63"/>
      <c r="Y1844" s="36"/>
      <c r="Z1844" s="36"/>
      <c r="AA1844" s="36"/>
      <c r="AB1844" s="36"/>
      <c r="AC1844" s="36"/>
      <c r="AD1844" s="36"/>
      <c r="AE1844" s="36"/>
      <c r="AF1844" s="40" t="s">
        <v>484</v>
      </c>
      <c r="AG1844" s="42"/>
      <c r="AH1844" s="42"/>
      <c r="AI1844" s="43"/>
      <c r="AJ1844" s="43"/>
      <c r="AK1844" s="43"/>
      <c r="AL1844" s="43"/>
      <c r="AM1844" s="43"/>
      <c r="AN1844" s="42"/>
      <c r="AO1844" s="42"/>
      <c r="AP1844" s="42"/>
      <c r="AQ1844" s="43"/>
      <c r="AR1844" s="42"/>
      <c r="AS1844" s="42" t="s">
        <v>2054</v>
      </c>
    </row>
    <row r="1845" spans="1:45" ht="15" customHeight="1">
      <c r="A1845" s="56" t="s">
        <v>258</v>
      </c>
      <c r="B1845" s="21" t="s">
        <v>46</v>
      </c>
      <c r="C1845" s="57" t="s">
        <v>814</v>
      </c>
      <c r="D1845" s="22" t="s">
        <v>48</v>
      </c>
      <c r="E1845" s="58" t="s">
        <v>2352</v>
      </c>
      <c r="F1845" s="56" t="s">
        <v>2353</v>
      </c>
      <c r="G1845" s="26" t="s">
        <v>165</v>
      </c>
      <c r="H1845" s="25" t="s">
        <v>2354</v>
      </c>
      <c r="I1845" s="26" t="s">
        <v>491</v>
      </c>
      <c r="J1845" s="56" t="s">
        <v>2353</v>
      </c>
      <c r="K1845" s="59" t="s">
        <v>2353</v>
      </c>
      <c r="L1845" s="48" t="s">
        <v>2355</v>
      </c>
      <c r="M1845" s="49"/>
      <c r="N1845" s="49" t="s">
        <v>646</v>
      </c>
      <c r="O1845" s="60">
        <v>0</v>
      </c>
      <c r="P1845" s="61">
        <v>0</v>
      </c>
      <c r="Q1845" s="51">
        <f t="shared" si="41"/>
        <v>0</v>
      </c>
      <c r="R1845" s="31">
        <v>202310</v>
      </c>
      <c r="S1845" s="62" t="s">
        <v>2357</v>
      </c>
      <c r="T1845" s="33"/>
      <c r="U1845" s="58"/>
      <c r="V1845" s="58"/>
      <c r="W1845" s="63"/>
      <c r="X1845" s="63"/>
      <c r="Y1845" s="36"/>
      <c r="Z1845" s="36"/>
      <c r="AA1845" s="36"/>
      <c r="AB1845" s="36"/>
      <c r="AC1845" s="36"/>
      <c r="AD1845" s="36"/>
      <c r="AE1845" s="36"/>
      <c r="AF1845" s="40" t="s">
        <v>484</v>
      </c>
      <c r="AG1845" s="42"/>
      <c r="AH1845" s="42"/>
      <c r="AI1845" s="43"/>
      <c r="AJ1845" s="43"/>
      <c r="AK1845" s="43"/>
      <c r="AL1845" s="43"/>
      <c r="AM1845" s="43"/>
      <c r="AN1845" s="42"/>
      <c r="AO1845" s="42"/>
      <c r="AP1845" s="42"/>
      <c r="AQ1845" s="43"/>
      <c r="AR1845" s="42"/>
      <c r="AS1845" s="42" t="s">
        <v>2054</v>
      </c>
    </row>
    <row r="1846" spans="1:45" ht="15" customHeight="1">
      <c r="A1846" s="56" t="s">
        <v>258</v>
      </c>
      <c r="B1846" s="21" t="s">
        <v>46</v>
      </c>
      <c r="C1846" s="57" t="s">
        <v>814</v>
      </c>
      <c r="D1846" s="22" t="s">
        <v>48</v>
      </c>
      <c r="E1846" s="58" t="s">
        <v>2352</v>
      </c>
      <c r="F1846" s="56" t="s">
        <v>2353</v>
      </c>
      <c r="G1846" s="26" t="s">
        <v>77</v>
      </c>
      <c r="H1846" s="25" t="s">
        <v>2354</v>
      </c>
      <c r="I1846" s="26" t="s">
        <v>479</v>
      </c>
      <c r="J1846" s="56" t="s">
        <v>2353</v>
      </c>
      <c r="K1846" s="59" t="s">
        <v>2353</v>
      </c>
      <c r="L1846" s="48" t="s">
        <v>2355</v>
      </c>
      <c r="M1846" s="49">
        <v>44774</v>
      </c>
      <c r="N1846" s="49" t="s">
        <v>1614</v>
      </c>
      <c r="O1846" s="60">
        <v>0</v>
      </c>
      <c r="P1846" s="61">
        <v>1</v>
      </c>
      <c r="Q1846" s="51">
        <f t="shared" si="41"/>
        <v>0</v>
      </c>
      <c r="R1846" s="31">
        <v>202310</v>
      </c>
      <c r="S1846" s="62" t="s">
        <v>2358</v>
      </c>
      <c r="T1846" s="33"/>
      <c r="U1846" s="58"/>
      <c r="V1846" s="58"/>
      <c r="W1846" s="63"/>
      <c r="X1846" s="63"/>
      <c r="Y1846" s="36"/>
      <c r="Z1846" s="36"/>
      <c r="AA1846" s="36"/>
      <c r="AB1846" s="36"/>
      <c r="AC1846" s="36"/>
      <c r="AD1846" s="36"/>
      <c r="AE1846" s="36"/>
      <c r="AF1846" s="40" t="s">
        <v>484</v>
      </c>
      <c r="AG1846" s="42"/>
      <c r="AH1846" s="42"/>
      <c r="AI1846" s="43"/>
      <c r="AJ1846" s="43"/>
      <c r="AK1846" s="43"/>
      <c r="AL1846" s="43"/>
      <c r="AM1846" s="43"/>
      <c r="AN1846" s="42"/>
      <c r="AO1846" s="42"/>
      <c r="AP1846" s="42"/>
      <c r="AQ1846" s="43"/>
      <c r="AR1846" s="42"/>
      <c r="AS1846" s="42" t="s">
        <v>2054</v>
      </c>
    </row>
    <row r="1847" spans="1:45" ht="15" customHeight="1">
      <c r="A1847" s="56" t="s">
        <v>258</v>
      </c>
      <c r="B1847" s="21" t="s">
        <v>46</v>
      </c>
      <c r="C1847" s="57" t="s">
        <v>814</v>
      </c>
      <c r="D1847" s="22" t="s">
        <v>48</v>
      </c>
      <c r="E1847" s="58" t="s">
        <v>2359</v>
      </c>
      <c r="F1847" s="56" t="s">
        <v>2360</v>
      </c>
      <c r="G1847" s="26" t="s">
        <v>165</v>
      </c>
      <c r="H1847" s="25" t="s">
        <v>2361</v>
      </c>
      <c r="I1847" s="26" t="s">
        <v>491</v>
      </c>
      <c r="J1847" s="56" t="s">
        <v>2360</v>
      </c>
      <c r="K1847" s="59" t="s">
        <v>2360</v>
      </c>
      <c r="L1847" s="48" t="s">
        <v>2362</v>
      </c>
      <c r="M1847" s="75" t="s">
        <v>2363</v>
      </c>
      <c r="N1847" s="49" t="s">
        <v>168</v>
      </c>
      <c r="O1847" s="60">
        <v>0</v>
      </c>
      <c r="P1847" s="61">
        <f>1472+288+512+256</f>
        <v>2528</v>
      </c>
      <c r="Q1847" s="51">
        <f t="shared" si="41"/>
        <v>0</v>
      </c>
      <c r="R1847" s="31">
        <v>202310</v>
      </c>
      <c r="S1847" s="62" t="s">
        <v>2364</v>
      </c>
      <c r="T1847" s="33"/>
      <c r="U1847" s="42"/>
      <c r="V1847" s="58"/>
      <c r="W1847" s="63"/>
      <c r="X1847" s="63"/>
      <c r="Y1847" s="36">
        <v>44652</v>
      </c>
      <c r="Z1847" s="36">
        <v>45382</v>
      </c>
      <c r="AA1847" s="36"/>
      <c r="AB1847" s="36"/>
      <c r="AC1847" s="36"/>
      <c r="AD1847" s="36"/>
      <c r="AE1847" s="36"/>
      <c r="AF1847" s="40" t="s">
        <v>484</v>
      </c>
      <c r="AG1847" s="42"/>
      <c r="AH1847" s="42"/>
      <c r="AI1847" s="43"/>
      <c r="AJ1847" s="43"/>
      <c r="AK1847" s="43"/>
      <c r="AL1847" s="43"/>
      <c r="AM1847" s="43"/>
      <c r="AN1847" s="42"/>
      <c r="AO1847" s="42"/>
      <c r="AP1847" s="42"/>
      <c r="AQ1847" s="43"/>
      <c r="AR1847" s="42"/>
      <c r="AS1847" s="42" t="s">
        <v>2054</v>
      </c>
    </row>
    <row r="1848" spans="1:45" ht="15" customHeight="1">
      <c r="A1848" s="56" t="s">
        <v>258</v>
      </c>
      <c r="B1848" s="21" t="s">
        <v>46</v>
      </c>
      <c r="C1848" s="57" t="s">
        <v>814</v>
      </c>
      <c r="D1848" s="22" t="s">
        <v>48</v>
      </c>
      <c r="E1848" s="58" t="s">
        <v>2359</v>
      </c>
      <c r="F1848" s="56" t="s">
        <v>2360</v>
      </c>
      <c r="G1848" s="26" t="s">
        <v>165</v>
      </c>
      <c r="H1848" s="25" t="s">
        <v>2361</v>
      </c>
      <c r="I1848" s="26" t="s">
        <v>491</v>
      </c>
      <c r="J1848" s="56" t="s">
        <v>2360</v>
      </c>
      <c r="K1848" s="59" t="s">
        <v>2360</v>
      </c>
      <c r="L1848" s="48" t="s">
        <v>2362</v>
      </c>
      <c r="M1848" s="75">
        <v>45078</v>
      </c>
      <c r="N1848" s="49" t="s">
        <v>168</v>
      </c>
      <c r="O1848" s="60">
        <v>0</v>
      </c>
      <c r="P1848" s="61">
        <v>32</v>
      </c>
      <c r="Q1848" s="51">
        <f t="shared" si="41"/>
        <v>0</v>
      </c>
      <c r="R1848" s="31">
        <v>202310</v>
      </c>
      <c r="S1848" s="62" t="s">
        <v>2365</v>
      </c>
      <c r="T1848" s="33"/>
      <c r="U1848" s="42"/>
      <c r="V1848" s="58"/>
      <c r="W1848" s="63"/>
      <c r="X1848" s="63"/>
      <c r="Y1848" s="36">
        <v>44652</v>
      </c>
      <c r="Z1848" s="36">
        <v>45382</v>
      </c>
      <c r="AA1848" s="36"/>
      <c r="AB1848" s="36"/>
      <c r="AC1848" s="36"/>
      <c r="AD1848" s="36"/>
      <c r="AE1848" s="36"/>
      <c r="AF1848" s="40" t="s">
        <v>484</v>
      </c>
      <c r="AG1848" s="42"/>
      <c r="AH1848" s="42"/>
      <c r="AI1848" s="43"/>
      <c r="AJ1848" s="43"/>
      <c r="AK1848" s="43"/>
      <c r="AL1848" s="43"/>
      <c r="AM1848" s="43"/>
      <c r="AN1848" s="42"/>
      <c r="AO1848" s="42"/>
      <c r="AP1848" s="42"/>
      <c r="AQ1848" s="43"/>
      <c r="AR1848" s="42"/>
      <c r="AS1848" s="42" t="s">
        <v>2054</v>
      </c>
    </row>
    <row r="1849" spans="1:45" ht="15" customHeight="1">
      <c r="A1849" s="56" t="s">
        <v>258</v>
      </c>
      <c r="B1849" s="21" t="s">
        <v>46</v>
      </c>
      <c r="C1849" s="57" t="s">
        <v>814</v>
      </c>
      <c r="D1849" s="22" t="s">
        <v>48</v>
      </c>
      <c r="E1849" s="58" t="s">
        <v>2359</v>
      </c>
      <c r="F1849" s="56" t="s">
        <v>2360</v>
      </c>
      <c r="G1849" s="26" t="s">
        <v>165</v>
      </c>
      <c r="H1849" s="25" t="s">
        <v>2361</v>
      </c>
      <c r="I1849" s="26" t="s">
        <v>491</v>
      </c>
      <c r="J1849" s="56" t="s">
        <v>2360</v>
      </c>
      <c r="K1849" s="59" t="s">
        <v>2360</v>
      </c>
      <c r="L1849" s="48" t="s">
        <v>2362</v>
      </c>
      <c r="M1849" s="75">
        <v>45078</v>
      </c>
      <c r="N1849" s="49" t="s">
        <v>168</v>
      </c>
      <c r="O1849" s="60">
        <v>50</v>
      </c>
      <c r="P1849" s="61">
        <v>96</v>
      </c>
      <c r="Q1849" s="51">
        <f t="shared" si="41"/>
        <v>4800</v>
      </c>
      <c r="R1849" s="31">
        <v>202310</v>
      </c>
      <c r="S1849" s="62" t="s">
        <v>2365</v>
      </c>
      <c r="T1849" s="33"/>
      <c r="U1849" s="42"/>
      <c r="V1849" s="58"/>
      <c r="W1849" s="63"/>
      <c r="X1849" s="63"/>
      <c r="Y1849" s="36">
        <v>44652</v>
      </c>
      <c r="Z1849" s="36">
        <v>45382</v>
      </c>
      <c r="AA1849" s="36"/>
      <c r="AB1849" s="36"/>
      <c r="AC1849" s="36"/>
      <c r="AD1849" s="36"/>
      <c r="AE1849" s="36"/>
      <c r="AF1849" s="40" t="s">
        <v>484</v>
      </c>
      <c r="AG1849" s="42"/>
      <c r="AH1849" s="42"/>
      <c r="AI1849" s="43"/>
      <c r="AJ1849" s="43"/>
      <c r="AK1849" s="43"/>
      <c r="AL1849" s="43"/>
      <c r="AM1849" s="43"/>
      <c r="AN1849" s="42"/>
      <c r="AO1849" s="42"/>
      <c r="AP1849" s="42"/>
      <c r="AQ1849" s="43"/>
      <c r="AR1849" s="42"/>
      <c r="AS1849" s="42" t="s">
        <v>2054</v>
      </c>
    </row>
    <row r="1850" spans="1:45" ht="15" customHeight="1">
      <c r="A1850" s="56" t="s">
        <v>258</v>
      </c>
      <c r="B1850" s="21" t="s">
        <v>46</v>
      </c>
      <c r="C1850" s="57" t="s">
        <v>814</v>
      </c>
      <c r="D1850" s="22" t="s">
        <v>48</v>
      </c>
      <c r="E1850" s="58" t="s">
        <v>2359</v>
      </c>
      <c r="F1850" s="56" t="s">
        <v>2360</v>
      </c>
      <c r="G1850" s="26" t="s">
        <v>165</v>
      </c>
      <c r="H1850" s="25" t="s">
        <v>2361</v>
      </c>
      <c r="I1850" s="26" t="s">
        <v>491</v>
      </c>
      <c r="J1850" s="56" t="s">
        <v>2360</v>
      </c>
      <c r="K1850" s="59" t="s">
        <v>2360</v>
      </c>
      <c r="L1850" s="48" t="s">
        <v>2362</v>
      </c>
      <c r="M1850" s="75">
        <v>45102</v>
      </c>
      <c r="N1850" s="49" t="s">
        <v>168</v>
      </c>
      <c r="O1850" s="60">
        <v>50</v>
      </c>
      <c r="P1850" s="61">
        <v>256</v>
      </c>
      <c r="Q1850" s="51">
        <f>ROUND(O1850*P1850,2)</f>
        <v>12800</v>
      </c>
      <c r="R1850" s="31">
        <v>202310</v>
      </c>
      <c r="S1850" s="62" t="s">
        <v>2366</v>
      </c>
      <c r="T1850" s="33" t="s">
        <v>2367</v>
      </c>
      <c r="U1850" s="42" t="s">
        <v>2368</v>
      </c>
      <c r="V1850" s="58"/>
      <c r="W1850" s="63"/>
      <c r="X1850" s="63"/>
      <c r="Y1850" s="36">
        <v>44652</v>
      </c>
      <c r="Z1850" s="36">
        <v>45382</v>
      </c>
      <c r="AA1850" s="36"/>
      <c r="AB1850" s="36"/>
      <c r="AC1850" s="36"/>
      <c r="AD1850" s="36"/>
      <c r="AE1850" s="36"/>
      <c r="AF1850" s="40" t="s">
        <v>484</v>
      </c>
      <c r="AG1850" s="42"/>
      <c r="AH1850" s="42"/>
      <c r="AI1850" s="43"/>
      <c r="AJ1850" s="43"/>
      <c r="AK1850" s="43"/>
      <c r="AL1850" s="43"/>
      <c r="AM1850" s="43"/>
      <c r="AN1850" s="42"/>
      <c r="AO1850" s="42"/>
      <c r="AP1850" s="42"/>
      <c r="AQ1850" s="43"/>
      <c r="AR1850" s="42"/>
      <c r="AS1850" s="42" t="s">
        <v>2054</v>
      </c>
    </row>
    <row r="1851" spans="1:45" ht="15" customHeight="1">
      <c r="A1851" s="56" t="s">
        <v>258</v>
      </c>
      <c r="B1851" s="21" t="s">
        <v>46</v>
      </c>
      <c r="C1851" s="57" t="s">
        <v>814</v>
      </c>
      <c r="D1851" s="22" t="s">
        <v>48</v>
      </c>
      <c r="E1851" s="58" t="s">
        <v>2359</v>
      </c>
      <c r="F1851" s="56" t="s">
        <v>2360</v>
      </c>
      <c r="G1851" s="26" t="s">
        <v>77</v>
      </c>
      <c r="H1851" s="25" t="s">
        <v>2361</v>
      </c>
      <c r="I1851" s="26" t="s">
        <v>479</v>
      </c>
      <c r="J1851" s="56" t="s">
        <v>2360</v>
      </c>
      <c r="K1851" s="59" t="s">
        <v>2360</v>
      </c>
      <c r="L1851" s="48" t="s">
        <v>2362</v>
      </c>
      <c r="M1851" s="49">
        <v>44666</v>
      </c>
      <c r="N1851" s="49" t="s">
        <v>1614</v>
      </c>
      <c r="O1851" s="60">
        <v>0</v>
      </c>
      <c r="P1851" s="61">
        <v>1</v>
      </c>
      <c r="Q1851" s="51">
        <f t="shared" si="41"/>
        <v>0</v>
      </c>
      <c r="R1851" s="31">
        <v>202310</v>
      </c>
      <c r="S1851" s="62" t="s">
        <v>2369</v>
      </c>
      <c r="T1851" s="33"/>
      <c r="U1851" s="42" t="s">
        <v>2370</v>
      </c>
      <c r="V1851" s="58"/>
      <c r="W1851" s="63"/>
      <c r="X1851" s="63"/>
      <c r="Y1851" s="36">
        <v>44652</v>
      </c>
      <c r="Z1851" s="36">
        <v>45382</v>
      </c>
      <c r="AA1851" s="36"/>
      <c r="AB1851" s="36"/>
      <c r="AC1851" s="36"/>
      <c r="AD1851" s="36"/>
      <c r="AE1851" s="36"/>
      <c r="AF1851" s="40" t="s">
        <v>484</v>
      </c>
      <c r="AG1851" s="42"/>
      <c r="AH1851" s="42"/>
      <c r="AI1851" s="43"/>
      <c r="AJ1851" s="43"/>
      <c r="AK1851" s="43"/>
      <c r="AL1851" s="43"/>
      <c r="AM1851" s="43"/>
      <c r="AN1851" s="42"/>
      <c r="AO1851" s="42"/>
      <c r="AP1851" s="42"/>
      <c r="AQ1851" s="43"/>
      <c r="AR1851" s="42"/>
      <c r="AS1851" s="42" t="s">
        <v>2054</v>
      </c>
    </row>
    <row r="1852" spans="1:45" ht="15" customHeight="1">
      <c r="A1852" s="56" t="s">
        <v>258</v>
      </c>
      <c r="B1852" s="21" t="s">
        <v>46</v>
      </c>
      <c r="C1852" s="57" t="s">
        <v>814</v>
      </c>
      <c r="D1852" s="22" t="s">
        <v>48</v>
      </c>
      <c r="E1852" s="58" t="s">
        <v>2359</v>
      </c>
      <c r="F1852" s="56" t="s">
        <v>2360</v>
      </c>
      <c r="G1852" s="26" t="s">
        <v>165</v>
      </c>
      <c r="H1852" s="25" t="s">
        <v>2361</v>
      </c>
      <c r="I1852" s="26" t="s">
        <v>491</v>
      </c>
      <c r="J1852" s="56" t="s">
        <v>2360</v>
      </c>
      <c r="K1852" s="59" t="s">
        <v>2360</v>
      </c>
      <c r="L1852" s="48" t="s">
        <v>2362</v>
      </c>
      <c r="M1852" s="49">
        <v>44666</v>
      </c>
      <c r="N1852" s="49" t="s">
        <v>646</v>
      </c>
      <c r="O1852" s="60">
        <v>0</v>
      </c>
      <c r="P1852" s="61">
        <v>0</v>
      </c>
      <c r="Q1852" s="51">
        <f t="shared" si="41"/>
        <v>0</v>
      </c>
      <c r="R1852" s="31">
        <v>202310</v>
      </c>
      <c r="S1852" s="62" t="s">
        <v>2371</v>
      </c>
      <c r="T1852" s="33"/>
      <c r="U1852" s="42"/>
      <c r="V1852" s="58"/>
      <c r="W1852" s="63"/>
      <c r="X1852" s="63"/>
      <c r="Y1852" s="36">
        <v>44652</v>
      </c>
      <c r="Z1852" s="36">
        <v>45382</v>
      </c>
      <c r="AA1852" s="36"/>
      <c r="AB1852" s="36"/>
      <c r="AC1852" s="36"/>
      <c r="AD1852" s="36"/>
      <c r="AE1852" s="36"/>
      <c r="AF1852" s="40" t="s">
        <v>484</v>
      </c>
      <c r="AG1852" s="42"/>
      <c r="AH1852" s="42"/>
      <c r="AI1852" s="43"/>
      <c r="AJ1852" s="43"/>
      <c r="AK1852" s="43"/>
      <c r="AL1852" s="43"/>
      <c r="AM1852" s="43"/>
      <c r="AN1852" s="42"/>
      <c r="AO1852" s="42"/>
      <c r="AP1852" s="42"/>
      <c r="AQ1852" s="43"/>
      <c r="AR1852" s="42"/>
      <c r="AS1852" s="42" t="s">
        <v>2054</v>
      </c>
    </row>
    <row r="1853" spans="1:45" ht="15" customHeight="1">
      <c r="A1853" s="21" t="s">
        <v>258</v>
      </c>
      <c r="B1853" s="21" t="s">
        <v>46</v>
      </c>
      <c r="C1853" s="21" t="s">
        <v>188</v>
      </c>
      <c r="D1853" s="21" t="s">
        <v>48</v>
      </c>
      <c r="E1853" s="80" t="s">
        <v>2372</v>
      </c>
      <c r="F1853" s="21" t="s">
        <v>2373</v>
      </c>
      <c r="G1853" s="26" t="s">
        <v>62</v>
      </c>
      <c r="H1853" s="133" t="s">
        <v>2374</v>
      </c>
      <c r="I1853" s="26" t="s">
        <v>64</v>
      </c>
      <c r="J1853" s="65" t="s">
        <v>2375</v>
      </c>
      <c r="K1853" s="104"/>
      <c r="L1853" s="48"/>
      <c r="M1853" s="156">
        <v>44423</v>
      </c>
      <c r="N1853" s="116" t="s">
        <v>66</v>
      </c>
      <c r="O1853" s="68">
        <v>340</v>
      </c>
      <c r="P1853" s="30">
        <v>1.31</v>
      </c>
      <c r="Q1853" s="51">
        <f t="shared" si="41"/>
        <v>445.4</v>
      </c>
      <c r="R1853" s="31">
        <v>202310</v>
      </c>
      <c r="S1853" s="117" t="s">
        <v>2376</v>
      </c>
      <c r="T1853" s="33"/>
      <c r="U1853" s="117"/>
      <c r="V1853" s="118"/>
      <c r="W1853" s="67"/>
      <c r="X1853" s="67"/>
      <c r="Y1853" s="36"/>
      <c r="Z1853" s="36"/>
      <c r="AA1853" s="36"/>
      <c r="AB1853" s="36"/>
      <c r="AC1853" s="36"/>
      <c r="AD1853" s="36"/>
      <c r="AE1853" s="36"/>
      <c r="AF1853" s="53" t="s">
        <v>68</v>
      </c>
      <c r="AG1853" s="42"/>
      <c r="AH1853" s="42"/>
      <c r="AI1853" s="43"/>
      <c r="AJ1853" s="43"/>
      <c r="AK1853" s="43"/>
      <c r="AL1853" s="43"/>
      <c r="AM1853" s="43"/>
      <c r="AN1853" s="42"/>
      <c r="AO1853" s="42"/>
      <c r="AP1853" s="42"/>
      <c r="AQ1853" s="43"/>
      <c r="AR1853" s="42"/>
      <c r="AS1853" s="42" t="s">
        <v>2377</v>
      </c>
    </row>
    <row r="1854" spans="1:45" ht="15" customHeight="1">
      <c r="A1854" s="21" t="s">
        <v>258</v>
      </c>
      <c r="B1854" s="21" t="s">
        <v>46</v>
      </c>
      <c r="C1854" s="21" t="s">
        <v>188</v>
      </c>
      <c r="D1854" s="21" t="s">
        <v>48</v>
      </c>
      <c r="E1854" s="80" t="s">
        <v>2372</v>
      </c>
      <c r="F1854" s="21" t="s">
        <v>2373</v>
      </c>
      <c r="G1854" s="26" t="s">
        <v>62</v>
      </c>
      <c r="H1854" s="133" t="s">
        <v>2374</v>
      </c>
      <c r="I1854" s="26" t="s">
        <v>64</v>
      </c>
      <c r="J1854" s="65" t="s">
        <v>2375</v>
      </c>
      <c r="K1854" s="104"/>
      <c r="L1854" s="48"/>
      <c r="M1854" s="156">
        <v>44423</v>
      </c>
      <c r="N1854" s="116" t="s">
        <v>66</v>
      </c>
      <c r="O1854" s="68">
        <v>340</v>
      </c>
      <c r="P1854" s="30">
        <v>3.42</v>
      </c>
      <c r="Q1854" s="51">
        <f t="shared" si="41"/>
        <v>1162.8</v>
      </c>
      <c r="R1854" s="31">
        <v>202310</v>
      </c>
      <c r="S1854" s="117" t="s">
        <v>2376</v>
      </c>
      <c r="T1854" s="33"/>
      <c r="U1854" s="117"/>
      <c r="V1854" s="118"/>
      <c r="W1854" s="67"/>
      <c r="X1854" s="67"/>
      <c r="Y1854" s="36"/>
      <c r="Z1854" s="36"/>
      <c r="AA1854" s="36"/>
      <c r="AB1854" s="36"/>
      <c r="AC1854" s="36"/>
      <c r="AD1854" s="36"/>
      <c r="AE1854" s="36"/>
      <c r="AF1854" s="53" t="s">
        <v>68</v>
      </c>
      <c r="AG1854" s="42"/>
      <c r="AH1854" s="42"/>
      <c r="AI1854" s="43"/>
      <c r="AJ1854" s="43"/>
      <c r="AK1854" s="43"/>
      <c r="AL1854" s="43"/>
      <c r="AM1854" s="43"/>
      <c r="AN1854" s="42"/>
      <c r="AO1854" s="42"/>
      <c r="AP1854" s="42"/>
      <c r="AQ1854" s="43"/>
      <c r="AR1854" s="42"/>
      <c r="AS1854" s="42" t="s">
        <v>2377</v>
      </c>
    </row>
    <row r="1855" spans="1:45" ht="15" customHeight="1">
      <c r="A1855" s="21" t="s">
        <v>258</v>
      </c>
      <c r="B1855" s="21" t="s">
        <v>46</v>
      </c>
      <c r="C1855" s="21" t="s">
        <v>188</v>
      </c>
      <c r="D1855" s="21" t="s">
        <v>48</v>
      </c>
      <c r="E1855" s="80" t="s">
        <v>2372</v>
      </c>
      <c r="F1855" s="21" t="s">
        <v>2373</v>
      </c>
      <c r="G1855" s="26" t="s">
        <v>62</v>
      </c>
      <c r="H1855" s="133" t="s">
        <v>2374</v>
      </c>
      <c r="I1855" s="26" t="s">
        <v>64</v>
      </c>
      <c r="J1855" s="65" t="s">
        <v>2375</v>
      </c>
      <c r="K1855" s="104"/>
      <c r="L1855" s="48"/>
      <c r="M1855" s="156">
        <v>44423</v>
      </c>
      <c r="N1855" s="116" t="s">
        <v>66</v>
      </c>
      <c r="O1855" s="68">
        <v>340</v>
      </c>
      <c r="P1855" s="30">
        <v>2.13</v>
      </c>
      <c r="Q1855" s="51">
        <f t="shared" si="41"/>
        <v>724.2</v>
      </c>
      <c r="R1855" s="31">
        <v>202310</v>
      </c>
      <c r="S1855" s="117" t="s">
        <v>2376</v>
      </c>
      <c r="T1855" s="33"/>
      <c r="U1855" s="117"/>
      <c r="V1855" s="118"/>
      <c r="W1855" s="67"/>
      <c r="X1855" s="67"/>
      <c r="Y1855" s="36"/>
      <c r="Z1855" s="36"/>
      <c r="AA1855" s="36"/>
      <c r="AB1855" s="36"/>
      <c r="AC1855" s="36"/>
      <c r="AD1855" s="36"/>
      <c r="AE1855" s="36"/>
      <c r="AF1855" s="53" t="s">
        <v>68</v>
      </c>
      <c r="AG1855" s="42"/>
      <c r="AH1855" s="42"/>
      <c r="AI1855" s="43"/>
      <c r="AJ1855" s="43"/>
      <c r="AK1855" s="43"/>
      <c r="AL1855" s="43"/>
      <c r="AM1855" s="43"/>
      <c r="AN1855" s="42"/>
      <c r="AO1855" s="42"/>
      <c r="AP1855" s="42"/>
      <c r="AQ1855" s="43"/>
      <c r="AR1855" s="42"/>
      <c r="AS1855" s="42" t="s">
        <v>2377</v>
      </c>
    </row>
    <row r="1856" spans="1:45" ht="15" customHeight="1">
      <c r="A1856" s="21" t="s">
        <v>258</v>
      </c>
      <c r="B1856" s="21" t="s">
        <v>46</v>
      </c>
      <c r="C1856" s="21" t="s">
        <v>188</v>
      </c>
      <c r="D1856" s="21" t="s">
        <v>48</v>
      </c>
      <c r="E1856" s="80" t="s">
        <v>2372</v>
      </c>
      <c r="F1856" s="21" t="s">
        <v>2373</v>
      </c>
      <c r="G1856" s="26" t="s">
        <v>62</v>
      </c>
      <c r="H1856" s="133" t="s">
        <v>2374</v>
      </c>
      <c r="I1856" s="26" t="s">
        <v>64</v>
      </c>
      <c r="J1856" s="65" t="s">
        <v>2375</v>
      </c>
      <c r="K1856" s="104"/>
      <c r="L1856" s="48"/>
      <c r="M1856" s="156">
        <v>44423</v>
      </c>
      <c r="N1856" s="116" t="s">
        <v>66</v>
      </c>
      <c r="O1856" s="68">
        <v>340</v>
      </c>
      <c r="P1856" s="30">
        <v>2.13</v>
      </c>
      <c r="Q1856" s="51">
        <f t="shared" si="41"/>
        <v>724.2</v>
      </c>
      <c r="R1856" s="31">
        <v>202310</v>
      </c>
      <c r="S1856" s="117" t="s">
        <v>2376</v>
      </c>
      <c r="T1856" s="33"/>
      <c r="U1856" s="117"/>
      <c r="V1856" s="118"/>
      <c r="W1856" s="67"/>
      <c r="X1856" s="67"/>
      <c r="Y1856" s="36"/>
      <c r="Z1856" s="36"/>
      <c r="AA1856" s="36"/>
      <c r="AB1856" s="36"/>
      <c r="AC1856" s="36"/>
      <c r="AD1856" s="36"/>
      <c r="AE1856" s="36"/>
      <c r="AF1856" s="53" t="s">
        <v>68</v>
      </c>
      <c r="AG1856" s="42"/>
      <c r="AH1856" s="42"/>
      <c r="AI1856" s="43"/>
      <c r="AJ1856" s="43"/>
      <c r="AK1856" s="43"/>
      <c r="AL1856" s="43"/>
      <c r="AM1856" s="43"/>
      <c r="AN1856" s="42"/>
      <c r="AO1856" s="42"/>
      <c r="AP1856" s="42"/>
      <c r="AQ1856" s="43"/>
      <c r="AR1856" s="42"/>
      <c r="AS1856" s="42" t="s">
        <v>2377</v>
      </c>
    </row>
    <row r="1857" spans="1:45" ht="15" customHeight="1">
      <c r="A1857" s="21" t="s">
        <v>258</v>
      </c>
      <c r="B1857" s="21" t="s">
        <v>46</v>
      </c>
      <c r="C1857" s="21" t="s">
        <v>188</v>
      </c>
      <c r="D1857" s="21" t="s">
        <v>48</v>
      </c>
      <c r="E1857" s="80" t="s">
        <v>2372</v>
      </c>
      <c r="F1857" s="21" t="s">
        <v>2373</v>
      </c>
      <c r="G1857" s="26" t="s">
        <v>62</v>
      </c>
      <c r="H1857" s="133" t="s">
        <v>2374</v>
      </c>
      <c r="I1857" s="26" t="s">
        <v>64</v>
      </c>
      <c r="J1857" s="65" t="s">
        <v>2378</v>
      </c>
      <c r="K1857" s="104"/>
      <c r="L1857" s="48"/>
      <c r="M1857" s="156">
        <v>44441</v>
      </c>
      <c r="N1857" s="116" t="s">
        <v>66</v>
      </c>
      <c r="O1857" s="68">
        <v>340</v>
      </c>
      <c r="P1857" s="30">
        <v>133.30000000000001</v>
      </c>
      <c r="Q1857" s="51">
        <f t="shared" si="41"/>
        <v>45322</v>
      </c>
      <c r="R1857" s="31">
        <v>202310</v>
      </c>
      <c r="S1857" s="181" t="s">
        <v>2379</v>
      </c>
      <c r="T1857" s="33"/>
      <c r="U1857" s="117"/>
      <c r="V1857" s="197"/>
      <c r="W1857" s="67"/>
      <c r="X1857" s="67"/>
      <c r="Y1857" s="36"/>
      <c r="Z1857" s="36"/>
      <c r="AA1857" s="36"/>
      <c r="AB1857" s="36"/>
      <c r="AC1857" s="36"/>
      <c r="AD1857" s="36"/>
      <c r="AE1857" s="36"/>
      <c r="AF1857" s="53" t="s">
        <v>68</v>
      </c>
      <c r="AG1857" s="42"/>
      <c r="AH1857" s="42"/>
      <c r="AI1857" s="43"/>
      <c r="AJ1857" s="43"/>
      <c r="AK1857" s="43"/>
      <c r="AL1857" s="43"/>
      <c r="AM1857" s="43"/>
      <c r="AN1857" s="42"/>
      <c r="AO1857" s="42"/>
      <c r="AP1857" s="42"/>
      <c r="AQ1857" s="43"/>
      <c r="AR1857" s="42"/>
      <c r="AS1857" s="42" t="s">
        <v>2377</v>
      </c>
    </row>
    <row r="1858" spans="1:45" ht="15" customHeight="1">
      <c r="A1858" s="21" t="s">
        <v>258</v>
      </c>
      <c r="B1858" s="21" t="s">
        <v>46</v>
      </c>
      <c r="C1858" s="21" t="s">
        <v>188</v>
      </c>
      <c r="D1858" s="21" t="s">
        <v>48</v>
      </c>
      <c r="E1858" s="80" t="s">
        <v>2372</v>
      </c>
      <c r="F1858" s="21" t="s">
        <v>2373</v>
      </c>
      <c r="G1858" s="26" t="s">
        <v>62</v>
      </c>
      <c r="H1858" s="133" t="s">
        <v>2374</v>
      </c>
      <c r="I1858" s="26" t="s">
        <v>64</v>
      </c>
      <c r="J1858" s="65" t="s">
        <v>2380</v>
      </c>
      <c r="K1858" s="104"/>
      <c r="L1858" s="48"/>
      <c r="M1858" s="156">
        <v>44441</v>
      </c>
      <c r="N1858" s="116" t="s">
        <v>66</v>
      </c>
      <c r="O1858" s="68">
        <v>3500</v>
      </c>
      <c r="P1858" s="30">
        <v>1</v>
      </c>
      <c r="Q1858" s="51">
        <f t="shared" si="41"/>
        <v>3500</v>
      </c>
      <c r="R1858" s="31">
        <v>202310</v>
      </c>
      <c r="S1858" s="181" t="s">
        <v>2381</v>
      </c>
      <c r="T1858" s="33"/>
      <c r="U1858" s="117"/>
      <c r="V1858" s="197"/>
      <c r="W1858" s="67"/>
      <c r="X1858" s="67"/>
      <c r="Y1858" s="36"/>
      <c r="Z1858" s="36"/>
      <c r="AA1858" s="36"/>
      <c r="AB1858" s="36"/>
      <c r="AC1858" s="36"/>
      <c r="AD1858" s="36"/>
      <c r="AE1858" s="36"/>
      <c r="AF1858" s="53" t="s">
        <v>68</v>
      </c>
      <c r="AG1858" s="42"/>
      <c r="AH1858" s="42"/>
      <c r="AI1858" s="43"/>
      <c r="AJ1858" s="43"/>
      <c r="AK1858" s="43"/>
      <c r="AL1858" s="43"/>
      <c r="AM1858" s="43"/>
      <c r="AN1858" s="42"/>
      <c r="AO1858" s="42"/>
      <c r="AP1858" s="42"/>
      <c r="AQ1858" s="43"/>
      <c r="AR1858" s="42"/>
      <c r="AS1858" s="42" t="s">
        <v>2377</v>
      </c>
    </row>
    <row r="1859" spans="1:45" ht="15" customHeight="1">
      <c r="A1859" s="21" t="s">
        <v>258</v>
      </c>
      <c r="B1859" s="21" t="s">
        <v>46</v>
      </c>
      <c r="C1859" s="21" t="s">
        <v>188</v>
      </c>
      <c r="D1859" s="21" t="s">
        <v>48</v>
      </c>
      <c r="E1859" s="80" t="s">
        <v>2372</v>
      </c>
      <c r="F1859" s="21" t="s">
        <v>2373</v>
      </c>
      <c r="G1859" s="26" t="s">
        <v>62</v>
      </c>
      <c r="H1859" s="133" t="s">
        <v>2374</v>
      </c>
      <c r="I1859" s="26" t="s">
        <v>64</v>
      </c>
      <c r="J1859" s="65" t="s">
        <v>2378</v>
      </c>
      <c r="K1859" s="104"/>
      <c r="L1859" s="48"/>
      <c r="M1859" s="156">
        <v>44441</v>
      </c>
      <c r="N1859" s="116" t="s">
        <v>66</v>
      </c>
      <c r="O1859" s="68">
        <v>340</v>
      </c>
      <c r="P1859" s="30">
        <v>109.8</v>
      </c>
      <c r="Q1859" s="51">
        <f t="shared" si="41"/>
        <v>37332</v>
      </c>
      <c r="R1859" s="31">
        <v>202310</v>
      </c>
      <c r="S1859" s="181" t="s">
        <v>2382</v>
      </c>
      <c r="T1859" s="33"/>
      <c r="U1859" s="117"/>
      <c r="V1859" s="197"/>
      <c r="W1859" s="67"/>
      <c r="X1859" s="67"/>
      <c r="Y1859" s="36"/>
      <c r="Z1859" s="36"/>
      <c r="AA1859" s="36"/>
      <c r="AB1859" s="36"/>
      <c r="AC1859" s="36"/>
      <c r="AD1859" s="36"/>
      <c r="AE1859" s="36"/>
      <c r="AF1859" s="53" t="s">
        <v>68</v>
      </c>
      <c r="AG1859" s="42"/>
      <c r="AH1859" s="42"/>
      <c r="AI1859" s="43"/>
      <c r="AJ1859" s="43"/>
      <c r="AK1859" s="43"/>
      <c r="AL1859" s="43"/>
      <c r="AM1859" s="43"/>
      <c r="AN1859" s="42"/>
      <c r="AO1859" s="42"/>
      <c r="AP1859" s="42"/>
      <c r="AQ1859" s="43"/>
      <c r="AR1859" s="42"/>
      <c r="AS1859" s="42" t="s">
        <v>2377</v>
      </c>
    </row>
    <row r="1860" spans="1:45" ht="15" customHeight="1">
      <c r="A1860" s="21" t="s">
        <v>258</v>
      </c>
      <c r="B1860" s="21" t="s">
        <v>46</v>
      </c>
      <c r="C1860" s="21" t="s">
        <v>188</v>
      </c>
      <c r="D1860" s="21" t="s">
        <v>48</v>
      </c>
      <c r="E1860" s="80" t="s">
        <v>2372</v>
      </c>
      <c r="F1860" s="21" t="s">
        <v>2373</v>
      </c>
      <c r="G1860" s="26" t="s">
        <v>62</v>
      </c>
      <c r="H1860" s="133" t="s">
        <v>2374</v>
      </c>
      <c r="I1860" s="26" t="s">
        <v>64</v>
      </c>
      <c r="J1860" s="65" t="s">
        <v>2380</v>
      </c>
      <c r="K1860" s="104"/>
      <c r="L1860" s="48"/>
      <c r="M1860" s="156">
        <v>44441</v>
      </c>
      <c r="N1860" s="116" t="s">
        <v>66</v>
      </c>
      <c r="O1860" s="68">
        <v>3500</v>
      </c>
      <c r="P1860" s="30">
        <v>1</v>
      </c>
      <c r="Q1860" s="51">
        <f t="shared" si="41"/>
        <v>3500</v>
      </c>
      <c r="R1860" s="31">
        <v>202310</v>
      </c>
      <c r="S1860" s="181" t="s">
        <v>2383</v>
      </c>
      <c r="T1860" s="33"/>
      <c r="U1860" s="117"/>
      <c r="V1860" s="197"/>
      <c r="W1860" s="67"/>
      <c r="X1860" s="67"/>
      <c r="Y1860" s="36"/>
      <c r="Z1860" s="36"/>
      <c r="AA1860" s="36"/>
      <c r="AB1860" s="36"/>
      <c r="AC1860" s="36"/>
      <c r="AD1860" s="36"/>
      <c r="AE1860" s="36"/>
      <c r="AF1860" s="53" t="s">
        <v>68</v>
      </c>
      <c r="AG1860" s="42"/>
      <c r="AH1860" s="42"/>
      <c r="AI1860" s="43"/>
      <c r="AJ1860" s="43"/>
      <c r="AK1860" s="43"/>
      <c r="AL1860" s="43"/>
      <c r="AM1860" s="43"/>
      <c r="AN1860" s="42"/>
      <c r="AO1860" s="42"/>
      <c r="AP1860" s="42"/>
      <c r="AQ1860" s="43"/>
      <c r="AR1860" s="42"/>
      <c r="AS1860" s="42" t="s">
        <v>2377</v>
      </c>
    </row>
    <row r="1861" spans="1:45" ht="15" customHeight="1">
      <c r="A1861" s="21" t="s">
        <v>258</v>
      </c>
      <c r="B1861" s="21" t="s">
        <v>46</v>
      </c>
      <c r="C1861" s="21" t="s">
        <v>188</v>
      </c>
      <c r="D1861" s="21" t="s">
        <v>48</v>
      </c>
      <c r="E1861" s="80" t="s">
        <v>2372</v>
      </c>
      <c r="F1861" s="21" t="s">
        <v>2373</v>
      </c>
      <c r="G1861" s="26" t="s">
        <v>62</v>
      </c>
      <c r="H1861" s="133" t="s">
        <v>2374</v>
      </c>
      <c r="I1861" s="26" t="s">
        <v>64</v>
      </c>
      <c r="J1861" s="65" t="s">
        <v>2378</v>
      </c>
      <c r="K1861" s="104"/>
      <c r="L1861" s="48"/>
      <c r="M1861" s="156">
        <v>44441</v>
      </c>
      <c r="N1861" s="116" t="s">
        <v>66</v>
      </c>
      <c r="O1861" s="68">
        <v>340</v>
      </c>
      <c r="P1861" s="30">
        <v>113.2</v>
      </c>
      <c r="Q1861" s="51">
        <f t="shared" si="41"/>
        <v>38488</v>
      </c>
      <c r="R1861" s="31">
        <v>202310</v>
      </c>
      <c r="S1861" s="181" t="s">
        <v>2384</v>
      </c>
      <c r="T1861" s="33"/>
      <c r="U1861" s="117"/>
      <c r="V1861" s="197"/>
      <c r="W1861" s="67"/>
      <c r="X1861" s="67"/>
      <c r="Y1861" s="36"/>
      <c r="Z1861" s="36"/>
      <c r="AA1861" s="36"/>
      <c r="AB1861" s="36"/>
      <c r="AC1861" s="36"/>
      <c r="AD1861" s="36"/>
      <c r="AE1861" s="36"/>
      <c r="AF1861" s="53" t="s">
        <v>68</v>
      </c>
      <c r="AG1861" s="42"/>
      <c r="AH1861" s="42"/>
      <c r="AI1861" s="43"/>
      <c r="AJ1861" s="43"/>
      <c r="AK1861" s="43"/>
      <c r="AL1861" s="43"/>
      <c r="AM1861" s="43"/>
      <c r="AN1861" s="42"/>
      <c r="AO1861" s="42"/>
      <c r="AP1861" s="42"/>
      <c r="AQ1861" s="43"/>
      <c r="AR1861" s="42"/>
      <c r="AS1861" s="42" t="s">
        <v>2377</v>
      </c>
    </row>
    <row r="1862" spans="1:45" ht="15" customHeight="1">
      <c r="A1862" s="21" t="s">
        <v>258</v>
      </c>
      <c r="B1862" s="21" t="s">
        <v>46</v>
      </c>
      <c r="C1862" s="21" t="s">
        <v>188</v>
      </c>
      <c r="D1862" s="21" t="s">
        <v>48</v>
      </c>
      <c r="E1862" s="80" t="s">
        <v>2372</v>
      </c>
      <c r="F1862" s="21" t="s">
        <v>2373</v>
      </c>
      <c r="G1862" s="26" t="s">
        <v>62</v>
      </c>
      <c r="H1862" s="133" t="s">
        <v>2374</v>
      </c>
      <c r="I1862" s="26" t="s">
        <v>64</v>
      </c>
      <c r="J1862" s="65" t="s">
        <v>2380</v>
      </c>
      <c r="K1862" s="104"/>
      <c r="L1862" s="48"/>
      <c r="M1862" s="156">
        <v>44441</v>
      </c>
      <c r="N1862" s="116" t="s">
        <v>66</v>
      </c>
      <c r="O1862" s="68">
        <v>3500</v>
      </c>
      <c r="P1862" s="30">
        <v>1</v>
      </c>
      <c r="Q1862" s="51">
        <f t="shared" si="41"/>
        <v>3500</v>
      </c>
      <c r="R1862" s="31">
        <v>202310</v>
      </c>
      <c r="S1862" s="181" t="s">
        <v>2385</v>
      </c>
      <c r="T1862" s="33"/>
      <c r="U1862" s="117"/>
      <c r="V1862" s="197"/>
      <c r="W1862" s="67"/>
      <c r="X1862" s="67"/>
      <c r="Y1862" s="36"/>
      <c r="Z1862" s="36"/>
      <c r="AA1862" s="36"/>
      <c r="AB1862" s="36"/>
      <c r="AC1862" s="36"/>
      <c r="AD1862" s="36"/>
      <c r="AE1862" s="36"/>
      <c r="AF1862" s="53" t="s">
        <v>68</v>
      </c>
      <c r="AG1862" s="42"/>
      <c r="AH1862" s="42"/>
      <c r="AI1862" s="43"/>
      <c r="AJ1862" s="43"/>
      <c r="AK1862" s="43"/>
      <c r="AL1862" s="43"/>
      <c r="AM1862" s="43"/>
      <c r="AN1862" s="42"/>
      <c r="AO1862" s="42"/>
      <c r="AP1862" s="42"/>
      <c r="AQ1862" s="43"/>
      <c r="AR1862" s="42"/>
      <c r="AS1862" s="42" t="s">
        <v>2377</v>
      </c>
    </row>
    <row r="1863" spans="1:45" ht="15" customHeight="1">
      <c r="A1863" s="21" t="s">
        <v>258</v>
      </c>
      <c r="B1863" s="21" t="s">
        <v>46</v>
      </c>
      <c r="C1863" s="21" t="s">
        <v>188</v>
      </c>
      <c r="D1863" s="21" t="s">
        <v>48</v>
      </c>
      <c r="E1863" s="80" t="s">
        <v>2372</v>
      </c>
      <c r="F1863" s="21" t="s">
        <v>2373</v>
      </c>
      <c r="G1863" s="26" t="s">
        <v>62</v>
      </c>
      <c r="H1863" s="133" t="s">
        <v>2374</v>
      </c>
      <c r="I1863" s="26" t="s">
        <v>64</v>
      </c>
      <c r="J1863" s="65" t="s">
        <v>2378</v>
      </c>
      <c r="K1863" s="104"/>
      <c r="L1863" s="48"/>
      <c r="M1863" s="156">
        <v>44441</v>
      </c>
      <c r="N1863" s="116" t="s">
        <v>66</v>
      </c>
      <c r="O1863" s="68">
        <v>340</v>
      </c>
      <c r="P1863" s="30">
        <v>105</v>
      </c>
      <c r="Q1863" s="51">
        <f t="shared" si="41"/>
        <v>35700</v>
      </c>
      <c r="R1863" s="31">
        <v>202310</v>
      </c>
      <c r="S1863" s="181" t="s">
        <v>2386</v>
      </c>
      <c r="T1863" s="33"/>
      <c r="U1863" s="117"/>
      <c r="V1863" s="197"/>
      <c r="W1863" s="67"/>
      <c r="X1863" s="67"/>
      <c r="Y1863" s="36"/>
      <c r="Z1863" s="36"/>
      <c r="AA1863" s="36"/>
      <c r="AB1863" s="36"/>
      <c r="AC1863" s="36"/>
      <c r="AD1863" s="36"/>
      <c r="AE1863" s="36"/>
      <c r="AF1863" s="53" t="s">
        <v>68</v>
      </c>
      <c r="AG1863" s="42"/>
      <c r="AH1863" s="42"/>
      <c r="AI1863" s="43"/>
      <c r="AJ1863" s="43"/>
      <c r="AK1863" s="43"/>
      <c r="AL1863" s="43"/>
      <c r="AM1863" s="43"/>
      <c r="AN1863" s="42"/>
      <c r="AO1863" s="42"/>
      <c r="AP1863" s="42"/>
      <c r="AQ1863" s="43"/>
      <c r="AR1863" s="42"/>
      <c r="AS1863" s="42" t="s">
        <v>2377</v>
      </c>
    </row>
    <row r="1864" spans="1:45" ht="15" customHeight="1">
      <c r="A1864" s="21" t="s">
        <v>258</v>
      </c>
      <c r="B1864" s="21" t="s">
        <v>46</v>
      </c>
      <c r="C1864" s="21" t="s">
        <v>188</v>
      </c>
      <c r="D1864" s="21" t="s">
        <v>48</v>
      </c>
      <c r="E1864" s="80" t="s">
        <v>2372</v>
      </c>
      <c r="F1864" s="21" t="s">
        <v>2373</v>
      </c>
      <c r="G1864" s="26" t="s">
        <v>62</v>
      </c>
      <c r="H1864" s="133" t="s">
        <v>2374</v>
      </c>
      <c r="I1864" s="26" t="s">
        <v>64</v>
      </c>
      <c r="J1864" s="65" t="s">
        <v>2387</v>
      </c>
      <c r="K1864" s="104"/>
      <c r="L1864" s="48"/>
      <c r="M1864" s="156">
        <v>44441</v>
      </c>
      <c r="N1864" s="116" t="s">
        <v>66</v>
      </c>
      <c r="O1864" s="68">
        <v>340</v>
      </c>
      <c r="P1864" s="30">
        <v>136.69999999999999</v>
      </c>
      <c r="Q1864" s="51">
        <f t="shared" si="41"/>
        <v>46478</v>
      </c>
      <c r="R1864" s="31">
        <v>202310</v>
      </c>
      <c r="S1864" s="181" t="s">
        <v>2388</v>
      </c>
      <c r="T1864" s="33"/>
      <c r="U1864" s="117"/>
      <c r="V1864" s="197"/>
      <c r="W1864" s="67"/>
      <c r="X1864" s="67"/>
      <c r="Y1864" s="36"/>
      <c r="Z1864" s="36"/>
      <c r="AA1864" s="36"/>
      <c r="AB1864" s="36"/>
      <c r="AC1864" s="36"/>
      <c r="AD1864" s="36"/>
      <c r="AE1864" s="36"/>
      <c r="AF1864" s="53" t="s">
        <v>68</v>
      </c>
      <c r="AG1864" s="42"/>
      <c r="AH1864" s="42"/>
      <c r="AI1864" s="43"/>
      <c r="AJ1864" s="43"/>
      <c r="AK1864" s="43"/>
      <c r="AL1864" s="43"/>
      <c r="AM1864" s="43"/>
      <c r="AN1864" s="42"/>
      <c r="AO1864" s="42"/>
      <c r="AP1864" s="42"/>
      <c r="AQ1864" s="43"/>
      <c r="AR1864" s="42"/>
      <c r="AS1864" s="42" t="s">
        <v>2377</v>
      </c>
    </row>
    <row r="1865" spans="1:45" ht="15" customHeight="1">
      <c r="A1865" s="21" t="s">
        <v>258</v>
      </c>
      <c r="B1865" s="21" t="s">
        <v>46</v>
      </c>
      <c r="C1865" s="21" t="s">
        <v>188</v>
      </c>
      <c r="D1865" s="21" t="s">
        <v>48</v>
      </c>
      <c r="E1865" s="80" t="s">
        <v>2372</v>
      </c>
      <c r="F1865" s="21" t="s">
        <v>2373</v>
      </c>
      <c r="G1865" s="26" t="s">
        <v>62</v>
      </c>
      <c r="H1865" s="133" t="s">
        <v>2374</v>
      </c>
      <c r="I1865" s="26" t="s">
        <v>64</v>
      </c>
      <c r="J1865" s="65" t="s">
        <v>2389</v>
      </c>
      <c r="K1865" s="104"/>
      <c r="L1865" s="48"/>
      <c r="M1865" s="156">
        <v>44441</v>
      </c>
      <c r="N1865" s="116" t="s">
        <v>66</v>
      </c>
      <c r="O1865" s="68">
        <v>3500</v>
      </c>
      <c r="P1865" s="30">
        <v>1</v>
      </c>
      <c r="Q1865" s="51">
        <f t="shared" si="41"/>
        <v>3500</v>
      </c>
      <c r="R1865" s="31">
        <v>202310</v>
      </c>
      <c r="S1865" s="181" t="s">
        <v>2390</v>
      </c>
      <c r="T1865" s="33"/>
      <c r="U1865" s="117"/>
      <c r="V1865" s="197"/>
      <c r="W1865" s="67"/>
      <c r="X1865" s="67"/>
      <c r="Y1865" s="36"/>
      <c r="Z1865" s="36"/>
      <c r="AA1865" s="36"/>
      <c r="AB1865" s="36"/>
      <c r="AC1865" s="36"/>
      <c r="AD1865" s="36"/>
      <c r="AE1865" s="36"/>
      <c r="AF1865" s="53" t="s">
        <v>68</v>
      </c>
      <c r="AG1865" s="42"/>
      <c r="AH1865" s="42"/>
      <c r="AI1865" s="43"/>
      <c r="AJ1865" s="43"/>
      <c r="AK1865" s="43"/>
      <c r="AL1865" s="43"/>
      <c r="AM1865" s="43"/>
      <c r="AN1865" s="42"/>
      <c r="AO1865" s="42"/>
      <c r="AP1865" s="42"/>
      <c r="AQ1865" s="43"/>
      <c r="AR1865" s="42"/>
      <c r="AS1865" s="42" t="s">
        <v>2377</v>
      </c>
    </row>
    <row r="1866" spans="1:45" ht="15" customHeight="1">
      <c r="A1866" s="21" t="s">
        <v>258</v>
      </c>
      <c r="B1866" s="21" t="s">
        <v>46</v>
      </c>
      <c r="C1866" s="21" t="s">
        <v>188</v>
      </c>
      <c r="D1866" s="21" t="s">
        <v>48</v>
      </c>
      <c r="E1866" s="80" t="s">
        <v>2372</v>
      </c>
      <c r="F1866" s="21" t="s">
        <v>2373</v>
      </c>
      <c r="G1866" s="26" t="s">
        <v>62</v>
      </c>
      <c r="H1866" s="133" t="s">
        <v>2374</v>
      </c>
      <c r="I1866" s="26" t="s">
        <v>64</v>
      </c>
      <c r="J1866" s="65" t="s">
        <v>2387</v>
      </c>
      <c r="K1866" s="104"/>
      <c r="L1866" s="48"/>
      <c r="M1866" s="156">
        <v>44441</v>
      </c>
      <c r="N1866" s="116" t="s">
        <v>66</v>
      </c>
      <c r="O1866" s="68">
        <v>340</v>
      </c>
      <c r="P1866" s="30">
        <v>151.69999999999999</v>
      </c>
      <c r="Q1866" s="51">
        <f t="shared" si="41"/>
        <v>51578</v>
      </c>
      <c r="R1866" s="31">
        <v>202310</v>
      </c>
      <c r="S1866" s="181" t="s">
        <v>2391</v>
      </c>
      <c r="T1866" s="33"/>
      <c r="U1866" s="117"/>
      <c r="V1866" s="197"/>
      <c r="W1866" s="67"/>
      <c r="X1866" s="67"/>
      <c r="Y1866" s="36"/>
      <c r="Z1866" s="36"/>
      <c r="AA1866" s="36"/>
      <c r="AB1866" s="36"/>
      <c r="AC1866" s="36"/>
      <c r="AD1866" s="36"/>
      <c r="AE1866" s="36"/>
      <c r="AF1866" s="53" t="s">
        <v>68</v>
      </c>
      <c r="AG1866" s="42"/>
      <c r="AH1866" s="42"/>
      <c r="AI1866" s="43"/>
      <c r="AJ1866" s="43"/>
      <c r="AK1866" s="43"/>
      <c r="AL1866" s="43"/>
      <c r="AM1866" s="43"/>
      <c r="AN1866" s="42"/>
      <c r="AO1866" s="42"/>
      <c r="AP1866" s="42"/>
      <c r="AQ1866" s="43"/>
      <c r="AR1866" s="42"/>
      <c r="AS1866" s="42" t="s">
        <v>2377</v>
      </c>
    </row>
    <row r="1867" spans="1:45" ht="15" customHeight="1">
      <c r="A1867" s="21" t="s">
        <v>258</v>
      </c>
      <c r="B1867" s="21" t="s">
        <v>46</v>
      </c>
      <c r="C1867" s="21" t="s">
        <v>188</v>
      </c>
      <c r="D1867" s="21" t="s">
        <v>48</v>
      </c>
      <c r="E1867" s="80" t="s">
        <v>2372</v>
      </c>
      <c r="F1867" s="21" t="s">
        <v>2373</v>
      </c>
      <c r="G1867" s="26" t="s">
        <v>62</v>
      </c>
      <c r="H1867" s="133" t="s">
        <v>2374</v>
      </c>
      <c r="I1867" s="26" t="s">
        <v>64</v>
      </c>
      <c r="J1867" s="65" t="s">
        <v>2389</v>
      </c>
      <c r="K1867" s="104"/>
      <c r="L1867" s="48"/>
      <c r="M1867" s="156">
        <v>44441</v>
      </c>
      <c r="N1867" s="116" t="s">
        <v>66</v>
      </c>
      <c r="O1867" s="68">
        <v>3500</v>
      </c>
      <c r="P1867" s="30">
        <v>1</v>
      </c>
      <c r="Q1867" s="51">
        <f t="shared" si="41"/>
        <v>3500</v>
      </c>
      <c r="R1867" s="31">
        <v>202310</v>
      </c>
      <c r="S1867" s="181" t="s">
        <v>2392</v>
      </c>
      <c r="T1867" s="33"/>
      <c r="U1867" s="117"/>
      <c r="V1867" s="197"/>
      <c r="W1867" s="67"/>
      <c r="X1867" s="67"/>
      <c r="Y1867" s="36"/>
      <c r="Z1867" s="36"/>
      <c r="AA1867" s="36"/>
      <c r="AB1867" s="36"/>
      <c r="AC1867" s="36"/>
      <c r="AD1867" s="36"/>
      <c r="AE1867" s="36"/>
      <c r="AF1867" s="53" t="s">
        <v>68</v>
      </c>
      <c r="AG1867" s="42"/>
      <c r="AH1867" s="42"/>
      <c r="AI1867" s="43"/>
      <c r="AJ1867" s="43"/>
      <c r="AK1867" s="43"/>
      <c r="AL1867" s="43"/>
      <c r="AM1867" s="43"/>
      <c r="AN1867" s="42"/>
      <c r="AO1867" s="42"/>
      <c r="AP1867" s="42"/>
      <c r="AQ1867" s="43"/>
      <c r="AR1867" s="42"/>
      <c r="AS1867" s="42" t="s">
        <v>2377</v>
      </c>
    </row>
    <row r="1868" spans="1:45" ht="15" customHeight="1">
      <c r="A1868" s="21" t="s">
        <v>258</v>
      </c>
      <c r="B1868" s="21" t="s">
        <v>46</v>
      </c>
      <c r="C1868" s="21" t="s">
        <v>188</v>
      </c>
      <c r="D1868" s="21" t="s">
        <v>48</v>
      </c>
      <c r="E1868" s="80" t="s">
        <v>2372</v>
      </c>
      <c r="F1868" s="21" t="s">
        <v>2373</v>
      </c>
      <c r="G1868" s="26" t="s">
        <v>62</v>
      </c>
      <c r="H1868" s="133" t="s">
        <v>2374</v>
      </c>
      <c r="I1868" s="26" t="s">
        <v>64</v>
      </c>
      <c r="J1868" s="65" t="s">
        <v>2387</v>
      </c>
      <c r="K1868" s="104"/>
      <c r="L1868" s="48"/>
      <c r="M1868" s="156">
        <v>44441</v>
      </c>
      <c r="N1868" s="116" t="s">
        <v>66</v>
      </c>
      <c r="O1868" s="68">
        <v>340</v>
      </c>
      <c r="P1868" s="30">
        <v>181.3</v>
      </c>
      <c r="Q1868" s="51">
        <f t="shared" si="41"/>
        <v>61642</v>
      </c>
      <c r="R1868" s="31">
        <v>202310</v>
      </c>
      <c r="S1868" s="181" t="s">
        <v>2393</v>
      </c>
      <c r="T1868" s="33"/>
      <c r="U1868" s="117"/>
      <c r="V1868" s="197"/>
      <c r="W1868" s="67"/>
      <c r="X1868" s="67"/>
      <c r="Y1868" s="36"/>
      <c r="Z1868" s="36"/>
      <c r="AA1868" s="36"/>
      <c r="AB1868" s="36"/>
      <c r="AC1868" s="36"/>
      <c r="AD1868" s="36"/>
      <c r="AE1868" s="36"/>
      <c r="AF1868" s="53" t="s">
        <v>68</v>
      </c>
      <c r="AG1868" s="42"/>
      <c r="AH1868" s="42"/>
      <c r="AI1868" s="43"/>
      <c r="AJ1868" s="43"/>
      <c r="AK1868" s="43"/>
      <c r="AL1868" s="43"/>
      <c r="AM1868" s="43"/>
      <c r="AN1868" s="42"/>
      <c r="AO1868" s="42"/>
      <c r="AP1868" s="42"/>
      <c r="AQ1868" s="43"/>
      <c r="AR1868" s="42"/>
      <c r="AS1868" s="42" t="s">
        <v>2377</v>
      </c>
    </row>
    <row r="1869" spans="1:45" ht="15" customHeight="1">
      <c r="A1869" s="21" t="s">
        <v>258</v>
      </c>
      <c r="B1869" s="21" t="s">
        <v>46</v>
      </c>
      <c r="C1869" s="21" t="s">
        <v>188</v>
      </c>
      <c r="D1869" s="21" t="s">
        <v>48</v>
      </c>
      <c r="E1869" s="80" t="s">
        <v>2372</v>
      </c>
      <c r="F1869" s="21" t="s">
        <v>2373</v>
      </c>
      <c r="G1869" s="26" t="s">
        <v>62</v>
      </c>
      <c r="H1869" s="133" t="s">
        <v>2374</v>
      </c>
      <c r="I1869" s="26" t="s">
        <v>64</v>
      </c>
      <c r="J1869" s="65" t="s">
        <v>2389</v>
      </c>
      <c r="K1869" s="104"/>
      <c r="L1869" s="48"/>
      <c r="M1869" s="156">
        <v>44441</v>
      </c>
      <c r="N1869" s="116" t="s">
        <v>66</v>
      </c>
      <c r="O1869" s="68">
        <v>3500</v>
      </c>
      <c r="P1869" s="30">
        <v>1</v>
      </c>
      <c r="Q1869" s="51">
        <f t="shared" si="41"/>
        <v>3500</v>
      </c>
      <c r="R1869" s="31">
        <v>202310</v>
      </c>
      <c r="S1869" s="181" t="s">
        <v>2394</v>
      </c>
      <c r="T1869" s="33"/>
      <c r="U1869" s="117"/>
      <c r="V1869" s="197"/>
      <c r="W1869" s="67"/>
      <c r="X1869" s="67"/>
      <c r="Y1869" s="36"/>
      <c r="Z1869" s="36"/>
      <c r="AA1869" s="36"/>
      <c r="AB1869" s="36"/>
      <c r="AC1869" s="36"/>
      <c r="AD1869" s="36"/>
      <c r="AE1869" s="36"/>
      <c r="AF1869" s="53" t="s">
        <v>68</v>
      </c>
      <c r="AG1869" s="42"/>
      <c r="AH1869" s="42"/>
      <c r="AI1869" s="43"/>
      <c r="AJ1869" s="43"/>
      <c r="AK1869" s="43"/>
      <c r="AL1869" s="43"/>
      <c r="AM1869" s="43"/>
      <c r="AN1869" s="42"/>
      <c r="AO1869" s="42"/>
      <c r="AP1869" s="42"/>
      <c r="AQ1869" s="43"/>
      <c r="AR1869" s="42"/>
      <c r="AS1869" s="42" t="s">
        <v>2377</v>
      </c>
    </row>
    <row r="1870" spans="1:45" ht="15" customHeight="1">
      <c r="A1870" s="21" t="s">
        <v>258</v>
      </c>
      <c r="B1870" s="21" t="s">
        <v>46</v>
      </c>
      <c r="C1870" s="21" t="s">
        <v>188</v>
      </c>
      <c r="D1870" s="21" t="s">
        <v>48</v>
      </c>
      <c r="E1870" s="80" t="s">
        <v>2372</v>
      </c>
      <c r="F1870" s="21" t="s">
        <v>2373</v>
      </c>
      <c r="G1870" s="26" t="s">
        <v>62</v>
      </c>
      <c r="H1870" s="133" t="s">
        <v>2374</v>
      </c>
      <c r="I1870" s="26" t="s">
        <v>64</v>
      </c>
      <c r="J1870" s="65" t="s">
        <v>2387</v>
      </c>
      <c r="K1870" s="104"/>
      <c r="L1870" s="48"/>
      <c r="M1870" s="156">
        <v>44441</v>
      </c>
      <c r="N1870" s="116" t="s">
        <v>66</v>
      </c>
      <c r="O1870" s="68">
        <v>340</v>
      </c>
      <c r="P1870" s="30">
        <v>115.5</v>
      </c>
      <c r="Q1870" s="51">
        <f t="shared" si="41"/>
        <v>39270</v>
      </c>
      <c r="R1870" s="31">
        <v>202310</v>
      </c>
      <c r="S1870" s="181" t="s">
        <v>2395</v>
      </c>
      <c r="T1870" s="33"/>
      <c r="U1870" s="117"/>
      <c r="V1870" s="197"/>
      <c r="W1870" s="67"/>
      <c r="X1870" s="67"/>
      <c r="Y1870" s="36"/>
      <c r="Z1870" s="36"/>
      <c r="AA1870" s="36"/>
      <c r="AB1870" s="36"/>
      <c r="AC1870" s="36"/>
      <c r="AD1870" s="36"/>
      <c r="AE1870" s="36"/>
      <c r="AF1870" s="53" t="s">
        <v>68</v>
      </c>
      <c r="AG1870" s="42"/>
      <c r="AH1870" s="42"/>
      <c r="AI1870" s="43"/>
      <c r="AJ1870" s="43"/>
      <c r="AK1870" s="43"/>
      <c r="AL1870" s="43"/>
      <c r="AM1870" s="43"/>
      <c r="AN1870" s="42"/>
      <c r="AO1870" s="42"/>
      <c r="AP1870" s="42"/>
      <c r="AQ1870" s="43"/>
      <c r="AR1870" s="42"/>
      <c r="AS1870" s="42" t="s">
        <v>2377</v>
      </c>
    </row>
    <row r="1871" spans="1:45" ht="15" customHeight="1">
      <c r="A1871" s="21" t="s">
        <v>258</v>
      </c>
      <c r="B1871" s="21" t="s">
        <v>46</v>
      </c>
      <c r="C1871" s="21" t="s">
        <v>188</v>
      </c>
      <c r="D1871" s="21" t="s">
        <v>48</v>
      </c>
      <c r="E1871" s="80" t="s">
        <v>2372</v>
      </c>
      <c r="F1871" s="21" t="s">
        <v>2373</v>
      </c>
      <c r="G1871" s="26" t="s">
        <v>62</v>
      </c>
      <c r="H1871" s="133" t="s">
        <v>2374</v>
      </c>
      <c r="I1871" s="26" t="s">
        <v>64</v>
      </c>
      <c r="J1871" s="65" t="s">
        <v>2389</v>
      </c>
      <c r="K1871" s="104"/>
      <c r="L1871" s="48"/>
      <c r="M1871" s="156">
        <v>44441</v>
      </c>
      <c r="N1871" s="116" t="s">
        <v>66</v>
      </c>
      <c r="O1871" s="68">
        <v>3500</v>
      </c>
      <c r="P1871" s="30">
        <v>1</v>
      </c>
      <c r="Q1871" s="51">
        <f t="shared" si="41"/>
        <v>3500</v>
      </c>
      <c r="R1871" s="31">
        <v>202310</v>
      </c>
      <c r="S1871" s="181" t="s">
        <v>2396</v>
      </c>
      <c r="T1871" s="33"/>
      <c r="U1871" s="117"/>
      <c r="V1871" s="197"/>
      <c r="W1871" s="67"/>
      <c r="X1871" s="67"/>
      <c r="Y1871" s="36"/>
      <c r="Z1871" s="36"/>
      <c r="AA1871" s="36"/>
      <c r="AB1871" s="36"/>
      <c r="AC1871" s="36"/>
      <c r="AD1871" s="36"/>
      <c r="AE1871" s="36"/>
      <c r="AF1871" s="53" t="s">
        <v>68</v>
      </c>
      <c r="AG1871" s="42"/>
      <c r="AH1871" s="42"/>
      <c r="AI1871" s="43"/>
      <c r="AJ1871" s="43"/>
      <c r="AK1871" s="43"/>
      <c r="AL1871" s="43"/>
      <c r="AM1871" s="43"/>
      <c r="AN1871" s="42"/>
      <c r="AO1871" s="42"/>
      <c r="AP1871" s="42"/>
      <c r="AQ1871" s="43"/>
      <c r="AR1871" s="42"/>
      <c r="AS1871" s="42" t="s">
        <v>2377</v>
      </c>
    </row>
    <row r="1872" spans="1:45" ht="15" customHeight="1">
      <c r="A1872" s="21" t="s">
        <v>258</v>
      </c>
      <c r="B1872" s="21" t="s">
        <v>46</v>
      </c>
      <c r="C1872" s="21" t="s">
        <v>188</v>
      </c>
      <c r="D1872" s="21" t="s">
        <v>48</v>
      </c>
      <c r="E1872" s="80" t="s">
        <v>2372</v>
      </c>
      <c r="F1872" s="21" t="s">
        <v>2373</v>
      </c>
      <c r="G1872" s="26" t="s">
        <v>62</v>
      </c>
      <c r="H1872" s="133" t="s">
        <v>2374</v>
      </c>
      <c r="I1872" s="26" t="s">
        <v>64</v>
      </c>
      <c r="J1872" s="65" t="s">
        <v>2387</v>
      </c>
      <c r="K1872" s="104"/>
      <c r="L1872" s="48"/>
      <c r="M1872" s="156">
        <v>45016</v>
      </c>
      <c r="N1872" s="116" t="s">
        <v>66</v>
      </c>
      <c r="O1872" s="68">
        <v>340</v>
      </c>
      <c r="P1872" s="30">
        <v>-136.69999999999999</v>
      </c>
      <c r="Q1872" s="51">
        <f t="shared" si="41"/>
        <v>-46478</v>
      </c>
      <c r="R1872" s="31">
        <v>202310</v>
      </c>
      <c r="S1872" s="181" t="s">
        <v>2397</v>
      </c>
      <c r="T1872" s="33"/>
      <c r="U1872" s="117"/>
      <c r="V1872" s="197"/>
      <c r="W1872" s="67"/>
      <c r="X1872" s="67"/>
      <c r="Y1872" s="36"/>
      <c r="Z1872" s="36"/>
      <c r="AA1872" s="36"/>
      <c r="AB1872" s="36"/>
      <c r="AC1872" s="36"/>
      <c r="AD1872" s="36"/>
      <c r="AE1872" s="36"/>
      <c r="AF1872" s="53" t="s">
        <v>68</v>
      </c>
      <c r="AG1872" s="42"/>
      <c r="AH1872" s="42"/>
      <c r="AI1872" s="43"/>
      <c r="AJ1872" s="43"/>
      <c r="AK1872" s="43"/>
      <c r="AL1872" s="43"/>
      <c r="AM1872" s="43"/>
      <c r="AN1872" s="42"/>
      <c r="AO1872" s="42"/>
      <c r="AP1872" s="42"/>
      <c r="AQ1872" s="43"/>
      <c r="AR1872" s="42"/>
      <c r="AS1872" s="42" t="s">
        <v>2377</v>
      </c>
    </row>
    <row r="1873" spans="1:45" ht="15" customHeight="1">
      <c r="A1873" s="21" t="s">
        <v>258</v>
      </c>
      <c r="B1873" s="21" t="s">
        <v>46</v>
      </c>
      <c r="C1873" s="21" t="s">
        <v>188</v>
      </c>
      <c r="D1873" s="21" t="s">
        <v>48</v>
      </c>
      <c r="E1873" s="80" t="s">
        <v>2372</v>
      </c>
      <c r="F1873" s="21" t="s">
        <v>2373</v>
      </c>
      <c r="G1873" s="26" t="s">
        <v>62</v>
      </c>
      <c r="H1873" s="133" t="s">
        <v>2374</v>
      </c>
      <c r="I1873" s="26" t="s">
        <v>64</v>
      </c>
      <c r="J1873" s="65" t="s">
        <v>2389</v>
      </c>
      <c r="K1873" s="104"/>
      <c r="L1873" s="48"/>
      <c r="M1873" s="156">
        <v>45016</v>
      </c>
      <c r="N1873" s="116" t="s">
        <v>66</v>
      </c>
      <c r="O1873" s="68">
        <v>3500</v>
      </c>
      <c r="P1873" s="30">
        <v>-1</v>
      </c>
      <c r="Q1873" s="51">
        <f t="shared" ref="Q1873:Q1917" si="42">ROUND(O1873*P1873,2)</f>
        <v>-3500</v>
      </c>
      <c r="R1873" s="31">
        <v>202310</v>
      </c>
      <c r="S1873" s="181" t="s">
        <v>2398</v>
      </c>
      <c r="T1873" s="33"/>
      <c r="U1873" s="117"/>
      <c r="V1873" s="197"/>
      <c r="W1873" s="67"/>
      <c r="X1873" s="67"/>
      <c r="Y1873" s="36"/>
      <c r="Z1873" s="36"/>
      <c r="AA1873" s="36"/>
      <c r="AB1873" s="36"/>
      <c r="AC1873" s="36"/>
      <c r="AD1873" s="36"/>
      <c r="AE1873" s="36"/>
      <c r="AF1873" s="53" t="s">
        <v>68</v>
      </c>
      <c r="AG1873" s="42"/>
      <c r="AH1873" s="42"/>
      <c r="AI1873" s="43"/>
      <c r="AJ1873" s="43"/>
      <c r="AK1873" s="43"/>
      <c r="AL1873" s="43"/>
      <c r="AM1873" s="43"/>
      <c r="AN1873" s="42"/>
      <c r="AO1873" s="42"/>
      <c r="AP1873" s="42"/>
      <c r="AQ1873" s="43"/>
      <c r="AR1873" s="42"/>
      <c r="AS1873" s="42" t="s">
        <v>2377</v>
      </c>
    </row>
    <row r="1874" spans="1:45" ht="15" customHeight="1">
      <c r="A1874" s="21" t="s">
        <v>258</v>
      </c>
      <c r="B1874" s="21" t="s">
        <v>46</v>
      </c>
      <c r="C1874" s="21" t="s">
        <v>188</v>
      </c>
      <c r="D1874" s="21" t="s">
        <v>48</v>
      </c>
      <c r="E1874" s="80" t="s">
        <v>2372</v>
      </c>
      <c r="F1874" s="21" t="s">
        <v>2373</v>
      </c>
      <c r="G1874" s="26" t="s">
        <v>62</v>
      </c>
      <c r="H1874" s="133" t="s">
        <v>2374</v>
      </c>
      <c r="I1874" s="26" t="s">
        <v>64</v>
      </c>
      <c r="J1874" s="65" t="s">
        <v>2387</v>
      </c>
      <c r="K1874" s="104"/>
      <c r="L1874" s="48"/>
      <c r="M1874" s="156">
        <v>45016</v>
      </c>
      <c r="N1874" s="116" t="s">
        <v>66</v>
      </c>
      <c r="O1874" s="68">
        <v>340</v>
      </c>
      <c r="P1874" s="30">
        <v>-151.69999999999999</v>
      </c>
      <c r="Q1874" s="51">
        <f t="shared" si="42"/>
        <v>-51578</v>
      </c>
      <c r="R1874" s="31">
        <v>202310</v>
      </c>
      <c r="S1874" s="181" t="s">
        <v>2399</v>
      </c>
      <c r="T1874" s="33"/>
      <c r="U1874" s="117"/>
      <c r="V1874" s="197"/>
      <c r="W1874" s="67"/>
      <c r="X1874" s="67"/>
      <c r="Y1874" s="36"/>
      <c r="Z1874" s="36"/>
      <c r="AA1874" s="36"/>
      <c r="AB1874" s="36"/>
      <c r="AC1874" s="36"/>
      <c r="AD1874" s="36"/>
      <c r="AE1874" s="36"/>
      <c r="AF1874" s="53" t="s">
        <v>68</v>
      </c>
      <c r="AG1874" s="42"/>
      <c r="AH1874" s="42"/>
      <c r="AI1874" s="43"/>
      <c r="AJ1874" s="43"/>
      <c r="AK1874" s="43"/>
      <c r="AL1874" s="43"/>
      <c r="AM1874" s="43"/>
      <c r="AN1874" s="42"/>
      <c r="AO1874" s="42"/>
      <c r="AP1874" s="42"/>
      <c r="AQ1874" s="43"/>
      <c r="AR1874" s="42"/>
      <c r="AS1874" s="42" t="s">
        <v>2377</v>
      </c>
    </row>
    <row r="1875" spans="1:45" ht="15" customHeight="1">
      <c r="A1875" s="21" t="s">
        <v>258</v>
      </c>
      <c r="B1875" s="21" t="s">
        <v>46</v>
      </c>
      <c r="C1875" s="21" t="s">
        <v>188</v>
      </c>
      <c r="D1875" s="21" t="s">
        <v>48</v>
      </c>
      <c r="E1875" s="80" t="s">
        <v>2372</v>
      </c>
      <c r="F1875" s="21" t="s">
        <v>2373</v>
      </c>
      <c r="G1875" s="26" t="s">
        <v>62</v>
      </c>
      <c r="H1875" s="133" t="s">
        <v>2374</v>
      </c>
      <c r="I1875" s="26" t="s">
        <v>64</v>
      </c>
      <c r="J1875" s="65" t="s">
        <v>2389</v>
      </c>
      <c r="K1875" s="104"/>
      <c r="L1875" s="48"/>
      <c r="M1875" s="156">
        <v>45016</v>
      </c>
      <c r="N1875" s="116" t="s">
        <v>66</v>
      </c>
      <c r="O1875" s="68">
        <v>3500</v>
      </c>
      <c r="P1875" s="30">
        <v>-1</v>
      </c>
      <c r="Q1875" s="51">
        <f t="shared" si="42"/>
        <v>-3500</v>
      </c>
      <c r="R1875" s="31">
        <v>202310</v>
      </c>
      <c r="S1875" s="181" t="s">
        <v>2400</v>
      </c>
      <c r="T1875" s="33"/>
      <c r="U1875" s="117"/>
      <c r="V1875" s="197"/>
      <c r="W1875" s="67"/>
      <c r="X1875" s="67"/>
      <c r="Y1875" s="36"/>
      <c r="Z1875" s="36"/>
      <c r="AA1875" s="36"/>
      <c r="AB1875" s="36"/>
      <c r="AC1875" s="36"/>
      <c r="AD1875" s="36"/>
      <c r="AE1875" s="36"/>
      <c r="AF1875" s="53" t="s">
        <v>68</v>
      </c>
      <c r="AG1875" s="42"/>
      <c r="AH1875" s="42"/>
      <c r="AI1875" s="43"/>
      <c r="AJ1875" s="43"/>
      <c r="AK1875" s="43"/>
      <c r="AL1875" s="43"/>
      <c r="AM1875" s="43"/>
      <c r="AN1875" s="42"/>
      <c r="AO1875" s="42"/>
      <c r="AP1875" s="42"/>
      <c r="AQ1875" s="43"/>
      <c r="AR1875" s="42"/>
      <c r="AS1875" s="42" t="s">
        <v>2377</v>
      </c>
    </row>
    <row r="1876" spans="1:45" ht="15" customHeight="1">
      <c r="A1876" s="21" t="s">
        <v>258</v>
      </c>
      <c r="B1876" s="21" t="s">
        <v>46</v>
      </c>
      <c r="C1876" s="21" t="s">
        <v>188</v>
      </c>
      <c r="D1876" s="21" t="s">
        <v>48</v>
      </c>
      <c r="E1876" s="80" t="s">
        <v>2372</v>
      </c>
      <c r="F1876" s="21" t="s">
        <v>2373</v>
      </c>
      <c r="G1876" s="26" t="s">
        <v>62</v>
      </c>
      <c r="H1876" s="133" t="s">
        <v>2374</v>
      </c>
      <c r="I1876" s="26" t="s">
        <v>64</v>
      </c>
      <c r="J1876" s="65" t="s">
        <v>2387</v>
      </c>
      <c r="K1876" s="104"/>
      <c r="L1876" s="48"/>
      <c r="M1876" s="156">
        <v>45016</v>
      </c>
      <c r="N1876" s="116" t="s">
        <v>66</v>
      </c>
      <c r="O1876" s="68">
        <v>340</v>
      </c>
      <c r="P1876" s="30">
        <v>-181.3</v>
      </c>
      <c r="Q1876" s="51">
        <f t="shared" si="42"/>
        <v>-61642</v>
      </c>
      <c r="R1876" s="31">
        <v>202310</v>
      </c>
      <c r="S1876" s="181" t="s">
        <v>2401</v>
      </c>
      <c r="T1876" s="33"/>
      <c r="U1876" s="117"/>
      <c r="V1876" s="197"/>
      <c r="W1876" s="67"/>
      <c r="X1876" s="67"/>
      <c r="Y1876" s="36"/>
      <c r="Z1876" s="36"/>
      <c r="AA1876" s="36"/>
      <c r="AB1876" s="36"/>
      <c r="AC1876" s="36"/>
      <c r="AD1876" s="36"/>
      <c r="AE1876" s="36"/>
      <c r="AF1876" s="53" t="s">
        <v>68</v>
      </c>
      <c r="AG1876" s="42"/>
      <c r="AH1876" s="42"/>
      <c r="AI1876" s="43"/>
      <c r="AJ1876" s="43"/>
      <c r="AK1876" s="43"/>
      <c r="AL1876" s="43"/>
      <c r="AM1876" s="43"/>
      <c r="AN1876" s="42"/>
      <c r="AO1876" s="42"/>
      <c r="AP1876" s="42"/>
      <c r="AQ1876" s="43"/>
      <c r="AR1876" s="42"/>
      <c r="AS1876" s="42" t="s">
        <v>2377</v>
      </c>
    </row>
    <row r="1877" spans="1:45" ht="15" customHeight="1">
      <c r="A1877" s="21" t="s">
        <v>258</v>
      </c>
      <c r="B1877" s="21" t="s">
        <v>46</v>
      </c>
      <c r="C1877" s="21" t="s">
        <v>188</v>
      </c>
      <c r="D1877" s="21" t="s">
        <v>48</v>
      </c>
      <c r="E1877" s="80" t="s">
        <v>2372</v>
      </c>
      <c r="F1877" s="21" t="s">
        <v>2373</v>
      </c>
      <c r="G1877" s="26" t="s">
        <v>62</v>
      </c>
      <c r="H1877" s="133" t="s">
        <v>2374</v>
      </c>
      <c r="I1877" s="26" t="s">
        <v>64</v>
      </c>
      <c r="J1877" s="65" t="s">
        <v>2389</v>
      </c>
      <c r="K1877" s="104"/>
      <c r="L1877" s="48"/>
      <c r="M1877" s="156">
        <v>45016</v>
      </c>
      <c r="N1877" s="116" t="s">
        <v>66</v>
      </c>
      <c r="O1877" s="68">
        <v>3500</v>
      </c>
      <c r="P1877" s="30">
        <v>-1</v>
      </c>
      <c r="Q1877" s="51">
        <f t="shared" si="42"/>
        <v>-3500</v>
      </c>
      <c r="R1877" s="31">
        <v>202310</v>
      </c>
      <c r="S1877" s="181" t="s">
        <v>2402</v>
      </c>
      <c r="T1877" s="33"/>
      <c r="U1877" s="117"/>
      <c r="V1877" s="197"/>
      <c r="W1877" s="67"/>
      <c r="X1877" s="67"/>
      <c r="Y1877" s="36"/>
      <c r="Z1877" s="36"/>
      <c r="AA1877" s="36"/>
      <c r="AB1877" s="36"/>
      <c r="AC1877" s="36"/>
      <c r="AD1877" s="36"/>
      <c r="AE1877" s="36"/>
      <c r="AF1877" s="53" t="s">
        <v>68</v>
      </c>
      <c r="AG1877" s="42"/>
      <c r="AH1877" s="42"/>
      <c r="AI1877" s="43"/>
      <c r="AJ1877" s="43"/>
      <c r="AK1877" s="43"/>
      <c r="AL1877" s="43"/>
      <c r="AM1877" s="43"/>
      <c r="AN1877" s="42"/>
      <c r="AO1877" s="42"/>
      <c r="AP1877" s="42"/>
      <c r="AQ1877" s="43"/>
      <c r="AR1877" s="42"/>
      <c r="AS1877" s="42" t="s">
        <v>2377</v>
      </c>
    </row>
    <row r="1878" spans="1:45" ht="15" customHeight="1">
      <c r="A1878" s="21" t="s">
        <v>258</v>
      </c>
      <c r="B1878" s="21" t="s">
        <v>46</v>
      </c>
      <c r="C1878" s="21" t="s">
        <v>188</v>
      </c>
      <c r="D1878" s="21" t="s">
        <v>48</v>
      </c>
      <c r="E1878" s="80" t="s">
        <v>2372</v>
      </c>
      <c r="F1878" s="21" t="s">
        <v>2373</v>
      </c>
      <c r="G1878" s="26" t="s">
        <v>62</v>
      </c>
      <c r="H1878" s="133" t="s">
        <v>2374</v>
      </c>
      <c r="I1878" s="26" t="s">
        <v>64</v>
      </c>
      <c r="J1878" s="65" t="s">
        <v>2387</v>
      </c>
      <c r="K1878" s="104"/>
      <c r="L1878" s="48"/>
      <c r="M1878" s="156">
        <v>45016</v>
      </c>
      <c r="N1878" s="116" t="s">
        <v>66</v>
      </c>
      <c r="O1878" s="68">
        <v>340</v>
      </c>
      <c r="P1878" s="30">
        <v>-115.5</v>
      </c>
      <c r="Q1878" s="51">
        <f t="shared" si="42"/>
        <v>-39270</v>
      </c>
      <c r="R1878" s="31">
        <v>202310</v>
      </c>
      <c r="S1878" s="181" t="s">
        <v>2403</v>
      </c>
      <c r="T1878" s="33"/>
      <c r="U1878" s="117"/>
      <c r="V1878" s="197"/>
      <c r="W1878" s="67"/>
      <c r="X1878" s="67"/>
      <c r="Y1878" s="36"/>
      <c r="Z1878" s="36"/>
      <c r="AA1878" s="36"/>
      <c r="AB1878" s="36"/>
      <c r="AC1878" s="36"/>
      <c r="AD1878" s="36"/>
      <c r="AE1878" s="36"/>
      <c r="AF1878" s="53" t="s">
        <v>68</v>
      </c>
      <c r="AG1878" s="42"/>
      <c r="AH1878" s="42"/>
      <c r="AI1878" s="43"/>
      <c r="AJ1878" s="43"/>
      <c r="AK1878" s="43"/>
      <c r="AL1878" s="43"/>
      <c r="AM1878" s="43"/>
      <c r="AN1878" s="42"/>
      <c r="AO1878" s="42"/>
      <c r="AP1878" s="42"/>
      <c r="AQ1878" s="43"/>
      <c r="AR1878" s="42"/>
      <c r="AS1878" s="42" t="s">
        <v>2377</v>
      </c>
    </row>
    <row r="1879" spans="1:45" ht="15" customHeight="1">
      <c r="A1879" s="21" t="s">
        <v>258</v>
      </c>
      <c r="B1879" s="21" t="s">
        <v>46</v>
      </c>
      <c r="C1879" s="21" t="s">
        <v>188</v>
      </c>
      <c r="D1879" s="21" t="s">
        <v>48</v>
      </c>
      <c r="E1879" s="80" t="s">
        <v>2372</v>
      </c>
      <c r="F1879" s="21" t="s">
        <v>2373</v>
      </c>
      <c r="G1879" s="26" t="s">
        <v>62</v>
      </c>
      <c r="H1879" s="133" t="s">
        <v>2374</v>
      </c>
      <c r="I1879" s="26" t="s">
        <v>64</v>
      </c>
      <c r="J1879" s="65" t="s">
        <v>2389</v>
      </c>
      <c r="K1879" s="104"/>
      <c r="L1879" s="48"/>
      <c r="M1879" s="156">
        <v>45016</v>
      </c>
      <c r="N1879" s="116" t="s">
        <v>66</v>
      </c>
      <c r="O1879" s="68">
        <v>3500</v>
      </c>
      <c r="P1879" s="30">
        <v>-1</v>
      </c>
      <c r="Q1879" s="51">
        <f t="shared" si="42"/>
        <v>-3500</v>
      </c>
      <c r="R1879" s="31">
        <v>202310</v>
      </c>
      <c r="S1879" s="181" t="s">
        <v>2404</v>
      </c>
      <c r="T1879" s="33"/>
      <c r="U1879" s="117"/>
      <c r="V1879" s="197"/>
      <c r="W1879" s="67"/>
      <c r="X1879" s="67"/>
      <c r="Y1879" s="36"/>
      <c r="Z1879" s="36"/>
      <c r="AA1879" s="36"/>
      <c r="AB1879" s="36"/>
      <c r="AC1879" s="36"/>
      <c r="AD1879" s="36"/>
      <c r="AE1879" s="36"/>
      <c r="AF1879" s="53" t="s">
        <v>68</v>
      </c>
      <c r="AG1879" s="42"/>
      <c r="AH1879" s="42"/>
      <c r="AI1879" s="43"/>
      <c r="AJ1879" s="43"/>
      <c r="AK1879" s="43"/>
      <c r="AL1879" s="43"/>
      <c r="AM1879" s="43"/>
      <c r="AN1879" s="42"/>
      <c r="AO1879" s="42"/>
      <c r="AP1879" s="42"/>
      <c r="AQ1879" s="43"/>
      <c r="AR1879" s="42"/>
      <c r="AS1879" s="42" t="s">
        <v>2377</v>
      </c>
    </row>
    <row r="1880" spans="1:45" ht="15" customHeight="1">
      <c r="A1880" s="21" t="s">
        <v>258</v>
      </c>
      <c r="B1880" s="22" t="s">
        <v>46</v>
      </c>
      <c r="C1880" s="21" t="s">
        <v>887</v>
      </c>
      <c r="D1880" s="21" t="s">
        <v>888</v>
      </c>
      <c r="E1880" s="80" t="s">
        <v>2405</v>
      </c>
      <c r="F1880" s="21" t="s">
        <v>2406</v>
      </c>
      <c r="G1880" s="101" t="s">
        <v>77</v>
      </c>
      <c r="H1880" s="25" t="s">
        <v>2407</v>
      </c>
      <c r="I1880" s="65" t="s">
        <v>479</v>
      </c>
      <c r="J1880" s="65" t="s">
        <v>2408</v>
      </c>
      <c r="K1880" s="26" t="s">
        <v>2406</v>
      </c>
      <c r="L1880" s="48" t="s">
        <v>2409</v>
      </c>
      <c r="M1880" s="27">
        <v>43333</v>
      </c>
      <c r="N1880" s="105" t="s">
        <v>1310</v>
      </c>
      <c r="O1880" s="147">
        <v>3000</v>
      </c>
      <c r="P1880" s="147">
        <v>6</v>
      </c>
      <c r="Q1880" s="51">
        <f t="shared" si="42"/>
        <v>18000</v>
      </c>
      <c r="R1880" s="31">
        <v>202310</v>
      </c>
      <c r="S1880" s="54" t="s">
        <v>2410</v>
      </c>
      <c r="T1880" s="33"/>
      <c r="U1880" s="54"/>
      <c r="V1880" s="54"/>
      <c r="W1880" s="52"/>
      <c r="X1880" s="52"/>
      <c r="Y1880" s="36"/>
      <c r="Z1880" s="36"/>
      <c r="AA1880" s="36"/>
      <c r="AB1880" s="36"/>
      <c r="AC1880" s="36"/>
      <c r="AD1880" s="36"/>
      <c r="AE1880" s="36"/>
      <c r="AF1880" s="53" t="s">
        <v>503</v>
      </c>
      <c r="AG1880" s="42"/>
      <c r="AH1880" s="43"/>
      <c r="AI1880" s="43"/>
      <c r="AJ1880" s="43"/>
      <c r="AK1880" s="43"/>
      <c r="AL1880" s="43"/>
      <c r="AM1880" s="43"/>
      <c r="AN1880" s="42"/>
      <c r="AO1880" s="42"/>
      <c r="AP1880" s="42"/>
      <c r="AQ1880" s="43"/>
      <c r="AR1880" s="42"/>
      <c r="AS1880" s="42"/>
    </row>
    <row r="1881" spans="1:45" ht="15" customHeight="1">
      <c r="A1881" s="21" t="s">
        <v>258</v>
      </c>
      <c r="B1881" s="22" t="s">
        <v>46</v>
      </c>
      <c r="C1881" s="21" t="s">
        <v>887</v>
      </c>
      <c r="D1881" s="21" t="s">
        <v>888</v>
      </c>
      <c r="E1881" s="80" t="s">
        <v>2405</v>
      </c>
      <c r="F1881" s="21" t="s">
        <v>2406</v>
      </c>
      <c r="G1881" s="101" t="s">
        <v>77</v>
      </c>
      <c r="H1881" s="25" t="s">
        <v>2407</v>
      </c>
      <c r="I1881" s="65" t="s">
        <v>479</v>
      </c>
      <c r="J1881" s="65" t="s">
        <v>2408</v>
      </c>
      <c r="K1881" s="26" t="s">
        <v>2406</v>
      </c>
      <c r="L1881" s="48" t="s">
        <v>2409</v>
      </c>
      <c r="M1881" s="27">
        <v>44500</v>
      </c>
      <c r="N1881" s="105" t="s">
        <v>1310</v>
      </c>
      <c r="O1881" s="147">
        <v>3000</v>
      </c>
      <c r="P1881" s="147">
        <v>-2</v>
      </c>
      <c r="Q1881" s="51">
        <f t="shared" si="42"/>
        <v>-6000</v>
      </c>
      <c r="R1881" s="31">
        <v>202310</v>
      </c>
      <c r="S1881" s="54" t="s">
        <v>2411</v>
      </c>
      <c r="T1881" s="33"/>
      <c r="U1881" s="54"/>
      <c r="V1881" s="54"/>
      <c r="W1881" s="52"/>
      <c r="X1881" s="52"/>
      <c r="Y1881" s="36"/>
      <c r="Z1881" s="36"/>
      <c r="AA1881" s="36"/>
      <c r="AB1881" s="36"/>
      <c r="AC1881" s="36"/>
      <c r="AD1881" s="36"/>
      <c r="AE1881" s="36"/>
      <c r="AF1881" s="53" t="s">
        <v>503</v>
      </c>
      <c r="AG1881" s="42"/>
      <c r="AH1881" s="43"/>
      <c r="AI1881" s="43"/>
      <c r="AJ1881" s="43"/>
      <c r="AK1881" s="43"/>
      <c r="AL1881" s="43"/>
      <c r="AM1881" s="43"/>
      <c r="AN1881" s="42"/>
      <c r="AO1881" s="42"/>
      <c r="AP1881" s="42"/>
      <c r="AQ1881" s="43"/>
      <c r="AR1881" s="42"/>
      <c r="AS1881" s="42"/>
    </row>
    <row r="1882" spans="1:45" ht="15" customHeight="1">
      <c r="A1882" s="21" t="s">
        <v>258</v>
      </c>
      <c r="B1882" s="22" t="s">
        <v>46</v>
      </c>
      <c r="C1882" s="21" t="s">
        <v>887</v>
      </c>
      <c r="D1882" s="21" t="s">
        <v>888</v>
      </c>
      <c r="E1882" s="80" t="s">
        <v>2405</v>
      </c>
      <c r="F1882" s="21" t="s">
        <v>2406</v>
      </c>
      <c r="G1882" s="101" t="s">
        <v>165</v>
      </c>
      <c r="H1882" s="25" t="s">
        <v>2407</v>
      </c>
      <c r="I1882" s="65" t="s">
        <v>491</v>
      </c>
      <c r="J1882" s="65" t="s">
        <v>2408</v>
      </c>
      <c r="K1882" s="26" t="s">
        <v>2406</v>
      </c>
      <c r="L1882" s="48"/>
      <c r="M1882" s="27">
        <v>43333</v>
      </c>
      <c r="N1882" s="105"/>
      <c r="O1882" s="147">
        <v>0</v>
      </c>
      <c r="P1882" s="147">
        <v>288</v>
      </c>
      <c r="Q1882" s="51">
        <f t="shared" si="42"/>
        <v>0</v>
      </c>
      <c r="R1882" s="31">
        <v>202310</v>
      </c>
      <c r="S1882" s="54" t="s">
        <v>2412</v>
      </c>
      <c r="T1882" s="33"/>
      <c r="U1882" s="54"/>
      <c r="V1882" s="54"/>
      <c r="W1882" s="52"/>
      <c r="X1882" s="52"/>
      <c r="Y1882" s="36"/>
      <c r="Z1882" s="36"/>
      <c r="AA1882" s="36"/>
      <c r="AB1882" s="36"/>
      <c r="AC1882" s="36"/>
      <c r="AD1882" s="36"/>
      <c r="AE1882" s="36"/>
      <c r="AF1882" s="53" t="s">
        <v>503</v>
      </c>
      <c r="AG1882" s="42"/>
      <c r="AH1882" s="43"/>
      <c r="AI1882" s="43"/>
      <c r="AJ1882" s="43"/>
      <c r="AK1882" s="43"/>
      <c r="AL1882" s="43"/>
      <c r="AM1882" s="43"/>
      <c r="AN1882" s="42"/>
      <c r="AO1882" s="42"/>
      <c r="AP1882" s="42"/>
      <c r="AQ1882" s="43"/>
      <c r="AR1882" s="42"/>
      <c r="AS1882" s="42"/>
    </row>
    <row r="1883" spans="1:45" ht="15" customHeight="1">
      <c r="A1883" s="56" t="s">
        <v>258</v>
      </c>
      <c r="B1883" s="21" t="s">
        <v>46</v>
      </c>
      <c r="C1883" s="57" t="s">
        <v>814</v>
      </c>
      <c r="D1883" s="22" t="s">
        <v>48</v>
      </c>
      <c r="E1883" s="58" t="s">
        <v>2413</v>
      </c>
      <c r="F1883" s="56" t="s">
        <v>2414</v>
      </c>
      <c r="G1883" s="26" t="s">
        <v>165</v>
      </c>
      <c r="H1883" s="25" t="s">
        <v>2415</v>
      </c>
      <c r="I1883" s="26" t="s">
        <v>491</v>
      </c>
      <c r="J1883" s="56" t="s">
        <v>2414</v>
      </c>
      <c r="K1883" s="59" t="s">
        <v>2414</v>
      </c>
      <c r="L1883" s="48" t="s">
        <v>2416</v>
      </c>
      <c r="M1883" s="49">
        <v>44789</v>
      </c>
      <c r="N1883" s="49" t="s">
        <v>168</v>
      </c>
      <c r="O1883" s="60">
        <v>0</v>
      </c>
      <c r="P1883" s="61">
        <v>256</v>
      </c>
      <c r="Q1883" s="51">
        <f t="shared" si="42"/>
        <v>0</v>
      </c>
      <c r="R1883" s="31">
        <v>202310</v>
      </c>
      <c r="S1883" s="62" t="s">
        <v>2417</v>
      </c>
      <c r="T1883" s="33"/>
      <c r="U1883" s="58"/>
      <c r="V1883" s="58"/>
      <c r="W1883" s="63"/>
      <c r="X1883" s="63"/>
      <c r="Y1883" s="36"/>
      <c r="Z1883" s="36"/>
      <c r="AA1883" s="36"/>
      <c r="AB1883" s="36"/>
      <c r="AC1883" s="36"/>
      <c r="AD1883" s="36"/>
      <c r="AE1883" s="36"/>
      <c r="AF1883" s="40" t="s">
        <v>484</v>
      </c>
      <c r="AG1883" s="42"/>
      <c r="AH1883" s="42"/>
      <c r="AI1883" s="43"/>
      <c r="AJ1883" s="43"/>
      <c r="AK1883" s="43"/>
      <c r="AL1883" s="43"/>
      <c r="AM1883" s="43"/>
      <c r="AN1883" s="42"/>
      <c r="AO1883" s="42"/>
      <c r="AP1883" s="42"/>
      <c r="AQ1883" s="43"/>
      <c r="AR1883" s="42"/>
      <c r="AS1883" s="42" t="s">
        <v>2054</v>
      </c>
    </row>
    <row r="1884" spans="1:45" ht="15" customHeight="1">
      <c r="A1884" s="56" t="s">
        <v>258</v>
      </c>
      <c r="B1884" s="21" t="s">
        <v>46</v>
      </c>
      <c r="C1884" s="57" t="s">
        <v>814</v>
      </c>
      <c r="D1884" s="22" t="s">
        <v>48</v>
      </c>
      <c r="E1884" s="58" t="s">
        <v>2413</v>
      </c>
      <c r="F1884" s="56" t="s">
        <v>2414</v>
      </c>
      <c r="G1884" s="26" t="s">
        <v>165</v>
      </c>
      <c r="H1884" s="25" t="s">
        <v>2415</v>
      </c>
      <c r="I1884" s="26" t="s">
        <v>491</v>
      </c>
      <c r="J1884" s="56" t="s">
        <v>2414</v>
      </c>
      <c r="K1884" s="59" t="s">
        <v>2414</v>
      </c>
      <c r="L1884" s="48" t="s">
        <v>2416</v>
      </c>
      <c r="M1884" s="49"/>
      <c r="N1884" s="49" t="s">
        <v>646</v>
      </c>
      <c r="O1884" s="60">
        <v>0</v>
      </c>
      <c r="P1884" s="61">
        <v>0</v>
      </c>
      <c r="Q1884" s="51">
        <f t="shared" si="42"/>
        <v>0</v>
      </c>
      <c r="R1884" s="31">
        <v>202310</v>
      </c>
      <c r="S1884" s="62" t="s">
        <v>2418</v>
      </c>
      <c r="T1884" s="33"/>
      <c r="U1884" s="58"/>
      <c r="V1884" s="58"/>
      <c r="W1884" s="63"/>
      <c r="X1884" s="63"/>
      <c r="Y1884" s="36"/>
      <c r="Z1884" s="36"/>
      <c r="AA1884" s="36"/>
      <c r="AB1884" s="36"/>
      <c r="AC1884" s="36"/>
      <c r="AD1884" s="36"/>
      <c r="AE1884" s="36"/>
      <c r="AF1884" s="40" t="s">
        <v>484</v>
      </c>
      <c r="AG1884" s="42"/>
      <c r="AH1884" s="42"/>
      <c r="AI1884" s="43"/>
      <c r="AJ1884" s="43"/>
      <c r="AK1884" s="43"/>
      <c r="AL1884" s="43"/>
      <c r="AM1884" s="43"/>
      <c r="AN1884" s="42"/>
      <c r="AO1884" s="42"/>
      <c r="AP1884" s="42"/>
      <c r="AQ1884" s="43"/>
      <c r="AR1884" s="42"/>
      <c r="AS1884" s="42" t="s">
        <v>2054</v>
      </c>
    </row>
    <row r="1885" spans="1:45" ht="15" customHeight="1">
      <c r="A1885" s="56" t="s">
        <v>258</v>
      </c>
      <c r="B1885" s="21" t="s">
        <v>46</v>
      </c>
      <c r="C1885" s="57" t="s">
        <v>814</v>
      </c>
      <c r="D1885" s="22" t="s">
        <v>48</v>
      </c>
      <c r="E1885" s="58" t="s">
        <v>2413</v>
      </c>
      <c r="F1885" s="56" t="s">
        <v>2414</v>
      </c>
      <c r="G1885" s="26" t="s">
        <v>77</v>
      </c>
      <c r="H1885" s="25" t="s">
        <v>2415</v>
      </c>
      <c r="I1885" s="26" t="s">
        <v>479</v>
      </c>
      <c r="J1885" s="56" t="s">
        <v>2414</v>
      </c>
      <c r="K1885" s="59" t="s">
        <v>2414</v>
      </c>
      <c r="L1885" s="48" t="s">
        <v>2416</v>
      </c>
      <c r="M1885" s="49">
        <v>44789</v>
      </c>
      <c r="N1885" s="49" t="s">
        <v>1614</v>
      </c>
      <c r="O1885" s="60">
        <v>0</v>
      </c>
      <c r="P1885" s="61">
        <v>10</v>
      </c>
      <c r="Q1885" s="51">
        <f t="shared" si="42"/>
        <v>0</v>
      </c>
      <c r="R1885" s="31">
        <v>202310</v>
      </c>
      <c r="S1885" s="62" t="s">
        <v>2419</v>
      </c>
      <c r="T1885" s="33"/>
      <c r="U1885" s="58"/>
      <c r="V1885" s="58"/>
      <c r="W1885" s="63"/>
      <c r="X1885" s="63"/>
      <c r="Y1885" s="36"/>
      <c r="Z1885" s="36"/>
      <c r="AA1885" s="36"/>
      <c r="AB1885" s="36"/>
      <c r="AC1885" s="36"/>
      <c r="AD1885" s="36"/>
      <c r="AE1885" s="36"/>
      <c r="AF1885" s="40" t="s">
        <v>484</v>
      </c>
      <c r="AG1885" s="42"/>
      <c r="AH1885" s="42"/>
      <c r="AI1885" s="43"/>
      <c r="AJ1885" s="43"/>
      <c r="AK1885" s="43"/>
      <c r="AL1885" s="43"/>
      <c r="AM1885" s="43"/>
      <c r="AN1885" s="42"/>
      <c r="AO1885" s="42"/>
      <c r="AP1885" s="42"/>
      <c r="AQ1885" s="43"/>
      <c r="AR1885" s="42"/>
      <c r="AS1885" s="42" t="s">
        <v>2054</v>
      </c>
    </row>
    <row r="1886" spans="1:45" ht="15" customHeight="1">
      <c r="A1886" s="56" t="s">
        <v>258</v>
      </c>
      <c r="B1886" s="21" t="s">
        <v>46</v>
      </c>
      <c r="C1886" s="57" t="s">
        <v>814</v>
      </c>
      <c r="D1886" s="22" t="s">
        <v>48</v>
      </c>
      <c r="E1886" s="58" t="s">
        <v>2413</v>
      </c>
      <c r="F1886" s="56" t="s">
        <v>2414</v>
      </c>
      <c r="G1886" s="26" t="s">
        <v>165</v>
      </c>
      <c r="H1886" s="25" t="s">
        <v>2415</v>
      </c>
      <c r="I1886" s="26" t="s">
        <v>491</v>
      </c>
      <c r="J1886" s="56" t="s">
        <v>2414</v>
      </c>
      <c r="K1886" s="59" t="s">
        <v>2414</v>
      </c>
      <c r="L1886" s="48" t="s">
        <v>2416</v>
      </c>
      <c r="M1886" s="49">
        <v>45163</v>
      </c>
      <c r="N1886" s="49" t="s">
        <v>168</v>
      </c>
      <c r="O1886" s="60">
        <v>0</v>
      </c>
      <c r="P1886" s="61">
        <v>384</v>
      </c>
      <c r="Q1886" s="51">
        <f t="shared" si="42"/>
        <v>0</v>
      </c>
      <c r="R1886" s="31">
        <v>202310</v>
      </c>
      <c r="S1886" s="62" t="s">
        <v>2420</v>
      </c>
      <c r="T1886" s="33"/>
      <c r="U1886" s="58"/>
      <c r="V1886" s="58"/>
      <c r="W1886" s="63"/>
      <c r="X1886" s="63"/>
      <c r="Y1886" s="36"/>
      <c r="Z1886" s="36"/>
      <c r="AA1886" s="36"/>
      <c r="AB1886" s="36"/>
      <c r="AC1886" s="36"/>
      <c r="AD1886" s="36"/>
      <c r="AE1886" s="36"/>
      <c r="AF1886" s="40" t="s">
        <v>484</v>
      </c>
      <c r="AG1886" s="42"/>
      <c r="AH1886" s="42"/>
      <c r="AI1886" s="43"/>
      <c r="AJ1886" s="43"/>
      <c r="AK1886" s="43"/>
      <c r="AL1886" s="43"/>
      <c r="AM1886" s="43"/>
      <c r="AN1886" s="42"/>
      <c r="AO1886" s="42"/>
      <c r="AP1886" s="42"/>
      <c r="AQ1886" s="43"/>
      <c r="AR1886" s="42"/>
      <c r="AS1886" s="42" t="s">
        <v>2054</v>
      </c>
    </row>
    <row r="1887" spans="1:45" ht="15" customHeight="1">
      <c r="A1887" s="56" t="s">
        <v>258</v>
      </c>
      <c r="B1887" s="21" t="s">
        <v>46</v>
      </c>
      <c r="C1887" s="57" t="s">
        <v>814</v>
      </c>
      <c r="D1887" s="22" t="s">
        <v>48</v>
      </c>
      <c r="E1887" s="58" t="s">
        <v>2413</v>
      </c>
      <c r="F1887" s="56" t="s">
        <v>2414</v>
      </c>
      <c r="G1887" s="26" t="s">
        <v>165</v>
      </c>
      <c r="H1887" s="25" t="s">
        <v>2415</v>
      </c>
      <c r="I1887" s="26" t="s">
        <v>491</v>
      </c>
      <c r="J1887" s="56" t="s">
        <v>2414</v>
      </c>
      <c r="K1887" s="59" t="s">
        <v>2414</v>
      </c>
      <c r="L1887" s="48" t="s">
        <v>2416</v>
      </c>
      <c r="M1887" s="49">
        <v>45224</v>
      </c>
      <c r="N1887" s="49" t="s">
        <v>168</v>
      </c>
      <c r="O1887" s="60">
        <v>0</v>
      </c>
      <c r="P1887" s="61">
        <v>-128</v>
      </c>
      <c r="Q1887" s="51">
        <f t="shared" si="42"/>
        <v>0</v>
      </c>
      <c r="R1887" s="31">
        <v>202310</v>
      </c>
      <c r="S1887" s="62" t="s">
        <v>2421</v>
      </c>
      <c r="T1887" s="33"/>
      <c r="U1887" s="58"/>
      <c r="V1887" s="58"/>
      <c r="W1887" s="63"/>
      <c r="X1887" s="63"/>
      <c r="Y1887" s="36"/>
      <c r="Z1887" s="36"/>
      <c r="AA1887" s="36"/>
      <c r="AB1887" s="36"/>
      <c r="AC1887" s="36"/>
      <c r="AD1887" s="36"/>
      <c r="AE1887" s="36"/>
      <c r="AF1887" s="40" t="s">
        <v>484</v>
      </c>
      <c r="AG1887" s="42"/>
      <c r="AH1887" s="42"/>
      <c r="AI1887" s="43"/>
      <c r="AJ1887" s="43"/>
      <c r="AK1887" s="43"/>
      <c r="AL1887" s="43"/>
      <c r="AM1887" s="43"/>
      <c r="AN1887" s="42"/>
      <c r="AO1887" s="42"/>
      <c r="AP1887" s="42"/>
      <c r="AQ1887" s="43"/>
      <c r="AR1887" s="42"/>
      <c r="AS1887" s="42" t="s">
        <v>2054</v>
      </c>
    </row>
    <row r="1888" spans="1:45" ht="15" customHeight="1">
      <c r="A1888" s="56" t="s">
        <v>258</v>
      </c>
      <c r="B1888" s="21" t="s">
        <v>46</v>
      </c>
      <c r="C1888" s="57" t="s">
        <v>814</v>
      </c>
      <c r="D1888" s="22" t="s">
        <v>48</v>
      </c>
      <c r="E1888" s="58" t="s">
        <v>2413</v>
      </c>
      <c r="F1888" s="56" t="s">
        <v>2414</v>
      </c>
      <c r="G1888" s="26" t="s">
        <v>165</v>
      </c>
      <c r="H1888" s="25" t="s">
        <v>2415</v>
      </c>
      <c r="I1888" s="26" t="s">
        <v>491</v>
      </c>
      <c r="J1888" s="56" t="s">
        <v>2414</v>
      </c>
      <c r="K1888" s="59" t="s">
        <v>2414</v>
      </c>
      <c r="L1888" s="48" t="s">
        <v>2416</v>
      </c>
      <c r="M1888" s="49">
        <v>45225</v>
      </c>
      <c r="N1888" s="49" t="s">
        <v>168</v>
      </c>
      <c r="O1888" s="60">
        <v>0</v>
      </c>
      <c r="P1888" s="61">
        <v>128</v>
      </c>
      <c r="Q1888" s="51">
        <f t="shared" si="42"/>
        <v>0</v>
      </c>
      <c r="R1888" s="31">
        <v>202310</v>
      </c>
      <c r="S1888" s="62" t="s">
        <v>2422</v>
      </c>
      <c r="T1888" s="33"/>
      <c r="U1888" s="58"/>
      <c r="V1888" s="58"/>
      <c r="W1888" s="63"/>
      <c r="X1888" s="63"/>
      <c r="Y1888" s="36"/>
      <c r="Z1888" s="36"/>
      <c r="AA1888" s="36"/>
      <c r="AB1888" s="36"/>
      <c r="AC1888" s="36"/>
      <c r="AD1888" s="36"/>
      <c r="AE1888" s="36"/>
      <c r="AF1888" s="40" t="s">
        <v>484</v>
      </c>
      <c r="AG1888" s="42"/>
      <c r="AH1888" s="42"/>
      <c r="AI1888" s="43"/>
      <c r="AJ1888" s="43"/>
      <c r="AK1888" s="43"/>
      <c r="AL1888" s="43"/>
      <c r="AM1888" s="43"/>
      <c r="AN1888" s="42"/>
      <c r="AO1888" s="42"/>
      <c r="AP1888" s="42"/>
      <c r="AQ1888" s="43"/>
      <c r="AR1888" s="42"/>
      <c r="AS1888" s="42" t="s">
        <v>2054</v>
      </c>
    </row>
    <row r="1889" spans="1:45" ht="15" customHeight="1">
      <c r="A1889" s="56" t="s">
        <v>258</v>
      </c>
      <c r="B1889" s="21" t="s">
        <v>46</v>
      </c>
      <c r="C1889" s="57" t="s">
        <v>814</v>
      </c>
      <c r="D1889" s="22" t="s">
        <v>48</v>
      </c>
      <c r="E1889" s="58" t="s">
        <v>2413</v>
      </c>
      <c r="F1889" s="56" t="s">
        <v>2414</v>
      </c>
      <c r="G1889" s="26" t="s">
        <v>165</v>
      </c>
      <c r="H1889" s="25" t="s">
        <v>2415</v>
      </c>
      <c r="I1889" s="26" t="s">
        <v>491</v>
      </c>
      <c r="J1889" s="56" t="s">
        <v>2414</v>
      </c>
      <c r="K1889" s="59" t="s">
        <v>2414</v>
      </c>
      <c r="L1889" s="48" t="s">
        <v>2416</v>
      </c>
      <c r="M1889" s="49">
        <v>45225</v>
      </c>
      <c r="N1889" s="49" t="s">
        <v>168</v>
      </c>
      <c r="O1889" s="60">
        <v>50</v>
      </c>
      <c r="P1889" s="61">
        <v>128</v>
      </c>
      <c r="Q1889" s="51">
        <f>ROUND(O1889*P1889*6/31,2)</f>
        <v>1238.71</v>
      </c>
      <c r="R1889" s="31">
        <v>202310</v>
      </c>
      <c r="S1889" s="62" t="s">
        <v>2422</v>
      </c>
      <c r="T1889" s="33"/>
      <c r="U1889" s="58"/>
      <c r="V1889" s="58"/>
      <c r="W1889" s="63"/>
      <c r="X1889" s="63"/>
      <c r="Y1889" s="36"/>
      <c r="Z1889" s="36"/>
      <c r="AA1889" s="36"/>
      <c r="AB1889" s="36"/>
      <c r="AC1889" s="36"/>
      <c r="AD1889" s="36"/>
      <c r="AE1889" s="36"/>
      <c r="AF1889" s="40" t="s">
        <v>484</v>
      </c>
      <c r="AG1889" s="42"/>
      <c r="AH1889" s="42"/>
      <c r="AI1889" s="43"/>
      <c r="AJ1889" s="43"/>
      <c r="AK1889" s="43"/>
      <c r="AL1889" s="43"/>
      <c r="AM1889" s="43"/>
      <c r="AN1889" s="42"/>
      <c r="AO1889" s="42"/>
      <c r="AP1889" s="42"/>
      <c r="AQ1889" s="43"/>
      <c r="AR1889" s="42"/>
      <c r="AS1889" s="42" t="s">
        <v>2054</v>
      </c>
    </row>
    <row r="1890" spans="1:45" ht="15" customHeight="1">
      <c r="A1890" s="135" t="s">
        <v>45</v>
      </c>
      <c r="B1890" s="136" t="s">
        <v>837</v>
      </c>
      <c r="C1890" s="136" t="s">
        <v>838</v>
      </c>
      <c r="D1890" s="136" t="s">
        <v>48</v>
      </c>
      <c r="E1890" s="137" t="s">
        <v>2423</v>
      </c>
      <c r="F1890" s="135" t="s">
        <v>2424</v>
      </c>
      <c r="G1890" s="135" t="s">
        <v>77</v>
      </c>
      <c r="H1890" s="26" t="s">
        <v>2425</v>
      </c>
      <c r="I1890" s="102" t="s">
        <v>479</v>
      </c>
      <c r="J1890" s="135" t="s">
        <v>2426</v>
      </c>
      <c r="K1890" s="138" t="s">
        <v>2424</v>
      </c>
      <c r="L1890" s="48" t="s">
        <v>2427</v>
      </c>
      <c r="M1890" s="49">
        <v>43008</v>
      </c>
      <c r="N1890" s="49" t="s">
        <v>1310</v>
      </c>
      <c r="O1890" s="139">
        <v>5000</v>
      </c>
      <c r="P1890" s="140">
        <v>2</v>
      </c>
      <c r="Q1890" s="141">
        <f t="shared" si="42"/>
        <v>10000</v>
      </c>
      <c r="R1890" s="31">
        <v>202310</v>
      </c>
      <c r="S1890" s="114" t="s">
        <v>2428</v>
      </c>
      <c r="T1890" s="33"/>
      <c r="U1890" s="108"/>
      <c r="V1890" s="142"/>
      <c r="W1890" s="143"/>
      <c r="X1890" s="139"/>
      <c r="Y1890" s="36"/>
      <c r="Z1890" s="36"/>
      <c r="AA1890" s="49"/>
      <c r="AB1890" s="49"/>
      <c r="AC1890" s="49"/>
      <c r="AD1890" s="49"/>
      <c r="AE1890" s="49"/>
      <c r="AF1890" s="190" t="s">
        <v>503</v>
      </c>
      <c r="AG1890" s="144"/>
      <c r="AH1890" s="144"/>
      <c r="AI1890" s="42"/>
      <c r="AJ1890" s="43"/>
      <c r="AK1890" s="43"/>
      <c r="AL1890" s="43"/>
      <c r="AM1890" s="43"/>
      <c r="AN1890" s="42"/>
      <c r="AO1890" s="145"/>
      <c r="AP1890" s="42"/>
      <c r="AQ1890" s="42"/>
      <c r="AR1890" s="42"/>
      <c r="AS1890" s="42" t="s">
        <v>2429</v>
      </c>
    </row>
    <row r="1891" spans="1:45" ht="15" customHeight="1">
      <c r="A1891" s="135" t="s">
        <v>45</v>
      </c>
      <c r="B1891" s="136" t="s">
        <v>837</v>
      </c>
      <c r="C1891" s="136" t="s">
        <v>838</v>
      </c>
      <c r="D1891" s="136" t="s">
        <v>48</v>
      </c>
      <c r="E1891" s="137" t="s">
        <v>2430</v>
      </c>
      <c r="F1891" s="135" t="s">
        <v>2424</v>
      </c>
      <c r="G1891" s="135" t="s">
        <v>165</v>
      </c>
      <c r="H1891" s="26" t="s">
        <v>2425</v>
      </c>
      <c r="I1891" s="102" t="s">
        <v>491</v>
      </c>
      <c r="J1891" s="135" t="s">
        <v>865</v>
      </c>
      <c r="K1891" s="138" t="s">
        <v>2424</v>
      </c>
      <c r="L1891" s="48"/>
      <c r="M1891" s="49">
        <v>43008</v>
      </c>
      <c r="N1891" s="49" t="s">
        <v>168</v>
      </c>
      <c r="O1891" s="139">
        <v>0</v>
      </c>
      <c r="P1891" s="140">
        <v>288</v>
      </c>
      <c r="Q1891" s="141">
        <f t="shared" si="42"/>
        <v>0</v>
      </c>
      <c r="R1891" s="31">
        <v>202310</v>
      </c>
      <c r="S1891" s="108" t="s">
        <v>2431</v>
      </c>
      <c r="T1891" s="33"/>
      <c r="U1891" s="108"/>
      <c r="V1891" s="142"/>
      <c r="W1891" s="143"/>
      <c r="X1891" s="139"/>
      <c r="Y1891" s="36"/>
      <c r="Z1891" s="36"/>
      <c r="AA1891" s="49"/>
      <c r="AB1891" s="49"/>
      <c r="AC1891" s="49"/>
      <c r="AD1891" s="49"/>
      <c r="AE1891" s="49"/>
      <c r="AF1891" s="190" t="s">
        <v>503</v>
      </c>
      <c r="AG1891" s="144"/>
      <c r="AH1891" s="144"/>
      <c r="AI1891" s="42"/>
      <c r="AJ1891" s="43"/>
      <c r="AK1891" s="43"/>
      <c r="AL1891" s="43"/>
      <c r="AM1891" s="43"/>
      <c r="AN1891" s="42"/>
      <c r="AO1891" s="145"/>
      <c r="AP1891" s="42"/>
      <c r="AQ1891" s="42"/>
      <c r="AR1891" s="42"/>
      <c r="AS1891" s="42" t="s">
        <v>2429</v>
      </c>
    </row>
    <row r="1892" spans="1:45" ht="15" customHeight="1">
      <c r="A1892" s="135" t="s">
        <v>45</v>
      </c>
      <c r="B1892" s="136" t="s">
        <v>837</v>
      </c>
      <c r="C1892" s="136" t="s">
        <v>838</v>
      </c>
      <c r="D1892" s="136" t="s">
        <v>48</v>
      </c>
      <c r="E1892" s="137" t="s">
        <v>2430</v>
      </c>
      <c r="F1892" s="135" t="s">
        <v>2424</v>
      </c>
      <c r="G1892" s="135" t="s">
        <v>77</v>
      </c>
      <c r="H1892" s="26" t="s">
        <v>2425</v>
      </c>
      <c r="I1892" s="102" t="s">
        <v>479</v>
      </c>
      <c r="J1892" s="135" t="s">
        <v>2426</v>
      </c>
      <c r="K1892" s="138" t="s">
        <v>2432</v>
      </c>
      <c r="L1892" s="48" t="s">
        <v>2433</v>
      </c>
      <c r="M1892" s="49" t="s">
        <v>851</v>
      </c>
      <c r="N1892" s="49" t="s">
        <v>177</v>
      </c>
      <c r="O1892" s="139">
        <v>5500</v>
      </c>
      <c r="P1892" s="140">
        <v>1</v>
      </c>
      <c r="Q1892" s="141">
        <f t="shared" si="42"/>
        <v>5500</v>
      </c>
      <c r="R1892" s="31">
        <v>202310</v>
      </c>
      <c r="S1892" s="108" t="s">
        <v>2434</v>
      </c>
      <c r="T1892" s="33"/>
      <c r="U1892" s="58"/>
      <c r="V1892" s="142"/>
      <c r="W1892" s="143"/>
      <c r="X1892" s="139"/>
      <c r="Y1892" s="36"/>
      <c r="Z1892" s="36"/>
      <c r="AA1892" s="49"/>
      <c r="AB1892" s="49"/>
      <c r="AC1892" s="49"/>
      <c r="AD1892" s="49"/>
      <c r="AE1892" s="49"/>
      <c r="AF1892" s="144" t="s">
        <v>484</v>
      </c>
      <c r="AG1892" s="144"/>
      <c r="AH1892" s="144"/>
      <c r="AI1892" s="42"/>
      <c r="AJ1892" s="43"/>
      <c r="AK1892" s="43"/>
      <c r="AL1892" s="43"/>
      <c r="AM1892" s="43"/>
      <c r="AN1892" s="42"/>
      <c r="AO1892" s="145"/>
      <c r="AP1892" s="42"/>
      <c r="AQ1892" s="42"/>
      <c r="AR1892" s="42"/>
      <c r="AS1892" s="42" t="s">
        <v>2435</v>
      </c>
    </row>
    <row r="1893" spans="1:45" ht="15" customHeight="1">
      <c r="A1893" s="135" t="s">
        <v>45</v>
      </c>
      <c r="B1893" s="136" t="s">
        <v>837</v>
      </c>
      <c r="C1893" s="136" t="s">
        <v>838</v>
      </c>
      <c r="D1893" s="136" t="s">
        <v>48</v>
      </c>
      <c r="E1893" s="137" t="s">
        <v>2430</v>
      </c>
      <c r="F1893" s="135" t="s">
        <v>2424</v>
      </c>
      <c r="G1893" s="135" t="s">
        <v>77</v>
      </c>
      <c r="H1893" s="26" t="s">
        <v>2425</v>
      </c>
      <c r="I1893" s="102" t="s">
        <v>479</v>
      </c>
      <c r="J1893" s="135" t="s">
        <v>2426</v>
      </c>
      <c r="K1893" s="138" t="s">
        <v>2432</v>
      </c>
      <c r="L1893" s="48" t="s">
        <v>2433</v>
      </c>
      <c r="M1893" s="49" t="s">
        <v>851</v>
      </c>
      <c r="N1893" s="49" t="s">
        <v>177</v>
      </c>
      <c r="O1893" s="139">
        <v>5500</v>
      </c>
      <c r="P1893" s="140">
        <v>2</v>
      </c>
      <c r="Q1893" s="141">
        <f t="shared" si="42"/>
        <v>11000</v>
      </c>
      <c r="R1893" s="31">
        <v>202310</v>
      </c>
      <c r="S1893" s="108" t="s">
        <v>2436</v>
      </c>
      <c r="T1893" s="33"/>
      <c r="U1893" s="58"/>
      <c r="V1893" s="142"/>
      <c r="W1893" s="143"/>
      <c r="X1893" s="139"/>
      <c r="Y1893" s="36"/>
      <c r="Z1893" s="36"/>
      <c r="AA1893" s="49"/>
      <c r="AB1893" s="49"/>
      <c r="AC1893" s="49"/>
      <c r="AD1893" s="49"/>
      <c r="AE1893" s="49"/>
      <c r="AF1893" s="144" t="s">
        <v>484</v>
      </c>
      <c r="AG1893" s="144"/>
      <c r="AH1893" s="144"/>
      <c r="AI1893" s="42"/>
      <c r="AJ1893" s="43"/>
      <c r="AK1893" s="43"/>
      <c r="AL1893" s="43"/>
      <c r="AM1893" s="43"/>
      <c r="AN1893" s="42"/>
      <c r="AO1893" s="145"/>
      <c r="AP1893" s="42"/>
      <c r="AQ1893" s="42"/>
      <c r="AR1893" s="42"/>
      <c r="AS1893" s="42" t="s">
        <v>2435</v>
      </c>
    </row>
    <row r="1894" spans="1:45" ht="15" customHeight="1">
      <c r="A1894" s="135" t="s">
        <v>45</v>
      </c>
      <c r="B1894" s="136" t="s">
        <v>837</v>
      </c>
      <c r="C1894" s="136" t="s">
        <v>838</v>
      </c>
      <c r="D1894" s="136" t="s">
        <v>48</v>
      </c>
      <c r="E1894" s="137" t="s">
        <v>2430</v>
      </c>
      <c r="F1894" s="135" t="s">
        <v>2424</v>
      </c>
      <c r="G1894" s="135" t="s">
        <v>165</v>
      </c>
      <c r="H1894" s="26" t="s">
        <v>2425</v>
      </c>
      <c r="I1894" s="102" t="s">
        <v>491</v>
      </c>
      <c r="J1894" s="135" t="s">
        <v>2426</v>
      </c>
      <c r="K1894" s="138" t="s">
        <v>2432</v>
      </c>
      <c r="L1894" s="48"/>
      <c r="M1894" s="49">
        <v>43008</v>
      </c>
      <c r="N1894" s="49" t="s">
        <v>168</v>
      </c>
      <c r="O1894" s="139">
        <v>0</v>
      </c>
      <c r="P1894" s="140">
        <v>288</v>
      </c>
      <c r="Q1894" s="141">
        <f t="shared" si="42"/>
        <v>0</v>
      </c>
      <c r="R1894" s="31">
        <v>202310</v>
      </c>
      <c r="S1894" s="108" t="s">
        <v>2437</v>
      </c>
      <c r="T1894" s="33"/>
      <c r="U1894" s="58"/>
      <c r="V1894" s="142"/>
      <c r="W1894" s="143"/>
      <c r="X1894" s="139"/>
      <c r="Y1894" s="36"/>
      <c r="Z1894" s="36"/>
      <c r="AA1894" s="49"/>
      <c r="AB1894" s="49"/>
      <c r="AC1894" s="49"/>
      <c r="AD1894" s="49"/>
      <c r="AE1894" s="49"/>
      <c r="AF1894" s="144" t="s">
        <v>484</v>
      </c>
      <c r="AG1894" s="144"/>
      <c r="AH1894" s="144"/>
      <c r="AI1894" s="42"/>
      <c r="AJ1894" s="43"/>
      <c r="AK1894" s="43"/>
      <c r="AL1894" s="43"/>
      <c r="AM1894" s="43"/>
      <c r="AN1894" s="42"/>
      <c r="AO1894" s="145"/>
      <c r="AP1894" s="42"/>
      <c r="AQ1894" s="42"/>
      <c r="AR1894" s="42"/>
      <c r="AS1894" s="42" t="s">
        <v>2435</v>
      </c>
    </row>
    <row r="1895" spans="1:45" ht="15" customHeight="1">
      <c r="A1895" s="135" t="s">
        <v>45</v>
      </c>
      <c r="B1895" s="136" t="s">
        <v>837</v>
      </c>
      <c r="C1895" s="136" t="s">
        <v>838</v>
      </c>
      <c r="D1895" s="136" t="s">
        <v>48</v>
      </c>
      <c r="E1895" s="137" t="s">
        <v>2430</v>
      </c>
      <c r="F1895" s="135" t="s">
        <v>2424</v>
      </c>
      <c r="G1895" s="135" t="s">
        <v>165</v>
      </c>
      <c r="H1895" s="26" t="s">
        <v>2425</v>
      </c>
      <c r="I1895" s="102" t="s">
        <v>491</v>
      </c>
      <c r="J1895" s="135" t="s">
        <v>2426</v>
      </c>
      <c r="K1895" s="138" t="s">
        <v>2432</v>
      </c>
      <c r="L1895" s="48" t="s">
        <v>2433</v>
      </c>
      <c r="M1895" s="49">
        <v>44694</v>
      </c>
      <c r="N1895" s="49" t="s">
        <v>168</v>
      </c>
      <c r="O1895" s="139">
        <v>0</v>
      </c>
      <c r="P1895" s="140">
        <v>-288</v>
      </c>
      <c r="Q1895" s="141">
        <f>ROUND(O1895*P1895,2)</f>
        <v>0</v>
      </c>
      <c r="R1895" s="31">
        <v>202310</v>
      </c>
      <c r="S1895" s="108" t="s">
        <v>2438</v>
      </c>
      <c r="T1895" s="33"/>
      <c r="U1895" s="58"/>
      <c r="V1895" s="142"/>
      <c r="W1895" s="143"/>
      <c r="X1895" s="139"/>
      <c r="Y1895" s="36"/>
      <c r="Z1895" s="36"/>
      <c r="AA1895" s="49"/>
      <c r="AB1895" s="49"/>
      <c r="AC1895" s="49"/>
      <c r="AD1895" s="49"/>
      <c r="AE1895" s="49"/>
      <c r="AF1895" s="144" t="s">
        <v>484</v>
      </c>
      <c r="AG1895" s="144"/>
      <c r="AH1895" s="144"/>
      <c r="AI1895" s="42"/>
      <c r="AJ1895" s="43"/>
      <c r="AK1895" s="43"/>
      <c r="AL1895" s="43"/>
      <c r="AM1895" s="43"/>
      <c r="AN1895" s="42"/>
      <c r="AO1895" s="145"/>
      <c r="AP1895" s="42"/>
      <c r="AQ1895" s="42"/>
      <c r="AR1895" s="42"/>
      <c r="AS1895" s="42" t="s">
        <v>2435</v>
      </c>
    </row>
    <row r="1896" spans="1:45" ht="15" customHeight="1">
      <c r="A1896" s="135" t="s">
        <v>45</v>
      </c>
      <c r="B1896" s="136" t="s">
        <v>837</v>
      </c>
      <c r="C1896" s="136" t="s">
        <v>838</v>
      </c>
      <c r="D1896" s="136" t="s">
        <v>48</v>
      </c>
      <c r="E1896" s="137" t="s">
        <v>2430</v>
      </c>
      <c r="F1896" s="135" t="s">
        <v>2424</v>
      </c>
      <c r="G1896" s="135" t="s">
        <v>77</v>
      </c>
      <c r="H1896" s="26" t="s">
        <v>2425</v>
      </c>
      <c r="I1896" s="102" t="s">
        <v>479</v>
      </c>
      <c r="J1896" s="135" t="s">
        <v>865</v>
      </c>
      <c r="K1896" s="138" t="s">
        <v>2439</v>
      </c>
      <c r="L1896" s="48" t="s">
        <v>2433</v>
      </c>
      <c r="M1896" s="49">
        <v>43354</v>
      </c>
      <c r="N1896" s="49" t="s">
        <v>177</v>
      </c>
      <c r="O1896" s="139">
        <v>5500</v>
      </c>
      <c r="P1896" s="140">
        <v>3</v>
      </c>
      <c r="Q1896" s="141">
        <f t="shared" si="42"/>
        <v>16500</v>
      </c>
      <c r="R1896" s="31">
        <v>202310</v>
      </c>
      <c r="S1896" s="108" t="s">
        <v>2440</v>
      </c>
      <c r="T1896" s="33"/>
      <c r="U1896" s="108"/>
      <c r="V1896" s="142"/>
      <c r="W1896" s="143"/>
      <c r="X1896" s="139"/>
      <c r="Y1896" s="36"/>
      <c r="Z1896" s="36"/>
      <c r="AA1896" s="49"/>
      <c r="AB1896" s="49"/>
      <c r="AC1896" s="49"/>
      <c r="AD1896" s="49"/>
      <c r="AE1896" s="49"/>
      <c r="AF1896" s="144" t="s">
        <v>484</v>
      </c>
      <c r="AG1896" s="144"/>
      <c r="AH1896" s="144"/>
      <c r="AI1896" s="42"/>
      <c r="AJ1896" s="43"/>
      <c r="AK1896" s="43"/>
      <c r="AL1896" s="43"/>
      <c r="AM1896" s="43"/>
      <c r="AN1896" s="42"/>
      <c r="AO1896" s="145"/>
      <c r="AP1896" s="42"/>
      <c r="AQ1896" s="42"/>
      <c r="AR1896" s="42"/>
      <c r="AS1896" s="42" t="s">
        <v>2429</v>
      </c>
    </row>
    <row r="1897" spans="1:45" ht="15" customHeight="1">
      <c r="A1897" s="135" t="s">
        <v>45</v>
      </c>
      <c r="B1897" s="136" t="s">
        <v>837</v>
      </c>
      <c r="C1897" s="136" t="s">
        <v>838</v>
      </c>
      <c r="D1897" s="136" t="s">
        <v>48</v>
      </c>
      <c r="E1897" s="137" t="s">
        <v>2430</v>
      </c>
      <c r="F1897" s="135" t="s">
        <v>2424</v>
      </c>
      <c r="G1897" s="135" t="s">
        <v>165</v>
      </c>
      <c r="H1897" s="26" t="s">
        <v>2425</v>
      </c>
      <c r="I1897" s="102" t="s">
        <v>491</v>
      </c>
      <c r="J1897" s="135" t="s">
        <v>2426</v>
      </c>
      <c r="K1897" s="138" t="s">
        <v>2432</v>
      </c>
      <c r="L1897" s="48"/>
      <c r="M1897" s="49">
        <v>43354</v>
      </c>
      <c r="N1897" s="49" t="s">
        <v>168</v>
      </c>
      <c r="O1897" s="139">
        <v>0</v>
      </c>
      <c r="P1897" s="140">
        <v>288</v>
      </c>
      <c r="Q1897" s="141">
        <f t="shared" si="42"/>
        <v>0</v>
      </c>
      <c r="R1897" s="31">
        <v>202310</v>
      </c>
      <c r="S1897" s="108" t="s">
        <v>2441</v>
      </c>
      <c r="T1897" s="33"/>
      <c r="U1897" s="58"/>
      <c r="V1897" s="142"/>
      <c r="W1897" s="143"/>
      <c r="X1897" s="139"/>
      <c r="Y1897" s="36"/>
      <c r="Z1897" s="36"/>
      <c r="AA1897" s="49"/>
      <c r="AB1897" s="49"/>
      <c r="AC1897" s="49"/>
      <c r="AD1897" s="49"/>
      <c r="AE1897" s="49"/>
      <c r="AF1897" s="144" t="s">
        <v>484</v>
      </c>
      <c r="AG1897" s="144"/>
      <c r="AH1897" s="144"/>
      <c r="AI1897" s="42"/>
      <c r="AJ1897" s="43"/>
      <c r="AK1897" s="43"/>
      <c r="AL1897" s="43"/>
      <c r="AM1897" s="43"/>
      <c r="AN1897" s="42"/>
      <c r="AO1897" s="145"/>
      <c r="AP1897" s="42"/>
      <c r="AQ1897" s="42"/>
      <c r="AR1897" s="42"/>
      <c r="AS1897" s="42" t="s">
        <v>2435</v>
      </c>
    </row>
    <row r="1898" spans="1:45" ht="15" customHeight="1">
      <c r="A1898" s="135" t="s">
        <v>45</v>
      </c>
      <c r="B1898" s="136" t="s">
        <v>837</v>
      </c>
      <c r="C1898" s="136" t="s">
        <v>838</v>
      </c>
      <c r="D1898" s="136" t="s">
        <v>48</v>
      </c>
      <c r="E1898" s="137" t="s">
        <v>2430</v>
      </c>
      <c r="F1898" s="135" t="s">
        <v>2424</v>
      </c>
      <c r="G1898" s="135" t="s">
        <v>165</v>
      </c>
      <c r="H1898" s="26" t="s">
        <v>2425</v>
      </c>
      <c r="I1898" s="102" t="s">
        <v>491</v>
      </c>
      <c r="J1898" s="135" t="s">
        <v>2426</v>
      </c>
      <c r="K1898" s="138" t="s">
        <v>2432</v>
      </c>
      <c r="L1898" s="48" t="s">
        <v>2433</v>
      </c>
      <c r="M1898" s="49">
        <v>44773</v>
      </c>
      <c r="N1898" s="49" t="s">
        <v>168</v>
      </c>
      <c r="O1898" s="139">
        <v>0</v>
      </c>
      <c r="P1898" s="140">
        <v>-288</v>
      </c>
      <c r="Q1898" s="141">
        <f>ROUND(O1898*P1898,2)</f>
        <v>0</v>
      </c>
      <c r="R1898" s="31">
        <v>202310</v>
      </c>
      <c r="S1898" s="108" t="s">
        <v>2442</v>
      </c>
      <c r="T1898" s="33"/>
      <c r="U1898" s="58"/>
      <c r="V1898" s="142"/>
      <c r="W1898" s="143"/>
      <c r="X1898" s="139"/>
      <c r="Y1898" s="36"/>
      <c r="Z1898" s="36"/>
      <c r="AA1898" s="49"/>
      <c r="AB1898" s="49"/>
      <c r="AC1898" s="49"/>
      <c r="AD1898" s="49"/>
      <c r="AE1898" s="49"/>
      <c r="AF1898" s="144" t="s">
        <v>484</v>
      </c>
      <c r="AG1898" s="144"/>
      <c r="AH1898" s="144"/>
      <c r="AI1898" s="42"/>
      <c r="AJ1898" s="43"/>
      <c r="AK1898" s="43"/>
      <c r="AL1898" s="43"/>
      <c r="AM1898" s="43"/>
      <c r="AN1898" s="42"/>
      <c r="AO1898" s="145"/>
      <c r="AP1898" s="42"/>
      <c r="AQ1898" s="42"/>
      <c r="AR1898" s="42"/>
      <c r="AS1898" s="42" t="s">
        <v>2435</v>
      </c>
    </row>
    <row r="1899" spans="1:45" ht="15" customHeight="1">
      <c r="A1899" s="135" t="s">
        <v>45</v>
      </c>
      <c r="B1899" s="136" t="s">
        <v>837</v>
      </c>
      <c r="C1899" s="136" t="s">
        <v>838</v>
      </c>
      <c r="D1899" s="136" t="s">
        <v>48</v>
      </c>
      <c r="E1899" s="137" t="s">
        <v>2430</v>
      </c>
      <c r="F1899" s="135" t="s">
        <v>2424</v>
      </c>
      <c r="G1899" s="135" t="s">
        <v>165</v>
      </c>
      <c r="H1899" s="26" t="s">
        <v>2425</v>
      </c>
      <c r="I1899" s="102" t="s">
        <v>491</v>
      </c>
      <c r="J1899" s="135" t="s">
        <v>2426</v>
      </c>
      <c r="K1899" s="138" t="s">
        <v>2432</v>
      </c>
      <c r="L1899" s="48"/>
      <c r="M1899" s="49">
        <v>43354</v>
      </c>
      <c r="N1899" s="49" t="s">
        <v>168</v>
      </c>
      <c r="O1899" s="139">
        <v>0</v>
      </c>
      <c r="P1899" s="140">
        <v>128</v>
      </c>
      <c r="Q1899" s="141">
        <f t="shared" si="42"/>
        <v>0</v>
      </c>
      <c r="R1899" s="31">
        <v>202310</v>
      </c>
      <c r="S1899" s="108" t="s">
        <v>2443</v>
      </c>
      <c r="T1899" s="33"/>
      <c r="U1899" s="58"/>
      <c r="V1899" s="142"/>
      <c r="W1899" s="143"/>
      <c r="X1899" s="139"/>
      <c r="Y1899" s="36"/>
      <c r="Z1899" s="36"/>
      <c r="AA1899" s="49"/>
      <c r="AB1899" s="49"/>
      <c r="AC1899" s="49"/>
      <c r="AD1899" s="49"/>
      <c r="AE1899" s="49"/>
      <c r="AF1899" s="144" t="s">
        <v>484</v>
      </c>
      <c r="AG1899" s="144"/>
      <c r="AH1899" s="144"/>
      <c r="AI1899" s="42"/>
      <c r="AJ1899" s="43"/>
      <c r="AK1899" s="43"/>
      <c r="AL1899" s="43"/>
      <c r="AM1899" s="43"/>
      <c r="AN1899" s="42"/>
      <c r="AO1899" s="145"/>
      <c r="AP1899" s="42"/>
      <c r="AQ1899" s="42"/>
      <c r="AR1899" s="42"/>
      <c r="AS1899" s="42" t="s">
        <v>2435</v>
      </c>
    </row>
    <row r="1900" spans="1:45" ht="15" customHeight="1">
      <c r="A1900" s="135" t="s">
        <v>45</v>
      </c>
      <c r="B1900" s="136" t="s">
        <v>837</v>
      </c>
      <c r="C1900" s="136" t="s">
        <v>838</v>
      </c>
      <c r="D1900" s="136" t="s">
        <v>48</v>
      </c>
      <c r="E1900" s="137" t="s">
        <v>2430</v>
      </c>
      <c r="F1900" s="135" t="s">
        <v>2424</v>
      </c>
      <c r="G1900" s="135" t="s">
        <v>77</v>
      </c>
      <c r="H1900" s="26" t="s">
        <v>2425</v>
      </c>
      <c r="I1900" s="102" t="s">
        <v>479</v>
      </c>
      <c r="J1900" s="135" t="s">
        <v>865</v>
      </c>
      <c r="K1900" s="138" t="s">
        <v>2439</v>
      </c>
      <c r="L1900" s="48" t="s">
        <v>2433</v>
      </c>
      <c r="M1900" s="49">
        <v>44011</v>
      </c>
      <c r="N1900" s="49" t="s">
        <v>177</v>
      </c>
      <c r="O1900" s="139">
        <v>5500</v>
      </c>
      <c r="P1900" s="140">
        <v>1</v>
      </c>
      <c r="Q1900" s="141">
        <f t="shared" si="42"/>
        <v>5500</v>
      </c>
      <c r="R1900" s="31">
        <v>202310</v>
      </c>
      <c r="S1900" s="108" t="s">
        <v>2444</v>
      </c>
      <c r="T1900" s="33"/>
      <c r="U1900" s="108"/>
      <c r="V1900" s="142"/>
      <c r="W1900" s="143"/>
      <c r="X1900" s="139"/>
      <c r="Y1900" s="36"/>
      <c r="Z1900" s="36"/>
      <c r="AA1900" s="49"/>
      <c r="AB1900" s="49"/>
      <c r="AC1900" s="49"/>
      <c r="AD1900" s="49"/>
      <c r="AE1900" s="49"/>
      <c r="AF1900" s="144" t="s">
        <v>484</v>
      </c>
      <c r="AG1900" s="144"/>
      <c r="AH1900" s="144"/>
      <c r="AI1900" s="42"/>
      <c r="AJ1900" s="43"/>
      <c r="AK1900" s="43"/>
      <c r="AL1900" s="43"/>
      <c r="AM1900" s="43"/>
      <c r="AN1900" s="42"/>
      <c r="AO1900" s="145"/>
      <c r="AP1900" s="42"/>
      <c r="AQ1900" s="42"/>
      <c r="AR1900" s="42"/>
      <c r="AS1900" s="42" t="s">
        <v>2429</v>
      </c>
    </row>
    <row r="1901" spans="1:45" ht="15" customHeight="1">
      <c r="A1901" s="135" t="s">
        <v>45</v>
      </c>
      <c r="B1901" s="136" t="s">
        <v>837</v>
      </c>
      <c r="C1901" s="136" t="s">
        <v>838</v>
      </c>
      <c r="D1901" s="136" t="s">
        <v>48</v>
      </c>
      <c r="E1901" s="137" t="s">
        <v>2430</v>
      </c>
      <c r="F1901" s="135" t="s">
        <v>2424</v>
      </c>
      <c r="G1901" s="135" t="s">
        <v>77</v>
      </c>
      <c r="H1901" s="26" t="s">
        <v>2425</v>
      </c>
      <c r="I1901" s="102" t="s">
        <v>479</v>
      </c>
      <c r="J1901" s="135" t="s">
        <v>865</v>
      </c>
      <c r="K1901" s="138" t="s">
        <v>2439</v>
      </c>
      <c r="L1901" s="48" t="s">
        <v>2433</v>
      </c>
      <c r="M1901" s="49">
        <v>44681</v>
      </c>
      <c r="N1901" s="49" t="s">
        <v>177</v>
      </c>
      <c r="O1901" s="139">
        <v>5500</v>
      </c>
      <c r="P1901" s="140">
        <v>-2</v>
      </c>
      <c r="Q1901" s="141">
        <f t="shared" si="42"/>
        <v>-11000</v>
      </c>
      <c r="R1901" s="31">
        <v>202310</v>
      </c>
      <c r="S1901" s="108" t="s">
        <v>2445</v>
      </c>
      <c r="T1901" s="33"/>
      <c r="U1901" s="108"/>
      <c r="V1901" s="142"/>
      <c r="W1901" s="143"/>
      <c r="X1901" s="139"/>
      <c r="Y1901" s="36"/>
      <c r="Z1901" s="36"/>
      <c r="AA1901" s="49"/>
      <c r="AB1901" s="49"/>
      <c r="AC1901" s="49"/>
      <c r="AD1901" s="49"/>
      <c r="AE1901" s="49"/>
      <c r="AF1901" s="144" t="s">
        <v>484</v>
      </c>
      <c r="AG1901" s="144"/>
      <c r="AH1901" s="144"/>
      <c r="AI1901" s="42"/>
      <c r="AJ1901" s="43"/>
      <c r="AK1901" s="43"/>
      <c r="AL1901" s="43"/>
      <c r="AM1901" s="43"/>
      <c r="AN1901" s="42"/>
      <c r="AO1901" s="145"/>
      <c r="AP1901" s="42"/>
      <c r="AQ1901" s="42"/>
      <c r="AR1901" s="42"/>
      <c r="AS1901" s="42" t="s">
        <v>2429</v>
      </c>
    </row>
    <row r="1902" spans="1:45" ht="15" customHeight="1">
      <c r="A1902" s="135" t="s">
        <v>45</v>
      </c>
      <c r="B1902" s="136" t="s">
        <v>837</v>
      </c>
      <c r="C1902" s="136" t="s">
        <v>838</v>
      </c>
      <c r="D1902" s="136" t="s">
        <v>48</v>
      </c>
      <c r="E1902" s="137" t="s">
        <v>2430</v>
      </c>
      <c r="F1902" s="135" t="s">
        <v>2424</v>
      </c>
      <c r="G1902" s="135" t="s">
        <v>77</v>
      </c>
      <c r="H1902" s="26" t="s">
        <v>2425</v>
      </c>
      <c r="I1902" s="102" t="s">
        <v>479</v>
      </c>
      <c r="J1902" s="135" t="s">
        <v>2426</v>
      </c>
      <c r="K1902" s="138" t="s">
        <v>2432</v>
      </c>
      <c r="L1902" s="48" t="s">
        <v>2433</v>
      </c>
      <c r="M1902" s="49">
        <v>44011</v>
      </c>
      <c r="N1902" s="49" t="s">
        <v>177</v>
      </c>
      <c r="O1902" s="139">
        <v>5500</v>
      </c>
      <c r="P1902" s="140">
        <v>1</v>
      </c>
      <c r="Q1902" s="141">
        <f t="shared" si="42"/>
        <v>5500</v>
      </c>
      <c r="R1902" s="31">
        <v>202310</v>
      </c>
      <c r="S1902" s="108" t="s">
        <v>2446</v>
      </c>
      <c r="T1902" s="33"/>
      <c r="U1902" s="58"/>
      <c r="V1902" s="142"/>
      <c r="W1902" s="143"/>
      <c r="X1902" s="139"/>
      <c r="Y1902" s="36"/>
      <c r="Z1902" s="36"/>
      <c r="AA1902" s="49"/>
      <c r="AB1902" s="49"/>
      <c r="AC1902" s="49"/>
      <c r="AD1902" s="49"/>
      <c r="AE1902" s="49"/>
      <c r="AF1902" s="144" t="s">
        <v>484</v>
      </c>
      <c r="AG1902" s="144"/>
      <c r="AH1902" s="144"/>
      <c r="AI1902" s="42"/>
      <c r="AJ1902" s="43"/>
      <c r="AK1902" s="43"/>
      <c r="AL1902" s="43"/>
      <c r="AM1902" s="43"/>
      <c r="AN1902" s="42"/>
      <c r="AO1902" s="145"/>
      <c r="AP1902" s="42"/>
      <c r="AQ1902" s="42"/>
      <c r="AR1902" s="42"/>
      <c r="AS1902" s="42" t="s">
        <v>2435</v>
      </c>
    </row>
    <row r="1903" spans="1:45" ht="15" customHeight="1">
      <c r="A1903" s="135" t="s">
        <v>45</v>
      </c>
      <c r="B1903" s="136" t="s">
        <v>837</v>
      </c>
      <c r="C1903" s="136" t="s">
        <v>838</v>
      </c>
      <c r="D1903" s="136" t="s">
        <v>48</v>
      </c>
      <c r="E1903" s="137" t="s">
        <v>2430</v>
      </c>
      <c r="F1903" s="135" t="s">
        <v>2424</v>
      </c>
      <c r="G1903" s="135" t="s">
        <v>77</v>
      </c>
      <c r="H1903" s="26" t="s">
        <v>2425</v>
      </c>
      <c r="I1903" s="102" t="s">
        <v>479</v>
      </c>
      <c r="J1903" s="135" t="s">
        <v>2426</v>
      </c>
      <c r="K1903" s="138" t="s">
        <v>2432</v>
      </c>
      <c r="L1903" s="48" t="s">
        <v>2433</v>
      </c>
      <c r="M1903" s="49">
        <v>44306</v>
      </c>
      <c r="N1903" s="49" t="s">
        <v>177</v>
      </c>
      <c r="O1903" s="139">
        <v>5500</v>
      </c>
      <c r="P1903" s="140">
        <v>1</v>
      </c>
      <c r="Q1903" s="141">
        <f t="shared" si="42"/>
        <v>5500</v>
      </c>
      <c r="R1903" s="31">
        <v>202310</v>
      </c>
      <c r="S1903" s="108" t="s">
        <v>2447</v>
      </c>
      <c r="T1903" s="33"/>
      <c r="U1903" s="58"/>
      <c r="V1903" s="142"/>
      <c r="W1903" s="143"/>
      <c r="X1903" s="139"/>
      <c r="Y1903" s="36"/>
      <c r="Z1903" s="36"/>
      <c r="AA1903" s="49"/>
      <c r="AB1903" s="49"/>
      <c r="AC1903" s="49"/>
      <c r="AD1903" s="49"/>
      <c r="AE1903" s="49"/>
      <c r="AF1903" s="144" t="s">
        <v>484</v>
      </c>
      <c r="AG1903" s="144"/>
      <c r="AH1903" s="144"/>
      <c r="AI1903" s="42"/>
      <c r="AJ1903" s="43"/>
      <c r="AK1903" s="43"/>
      <c r="AL1903" s="43"/>
      <c r="AM1903" s="43"/>
      <c r="AN1903" s="42"/>
      <c r="AO1903" s="145"/>
      <c r="AP1903" s="42"/>
      <c r="AQ1903" s="42"/>
      <c r="AR1903" s="42"/>
      <c r="AS1903" s="42" t="s">
        <v>2435</v>
      </c>
    </row>
    <row r="1904" spans="1:45" ht="15" customHeight="1">
      <c r="A1904" s="135" t="s">
        <v>45</v>
      </c>
      <c r="B1904" s="136" t="s">
        <v>837</v>
      </c>
      <c r="C1904" s="136" t="s">
        <v>838</v>
      </c>
      <c r="D1904" s="136" t="s">
        <v>48</v>
      </c>
      <c r="E1904" s="137" t="s">
        <v>2430</v>
      </c>
      <c r="F1904" s="135" t="s">
        <v>2424</v>
      </c>
      <c r="G1904" s="135" t="s">
        <v>165</v>
      </c>
      <c r="H1904" s="26" t="s">
        <v>2425</v>
      </c>
      <c r="I1904" s="102" t="s">
        <v>491</v>
      </c>
      <c r="J1904" s="135" t="s">
        <v>2426</v>
      </c>
      <c r="K1904" s="138" t="s">
        <v>2432</v>
      </c>
      <c r="L1904" s="48" t="s">
        <v>2433</v>
      </c>
      <c r="M1904" s="49">
        <v>44306</v>
      </c>
      <c r="N1904" s="49" t="s">
        <v>168</v>
      </c>
      <c r="O1904" s="139">
        <v>0</v>
      </c>
      <c r="P1904" s="140">
        <v>128</v>
      </c>
      <c r="Q1904" s="141">
        <f t="shared" si="42"/>
        <v>0</v>
      </c>
      <c r="R1904" s="31">
        <v>202310</v>
      </c>
      <c r="S1904" s="108" t="s">
        <v>2448</v>
      </c>
      <c r="T1904" s="33"/>
      <c r="U1904" s="58"/>
      <c r="V1904" s="142"/>
      <c r="W1904" s="143"/>
      <c r="X1904" s="139"/>
      <c r="Y1904" s="36"/>
      <c r="Z1904" s="36"/>
      <c r="AA1904" s="49"/>
      <c r="AB1904" s="49"/>
      <c r="AC1904" s="49"/>
      <c r="AD1904" s="49"/>
      <c r="AE1904" s="49"/>
      <c r="AF1904" s="144" t="s">
        <v>484</v>
      </c>
      <c r="AG1904" s="144"/>
      <c r="AH1904" s="144"/>
      <c r="AI1904" s="42"/>
      <c r="AJ1904" s="43"/>
      <c r="AK1904" s="43"/>
      <c r="AL1904" s="43"/>
      <c r="AM1904" s="43"/>
      <c r="AN1904" s="42"/>
      <c r="AO1904" s="145"/>
      <c r="AP1904" s="42"/>
      <c r="AQ1904" s="42"/>
      <c r="AR1904" s="42"/>
      <c r="AS1904" s="42" t="s">
        <v>2435</v>
      </c>
    </row>
    <row r="1905" spans="1:45" ht="15" customHeight="1">
      <c r="A1905" s="135" t="s">
        <v>45</v>
      </c>
      <c r="B1905" s="136" t="s">
        <v>837</v>
      </c>
      <c r="C1905" s="136" t="s">
        <v>838</v>
      </c>
      <c r="D1905" s="136" t="s">
        <v>48</v>
      </c>
      <c r="E1905" s="137" t="s">
        <v>2430</v>
      </c>
      <c r="F1905" s="135" t="s">
        <v>2424</v>
      </c>
      <c r="G1905" s="135" t="s">
        <v>165</v>
      </c>
      <c r="H1905" s="26" t="s">
        <v>2425</v>
      </c>
      <c r="I1905" s="102" t="s">
        <v>491</v>
      </c>
      <c r="J1905" s="135" t="s">
        <v>2426</v>
      </c>
      <c r="K1905" s="138" t="s">
        <v>2432</v>
      </c>
      <c r="L1905" s="48" t="s">
        <v>2433</v>
      </c>
      <c r="M1905" s="49"/>
      <c r="N1905" s="49" t="s">
        <v>646</v>
      </c>
      <c r="O1905" s="139">
        <v>0</v>
      </c>
      <c r="P1905" s="140">
        <v>0</v>
      </c>
      <c r="Q1905" s="141">
        <f t="shared" si="42"/>
        <v>0</v>
      </c>
      <c r="R1905" s="31">
        <v>202310</v>
      </c>
      <c r="S1905" s="108" t="s">
        <v>2449</v>
      </c>
      <c r="T1905" s="33"/>
      <c r="U1905" s="58"/>
      <c r="V1905" s="142"/>
      <c r="W1905" s="143"/>
      <c r="X1905" s="139"/>
      <c r="Y1905" s="36"/>
      <c r="Z1905" s="36"/>
      <c r="AA1905" s="49"/>
      <c r="AB1905" s="49"/>
      <c r="AC1905" s="49"/>
      <c r="AD1905" s="49"/>
      <c r="AE1905" s="49"/>
      <c r="AF1905" s="144" t="s">
        <v>484</v>
      </c>
      <c r="AG1905" s="144"/>
      <c r="AH1905" s="144"/>
      <c r="AI1905" s="42"/>
      <c r="AJ1905" s="43"/>
      <c r="AK1905" s="43"/>
      <c r="AL1905" s="43"/>
      <c r="AM1905" s="43"/>
      <c r="AN1905" s="42"/>
      <c r="AO1905" s="145"/>
      <c r="AP1905" s="42"/>
      <c r="AQ1905" s="42"/>
      <c r="AR1905" s="42"/>
      <c r="AS1905" s="42" t="s">
        <v>2435</v>
      </c>
    </row>
    <row r="1906" spans="1:45" ht="15" customHeight="1">
      <c r="A1906" s="135" t="s">
        <v>45</v>
      </c>
      <c r="B1906" s="136" t="s">
        <v>837</v>
      </c>
      <c r="C1906" s="136" t="s">
        <v>838</v>
      </c>
      <c r="D1906" s="136" t="s">
        <v>48</v>
      </c>
      <c r="E1906" s="137" t="s">
        <v>2430</v>
      </c>
      <c r="F1906" s="135" t="s">
        <v>2424</v>
      </c>
      <c r="G1906" s="135" t="s">
        <v>77</v>
      </c>
      <c r="H1906" s="26" t="s">
        <v>2425</v>
      </c>
      <c r="I1906" s="102" t="s">
        <v>479</v>
      </c>
      <c r="J1906" s="135" t="s">
        <v>2426</v>
      </c>
      <c r="K1906" s="138" t="s">
        <v>2432</v>
      </c>
      <c r="L1906" s="48" t="s">
        <v>2433</v>
      </c>
      <c r="M1906" s="49">
        <v>44489</v>
      </c>
      <c r="N1906" s="49" t="s">
        <v>177</v>
      </c>
      <c r="O1906" s="139">
        <v>5500</v>
      </c>
      <c r="P1906" s="140">
        <v>1</v>
      </c>
      <c r="Q1906" s="141">
        <f t="shared" si="42"/>
        <v>5500</v>
      </c>
      <c r="R1906" s="31">
        <v>202310</v>
      </c>
      <c r="S1906" s="108" t="s">
        <v>2450</v>
      </c>
      <c r="T1906" s="33"/>
      <c r="U1906" s="58"/>
      <c r="V1906" s="142"/>
      <c r="W1906" s="143"/>
      <c r="X1906" s="139"/>
      <c r="Y1906" s="36"/>
      <c r="Z1906" s="36"/>
      <c r="AA1906" s="49"/>
      <c r="AB1906" s="49"/>
      <c r="AC1906" s="49"/>
      <c r="AD1906" s="49"/>
      <c r="AE1906" s="49"/>
      <c r="AF1906" s="144" t="s">
        <v>484</v>
      </c>
      <c r="AG1906" s="144"/>
      <c r="AH1906" s="144"/>
      <c r="AI1906" s="42"/>
      <c r="AJ1906" s="43"/>
      <c r="AK1906" s="43"/>
      <c r="AL1906" s="43"/>
      <c r="AM1906" s="43"/>
      <c r="AN1906" s="42"/>
      <c r="AO1906" s="145"/>
      <c r="AP1906" s="42"/>
      <c r="AQ1906" s="42"/>
      <c r="AR1906" s="42"/>
      <c r="AS1906" s="42" t="s">
        <v>2435</v>
      </c>
    </row>
    <row r="1907" spans="1:45" ht="15" customHeight="1">
      <c r="A1907" s="135" t="s">
        <v>45</v>
      </c>
      <c r="B1907" s="136" t="s">
        <v>837</v>
      </c>
      <c r="C1907" s="136" t="s">
        <v>838</v>
      </c>
      <c r="D1907" s="136" t="s">
        <v>48</v>
      </c>
      <c r="E1907" s="137" t="s">
        <v>2430</v>
      </c>
      <c r="F1907" s="135" t="s">
        <v>2424</v>
      </c>
      <c r="G1907" s="135" t="s">
        <v>77</v>
      </c>
      <c r="H1907" s="26" t="s">
        <v>2425</v>
      </c>
      <c r="I1907" s="102" t="s">
        <v>479</v>
      </c>
      <c r="J1907" s="135" t="s">
        <v>2426</v>
      </c>
      <c r="K1907" s="138" t="s">
        <v>2439</v>
      </c>
      <c r="L1907" s="48" t="s">
        <v>2433</v>
      </c>
      <c r="M1907" s="49">
        <v>44694</v>
      </c>
      <c r="N1907" s="49" t="s">
        <v>177</v>
      </c>
      <c r="O1907" s="139">
        <v>5500</v>
      </c>
      <c r="P1907" s="140">
        <v>-2</v>
      </c>
      <c r="Q1907" s="141">
        <f t="shared" si="42"/>
        <v>-11000</v>
      </c>
      <c r="R1907" s="31">
        <v>202310</v>
      </c>
      <c r="S1907" s="108" t="s">
        <v>2451</v>
      </c>
      <c r="T1907" s="33"/>
      <c r="U1907" s="108"/>
      <c r="V1907" s="142"/>
      <c r="W1907" s="143"/>
      <c r="X1907" s="139"/>
      <c r="Y1907" s="36"/>
      <c r="Z1907" s="36"/>
      <c r="AA1907" s="49"/>
      <c r="AB1907" s="49"/>
      <c r="AC1907" s="49"/>
      <c r="AD1907" s="49"/>
      <c r="AE1907" s="49"/>
      <c r="AF1907" s="144" t="s">
        <v>484</v>
      </c>
      <c r="AG1907" s="144"/>
      <c r="AH1907" s="144"/>
      <c r="AI1907" s="42"/>
      <c r="AJ1907" s="43"/>
      <c r="AK1907" s="43"/>
      <c r="AL1907" s="43"/>
      <c r="AM1907" s="43"/>
      <c r="AN1907" s="42"/>
      <c r="AO1907" s="145"/>
      <c r="AP1907" s="42"/>
      <c r="AQ1907" s="42"/>
      <c r="AR1907" s="42"/>
      <c r="AS1907" s="42" t="s">
        <v>2429</v>
      </c>
    </row>
    <row r="1908" spans="1:45" ht="15" customHeight="1">
      <c r="A1908" s="135" t="s">
        <v>45</v>
      </c>
      <c r="B1908" s="136" t="s">
        <v>837</v>
      </c>
      <c r="C1908" s="136" t="s">
        <v>838</v>
      </c>
      <c r="D1908" s="136" t="s">
        <v>48</v>
      </c>
      <c r="E1908" s="137" t="s">
        <v>2430</v>
      </c>
      <c r="F1908" s="135" t="s">
        <v>2424</v>
      </c>
      <c r="G1908" s="135" t="s">
        <v>77</v>
      </c>
      <c r="H1908" s="26" t="s">
        <v>2425</v>
      </c>
      <c r="I1908" s="102" t="s">
        <v>479</v>
      </c>
      <c r="J1908" s="135" t="s">
        <v>865</v>
      </c>
      <c r="K1908" s="138" t="s">
        <v>2424</v>
      </c>
      <c r="L1908" s="48" t="s">
        <v>2427</v>
      </c>
      <c r="M1908" s="49">
        <v>44773</v>
      </c>
      <c r="N1908" s="49" t="s">
        <v>177</v>
      </c>
      <c r="O1908" s="139">
        <v>5000</v>
      </c>
      <c r="P1908" s="140">
        <v>-2</v>
      </c>
      <c r="Q1908" s="141">
        <f t="shared" si="42"/>
        <v>-10000</v>
      </c>
      <c r="R1908" s="31">
        <v>202310</v>
      </c>
      <c r="S1908" s="108" t="s">
        <v>2452</v>
      </c>
      <c r="T1908" s="33"/>
      <c r="U1908" s="108"/>
      <c r="V1908" s="142"/>
      <c r="W1908" s="143"/>
      <c r="X1908" s="139"/>
      <c r="Y1908" s="36"/>
      <c r="Z1908" s="36"/>
      <c r="AA1908" s="49"/>
      <c r="AB1908" s="49"/>
      <c r="AC1908" s="49"/>
      <c r="AD1908" s="49"/>
      <c r="AE1908" s="49"/>
      <c r="AF1908" s="190" t="s">
        <v>503</v>
      </c>
      <c r="AG1908" s="144"/>
      <c r="AH1908" s="144"/>
      <c r="AI1908" s="42"/>
      <c r="AJ1908" s="43"/>
      <c r="AK1908" s="43"/>
      <c r="AL1908" s="43"/>
      <c r="AM1908" s="43"/>
      <c r="AN1908" s="42"/>
      <c r="AO1908" s="145"/>
      <c r="AP1908" s="42"/>
      <c r="AQ1908" s="42"/>
      <c r="AR1908" s="42"/>
      <c r="AS1908" s="42" t="s">
        <v>2429</v>
      </c>
    </row>
    <row r="1909" spans="1:45" ht="15" customHeight="1">
      <c r="A1909" s="135" t="s">
        <v>45</v>
      </c>
      <c r="B1909" s="136" t="s">
        <v>837</v>
      </c>
      <c r="C1909" s="136" t="s">
        <v>838</v>
      </c>
      <c r="D1909" s="136" t="s">
        <v>48</v>
      </c>
      <c r="E1909" s="137" t="s">
        <v>2430</v>
      </c>
      <c r="F1909" s="135" t="s">
        <v>2424</v>
      </c>
      <c r="G1909" s="135" t="s">
        <v>165</v>
      </c>
      <c r="H1909" s="26" t="s">
        <v>2425</v>
      </c>
      <c r="I1909" s="102" t="s">
        <v>491</v>
      </c>
      <c r="J1909" s="135" t="s">
        <v>865</v>
      </c>
      <c r="K1909" s="138" t="s">
        <v>2424</v>
      </c>
      <c r="L1909" s="48" t="s">
        <v>2427</v>
      </c>
      <c r="M1909" s="49">
        <v>44773</v>
      </c>
      <c r="N1909" s="49" t="s">
        <v>168</v>
      </c>
      <c r="O1909" s="139">
        <v>0</v>
      </c>
      <c r="P1909" s="140">
        <v>-288</v>
      </c>
      <c r="Q1909" s="141">
        <f t="shared" si="42"/>
        <v>0</v>
      </c>
      <c r="R1909" s="31">
        <v>202310</v>
      </c>
      <c r="S1909" s="108" t="s">
        <v>2453</v>
      </c>
      <c r="T1909" s="33"/>
      <c r="U1909" s="108"/>
      <c r="V1909" s="142"/>
      <c r="W1909" s="143"/>
      <c r="X1909" s="139"/>
      <c r="Y1909" s="36"/>
      <c r="Z1909" s="36"/>
      <c r="AA1909" s="49"/>
      <c r="AB1909" s="49"/>
      <c r="AC1909" s="49"/>
      <c r="AD1909" s="49"/>
      <c r="AE1909" s="49"/>
      <c r="AF1909" s="190" t="s">
        <v>503</v>
      </c>
      <c r="AG1909" s="144"/>
      <c r="AH1909" s="144"/>
      <c r="AI1909" s="42"/>
      <c r="AJ1909" s="43"/>
      <c r="AK1909" s="43"/>
      <c r="AL1909" s="43"/>
      <c r="AM1909" s="43"/>
      <c r="AN1909" s="42"/>
      <c r="AO1909" s="145"/>
      <c r="AP1909" s="42"/>
      <c r="AQ1909" s="42"/>
      <c r="AR1909" s="42"/>
      <c r="AS1909" s="42" t="s">
        <v>2429</v>
      </c>
    </row>
    <row r="1910" spans="1:45" ht="15" customHeight="1">
      <c r="A1910" s="135" t="s">
        <v>45</v>
      </c>
      <c r="B1910" s="136" t="s">
        <v>837</v>
      </c>
      <c r="C1910" s="136" t="s">
        <v>838</v>
      </c>
      <c r="D1910" s="136" t="s">
        <v>48</v>
      </c>
      <c r="E1910" s="137" t="s">
        <v>2430</v>
      </c>
      <c r="F1910" s="135" t="s">
        <v>2424</v>
      </c>
      <c r="G1910" s="135" t="s">
        <v>77</v>
      </c>
      <c r="H1910" s="26" t="s">
        <v>2425</v>
      </c>
      <c r="I1910" s="102" t="s">
        <v>479</v>
      </c>
      <c r="J1910" s="135" t="s">
        <v>2426</v>
      </c>
      <c r="K1910" s="138" t="s">
        <v>2432</v>
      </c>
      <c r="L1910" s="48" t="s">
        <v>2433</v>
      </c>
      <c r="M1910" s="49">
        <v>44773</v>
      </c>
      <c r="N1910" s="49" t="s">
        <v>177</v>
      </c>
      <c r="O1910" s="139">
        <v>5500</v>
      </c>
      <c r="P1910" s="140">
        <v>-3</v>
      </c>
      <c r="Q1910" s="141">
        <f t="shared" si="42"/>
        <v>-16500</v>
      </c>
      <c r="R1910" s="31">
        <v>202310</v>
      </c>
      <c r="S1910" s="108" t="s">
        <v>2454</v>
      </c>
      <c r="T1910" s="33"/>
      <c r="U1910" s="58"/>
      <c r="V1910" s="142"/>
      <c r="W1910" s="143"/>
      <c r="X1910" s="139"/>
      <c r="Y1910" s="36"/>
      <c r="Z1910" s="36"/>
      <c r="AA1910" s="49"/>
      <c r="AB1910" s="49"/>
      <c r="AC1910" s="49"/>
      <c r="AD1910" s="49"/>
      <c r="AE1910" s="49"/>
      <c r="AF1910" s="144" t="s">
        <v>484</v>
      </c>
      <c r="AG1910" s="144"/>
      <c r="AH1910" s="144"/>
      <c r="AI1910" s="42"/>
      <c r="AJ1910" s="43"/>
      <c r="AK1910" s="43"/>
      <c r="AL1910" s="43"/>
      <c r="AM1910" s="43"/>
      <c r="AN1910" s="42"/>
      <c r="AO1910" s="145"/>
      <c r="AP1910" s="42"/>
      <c r="AQ1910" s="42"/>
      <c r="AR1910" s="42"/>
      <c r="AS1910" s="42" t="s">
        <v>2435</v>
      </c>
    </row>
    <row r="1911" spans="1:45" ht="15" customHeight="1">
      <c r="A1911" s="135" t="s">
        <v>45</v>
      </c>
      <c r="B1911" s="136" t="s">
        <v>837</v>
      </c>
      <c r="C1911" s="136" t="s">
        <v>838</v>
      </c>
      <c r="D1911" s="136" t="s">
        <v>48</v>
      </c>
      <c r="E1911" s="198" t="s">
        <v>2430</v>
      </c>
      <c r="F1911" s="76" t="s">
        <v>2424</v>
      </c>
      <c r="G1911" s="74" t="s">
        <v>77</v>
      </c>
      <c r="H1911" s="136" t="s">
        <v>2455</v>
      </c>
      <c r="I1911" s="76" t="s">
        <v>479</v>
      </c>
      <c r="J1911" s="146" t="s">
        <v>2456</v>
      </c>
      <c r="K1911" s="146" t="s">
        <v>2457</v>
      </c>
      <c r="L1911" s="199" t="s">
        <v>2458</v>
      </c>
      <c r="M1911" s="75">
        <v>45047</v>
      </c>
      <c r="N1911" s="200" t="s">
        <v>177</v>
      </c>
      <c r="O1911" s="139">
        <v>5500</v>
      </c>
      <c r="P1911" s="201">
        <v>1</v>
      </c>
      <c r="Q1911" s="51">
        <f t="shared" si="42"/>
        <v>5500</v>
      </c>
      <c r="R1911" s="31">
        <v>202310</v>
      </c>
      <c r="S1911" s="202" t="s">
        <v>2459</v>
      </c>
      <c r="T1911" s="33"/>
      <c r="U1911" s="203"/>
      <c r="V1911" s="204"/>
      <c r="W1911" s="205"/>
      <c r="X1911" s="206"/>
      <c r="Y1911" s="36"/>
      <c r="Z1911" s="36"/>
      <c r="AA1911" s="108"/>
      <c r="AB1911" s="108"/>
      <c r="AC1911" s="108"/>
      <c r="AD1911" s="108"/>
      <c r="AE1911" s="108"/>
      <c r="AF1911" s="190" t="s">
        <v>484</v>
      </c>
      <c r="AG1911" s="40"/>
      <c r="AH1911" s="42"/>
      <c r="AI1911" s="42"/>
      <c r="AJ1911" s="43"/>
      <c r="AK1911" s="43"/>
      <c r="AL1911" s="43"/>
      <c r="AM1911" s="43"/>
      <c r="AN1911" s="42"/>
      <c r="AO1911" s="42"/>
      <c r="AP1911" s="42"/>
      <c r="AQ1911" s="42"/>
      <c r="AR1911" s="42"/>
      <c r="AS1911" s="42" t="s">
        <v>2429</v>
      </c>
    </row>
    <row r="1912" spans="1:45" ht="15" customHeight="1">
      <c r="A1912" s="135" t="s">
        <v>45</v>
      </c>
      <c r="B1912" s="136" t="s">
        <v>837</v>
      </c>
      <c r="C1912" s="136" t="s">
        <v>838</v>
      </c>
      <c r="D1912" s="136" t="s">
        <v>48</v>
      </c>
      <c r="E1912" s="198" t="s">
        <v>2430</v>
      </c>
      <c r="F1912" s="76" t="s">
        <v>2424</v>
      </c>
      <c r="G1912" s="74" t="s">
        <v>165</v>
      </c>
      <c r="H1912" s="136" t="s">
        <v>2455</v>
      </c>
      <c r="I1912" s="76" t="s">
        <v>491</v>
      </c>
      <c r="J1912" s="146" t="s">
        <v>2456</v>
      </c>
      <c r="K1912" s="146" t="s">
        <v>2457</v>
      </c>
      <c r="L1912" s="199" t="s">
        <v>2458</v>
      </c>
      <c r="M1912" s="75">
        <v>45054</v>
      </c>
      <c r="N1912" s="200" t="s">
        <v>168</v>
      </c>
      <c r="O1912" s="207">
        <v>0</v>
      </c>
      <c r="P1912" s="201">
        <v>1024</v>
      </c>
      <c r="Q1912" s="208">
        <f t="shared" si="42"/>
        <v>0</v>
      </c>
      <c r="R1912" s="31">
        <v>202310</v>
      </c>
      <c r="S1912" s="202" t="s">
        <v>2460</v>
      </c>
      <c r="T1912" s="33"/>
      <c r="U1912" s="203"/>
      <c r="V1912" s="204"/>
      <c r="W1912" s="205"/>
      <c r="X1912" s="206"/>
      <c r="Y1912" s="36"/>
      <c r="Z1912" s="36"/>
      <c r="AA1912" s="108"/>
      <c r="AB1912" s="108"/>
      <c r="AC1912" s="108"/>
      <c r="AD1912" s="108"/>
      <c r="AE1912" s="108"/>
      <c r="AF1912" s="190" t="s">
        <v>484</v>
      </c>
      <c r="AG1912" s="40"/>
      <c r="AH1912" s="42"/>
      <c r="AI1912" s="42"/>
      <c r="AJ1912" s="43"/>
      <c r="AK1912" s="43"/>
      <c r="AL1912" s="43"/>
      <c r="AM1912" s="43"/>
      <c r="AN1912" s="42"/>
      <c r="AO1912" s="42"/>
      <c r="AP1912" s="42"/>
      <c r="AQ1912" s="42"/>
      <c r="AR1912" s="42"/>
      <c r="AS1912" s="42" t="s">
        <v>2429</v>
      </c>
    </row>
    <row r="1913" spans="1:45" ht="15" customHeight="1">
      <c r="A1913" s="135" t="s">
        <v>45</v>
      </c>
      <c r="B1913" s="136" t="s">
        <v>837</v>
      </c>
      <c r="C1913" s="136" t="s">
        <v>838</v>
      </c>
      <c r="D1913" s="136" t="s">
        <v>48</v>
      </c>
      <c r="E1913" s="198" t="s">
        <v>2430</v>
      </c>
      <c r="F1913" s="76" t="s">
        <v>2424</v>
      </c>
      <c r="G1913" s="74" t="s">
        <v>165</v>
      </c>
      <c r="H1913" s="136" t="s">
        <v>2455</v>
      </c>
      <c r="I1913" s="76" t="s">
        <v>491</v>
      </c>
      <c r="J1913" s="146" t="s">
        <v>2456</v>
      </c>
      <c r="K1913" s="146" t="s">
        <v>2457</v>
      </c>
      <c r="L1913" s="199" t="s">
        <v>2458</v>
      </c>
      <c r="M1913" s="75">
        <v>45054</v>
      </c>
      <c r="N1913" s="200" t="s">
        <v>646</v>
      </c>
      <c r="O1913" s="207">
        <v>0</v>
      </c>
      <c r="P1913" s="201">
        <v>0</v>
      </c>
      <c r="Q1913" s="208">
        <f t="shared" si="42"/>
        <v>0</v>
      </c>
      <c r="R1913" s="31">
        <v>202310</v>
      </c>
      <c r="S1913" s="202" t="s">
        <v>2461</v>
      </c>
      <c r="T1913" s="33"/>
      <c r="U1913" s="203"/>
      <c r="V1913" s="204"/>
      <c r="W1913" s="205"/>
      <c r="X1913" s="206"/>
      <c r="Y1913" s="36"/>
      <c r="Z1913" s="36"/>
      <c r="AA1913" s="108"/>
      <c r="AB1913" s="108"/>
      <c r="AC1913" s="108"/>
      <c r="AD1913" s="108"/>
      <c r="AE1913" s="108"/>
      <c r="AF1913" s="190" t="s">
        <v>484</v>
      </c>
      <c r="AG1913" s="40"/>
      <c r="AH1913" s="42"/>
      <c r="AI1913" s="42"/>
      <c r="AJ1913" s="43"/>
      <c r="AK1913" s="43"/>
      <c r="AL1913" s="43"/>
      <c r="AM1913" s="43"/>
      <c r="AN1913" s="42"/>
      <c r="AO1913" s="42"/>
      <c r="AP1913" s="42"/>
      <c r="AQ1913" s="42"/>
      <c r="AR1913" s="42"/>
      <c r="AS1913" s="42" t="s">
        <v>2429</v>
      </c>
    </row>
    <row r="1914" spans="1:45" ht="15" customHeight="1">
      <c r="A1914" s="135" t="s">
        <v>45</v>
      </c>
      <c r="B1914" s="136" t="s">
        <v>837</v>
      </c>
      <c r="C1914" s="136" t="s">
        <v>838</v>
      </c>
      <c r="D1914" s="136" t="s">
        <v>48</v>
      </c>
      <c r="E1914" s="198" t="s">
        <v>2430</v>
      </c>
      <c r="F1914" s="76" t="s">
        <v>2424</v>
      </c>
      <c r="G1914" s="74" t="s">
        <v>165</v>
      </c>
      <c r="H1914" s="136" t="s">
        <v>2455</v>
      </c>
      <c r="I1914" s="76" t="s">
        <v>491</v>
      </c>
      <c r="J1914" s="146" t="s">
        <v>2456</v>
      </c>
      <c r="K1914" s="146" t="s">
        <v>2457</v>
      </c>
      <c r="L1914" s="199" t="s">
        <v>2458</v>
      </c>
      <c r="M1914" s="75">
        <v>45176</v>
      </c>
      <c r="N1914" s="200" t="s">
        <v>168</v>
      </c>
      <c r="O1914" s="207">
        <v>0</v>
      </c>
      <c r="P1914" s="201">
        <v>256</v>
      </c>
      <c r="Q1914" s="208">
        <f t="shared" si="42"/>
        <v>0</v>
      </c>
      <c r="R1914" s="31">
        <v>202310</v>
      </c>
      <c r="S1914" s="203" t="s">
        <v>2462</v>
      </c>
      <c r="T1914" s="33"/>
      <c r="U1914" s="203"/>
      <c r="V1914" s="204"/>
      <c r="W1914" s="205"/>
      <c r="X1914" s="206"/>
      <c r="Y1914" s="36"/>
      <c r="Z1914" s="36"/>
      <c r="AA1914" s="108"/>
      <c r="AB1914" s="108"/>
      <c r="AC1914" s="108"/>
      <c r="AD1914" s="108"/>
      <c r="AE1914" s="108"/>
      <c r="AF1914" s="190" t="s">
        <v>484</v>
      </c>
      <c r="AG1914" s="40"/>
      <c r="AH1914" s="42"/>
      <c r="AI1914" s="42"/>
      <c r="AJ1914" s="43"/>
      <c r="AK1914" s="43"/>
      <c r="AL1914" s="43"/>
      <c r="AM1914" s="43"/>
      <c r="AN1914" s="42"/>
      <c r="AO1914" s="42"/>
      <c r="AP1914" s="42"/>
      <c r="AQ1914" s="42"/>
      <c r="AR1914" s="42"/>
      <c r="AS1914" s="42" t="s">
        <v>2429</v>
      </c>
    </row>
    <row r="1915" spans="1:45" ht="15" customHeight="1">
      <c r="A1915" s="135" t="s">
        <v>45</v>
      </c>
      <c r="B1915" s="136" t="s">
        <v>837</v>
      </c>
      <c r="C1915" s="136" t="s">
        <v>838</v>
      </c>
      <c r="D1915" s="136" t="s">
        <v>48</v>
      </c>
      <c r="E1915" s="198" t="s">
        <v>2463</v>
      </c>
      <c r="F1915" s="76" t="s">
        <v>2464</v>
      </c>
      <c r="G1915" s="74" t="s">
        <v>77</v>
      </c>
      <c r="H1915" s="136" t="s">
        <v>2465</v>
      </c>
      <c r="I1915" s="76" t="s">
        <v>479</v>
      </c>
      <c r="J1915" s="76" t="s">
        <v>2466</v>
      </c>
      <c r="K1915" s="146" t="s">
        <v>2467</v>
      </c>
      <c r="L1915" s="199" t="s">
        <v>2468</v>
      </c>
      <c r="M1915" s="75">
        <v>44927</v>
      </c>
      <c r="N1915" s="200" t="s">
        <v>1310</v>
      </c>
      <c r="O1915" s="139">
        <v>5000</v>
      </c>
      <c r="P1915" s="201">
        <v>3</v>
      </c>
      <c r="Q1915" s="209">
        <f t="shared" si="42"/>
        <v>15000</v>
      </c>
      <c r="R1915" s="31">
        <v>202310</v>
      </c>
      <c r="S1915" s="203" t="s">
        <v>2469</v>
      </c>
      <c r="T1915" s="33"/>
      <c r="U1915" s="203"/>
      <c r="V1915" s="178"/>
      <c r="W1915" s="205"/>
      <c r="X1915" s="206"/>
      <c r="Y1915" s="36"/>
      <c r="Z1915" s="36"/>
      <c r="AA1915" s="108"/>
      <c r="AB1915" s="108"/>
      <c r="AC1915" s="108"/>
      <c r="AD1915" s="108"/>
      <c r="AE1915" s="108"/>
      <c r="AF1915" s="190" t="s">
        <v>484</v>
      </c>
      <c r="AG1915" s="190"/>
      <c r="AH1915" s="190"/>
      <c r="AI1915" s="42"/>
      <c r="AJ1915" s="43"/>
      <c r="AK1915" s="43"/>
      <c r="AL1915" s="43"/>
      <c r="AM1915" s="43"/>
      <c r="AN1915" s="42"/>
      <c r="AO1915" s="210"/>
      <c r="AP1915" s="42"/>
      <c r="AQ1915" s="42"/>
      <c r="AR1915" s="42"/>
      <c r="AS1915" s="42" t="s">
        <v>1982</v>
      </c>
    </row>
    <row r="1916" spans="1:45" ht="15" customHeight="1">
      <c r="A1916" s="135" t="s">
        <v>45</v>
      </c>
      <c r="B1916" s="136" t="s">
        <v>837</v>
      </c>
      <c r="C1916" s="136" t="s">
        <v>838</v>
      </c>
      <c r="D1916" s="136" t="s">
        <v>48</v>
      </c>
      <c r="E1916" s="198" t="s">
        <v>2463</v>
      </c>
      <c r="F1916" s="76" t="s">
        <v>2464</v>
      </c>
      <c r="G1916" s="74" t="s">
        <v>77</v>
      </c>
      <c r="H1916" s="136" t="s">
        <v>2470</v>
      </c>
      <c r="I1916" s="76" t="s">
        <v>479</v>
      </c>
      <c r="J1916" s="76" t="s">
        <v>2466</v>
      </c>
      <c r="K1916" s="146" t="s">
        <v>2467</v>
      </c>
      <c r="L1916" s="199" t="s">
        <v>2468</v>
      </c>
      <c r="M1916" s="75">
        <v>45078</v>
      </c>
      <c r="N1916" s="200" t="s">
        <v>1310</v>
      </c>
      <c r="O1916" s="139">
        <v>5000</v>
      </c>
      <c r="P1916" s="201">
        <v>2</v>
      </c>
      <c r="Q1916" s="51">
        <f>ROUND(O1916*P1916,2)</f>
        <v>10000</v>
      </c>
      <c r="R1916" s="31">
        <v>202310</v>
      </c>
      <c r="S1916" s="203" t="s">
        <v>2471</v>
      </c>
      <c r="T1916" s="33"/>
      <c r="U1916" s="203"/>
      <c r="V1916" s="178"/>
      <c r="W1916" s="205"/>
      <c r="X1916" s="206"/>
      <c r="Y1916" s="36"/>
      <c r="Z1916" s="36"/>
      <c r="AA1916" s="108"/>
      <c r="AB1916" s="108"/>
      <c r="AC1916" s="108"/>
      <c r="AD1916" s="108"/>
      <c r="AE1916" s="108"/>
      <c r="AF1916" s="190" t="s">
        <v>484</v>
      </c>
      <c r="AG1916" s="190"/>
      <c r="AH1916" s="190"/>
      <c r="AI1916" s="42"/>
      <c r="AJ1916" s="43"/>
      <c r="AK1916" s="43"/>
      <c r="AL1916" s="43"/>
      <c r="AM1916" s="43"/>
      <c r="AN1916" s="42"/>
      <c r="AO1916" s="210"/>
      <c r="AP1916" s="42"/>
      <c r="AQ1916" s="42"/>
      <c r="AR1916" s="42"/>
      <c r="AS1916" s="42" t="s">
        <v>1982</v>
      </c>
    </row>
    <row r="1917" spans="1:45" ht="15" customHeight="1">
      <c r="A1917" s="135" t="s">
        <v>45</v>
      </c>
      <c r="B1917" s="136" t="s">
        <v>837</v>
      </c>
      <c r="C1917" s="136" t="s">
        <v>838</v>
      </c>
      <c r="D1917" s="136" t="s">
        <v>48</v>
      </c>
      <c r="E1917" s="198" t="s">
        <v>2463</v>
      </c>
      <c r="F1917" s="76" t="s">
        <v>2464</v>
      </c>
      <c r="G1917" s="74" t="s">
        <v>165</v>
      </c>
      <c r="H1917" s="136" t="s">
        <v>2470</v>
      </c>
      <c r="I1917" s="76" t="s">
        <v>491</v>
      </c>
      <c r="J1917" s="76" t="s">
        <v>2466</v>
      </c>
      <c r="K1917" s="146" t="s">
        <v>2467</v>
      </c>
      <c r="L1917" s="199" t="s">
        <v>2468</v>
      </c>
      <c r="M1917" s="75">
        <v>44927</v>
      </c>
      <c r="N1917" s="200" t="s">
        <v>168</v>
      </c>
      <c r="O1917" s="207">
        <v>0</v>
      </c>
      <c r="P1917" s="201">
        <v>2400</v>
      </c>
      <c r="Q1917" s="208">
        <f t="shared" si="42"/>
        <v>0</v>
      </c>
      <c r="R1917" s="31">
        <v>202310</v>
      </c>
      <c r="S1917" s="203" t="s">
        <v>2472</v>
      </c>
      <c r="T1917" s="33"/>
      <c r="U1917" s="203"/>
      <c r="V1917" s="178"/>
      <c r="W1917" s="205"/>
      <c r="X1917" s="206"/>
      <c r="Y1917" s="36"/>
      <c r="Z1917" s="36"/>
      <c r="AA1917" s="108"/>
      <c r="AB1917" s="108"/>
      <c r="AC1917" s="108"/>
      <c r="AD1917" s="108"/>
      <c r="AE1917" s="108"/>
      <c r="AF1917" s="190" t="s">
        <v>484</v>
      </c>
      <c r="AG1917" s="190"/>
      <c r="AH1917" s="190"/>
      <c r="AI1917" s="42"/>
      <c r="AJ1917" s="43"/>
      <c r="AK1917" s="43"/>
      <c r="AL1917" s="43"/>
      <c r="AM1917" s="43"/>
      <c r="AN1917" s="42"/>
      <c r="AO1917" s="210"/>
      <c r="AP1917" s="42"/>
      <c r="AQ1917" s="42"/>
      <c r="AR1917" s="42"/>
      <c r="AS1917" s="42" t="s">
        <v>1982</v>
      </c>
    </row>
    <row r="1918" spans="1:45" ht="15" customHeight="1">
      <c r="A1918" s="135" t="s">
        <v>45</v>
      </c>
      <c r="B1918" s="136" t="s">
        <v>837</v>
      </c>
      <c r="C1918" s="136" t="s">
        <v>838</v>
      </c>
      <c r="D1918" s="136" t="s">
        <v>48</v>
      </c>
      <c r="E1918" s="198" t="s">
        <v>2463</v>
      </c>
      <c r="F1918" s="76" t="s">
        <v>2464</v>
      </c>
      <c r="G1918" s="74" t="s">
        <v>165</v>
      </c>
      <c r="H1918" s="136" t="s">
        <v>2470</v>
      </c>
      <c r="I1918" s="76" t="s">
        <v>491</v>
      </c>
      <c r="J1918" s="76" t="s">
        <v>2466</v>
      </c>
      <c r="K1918" s="146" t="s">
        <v>2467</v>
      </c>
      <c r="L1918" s="199" t="s">
        <v>2468</v>
      </c>
      <c r="M1918" s="75">
        <v>44927</v>
      </c>
      <c r="N1918" s="200" t="s">
        <v>646</v>
      </c>
      <c r="O1918" s="207">
        <v>0</v>
      </c>
      <c r="P1918" s="201">
        <v>0</v>
      </c>
      <c r="Q1918" s="208">
        <v>0</v>
      </c>
      <c r="R1918" s="31">
        <v>202310</v>
      </c>
      <c r="S1918" s="203" t="s">
        <v>2473</v>
      </c>
      <c r="T1918" s="33"/>
      <c r="U1918" s="203"/>
      <c r="V1918" s="178"/>
      <c r="W1918" s="108"/>
      <c r="X1918" s="108"/>
      <c r="Y1918" s="36"/>
      <c r="Z1918" s="36"/>
      <c r="AA1918" s="108"/>
      <c r="AB1918" s="190"/>
      <c r="AC1918" s="108"/>
      <c r="AD1918" s="108"/>
      <c r="AE1918" s="108"/>
      <c r="AF1918" s="190" t="s">
        <v>484</v>
      </c>
      <c r="AG1918" s="190"/>
      <c r="AH1918" s="190"/>
      <c r="AI1918" s="42"/>
      <c r="AJ1918" s="43"/>
      <c r="AK1918" s="43"/>
      <c r="AL1918" s="43"/>
      <c r="AM1918" s="43"/>
      <c r="AN1918" s="42"/>
      <c r="AO1918" s="210"/>
      <c r="AP1918" s="42"/>
      <c r="AQ1918" s="42"/>
      <c r="AR1918" s="42"/>
      <c r="AS1918" s="42" t="s">
        <v>1982</v>
      </c>
    </row>
    <row r="1919" spans="1:45" ht="15" customHeight="1">
      <c r="A1919" s="135" t="s">
        <v>45</v>
      </c>
      <c r="B1919" s="136" t="s">
        <v>837</v>
      </c>
      <c r="C1919" s="136" t="s">
        <v>838</v>
      </c>
      <c r="D1919" s="136" t="s">
        <v>48</v>
      </c>
      <c r="E1919" s="198" t="s">
        <v>2463</v>
      </c>
      <c r="F1919" s="76" t="s">
        <v>2464</v>
      </c>
      <c r="G1919" s="74" t="s">
        <v>165</v>
      </c>
      <c r="H1919" s="136" t="s">
        <v>2470</v>
      </c>
      <c r="I1919" s="76" t="s">
        <v>491</v>
      </c>
      <c r="J1919" s="76" t="s">
        <v>2466</v>
      </c>
      <c r="K1919" s="146" t="s">
        <v>2467</v>
      </c>
      <c r="L1919" s="199" t="s">
        <v>2468</v>
      </c>
      <c r="M1919" s="75">
        <v>45085</v>
      </c>
      <c r="N1919" s="200" t="s">
        <v>168</v>
      </c>
      <c r="O1919" s="207">
        <v>0</v>
      </c>
      <c r="P1919" s="201">
        <v>1024</v>
      </c>
      <c r="Q1919" s="208">
        <f t="shared" ref="Q1919:Q1993" si="43">ROUND(O1919*P1919,2)</f>
        <v>0</v>
      </c>
      <c r="R1919" s="31">
        <v>202310</v>
      </c>
      <c r="S1919" s="203" t="s">
        <v>2474</v>
      </c>
      <c r="T1919" s="33"/>
      <c r="U1919" s="203"/>
      <c r="V1919" s="178"/>
      <c r="W1919" s="205"/>
      <c r="X1919" s="206"/>
      <c r="Y1919" s="36"/>
      <c r="Z1919" s="36"/>
      <c r="AA1919" s="108"/>
      <c r="AB1919" s="108"/>
      <c r="AC1919" s="108"/>
      <c r="AD1919" s="108"/>
      <c r="AE1919" s="108"/>
      <c r="AF1919" s="190" t="s">
        <v>484</v>
      </c>
      <c r="AG1919" s="190"/>
      <c r="AH1919" s="190"/>
      <c r="AI1919" s="42"/>
      <c r="AJ1919" s="43"/>
      <c r="AK1919" s="43"/>
      <c r="AL1919" s="43"/>
      <c r="AM1919" s="43"/>
      <c r="AN1919" s="42"/>
      <c r="AO1919" s="210"/>
      <c r="AP1919" s="42"/>
      <c r="AQ1919" s="42"/>
      <c r="AR1919" s="42"/>
      <c r="AS1919" s="42" t="s">
        <v>1982</v>
      </c>
    </row>
    <row r="1920" spans="1:45" ht="15" customHeight="1">
      <c r="A1920" s="135" t="s">
        <v>45</v>
      </c>
      <c r="B1920" s="136" t="s">
        <v>837</v>
      </c>
      <c r="C1920" s="136" t="s">
        <v>838</v>
      </c>
      <c r="D1920" s="136" t="s">
        <v>48</v>
      </c>
      <c r="E1920" s="198" t="s">
        <v>2463</v>
      </c>
      <c r="F1920" s="76" t="s">
        <v>2464</v>
      </c>
      <c r="G1920" s="74" t="s">
        <v>165</v>
      </c>
      <c r="H1920" s="136" t="s">
        <v>2470</v>
      </c>
      <c r="I1920" s="76" t="s">
        <v>491</v>
      </c>
      <c r="J1920" s="76" t="s">
        <v>2466</v>
      </c>
      <c r="K1920" s="146" t="s">
        <v>2467</v>
      </c>
      <c r="L1920" s="199" t="s">
        <v>2468</v>
      </c>
      <c r="M1920" s="75">
        <v>45085</v>
      </c>
      <c r="N1920" s="200" t="s">
        <v>646</v>
      </c>
      <c r="O1920" s="207">
        <v>0</v>
      </c>
      <c r="P1920" s="201">
        <v>0</v>
      </c>
      <c r="Q1920" s="208">
        <f t="shared" si="43"/>
        <v>0</v>
      </c>
      <c r="R1920" s="31">
        <v>202310</v>
      </c>
      <c r="S1920" s="203" t="s">
        <v>2475</v>
      </c>
      <c r="T1920" s="33"/>
      <c r="U1920" s="203"/>
      <c r="V1920" s="178"/>
      <c r="W1920" s="205"/>
      <c r="X1920" s="206"/>
      <c r="Y1920" s="36"/>
      <c r="Z1920" s="36"/>
      <c r="AA1920" s="108"/>
      <c r="AB1920" s="108"/>
      <c r="AC1920" s="108"/>
      <c r="AD1920" s="108"/>
      <c r="AE1920" s="108"/>
      <c r="AF1920" s="190" t="s">
        <v>484</v>
      </c>
      <c r="AG1920" s="190"/>
      <c r="AH1920" s="190"/>
      <c r="AI1920" s="42"/>
      <c r="AJ1920" s="43"/>
      <c r="AK1920" s="43"/>
      <c r="AL1920" s="43"/>
      <c r="AM1920" s="43"/>
      <c r="AN1920" s="42"/>
      <c r="AO1920" s="210"/>
      <c r="AP1920" s="42"/>
      <c r="AQ1920" s="42"/>
      <c r="AR1920" s="42"/>
      <c r="AS1920" s="42" t="s">
        <v>1982</v>
      </c>
    </row>
    <row r="1921" spans="1:45" ht="15" customHeight="1">
      <c r="A1921" s="135" t="s">
        <v>45</v>
      </c>
      <c r="B1921" s="136" t="s">
        <v>837</v>
      </c>
      <c r="C1921" s="136" t="s">
        <v>838</v>
      </c>
      <c r="D1921" s="136" t="s">
        <v>48</v>
      </c>
      <c r="E1921" s="198" t="s">
        <v>2463</v>
      </c>
      <c r="F1921" s="76" t="s">
        <v>2464</v>
      </c>
      <c r="G1921" s="74" t="s">
        <v>165</v>
      </c>
      <c r="H1921" s="136" t="s">
        <v>2470</v>
      </c>
      <c r="I1921" s="76" t="s">
        <v>491</v>
      </c>
      <c r="J1921" s="76" t="s">
        <v>2466</v>
      </c>
      <c r="K1921" s="146" t="s">
        <v>2467</v>
      </c>
      <c r="L1921" s="199" t="s">
        <v>2468</v>
      </c>
      <c r="M1921" s="75">
        <v>45138</v>
      </c>
      <c r="N1921" s="200" t="s">
        <v>168</v>
      </c>
      <c r="O1921" s="207">
        <v>0</v>
      </c>
      <c r="P1921" s="201">
        <v>-224</v>
      </c>
      <c r="Q1921" s="208">
        <f t="shared" si="43"/>
        <v>0</v>
      </c>
      <c r="R1921" s="31">
        <v>202310</v>
      </c>
      <c r="S1921" s="203" t="s">
        <v>2476</v>
      </c>
      <c r="T1921" s="33"/>
      <c r="U1921" s="203"/>
      <c r="V1921" s="178"/>
      <c r="W1921" s="205"/>
      <c r="X1921" s="206"/>
      <c r="Y1921" s="36"/>
      <c r="Z1921" s="36"/>
      <c r="AA1921" s="108"/>
      <c r="AB1921" s="108"/>
      <c r="AC1921" s="108"/>
      <c r="AD1921" s="108"/>
      <c r="AE1921" s="108"/>
      <c r="AF1921" s="190" t="s">
        <v>484</v>
      </c>
      <c r="AG1921" s="190"/>
      <c r="AH1921" s="190"/>
      <c r="AI1921" s="42"/>
      <c r="AJ1921" s="43"/>
      <c r="AK1921" s="43"/>
      <c r="AL1921" s="43"/>
      <c r="AM1921" s="43"/>
      <c r="AN1921" s="42"/>
      <c r="AO1921" s="210"/>
      <c r="AP1921" s="42"/>
      <c r="AQ1921" s="42"/>
      <c r="AR1921" s="42"/>
      <c r="AS1921" s="42" t="s">
        <v>1982</v>
      </c>
    </row>
    <row r="1922" spans="1:45" ht="15" customHeight="1">
      <c r="A1922" s="135" t="s">
        <v>45</v>
      </c>
      <c r="B1922" s="136" t="s">
        <v>837</v>
      </c>
      <c r="C1922" s="136" t="s">
        <v>838</v>
      </c>
      <c r="D1922" s="136" t="s">
        <v>48</v>
      </c>
      <c r="E1922" s="198" t="s">
        <v>2463</v>
      </c>
      <c r="F1922" s="76" t="s">
        <v>2464</v>
      </c>
      <c r="G1922" s="74" t="s">
        <v>165</v>
      </c>
      <c r="H1922" s="136" t="s">
        <v>2470</v>
      </c>
      <c r="I1922" s="76" t="s">
        <v>491</v>
      </c>
      <c r="J1922" s="76" t="s">
        <v>2466</v>
      </c>
      <c r="K1922" s="146" t="s">
        <v>2467</v>
      </c>
      <c r="L1922" s="199" t="s">
        <v>2468</v>
      </c>
      <c r="M1922" s="75">
        <v>45139</v>
      </c>
      <c r="N1922" s="200" t="s">
        <v>168</v>
      </c>
      <c r="O1922" s="207">
        <v>0</v>
      </c>
      <c r="P1922" s="201">
        <v>256</v>
      </c>
      <c r="Q1922" s="208">
        <f t="shared" si="43"/>
        <v>0</v>
      </c>
      <c r="R1922" s="31">
        <v>202310</v>
      </c>
      <c r="S1922" s="203" t="s">
        <v>2477</v>
      </c>
      <c r="T1922" s="33"/>
      <c r="U1922" s="203"/>
      <c r="V1922" s="178"/>
      <c r="W1922" s="205"/>
      <c r="X1922" s="206"/>
      <c r="Y1922" s="36"/>
      <c r="Z1922" s="36"/>
      <c r="AA1922" s="108"/>
      <c r="AB1922" s="108"/>
      <c r="AC1922" s="108"/>
      <c r="AD1922" s="108"/>
      <c r="AE1922" s="108"/>
      <c r="AF1922" s="190" t="s">
        <v>484</v>
      </c>
      <c r="AG1922" s="190"/>
      <c r="AH1922" s="190"/>
      <c r="AI1922" s="42"/>
      <c r="AJ1922" s="43"/>
      <c r="AK1922" s="43"/>
      <c r="AL1922" s="43"/>
      <c r="AM1922" s="43"/>
      <c r="AN1922" s="42"/>
      <c r="AO1922" s="210"/>
      <c r="AP1922" s="42"/>
      <c r="AQ1922" s="42"/>
      <c r="AR1922" s="42"/>
      <c r="AS1922" s="42" t="s">
        <v>1982</v>
      </c>
    </row>
    <row r="1923" spans="1:45" ht="15" customHeight="1">
      <c r="A1923" s="135" t="s">
        <v>45</v>
      </c>
      <c r="B1923" s="136" t="s">
        <v>837</v>
      </c>
      <c r="C1923" s="136" t="s">
        <v>838</v>
      </c>
      <c r="D1923" s="136" t="s">
        <v>48</v>
      </c>
      <c r="E1923" s="198" t="s">
        <v>2463</v>
      </c>
      <c r="F1923" s="76" t="s">
        <v>2464</v>
      </c>
      <c r="G1923" s="74" t="s">
        <v>165</v>
      </c>
      <c r="H1923" s="136" t="s">
        <v>2470</v>
      </c>
      <c r="I1923" s="76" t="s">
        <v>491</v>
      </c>
      <c r="J1923" s="76" t="s">
        <v>2478</v>
      </c>
      <c r="K1923" s="146" t="s">
        <v>2479</v>
      </c>
      <c r="L1923" s="199" t="s">
        <v>2468</v>
      </c>
      <c r="M1923" s="75">
        <v>45139</v>
      </c>
      <c r="N1923" s="200" t="s">
        <v>168</v>
      </c>
      <c r="O1923" s="207">
        <v>0</v>
      </c>
      <c r="P1923" s="201">
        <v>256</v>
      </c>
      <c r="Q1923" s="208">
        <f t="shared" si="43"/>
        <v>0</v>
      </c>
      <c r="R1923" s="31">
        <v>202310</v>
      </c>
      <c r="S1923" s="203" t="s">
        <v>2480</v>
      </c>
      <c r="T1923" s="33"/>
      <c r="U1923" s="203"/>
      <c r="V1923" s="178"/>
      <c r="W1923" s="205"/>
      <c r="X1923" s="206"/>
      <c r="Y1923" s="36"/>
      <c r="Z1923" s="36"/>
      <c r="AA1923" s="108"/>
      <c r="AB1923" s="108"/>
      <c r="AC1923" s="108"/>
      <c r="AD1923" s="108"/>
      <c r="AE1923" s="108"/>
      <c r="AF1923" s="190" t="s">
        <v>484</v>
      </c>
      <c r="AG1923" s="190"/>
      <c r="AH1923" s="190"/>
      <c r="AI1923" s="42"/>
      <c r="AJ1923" s="43"/>
      <c r="AK1923" s="43"/>
      <c r="AL1923" s="43"/>
      <c r="AM1923" s="43"/>
      <c r="AN1923" s="42"/>
      <c r="AO1923" s="210"/>
      <c r="AP1923" s="42"/>
      <c r="AQ1923" s="42"/>
      <c r="AR1923" s="42"/>
      <c r="AS1923" s="42" t="s">
        <v>1982</v>
      </c>
    </row>
    <row r="1924" spans="1:45" ht="15" customHeight="1">
      <c r="A1924" s="135" t="s">
        <v>45</v>
      </c>
      <c r="B1924" s="136" t="s">
        <v>837</v>
      </c>
      <c r="C1924" s="136" t="s">
        <v>838</v>
      </c>
      <c r="D1924" s="136" t="s">
        <v>48</v>
      </c>
      <c r="E1924" s="198" t="s">
        <v>2463</v>
      </c>
      <c r="F1924" s="76" t="s">
        <v>2464</v>
      </c>
      <c r="G1924" s="74" t="s">
        <v>165</v>
      </c>
      <c r="H1924" s="136" t="s">
        <v>2470</v>
      </c>
      <c r="I1924" s="76" t="s">
        <v>491</v>
      </c>
      <c r="J1924" s="76" t="s">
        <v>2478</v>
      </c>
      <c r="K1924" s="146" t="s">
        <v>2479</v>
      </c>
      <c r="L1924" s="199" t="s">
        <v>2468</v>
      </c>
      <c r="M1924" s="75">
        <v>45139</v>
      </c>
      <c r="N1924" s="200" t="s">
        <v>656</v>
      </c>
      <c r="O1924" s="207">
        <v>0</v>
      </c>
      <c r="P1924" s="201">
        <v>0</v>
      </c>
      <c r="Q1924" s="208">
        <f t="shared" si="43"/>
        <v>0</v>
      </c>
      <c r="R1924" s="31">
        <v>202310</v>
      </c>
      <c r="S1924" s="203" t="s">
        <v>2481</v>
      </c>
      <c r="T1924" s="33"/>
      <c r="U1924" s="203"/>
      <c r="V1924" s="178"/>
      <c r="W1924" s="205"/>
      <c r="X1924" s="206"/>
      <c r="Y1924" s="36"/>
      <c r="Z1924" s="36"/>
      <c r="AA1924" s="108"/>
      <c r="AB1924" s="108"/>
      <c r="AC1924" s="108"/>
      <c r="AD1924" s="108"/>
      <c r="AE1924" s="108"/>
      <c r="AF1924" s="190" t="s">
        <v>484</v>
      </c>
      <c r="AG1924" s="190"/>
      <c r="AH1924" s="190"/>
      <c r="AI1924" s="42"/>
      <c r="AJ1924" s="43"/>
      <c r="AK1924" s="43"/>
      <c r="AL1924" s="43"/>
      <c r="AM1924" s="43"/>
      <c r="AN1924" s="42"/>
      <c r="AO1924" s="210"/>
      <c r="AP1924" s="42"/>
      <c r="AQ1924" s="42"/>
      <c r="AR1924" s="42"/>
      <c r="AS1924" s="42" t="s">
        <v>1982</v>
      </c>
    </row>
    <row r="1925" spans="1:45" ht="15" customHeight="1">
      <c r="A1925" s="135" t="s">
        <v>45</v>
      </c>
      <c r="B1925" s="136" t="s">
        <v>837</v>
      </c>
      <c r="C1925" s="136" t="s">
        <v>838</v>
      </c>
      <c r="D1925" s="136" t="s">
        <v>48</v>
      </c>
      <c r="E1925" s="198" t="s">
        <v>2463</v>
      </c>
      <c r="F1925" s="76" t="s">
        <v>2464</v>
      </c>
      <c r="G1925" s="74" t="s">
        <v>165</v>
      </c>
      <c r="H1925" s="136" t="s">
        <v>2470</v>
      </c>
      <c r="I1925" s="76" t="s">
        <v>491</v>
      </c>
      <c r="J1925" s="76" t="s">
        <v>2478</v>
      </c>
      <c r="K1925" s="146" t="s">
        <v>2479</v>
      </c>
      <c r="L1925" s="199" t="s">
        <v>2468</v>
      </c>
      <c r="M1925" s="75">
        <v>45170</v>
      </c>
      <c r="N1925" s="200" t="s">
        <v>168</v>
      </c>
      <c r="O1925" s="207">
        <v>0</v>
      </c>
      <c r="P1925" s="201">
        <v>512</v>
      </c>
      <c r="Q1925" s="208">
        <f t="shared" si="43"/>
        <v>0</v>
      </c>
      <c r="R1925" s="31">
        <v>202310</v>
      </c>
      <c r="S1925" s="203" t="s">
        <v>2482</v>
      </c>
      <c r="T1925" s="33"/>
      <c r="U1925" s="203"/>
      <c r="V1925" s="178"/>
      <c r="W1925" s="205"/>
      <c r="X1925" s="206"/>
      <c r="Y1925" s="36"/>
      <c r="Z1925" s="36"/>
      <c r="AA1925" s="108"/>
      <c r="AB1925" s="108"/>
      <c r="AC1925" s="108"/>
      <c r="AD1925" s="108"/>
      <c r="AE1925" s="108"/>
      <c r="AF1925" s="190" t="s">
        <v>484</v>
      </c>
      <c r="AG1925" s="190"/>
      <c r="AH1925" s="190"/>
      <c r="AI1925" s="42"/>
      <c r="AJ1925" s="43"/>
      <c r="AK1925" s="43"/>
      <c r="AL1925" s="43"/>
      <c r="AM1925" s="43"/>
      <c r="AN1925" s="42"/>
      <c r="AO1925" s="210"/>
      <c r="AP1925" s="42"/>
      <c r="AQ1925" s="42"/>
      <c r="AR1925" s="42"/>
      <c r="AS1925" s="42" t="s">
        <v>1982</v>
      </c>
    </row>
    <row r="1926" spans="1:45" ht="15" customHeight="1">
      <c r="A1926" s="135" t="s">
        <v>45</v>
      </c>
      <c r="B1926" s="136" t="s">
        <v>837</v>
      </c>
      <c r="C1926" s="136" t="s">
        <v>838</v>
      </c>
      <c r="D1926" s="136" t="s">
        <v>48</v>
      </c>
      <c r="E1926" s="198" t="s">
        <v>2463</v>
      </c>
      <c r="F1926" s="76" t="s">
        <v>2464</v>
      </c>
      <c r="G1926" s="74" t="s">
        <v>165</v>
      </c>
      <c r="H1926" s="136" t="s">
        <v>2470</v>
      </c>
      <c r="I1926" s="76" t="s">
        <v>491</v>
      </c>
      <c r="J1926" s="76" t="s">
        <v>2478</v>
      </c>
      <c r="K1926" s="146" t="s">
        <v>2479</v>
      </c>
      <c r="L1926" s="199" t="s">
        <v>2468</v>
      </c>
      <c r="M1926" s="75">
        <v>45170</v>
      </c>
      <c r="N1926" s="200" t="s">
        <v>656</v>
      </c>
      <c r="O1926" s="207">
        <v>0</v>
      </c>
      <c r="P1926" s="201">
        <v>0</v>
      </c>
      <c r="Q1926" s="208">
        <f t="shared" si="43"/>
        <v>0</v>
      </c>
      <c r="R1926" s="31">
        <v>202310</v>
      </c>
      <c r="S1926" s="203" t="s">
        <v>2483</v>
      </c>
      <c r="T1926" s="33"/>
      <c r="U1926" s="203"/>
      <c r="V1926" s="178"/>
      <c r="W1926" s="205"/>
      <c r="X1926" s="206"/>
      <c r="Y1926" s="36"/>
      <c r="Z1926" s="36"/>
      <c r="AA1926" s="108"/>
      <c r="AB1926" s="108"/>
      <c r="AC1926" s="108"/>
      <c r="AD1926" s="108"/>
      <c r="AE1926" s="108"/>
      <c r="AF1926" s="190" t="s">
        <v>484</v>
      </c>
      <c r="AG1926" s="190"/>
      <c r="AH1926" s="190"/>
      <c r="AI1926" s="42"/>
      <c r="AJ1926" s="43"/>
      <c r="AK1926" s="43"/>
      <c r="AL1926" s="43"/>
      <c r="AM1926" s="43"/>
      <c r="AN1926" s="42"/>
      <c r="AO1926" s="210"/>
      <c r="AP1926" s="42"/>
      <c r="AQ1926" s="42"/>
      <c r="AR1926" s="42"/>
      <c r="AS1926" s="42" t="s">
        <v>1982</v>
      </c>
    </row>
    <row r="1927" spans="1:45" ht="15" customHeight="1">
      <c r="A1927" s="135" t="s">
        <v>45</v>
      </c>
      <c r="B1927" s="136" t="s">
        <v>837</v>
      </c>
      <c r="C1927" s="136" t="s">
        <v>838</v>
      </c>
      <c r="D1927" s="136" t="s">
        <v>48</v>
      </c>
      <c r="E1927" s="198" t="s">
        <v>2463</v>
      </c>
      <c r="F1927" s="76" t="s">
        <v>2464</v>
      </c>
      <c r="G1927" s="74" t="s">
        <v>77</v>
      </c>
      <c r="H1927" s="136" t="s">
        <v>2470</v>
      </c>
      <c r="I1927" s="76" t="s">
        <v>479</v>
      </c>
      <c r="J1927" s="76" t="s">
        <v>2484</v>
      </c>
      <c r="K1927" s="146" t="s">
        <v>2485</v>
      </c>
      <c r="L1927" s="199" t="s">
        <v>2468</v>
      </c>
      <c r="M1927" s="75">
        <v>45139</v>
      </c>
      <c r="N1927" s="200" t="s">
        <v>1310</v>
      </c>
      <c r="O1927" s="139">
        <v>5000</v>
      </c>
      <c r="P1927" s="201">
        <v>1</v>
      </c>
      <c r="Q1927" s="209">
        <f t="shared" si="43"/>
        <v>5000</v>
      </c>
      <c r="R1927" s="31">
        <v>202310</v>
      </c>
      <c r="S1927" s="203" t="s">
        <v>2486</v>
      </c>
      <c r="T1927" s="33"/>
      <c r="U1927" s="203"/>
      <c r="V1927" s="178"/>
      <c r="W1927" s="205"/>
      <c r="X1927" s="206"/>
      <c r="Y1927" s="36"/>
      <c r="Z1927" s="36"/>
      <c r="AA1927" s="108"/>
      <c r="AB1927" s="108"/>
      <c r="AC1927" s="108"/>
      <c r="AD1927" s="108"/>
      <c r="AE1927" s="108"/>
      <c r="AF1927" s="190" t="s">
        <v>484</v>
      </c>
      <c r="AG1927" s="190"/>
      <c r="AH1927" s="190"/>
      <c r="AI1927" s="42"/>
      <c r="AJ1927" s="43"/>
      <c r="AK1927" s="43"/>
      <c r="AL1927" s="43"/>
      <c r="AM1927" s="43"/>
      <c r="AN1927" s="42"/>
      <c r="AO1927" s="210"/>
      <c r="AP1927" s="42"/>
      <c r="AQ1927" s="42"/>
      <c r="AR1927" s="42"/>
      <c r="AS1927" s="42" t="s">
        <v>1982</v>
      </c>
    </row>
    <row r="1928" spans="1:45" ht="15" customHeight="1">
      <c r="A1928" s="135" t="s">
        <v>45</v>
      </c>
      <c r="B1928" s="136" t="s">
        <v>837</v>
      </c>
      <c r="C1928" s="136" t="s">
        <v>838</v>
      </c>
      <c r="D1928" s="136" t="s">
        <v>48</v>
      </c>
      <c r="E1928" s="198" t="s">
        <v>2463</v>
      </c>
      <c r="F1928" s="76" t="s">
        <v>2464</v>
      </c>
      <c r="G1928" s="74" t="s">
        <v>165</v>
      </c>
      <c r="H1928" s="136" t="s">
        <v>2470</v>
      </c>
      <c r="I1928" s="76" t="s">
        <v>491</v>
      </c>
      <c r="J1928" s="76" t="s">
        <v>2484</v>
      </c>
      <c r="K1928" s="146" t="s">
        <v>2485</v>
      </c>
      <c r="L1928" s="199" t="s">
        <v>2468</v>
      </c>
      <c r="M1928" s="75">
        <v>45141</v>
      </c>
      <c r="N1928" s="200" t="s">
        <v>168</v>
      </c>
      <c r="O1928" s="207">
        <v>0</v>
      </c>
      <c r="P1928" s="201">
        <v>512</v>
      </c>
      <c r="Q1928" s="208">
        <f t="shared" si="43"/>
        <v>0</v>
      </c>
      <c r="R1928" s="31">
        <v>202310</v>
      </c>
      <c r="S1928" s="203" t="s">
        <v>2487</v>
      </c>
      <c r="T1928" s="33"/>
      <c r="U1928" s="203"/>
      <c r="V1928" s="178"/>
      <c r="W1928" s="205"/>
      <c r="X1928" s="206"/>
      <c r="Y1928" s="36"/>
      <c r="Z1928" s="36"/>
      <c r="AA1928" s="108"/>
      <c r="AB1928" s="108"/>
      <c r="AC1928" s="108"/>
      <c r="AD1928" s="108"/>
      <c r="AE1928" s="108"/>
      <c r="AF1928" s="190" t="s">
        <v>484</v>
      </c>
      <c r="AG1928" s="190"/>
      <c r="AH1928" s="190"/>
      <c r="AI1928" s="42"/>
      <c r="AJ1928" s="43"/>
      <c r="AK1928" s="43"/>
      <c r="AL1928" s="43"/>
      <c r="AM1928" s="43"/>
      <c r="AN1928" s="42"/>
      <c r="AO1928" s="210"/>
      <c r="AP1928" s="42"/>
      <c r="AQ1928" s="42"/>
      <c r="AR1928" s="42"/>
      <c r="AS1928" s="42" t="s">
        <v>1982</v>
      </c>
    </row>
    <row r="1929" spans="1:45" ht="15" customHeight="1">
      <c r="A1929" s="135" t="s">
        <v>45</v>
      </c>
      <c r="B1929" s="136" t="s">
        <v>837</v>
      </c>
      <c r="C1929" s="136" t="s">
        <v>838</v>
      </c>
      <c r="D1929" s="136" t="s">
        <v>48</v>
      </c>
      <c r="E1929" s="198" t="s">
        <v>2463</v>
      </c>
      <c r="F1929" s="76" t="s">
        <v>2464</v>
      </c>
      <c r="G1929" s="74" t="s">
        <v>165</v>
      </c>
      <c r="H1929" s="136" t="s">
        <v>2470</v>
      </c>
      <c r="I1929" s="76" t="s">
        <v>491</v>
      </c>
      <c r="J1929" s="76" t="s">
        <v>2484</v>
      </c>
      <c r="K1929" s="146" t="s">
        <v>2485</v>
      </c>
      <c r="L1929" s="199" t="s">
        <v>2468</v>
      </c>
      <c r="M1929" s="75">
        <v>45141</v>
      </c>
      <c r="N1929" s="200" t="s">
        <v>656</v>
      </c>
      <c r="O1929" s="207">
        <v>0</v>
      </c>
      <c r="P1929" s="201">
        <v>0</v>
      </c>
      <c r="Q1929" s="208">
        <f t="shared" si="43"/>
        <v>0</v>
      </c>
      <c r="R1929" s="31">
        <v>202310</v>
      </c>
      <c r="S1929" s="203" t="s">
        <v>2488</v>
      </c>
      <c r="T1929" s="33"/>
      <c r="U1929" s="203"/>
      <c r="V1929" s="178"/>
      <c r="W1929" s="205"/>
      <c r="X1929" s="206"/>
      <c r="Y1929" s="36"/>
      <c r="Z1929" s="36"/>
      <c r="AA1929" s="108"/>
      <c r="AB1929" s="108"/>
      <c r="AC1929" s="108"/>
      <c r="AD1929" s="108"/>
      <c r="AE1929" s="108"/>
      <c r="AF1929" s="190" t="s">
        <v>484</v>
      </c>
      <c r="AG1929" s="190"/>
      <c r="AH1929" s="190"/>
      <c r="AI1929" s="42"/>
      <c r="AJ1929" s="43"/>
      <c r="AK1929" s="43"/>
      <c r="AL1929" s="43"/>
      <c r="AM1929" s="43"/>
      <c r="AN1929" s="42"/>
      <c r="AO1929" s="210"/>
      <c r="AP1929" s="42"/>
      <c r="AQ1929" s="42"/>
      <c r="AR1929" s="42"/>
      <c r="AS1929" s="42" t="s">
        <v>1982</v>
      </c>
    </row>
    <row r="1930" spans="1:45" ht="15" customHeight="1">
      <c r="A1930" s="20" t="s">
        <v>45</v>
      </c>
      <c r="B1930" s="21" t="s">
        <v>46</v>
      </c>
      <c r="C1930" s="22" t="s">
        <v>188</v>
      </c>
      <c r="D1930" s="22" t="s">
        <v>48</v>
      </c>
      <c r="E1930" s="23" t="s">
        <v>2489</v>
      </c>
      <c r="F1930" s="20" t="s">
        <v>2490</v>
      </c>
      <c r="G1930" s="20" t="s">
        <v>165</v>
      </c>
      <c r="H1930" s="25" t="s">
        <v>2491</v>
      </c>
      <c r="I1930" s="24" t="s">
        <v>491</v>
      </c>
      <c r="J1930" s="20" t="s">
        <v>1307</v>
      </c>
      <c r="K1930" s="26" t="s">
        <v>2492</v>
      </c>
      <c r="L1930" s="20" t="s">
        <v>1309</v>
      </c>
      <c r="M1930" s="156">
        <v>44958</v>
      </c>
      <c r="N1930" s="20"/>
      <c r="O1930" s="28">
        <v>0</v>
      </c>
      <c r="P1930" s="29">
        <v>160</v>
      </c>
      <c r="Q1930" s="30">
        <f t="shared" si="43"/>
        <v>0</v>
      </c>
      <c r="R1930" s="31">
        <v>202310</v>
      </c>
      <c r="S1930" s="32" t="s">
        <v>2493</v>
      </c>
      <c r="T1930" s="33"/>
      <c r="U1930" s="32"/>
      <c r="V1930" s="32"/>
      <c r="W1930" s="35"/>
      <c r="X1930" s="35"/>
      <c r="Y1930" s="36"/>
      <c r="Z1930" s="36"/>
      <c r="AA1930" s="36"/>
      <c r="AB1930" s="36"/>
      <c r="AC1930" s="36"/>
      <c r="AD1930" s="36"/>
      <c r="AE1930" s="36"/>
      <c r="AF1930" s="40" t="s">
        <v>484</v>
      </c>
      <c r="AG1930" s="42"/>
      <c r="AH1930" s="42"/>
      <c r="AI1930" s="43"/>
      <c r="AJ1930" s="43"/>
      <c r="AK1930" s="43"/>
      <c r="AL1930" s="43"/>
      <c r="AM1930" s="43"/>
      <c r="AN1930" s="42"/>
      <c r="AO1930" s="42"/>
      <c r="AP1930" s="42"/>
      <c r="AQ1930" s="42"/>
      <c r="AR1930" s="42"/>
      <c r="AS1930" s="42" t="s">
        <v>2494</v>
      </c>
    </row>
    <row r="1931" spans="1:45" ht="15" customHeight="1">
      <c r="A1931" s="21" t="s">
        <v>45</v>
      </c>
      <c r="B1931" s="21" t="s">
        <v>46</v>
      </c>
      <c r="C1931" s="21" t="s">
        <v>188</v>
      </c>
      <c r="D1931" s="21" t="s">
        <v>48</v>
      </c>
      <c r="E1931" s="80" t="s">
        <v>2495</v>
      </c>
      <c r="F1931" s="21" t="s">
        <v>2496</v>
      </c>
      <c r="G1931" s="101" t="s">
        <v>165</v>
      </c>
      <c r="H1931" s="25" t="s">
        <v>2497</v>
      </c>
      <c r="I1931" s="65" t="s">
        <v>167</v>
      </c>
      <c r="J1931" s="65" t="s">
        <v>338</v>
      </c>
      <c r="K1931" s="104"/>
      <c r="L1931" s="48"/>
      <c r="M1931" s="27"/>
      <c r="N1931" s="211" t="s">
        <v>168</v>
      </c>
      <c r="O1931" s="106">
        <v>0</v>
      </c>
      <c r="P1931" s="106">
        <v>1024</v>
      </c>
      <c r="Q1931" s="51">
        <f t="shared" si="43"/>
        <v>0</v>
      </c>
      <c r="R1931" s="31">
        <v>202310</v>
      </c>
      <c r="S1931" s="54" t="s">
        <v>2498</v>
      </c>
      <c r="T1931" s="33"/>
      <c r="U1931" s="32"/>
      <c r="V1931" s="54"/>
      <c r="W1931" s="212"/>
      <c r="X1931" s="212"/>
      <c r="Y1931" s="36"/>
      <c r="Z1931" s="36"/>
      <c r="AA1931" s="36"/>
      <c r="AB1931" s="36"/>
      <c r="AC1931" s="36"/>
      <c r="AD1931" s="36"/>
      <c r="AE1931" s="36"/>
      <c r="AF1931" s="53" t="s">
        <v>68</v>
      </c>
      <c r="AG1931" s="42"/>
      <c r="AH1931" s="42"/>
      <c r="AI1931" s="43"/>
      <c r="AJ1931" s="43"/>
      <c r="AK1931" s="43"/>
      <c r="AL1931" s="43"/>
      <c r="AM1931" s="43"/>
      <c r="AN1931" s="42"/>
      <c r="AO1931" s="42"/>
      <c r="AP1931" s="42"/>
      <c r="AQ1931" s="43"/>
      <c r="AR1931" s="42"/>
      <c r="AS1931" s="42" t="s">
        <v>2499</v>
      </c>
    </row>
    <row r="1932" spans="1:45" ht="15" customHeight="1">
      <c r="A1932" s="21" t="s">
        <v>45</v>
      </c>
      <c r="B1932" s="21" t="s">
        <v>46</v>
      </c>
      <c r="C1932" s="21" t="s">
        <v>188</v>
      </c>
      <c r="D1932" s="21" t="s">
        <v>48</v>
      </c>
      <c r="E1932" s="80" t="s">
        <v>2495</v>
      </c>
      <c r="F1932" s="21" t="s">
        <v>2496</v>
      </c>
      <c r="G1932" s="101" t="s">
        <v>165</v>
      </c>
      <c r="H1932" s="25" t="s">
        <v>2497</v>
      </c>
      <c r="I1932" s="65" t="s">
        <v>167</v>
      </c>
      <c r="J1932" s="65" t="s">
        <v>338</v>
      </c>
      <c r="K1932" s="104"/>
      <c r="L1932" s="48"/>
      <c r="M1932" s="27">
        <v>45148</v>
      </c>
      <c r="N1932" s="211" t="s">
        <v>168</v>
      </c>
      <c r="O1932" s="106">
        <v>0</v>
      </c>
      <c r="P1932" s="106">
        <v>768</v>
      </c>
      <c r="Q1932" s="51">
        <f t="shared" si="43"/>
        <v>0</v>
      </c>
      <c r="R1932" s="31">
        <v>202310</v>
      </c>
      <c r="S1932" s="54" t="s">
        <v>2500</v>
      </c>
      <c r="T1932" s="33"/>
      <c r="U1932" s="32"/>
      <c r="V1932" s="54"/>
      <c r="W1932" s="212"/>
      <c r="X1932" s="212"/>
      <c r="Y1932" s="36"/>
      <c r="Z1932" s="36"/>
      <c r="AA1932" s="36"/>
      <c r="AB1932" s="36"/>
      <c r="AC1932" s="36"/>
      <c r="AD1932" s="36"/>
      <c r="AE1932" s="36"/>
      <c r="AF1932" s="53" t="s">
        <v>68</v>
      </c>
      <c r="AG1932" s="42"/>
      <c r="AH1932" s="42"/>
      <c r="AI1932" s="43"/>
      <c r="AJ1932" s="43"/>
      <c r="AK1932" s="43"/>
      <c r="AL1932" s="43"/>
      <c r="AM1932" s="43"/>
      <c r="AN1932" s="42"/>
      <c r="AO1932" s="42"/>
      <c r="AP1932" s="42"/>
      <c r="AQ1932" s="43"/>
      <c r="AR1932" s="42"/>
      <c r="AS1932" s="42" t="s">
        <v>2499</v>
      </c>
    </row>
    <row r="1933" spans="1:45" ht="15" customHeight="1">
      <c r="A1933" s="65" t="s">
        <v>45</v>
      </c>
      <c r="B1933" s="21" t="s">
        <v>46</v>
      </c>
      <c r="C1933" s="21" t="s">
        <v>188</v>
      </c>
      <c r="D1933" s="21" t="s">
        <v>48</v>
      </c>
      <c r="E1933" s="66" t="s">
        <v>2495</v>
      </c>
      <c r="F1933" s="65" t="s">
        <v>2496</v>
      </c>
      <c r="G1933" s="65" t="s">
        <v>165</v>
      </c>
      <c r="H1933" s="25" t="s">
        <v>2497</v>
      </c>
      <c r="I1933" s="65" t="s">
        <v>616</v>
      </c>
      <c r="J1933" s="65" t="s">
        <v>617</v>
      </c>
      <c r="K1933" s="65" t="s">
        <v>2496</v>
      </c>
      <c r="L1933" s="65"/>
      <c r="M1933" s="213">
        <v>43872</v>
      </c>
      <c r="N1933" s="65" t="s">
        <v>1237</v>
      </c>
      <c r="O1933" s="106">
        <v>0</v>
      </c>
      <c r="P1933" s="106">
        <v>512</v>
      </c>
      <c r="Q1933" s="51">
        <f t="shared" si="43"/>
        <v>0</v>
      </c>
      <c r="R1933" s="31">
        <v>202310</v>
      </c>
      <c r="S1933" s="32" t="s">
        <v>2501</v>
      </c>
      <c r="T1933" s="33"/>
      <c r="U1933" s="32"/>
      <c r="V1933" s="33"/>
      <c r="W1933" s="67"/>
      <c r="X1933" s="67"/>
      <c r="Y1933" s="36"/>
      <c r="Z1933" s="36"/>
      <c r="AA1933" s="36"/>
      <c r="AB1933" s="36"/>
      <c r="AC1933" s="36"/>
      <c r="AD1933" s="36"/>
      <c r="AE1933" s="36"/>
      <c r="AF1933" s="53" t="s">
        <v>68</v>
      </c>
      <c r="AG1933" s="42"/>
      <c r="AH1933" s="42"/>
      <c r="AI1933" s="43"/>
      <c r="AJ1933" s="43"/>
      <c r="AK1933" s="43"/>
      <c r="AL1933" s="43"/>
      <c r="AM1933" s="43"/>
      <c r="AN1933" s="42"/>
      <c r="AO1933" s="42"/>
      <c r="AP1933" s="42"/>
      <c r="AQ1933" s="43"/>
      <c r="AR1933" s="42"/>
      <c r="AS1933" s="42" t="s">
        <v>2499</v>
      </c>
    </row>
    <row r="1934" spans="1:45" ht="15" customHeight="1">
      <c r="A1934" s="65" t="s">
        <v>45</v>
      </c>
      <c r="B1934" s="21" t="s">
        <v>46</v>
      </c>
      <c r="C1934" s="21" t="s">
        <v>188</v>
      </c>
      <c r="D1934" s="21" t="s">
        <v>48</v>
      </c>
      <c r="E1934" s="66" t="s">
        <v>2495</v>
      </c>
      <c r="F1934" s="65" t="s">
        <v>2496</v>
      </c>
      <c r="G1934" s="65" t="s">
        <v>165</v>
      </c>
      <c r="H1934" s="25" t="s">
        <v>2497</v>
      </c>
      <c r="I1934" s="65" t="s">
        <v>616</v>
      </c>
      <c r="J1934" s="65" t="s">
        <v>617</v>
      </c>
      <c r="K1934" s="65" t="s">
        <v>2496</v>
      </c>
      <c r="L1934" s="65"/>
      <c r="M1934" s="213">
        <v>44153</v>
      </c>
      <c r="N1934" s="65" t="s">
        <v>1237</v>
      </c>
      <c r="O1934" s="106">
        <v>0</v>
      </c>
      <c r="P1934" s="106">
        <v>512</v>
      </c>
      <c r="Q1934" s="51">
        <f t="shared" si="43"/>
        <v>0</v>
      </c>
      <c r="R1934" s="31">
        <v>202310</v>
      </c>
      <c r="S1934" s="32" t="s">
        <v>2502</v>
      </c>
      <c r="T1934" s="33"/>
      <c r="U1934" s="32"/>
      <c r="V1934" s="33"/>
      <c r="W1934" s="67"/>
      <c r="X1934" s="67"/>
      <c r="Y1934" s="36"/>
      <c r="Z1934" s="36"/>
      <c r="AA1934" s="36"/>
      <c r="AB1934" s="36"/>
      <c r="AC1934" s="36"/>
      <c r="AD1934" s="36"/>
      <c r="AE1934" s="36"/>
      <c r="AF1934" s="53" t="s">
        <v>68</v>
      </c>
      <c r="AG1934" s="42"/>
      <c r="AH1934" s="42"/>
      <c r="AI1934" s="43"/>
      <c r="AJ1934" s="43"/>
      <c r="AK1934" s="43"/>
      <c r="AL1934" s="43"/>
      <c r="AM1934" s="43"/>
      <c r="AN1934" s="42"/>
      <c r="AO1934" s="42"/>
      <c r="AP1934" s="42"/>
      <c r="AQ1934" s="43"/>
      <c r="AR1934" s="42"/>
      <c r="AS1934" s="42" t="s">
        <v>2499</v>
      </c>
    </row>
    <row r="1935" spans="1:45" ht="15" customHeight="1">
      <c r="A1935" s="65" t="s">
        <v>45</v>
      </c>
      <c r="B1935" s="21" t="s">
        <v>46</v>
      </c>
      <c r="C1935" s="21" t="s">
        <v>188</v>
      </c>
      <c r="D1935" s="21" t="s">
        <v>48</v>
      </c>
      <c r="E1935" s="66" t="s">
        <v>2495</v>
      </c>
      <c r="F1935" s="65" t="s">
        <v>2496</v>
      </c>
      <c r="G1935" s="65" t="s">
        <v>165</v>
      </c>
      <c r="H1935" s="25" t="s">
        <v>2497</v>
      </c>
      <c r="I1935" s="65" t="s">
        <v>616</v>
      </c>
      <c r="J1935" s="65" t="s">
        <v>617</v>
      </c>
      <c r="K1935" s="65" t="s">
        <v>2496</v>
      </c>
      <c r="L1935" s="65"/>
      <c r="M1935" s="213">
        <v>44180</v>
      </c>
      <c r="N1935" s="65" t="s">
        <v>1240</v>
      </c>
      <c r="O1935" s="106">
        <v>0</v>
      </c>
      <c r="P1935" s="106">
        <f>256*4</f>
        <v>1024</v>
      </c>
      <c r="Q1935" s="51">
        <f t="shared" si="43"/>
        <v>0</v>
      </c>
      <c r="R1935" s="31">
        <v>202310</v>
      </c>
      <c r="S1935" s="32" t="s">
        <v>2503</v>
      </c>
      <c r="T1935" s="33"/>
      <c r="U1935" s="32"/>
      <c r="V1935" s="33"/>
      <c r="W1935" s="67"/>
      <c r="X1935" s="67"/>
      <c r="Y1935" s="36"/>
      <c r="Z1935" s="36"/>
      <c r="AA1935" s="36"/>
      <c r="AB1935" s="36"/>
      <c r="AC1935" s="36"/>
      <c r="AD1935" s="36"/>
      <c r="AE1935" s="36"/>
      <c r="AF1935" s="53" t="s">
        <v>68</v>
      </c>
      <c r="AG1935" s="42"/>
      <c r="AH1935" s="42"/>
      <c r="AI1935" s="43"/>
      <c r="AJ1935" s="43"/>
      <c r="AK1935" s="43"/>
      <c r="AL1935" s="43"/>
      <c r="AM1935" s="43"/>
      <c r="AN1935" s="42"/>
      <c r="AO1935" s="42"/>
      <c r="AP1935" s="42"/>
      <c r="AQ1935" s="43"/>
      <c r="AR1935" s="42"/>
      <c r="AS1935" s="42" t="s">
        <v>2499</v>
      </c>
    </row>
    <row r="1936" spans="1:45" ht="15" customHeight="1">
      <c r="A1936" s="65" t="s">
        <v>45</v>
      </c>
      <c r="B1936" s="21" t="s">
        <v>46</v>
      </c>
      <c r="C1936" s="21" t="s">
        <v>188</v>
      </c>
      <c r="D1936" s="21" t="s">
        <v>48</v>
      </c>
      <c r="E1936" s="66" t="s">
        <v>2495</v>
      </c>
      <c r="F1936" s="65" t="s">
        <v>2496</v>
      </c>
      <c r="G1936" s="65" t="s">
        <v>165</v>
      </c>
      <c r="H1936" s="25" t="s">
        <v>2497</v>
      </c>
      <c r="I1936" s="65" t="s">
        <v>616</v>
      </c>
      <c r="J1936" s="65" t="s">
        <v>617</v>
      </c>
      <c r="K1936" s="65" t="s">
        <v>2496</v>
      </c>
      <c r="L1936" s="65"/>
      <c r="M1936" s="213">
        <v>44350</v>
      </c>
      <c r="N1936" s="65" t="s">
        <v>1242</v>
      </c>
      <c r="O1936" s="106">
        <v>0</v>
      </c>
      <c r="P1936" s="106">
        <f>256*12</f>
        <v>3072</v>
      </c>
      <c r="Q1936" s="51">
        <f t="shared" si="43"/>
        <v>0</v>
      </c>
      <c r="R1936" s="31">
        <v>202310</v>
      </c>
      <c r="S1936" s="32" t="s">
        <v>2504</v>
      </c>
      <c r="T1936" s="33"/>
      <c r="U1936" s="32"/>
      <c r="V1936" s="33"/>
      <c r="W1936" s="67"/>
      <c r="X1936" s="67"/>
      <c r="Y1936" s="36"/>
      <c r="Z1936" s="36"/>
      <c r="AA1936" s="36"/>
      <c r="AB1936" s="36"/>
      <c r="AC1936" s="36"/>
      <c r="AD1936" s="36"/>
      <c r="AE1936" s="36"/>
      <c r="AF1936" s="53" t="s">
        <v>68</v>
      </c>
      <c r="AG1936" s="42"/>
      <c r="AH1936" s="42"/>
      <c r="AI1936" s="43"/>
      <c r="AJ1936" s="43"/>
      <c r="AK1936" s="43"/>
      <c r="AL1936" s="43"/>
      <c r="AM1936" s="43"/>
      <c r="AN1936" s="42"/>
      <c r="AO1936" s="42"/>
      <c r="AP1936" s="42"/>
      <c r="AQ1936" s="43"/>
      <c r="AR1936" s="42"/>
      <c r="AS1936" s="42" t="s">
        <v>2499</v>
      </c>
    </row>
    <row r="1937" spans="1:45" ht="15" customHeight="1">
      <c r="A1937" s="65" t="s">
        <v>45</v>
      </c>
      <c r="B1937" s="21" t="s">
        <v>46</v>
      </c>
      <c r="C1937" s="21" t="s">
        <v>188</v>
      </c>
      <c r="D1937" s="21" t="s">
        <v>48</v>
      </c>
      <c r="E1937" s="66" t="s">
        <v>2505</v>
      </c>
      <c r="F1937" s="65" t="s">
        <v>2506</v>
      </c>
      <c r="G1937" s="65" t="s">
        <v>114</v>
      </c>
      <c r="H1937" s="66" t="s">
        <v>2507</v>
      </c>
      <c r="I1937" s="24" t="s">
        <v>114</v>
      </c>
      <c r="J1937" s="65" t="s">
        <v>2508</v>
      </c>
      <c r="K1937" s="65"/>
      <c r="L1937" s="48"/>
      <c r="M1937" s="213">
        <v>43600</v>
      </c>
      <c r="N1937" s="65" t="s">
        <v>2509</v>
      </c>
      <c r="O1937" s="106">
        <v>35000</v>
      </c>
      <c r="P1937" s="29">
        <v>1</v>
      </c>
      <c r="Q1937" s="51">
        <f t="shared" si="43"/>
        <v>35000</v>
      </c>
      <c r="R1937" s="31">
        <v>202310</v>
      </c>
      <c r="S1937" s="214" t="s">
        <v>2510</v>
      </c>
      <c r="T1937" s="33"/>
      <c r="U1937" s="214"/>
      <c r="V1937" s="215"/>
      <c r="W1937" s="67"/>
      <c r="X1937" s="67"/>
      <c r="Y1937" s="36"/>
      <c r="Z1937" s="36"/>
      <c r="AA1937" s="36"/>
      <c r="AB1937" s="36"/>
      <c r="AC1937" s="36"/>
      <c r="AD1937" s="36"/>
      <c r="AE1937" s="36"/>
      <c r="AF1937" s="53" t="s">
        <v>68</v>
      </c>
      <c r="AG1937" s="42"/>
      <c r="AH1937" s="42"/>
      <c r="AI1937" s="43"/>
      <c r="AJ1937" s="43"/>
      <c r="AK1937" s="43"/>
      <c r="AL1937" s="43"/>
      <c r="AM1937" s="43"/>
      <c r="AN1937" s="42"/>
      <c r="AO1937" s="42"/>
      <c r="AP1937" s="42"/>
      <c r="AQ1937" s="43"/>
      <c r="AR1937" s="42"/>
      <c r="AS1937" s="42"/>
    </row>
    <row r="1938" spans="1:45" ht="15" customHeight="1">
      <c r="A1938" s="65" t="s">
        <v>45</v>
      </c>
      <c r="B1938" s="21" t="s">
        <v>46</v>
      </c>
      <c r="C1938" s="21" t="s">
        <v>188</v>
      </c>
      <c r="D1938" s="21" t="s">
        <v>48</v>
      </c>
      <c r="E1938" s="66" t="s">
        <v>2505</v>
      </c>
      <c r="F1938" s="65" t="s">
        <v>2506</v>
      </c>
      <c r="G1938" s="65" t="s">
        <v>114</v>
      </c>
      <c r="H1938" s="66" t="s">
        <v>2507</v>
      </c>
      <c r="I1938" s="24" t="s">
        <v>114</v>
      </c>
      <c r="J1938" s="65" t="s">
        <v>2508</v>
      </c>
      <c r="K1938" s="65"/>
      <c r="L1938" s="48"/>
      <c r="M1938" s="213">
        <v>45138</v>
      </c>
      <c r="N1938" s="65" t="s">
        <v>2509</v>
      </c>
      <c r="O1938" s="106">
        <v>35000</v>
      </c>
      <c r="P1938" s="29">
        <v>-1</v>
      </c>
      <c r="Q1938" s="51">
        <f t="shared" si="43"/>
        <v>-35000</v>
      </c>
      <c r="R1938" s="31">
        <v>202310</v>
      </c>
      <c r="S1938" s="214" t="s">
        <v>2511</v>
      </c>
      <c r="T1938" s="33"/>
      <c r="U1938" s="214"/>
      <c r="V1938" s="215"/>
      <c r="W1938" s="67"/>
      <c r="X1938" s="67"/>
      <c r="Y1938" s="36"/>
      <c r="Z1938" s="36"/>
      <c r="AA1938" s="36"/>
      <c r="AB1938" s="36"/>
      <c r="AC1938" s="36"/>
      <c r="AD1938" s="36"/>
      <c r="AE1938" s="36"/>
      <c r="AF1938" s="53" t="s">
        <v>68</v>
      </c>
      <c r="AG1938" s="42"/>
      <c r="AH1938" s="42"/>
      <c r="AI1938" s="43"/>
      <c r="AJ1938" s="43"/>
      <c r="AK1938" s="43"/>
      <c r="AL1938" s="43"/>
      <c r="AM1938" s="43"/>
      <c r="AN1938" s="42"/>
      <c r="AO1938" s="42"/>
      <c r="AP1938" s="42"/>
      <c r="AQ1938" s="43"/>
      <c r="AR1938" s="42"/>
      <c r="AS1938" s="42"/>
    </row>
    <row r="1939" spans="1:45" ht="15" customHeight="1">
      <c r="A1939" s="21" t="s">
        <v>45</v>
      </c>
      <c r="B1939" s="21" t="s">
        <v>46</v>
      </c>
      <c r="C1939" s="21" t="s">
        <v>188</v>
      </c>
      <c r="D1939" s="21" t="s">
        <v>48</v>
      </c>
      <c r="E1939" s="80" t="s">
        <v>2505</v>
      </c>
      <c r="F1939" s="21" t="s">
        <v>2512</v>
      </c>
      <c r="G1939" s="101" t="s">
        <v>165</v>
      </c>
      <c r="H1939" s="25" t="s">
        <v>2513</v>
      </c>
      <c r="I1939" s="24" t="s">
        <v>491</v>
      </c>
      <c r="J1939" s="65" t="s">
        <v>2514</v>
      </c>
      <c r="K1939" s="26" t="s">
        <v>2515</v>
      </c>
      <c r="L1939" s="48"/>
      <c r="M1939" s="27">
        <v>44450</v>
      </c>
      <c r="N1939" s="105" t="s">
        <v>168</v>
      </c>
      <c r="O1939" s="106">
        <v>0</v>
      </c>
      <c r="P1939" s="106">
        <v>512</v>
      </c>
      <c r="Q1939" s="51">
        <f t="shared" si="43"/>
        <v>0</v>
      </c>
      <c r="R1939" s="31">
        <v>202310</v>
      </c>
      <c r="S1939" s="54" t="s">
        <v>2516</v>
      </c>
      <c r="T1939" s="33"/>
      <c r="U1939" s="54"/>
      <c r="V1939" s="54"/>
      <c r="W1939" s="67"/>
      <c r="X1939" s="67"/>
      <c r="Y1939" s="36"/>
      <c r="Z1939" s="36"/>
      <c r="AA1939" s="36"/>
      <c r="AB1939" s="36"/>
      <c r="AC1939" s="36"/>
      <c r="AD1939" s="36"/>
      <c r="AE1939" s="36"/>
      <c r="AF1939" s="40" t="s">
        <v>503</v>
      </c>
      <c r="AG1939" s="42"/>
      <c r="AH1939" s="42"/>
      <c r="AI1939" s="43"/>
      <c r="AJ1939" s="43"/>
      <c r="AK1939" s="43"/>
      <c r="AL1939" s="43"/>
      <c r="AM1939" s="43"/>
      <c r="AN1939" s="42"/>
      <c r="AO1939" s="42"/>
      <c r="AP1939" s="42"/>
      <c r="AQ1939" s="43"/>
      <c r="AR1939" s="42"/>
      <c r="AS1939" s="42"/>
    </row>
    <row r="1940" spans="1:45" ht="15" customHeight="1">
      <c r="A1940" s="21" t="s">
        <v>45</v>
      </c>
      <c r="B1940" s="21" t="s">
        <v>46</v>
      </c>
      <c r="C1940" s="21" t="s">
        <v>188</v>
      </c>
      <c r="D1940" s="21" t="s">
        <v>48</v>
      </c>
      <c r="E1940" s="80" t="s">
        <v>2505</v>
      </c>
      <c r="F1940" s="21" t="s">
        <v>2512</v>
      </c>
      <c r="G1940" s="101" t="s">
        <v>165</v>
      </c>
      <c r="H1940" s="25" t="s">
        <v>2513</v>
      </c>
      <c r="I1940" s="24" t="s">
        <v>491</v>
      </c>
      <c r="J1940" s="65" t="s">
        <v>2514</v>
      </c>
      <c r="K1940" s="26" t="s">
        <v>2515</v>
      </c>
      <c r="L1940" s="48"/>
      <c r="M1940" s="27">
        <v>44915</v>
      </c>
      <c r="N1940" s="105" t="s">
        <v>168</v>
      </c>
      <c r="O1940" s="106">
        <v>30</v>
      </c>
      <c r="P1940" s="106">
        <v>-256</v>
      </c>
      <c r="Q1940" s="51">
        <f t="shared" si="43"/>
        <v>-7680</v>
      </c>
      <c r="R1940" s="31">
        <v>202310</v>
      </c>
      <c r="S1940" s="54" t="s">
        <v>2517</v>
      </c>
      <c r="T1940" s="33"/>
      <c r="U1940" s="54"/>
      <c r="V1940" s="54"/>
      <c r="W1940" s="67"/>
      <c r="X1940" s="67"/>
      <c r="Y1940" s="36"/>
      <c r="Z1940" s="36"/>
      <c r="AA1940" s="36"/>
      <c r="AB1940" s="36"/>
      <c r="AC1940" s="36"/>
      <c r="AD1940" s="36"/>
      <c r="AE1940" s="36"/>
      <c r="AF1940" s="40" t="s">
        <v>503</v>
      </c>
      <c r="AG1940" s="42"/>
      <c r="AH1940" s="42"/>
      <c r="AI1940" s="43"/>
      <c r="AJ1940" s="43"/>
      <c r="AK1940" s="43"/>
      <c r="AL1940" s="43"/>
      <c r="AM1940" s="43"/>
      <c r="AN1940" s="42"/>
      <c r="AO1940" s="42"/>
      <c r="AP1940" s="42"/>
      <c r="AQ1940" s="43"/>
      <c r="AR1940" s="42"/>
      <c r="AS1940" s="42"/>
    </row>
    <row r="1941" spans="1:45" ht="15" customHeight="1">
      <c r="A1941" s="21" t="s">
        <v>45</v>
      </c>
      <c r="B1941" s="21" t="s">
        <v>46</v>
      </c>
      <c r="C1941" s="21" t="s">
        <v>188</v>
      </c>
      <c r="D1941" s="21" t="s">
        <v>48</v>
      </c>
      <c r="E1941" s="80" t="s">
        <v>2505</v>
      </c>
      <c r="F1941" s="21" t="s">
        <v>2512</v>
      </c>
      <c r="G1941" s="101" t="s">
        <v>165</v>
      </c>
      <c r="H1941" s="25" t="s">
        <v>2513</v>
      </c>
      <c r="I1941" s="65" t="s">
        <v>167</v>
      </c>
      <c r="J1941" s="65" t="s">
        <v>2514</v>
      </c>
      <c r="K1941" s="104" t="s">
        <v>2518</v>
      </c>
      <c r="L1941" s="48"/>
      <c r="M1941" s="27">
        <v>44450</v>
      </c>
      <c r="N1941" s="105" t="s">
        <v>168</v>
      </c>
      <c r="O1941" s="106">
        <v>30</v>
      </c>
      <c r="P1941" s="106">
        <v>1792</v>
      </c>
      <c r="Q1941" s="51">
        <f t="shared" si="43"/>
        <v>53760</v>
      </c>
      <c r="R1941" s="31">
        <v>202310</v>
      </c>
      <c r="S1941" s="54" t="s">
        <v>2519</v>
      </c>
      <c r="T1941" s="33"/>
      <c r="U1941" s="54"/>
      <c r="V1941" s="54"/>
      <c r="W1941" s="67"/>
      <c r="X1941" s="67"/>
      <c r="Y1941" s="36"/>
      <c r="Z1941" s="36"/>
      <c r="AA1941" s="36"/>
      <c r="AB1941" s="36"/>
      <c r="AC1941" s="36"/>
      <c r="AD1941" s="36"/>
      <c r="AE1941" s="36"/>
      <c r="AF1941" s="40" t="s">
        <v>56</v>
      </c>
      <c r="AG1941" s="42"/>
      <c r="AH1941" s="42"/>
      <c r="AI1941" s="43"/>
      <c r="AJ1941" s="43"/>
      <c r="AK1941" s="43"/>
      <c r="AL1941" s="43"/>
      <c r="AM1941" s="43"/>
      <c r="AN1941" s="42"/>
      <c r="AO1941" s="42"/>
      <c r="AP1941" s="42"/>
      <c r="AQ1941" s="43"/>
      <c r="AR1941" s="42"/>
      <c r="AS1941" s="42"/>
    </row>
    <row r="1942" spans="1:45" ht="15" customHeight="1">
      <c r="A1942" s="21" t="s">
        <v>45</v>
      </c>
      <c r="B1942" s="21" t="s">
        <v>46</v>
      </c>
      <c r="C1942" s="21" t="s">
        <v>188</v>
      </c>
      <c r="D1942" s="21" t="s">
        <v>48</v>
      </c>
      <c r="E1942" s="80" t="s">
        <v>2505</v>
      </c>
      <c r="F1942" s="21" t="s">
        <v>2512</v>
      </c>
      <c r="G1942" s="101" t="s">
        <v>165</v>
      </c>
      <c r="H1942" s="25" t="s">
        <v>2513</v>
      </c>
      <c r="I1942" s="65" t="s">
        <v>167</v>
      </c>
      <c r="J1942" s="65" t="s">
        <v>2514</v>
      </c>
      <c r="K1942" s="104" t="s">
        <v>2518</v>
      </c>
      <c r="L1942" s="48"/>
      <c r="M1942" s="49">
        <v>44748</v>
      </c>
      <c r="N1942" s="105" t="s">
        <v>168</v>
      </c>
      <c r="O1942" s="106">
        <v>30</v>
      </c>
      <c r="P1942" s="61">
        <v>512</v>
      </c>
      <c r="Q1942" s="51">
        <f t="shared" si="43"/>
        <v>15360</v>
      </c>
      <c r="R1942" s="31">
        <v>202310</v>
      </c>
      <c r="S1942" s="108" t="s">
        <v>2520</v>
      </c>
      <c r="T1942" s="33"/>
      <c r="U1942" s="54"/>
      <c r="V1942" s="54"/>
      <c r="W1942" s="67"/>
      <c r="X1942" s="67"/>
      <c r="Y1942" s="36"/>
      <c r="Z1942" s="36"/>
      <c r="AA1942" s="36"/>
      <c r="AB1942" s="36"/>
      <c r="AC1942" s="36"/>
      <c r="AD1942" s="36"/>
      <c r="AE1942" s="36"/>
      <c r="AF1942" s="40" t="s">
        <v>56</v>
      </c>
      <c r="AG1942" s="42"/>
      <c r="AH1942" s="42"/>
      <c r="AI1942" s="43"/>
      <c r="AJ1942" s="43"/>
      <c r="AK1942" s="43"/>
      <c r="AL1942" s="43"/>
      <c r="AM1942" s="43"/>
      <c r="AN1942" s="42"/>
      <c r="AO1942" s="42"/>
      <c r="AP1942" s="42"/>
      <c r="AQ1942" s="43"/>
      <c r="AR1942" s="42"/>
      <c r="AS1942" s="42"/>
    </row>
    <row r="1943" spans="1:45" ht="15" customHeight="1">
      <c r="A1943" s="21" t="s">
        <v>45</v>
      </c>
      <c r="B1943" s="21" t="s">
        <v>46</v>
      </c>
      <c r="C1943" s="21" t="s">
        <v>188</v>
      </c>
      <c r="D1943" s="21" t="s">
        <v>48</v>
      </c>
      <c r="E1943" s="80" t="s">
        <v>2505</v>
      </c>
      <c r="F1943" s="21" t="s">
        <v>2512</v>
      </c>
      <c r="G1943" s="101" t="s">
        <v>165</v>
      </c>
      <c r="H1943" s="25" t="s">
        <v>2513</v>
      </c>
      <c r="I1943" s="24" t="s">
        <v>491</v>
      </c>
      <c r="J1943" s="65" t="s">
        <v>2514</v>
      </c>
      <c r="K1943" s="26" t="s">
        <v>2515</v>
      </c>
      <c r="L1943" s="48"/>
      <c r="M1943" s="27">
        <v>44555</v>
      </c>
      <c r="N1943" s="105" t="s">
        <v>168</v>
      </c>
      <c r="O1943" s="106">
        <v>30</v>
      </c>
      <c r="P1943" s="106">
        <v>512</v>
      </c>
      <c r="Q1943" s="51">
        <f t="shared" si="43"/>
        <v>15360</v>
      </c>
      <c r="R1943" s="31">
        <v>202310</v>
      </c>
      <c r="S1943" s="54" t="s">
        <v>2521</v>
      </c>
      <c r="T1943" s="33"/>
      <c r="U1943" s="54"/>
      <c r="V1943" s="54"/>
      <c r="W1943" s="67"/>
      <c r="X1943" s="67"/>
      <c r="Y1943" s="36"/>
      <c r="Z1943" s="36"/>
      <c r="AA1943" s="36"/>
      <c r="AB1943" s="36"/>
      <c r="AC1943" s="36"/>
      <c r="AD1943" s="36"/>
      <c r="AE1943" s="36"/>
      <c r="AF1943" s="40" t="s">
        <v>484</v>
      </c>
      <c r="AG1943" s="42"/>
      <c r="AH1943" s="42"/>
      <c r="AI1943" s="43"/>
      <c r="AJ1943" s="43"/>
      <c r="AK1943" s="43"/>
      <c r="AL1943" s="43"/>
      <c r="AM1943" s="43"/>
      <c r="AN1943" s="42"/>
      <c r="AO1943" s="42"/>
      <c r="AP1943" s="42"/>
      <c r="AQ1943" s="43"/>
      <c r="AR1943" s="42"/>
      <c r="AS1943" s="42"/>
    </row>
    <row r="1944" spans="1:45" ht="15" customHeight="1">
      <c r="A1944" s="21" t="s">
        <v>45</v>
      </c>
      <c r="B1944" s="21" t="s">
        <v>46</v>
      </c>
      <c r="C1944" s="21" t="s">
        <v>188</v>
      </c>
      <c r="D1944" s="21" t="s">
        <v>48</v>
      </c>
      <c r="E1944" s="80" t="s">
        <v>2505</v>
      </c>
      <c r="F1944" s="21" t="s">
        <v>2512</v>
      </c>
      <c r="G1944" s="101" t="s">
        <v>165</v>
      </c>
      <c r="H1944" s="25" t="s">
        <v>2513</v>
      </c>
      <c r="I1944" s="24" t="s">
        <v>491</v>
      </c>
      <c r="J1944" s="65" t="s">
        <v>2514</v>
      </c>
      <c r="K1944" s="26" t="s">
        <v>2515</v>
      </c>
      <c r="L1944" s="48"/>
      <c r="M1944" s="27">
        <v>44926</v>
      </c>
      <c r="N1944" s="105" t="s">
        <v>168</v>
      </c>
      <c r="O1944" s="106">
        <v>30</v>
      </c>
      <c r="P1944" s="106">
        <v>-512</v>
      </c>
      <c r="Q1944" s="51">
        <f t="shared" si="43"/>
        <v>-15360</v>
      </c>
      <c r="R1944" s="31">
        <v>202310</v>
      </c>
      <c r="S1944" s="54" t="s">
        <v>2522</v>
      </c>
      <c r="T1944" s="33"/>
      <c r="U1944" s="54"/>
      <c r="V1944" s="54"/>
      <c r="W1944" s="67"/>
      <c r="X1944" s="67"/>
      <c r="Y1944" s="36"/>
      <c r="Z1944" s="36"/>
      <c r="AA1944" s="36"/>
      <c r="AB1944" s="36"/>
      <c r="AC1944" s="36"/>
      <c r="AD1944" s="36"/>
      <c r="AE1944" s="36"/>
      <c r="AF1944" s="40" t="s">
        <v>484</v>
      </c>
      <c r="AG1944" s="42"/>
      <c r="AH1944" s="42"/>
      <c r="AI1944" s="43"/>
      <c r="AJ1944" s="43"/>
      <c r="AK1944" s="43"/>
      <c r="AL1944" s="43"/>
      <c r="AM1944" s="43"/>
      <c r="AN1944" s="42"/>
      <c r="AO1944" s="42"/>
      <c r="AP1944" s="42"/>
      <c r="AQ1944" s="43"/>
      <c r="AR1944" s="42"/>
      <c r="AS1944" s="42"/>
    </row>
    <row r="1945" spans="1:45" ht="15" customHeight="1">
      <c r="A1945" s="21" t="s">
        <v>45</v>
      </c>
      <c r="B1945" s="21" t="s">
        <v>46</v>
      </c>
      <c r="C1945" s="21" t="s">
        <v>188</v>
      </c>
      <c r="D1945" s="21" t="s">
        <v>48</v>
      </c>
      <c r="E1945" s="80" t="s">
        <v>2505</v>
      </c>
      <c r="F1945" s="21" t="s">
        <v>2512</v>
      </c>
      <c r="G1945" s="101" t="s">
        <v>77</v>
      </c>
      <c r="H1945" s="25" t="s">
        <v>2513</v>
      </c>
      <c r="I1945" s="65" t="s">
        <v>479</v>
      </c>
      <c r="J1945" s="65" t="s">
        <v>2514</v>
      </c>
      <c r="K1945" s="26" t="s">
        <v>2515</v>
      </c>
      <c r="L1945" s="48" t="s">
        <v>2523</v>
      </c>
      <c r="M1945" s="27">
        <v>44450</v>
      </c>
      <c r="N1945" s="105" t="s">
        <v>177</v>
      </c>
      <c r="O1945" s="106">
        <v>5000</v>
      </c>
      <c r="P1945" s="106">
        <v>1</v>
      </c>
      <c r="Q1945" s="51">
        <f t="shared" si="43"/>
        <v>5000</v>
      </c>
      <c r="R1945" s="31">
        <v>202310</v>
      </c>
      <c r="S1945" s="54" t="s">
        <v>2524</v>
      </c>
      <c r="T1945" s="33"/>
      <c r="U1945" s="54"/>
      <c r="V1945" s="54"/>
      <c r="W1945" s="67"/>
      <c r="X1945" s="67"/>
      <c r="Y1945" s="36"/>
      <c r="Z1945" s="36"/>
      <c r="AA1945" s="36"/>
      <c r="AB1945" s="36"/>
      <c r="AC1945" s="36"/>
      <c r="AD1945" s="36"/>
      <c r="AE1945" s="36"/>
      <c r="AF1945" s="40" t="s">
        <v>503</v>
      </c>
      <c r="AG1945" s="42"/>
      <c r="AH1945" s="42"/>
      <c r="AI1945" s="43"/>
      <c r="AJ1945" s="43"/>
      <c r="AK1945" s="43"/>
      <c r="AL1945" s="43"/>
      <c r="AM1945" s="43"/>
      <c r="AN1945" s="42"/>
      <c r="AO1945" s="42"/>
      <c r="AP1945" s="42"/>
      <c r="AQ1945" s="43"/>
      <c r="AR1945" s="42"/>
      <c r="AS1945" s="42"/>
    </row>
    <row r="1946" spans="1:45" ht="15" customHeight="1">
      <c r="A1946" s="21" t="s">
        <v>45</v>
      </c>
      <c r="B1946" s="21" t="s">
        <v>46</v>
      </c>
      <c r="C1946" s="21" t="s">
        <v>188</v>
      </c>
      <c r="D1946" s="21" t="s">
        <v>48</v>
      </c>
      <c r="E1946" s="80" t="s">
        <v>2505</v>
      </c>
      <c r="F1946" s="21" t="s">
        <v>2512</v>
      </c>
      <c r="G1946" s="101" t="s">
        <v>165</v>
      </c>
      <c r="H1946" s="25" t="s">
        <v>2513</v>
      </c>
      <c r="I1946" s="65" t="s">
        <v>167</v>
      </c>
      <c r="J1946" s="65" t="s">
        <v>2514</v>
      </c>
      <c r="K1946" s="104" t="s">
        <v>2518</v>
      </c>
      <c r="L1946" s="48"/>
      <c r="M1946" s="49">
        <v>45043</v>
      </c>
      <c r="N1946" s="105" t="s">
        <v>168</v>
      </c>
      <c r="O1946" s="106">
        <v>30</v>
      </c>
      <c r="P1946" s="61">
        <v>512</v>
      </c>
      <c r="Q1946" s="51">
        <f t="shared" si="43"/>
        <v>15360</v>
      </c>
      <c r="R1946" s="31">
        <v>202310</v>
      </c>
      <c r="S1946" s="108" t="s">
        <v>2525</v>
      </c>
      <c r="T1946" s="33"/>
      <c r="U1946" s="54"/>
      <c r="V1946" s="54"/>
      <c r="W1946" s="67"/>
      <c r="X1946" s="67"/>
      <c r="Y1946" s="36"/>
      <c r="Z1946" s="36"/>
      <c r="AA1946" s="36"/>
      <c r="AB1946" s="36"/>
      <c r="AC1946" s="36"/>
      <c r="AD1946" s="36"/>
      <c r="AE1946" s="36"/>
      <c r="AF1946" s="40" t="s">
        <v>56</v>
      </c>
      <c r="AG1946" s="42"/>
      <c r="AH1946" s="42"/>
      <c r="AI1946" s="43"/>
      <c r="AJ1946" s="43"/>
      <c r="AK1946" s="43"/>
      <c r="AL1946" s="43"/>
      <c r="AM1946" s="43"/>
      <c r="AN1946" s="42"/>
      <c r="AO1946" s="42"/>
      <c r="AP1946" s="42"/>
      <c r="AQ1946" s="43"/>
      <c r="AR1946" s="42"/>
      <c r="AS1946" s="42"/>
    </row>
    <row r="1947" spans="1:45" ht="15" customHeight="1">
      <c r="A1947" s="20" t="s">
        <v>45</v>
      </c>
      <c r="B1947" s="21" t="s">
        <v>46</v>
      </c>
      <c r="C1947" s="20" t="s">
        <v>188</v>
      </c>
      <c r="D1947" s="22" t="s">
        <v>48</v>
      </c>
      <c r="E1947" s="23" t="s">
        <v>2526</v>
      </c>
      <c r="F1947" s="20" t="s">
        <v>2527</v>
      </c>
      <c r="G1947" s="47" t="s">
        <v>77</v>
      </c>
      <c r="H1947" s="25" t="s">
        <v>2528</v>
      </c>
      <c r="I1947" s="24" t="s">
        <v>479</v>
      </c>
      <c r="J1947" s="47" t="s">
        <v>1259</v>
      </c>
      <c r="K1947" s="26" t="s">
        <v>2529</v>
      </c>
      <c r="L1947" s="48" t="s">
        <v>2530</v>
      </c>
      <c r="M1947" s="27">
        <v>44682</v>
      </c>
      <c r="N1947" s="47" t="s">
        <v>90</v>
      </c>
      <c r="O1947" s="50">
        <v>4300</v>
      </c>
      <c r="P1947" s="50">
        <v>4</v>
      </c>
      <c r="Q1947" s="51">
        <f t="shared" si="43"/>
        <v>17200</v>
      </c>
      <c r="R1947" s="69">
        <v>202310</v>
      </c>
      <c r="S1947" s="54" t="s">
        <v>2531</v>
      </c>
      <c r="T1947" s="33"/>
      <c r="U1947" s="32"/>
      <c r="V1947" s="46"/>
      <c r="W1947" s="52"/>
      <c r="X1947" s="52"/>
      <c r="Y1947" s="36"/>
      <c r="Z1947" s="36"/>
      <c r="AA1947" s="36"/>
      <c r="AB1947" s="36"/>
      <c r="AC1947" s="36"/>
      <c r="AD1947" s="36"/>
      <c r="AE1947" s="36"/>
      <c r="AF1947" s="40" t="s">
        <v>484</v>
      </c>
      <c r="AG1947" s="42"/>
      <c r="AH1947" s="42"/>
      <c r="AI1947" s="43"/>
      <c r="AJ1947" s="43"/>
      <c r="AK1947" s="43"/>
      <c r="AL1947" s="43"/>
      <c r="AM1947" s="43"/>
      <c r="AN1947" s="42"/>
      <c r="AO1947" s="42"/>
      <c r="AP1947" s="42"/>
      <c r="AQ1947" s="43"/>
      <c r="AR1947" s="42"/>
      <c r="AS1947" s="42"/>
    </row>
    <row r="1948" spans="1:45" ht="15" customHeight="1">
      <c r="A1948" s="20" t="s">
        <v>45</v>
      </c>
      <c r="B1948" s="21" t="s">
        <v>46</v>
      </c>
      <c r="C1948" s="20" t="s">
        <v>188</v>
      </c>
      <c r="D1948" s="22" t="s">
        <v>48</v>
      </c>
      <c r="E1948" s="23" t="s">
        <v>2526</v>
      </c>
      <c r="F1948" s="20" t="s">
        <v>2527</v>
      </c>
      <c r="G1948" s="47" t="s">
        <v>77</v>
      </c>
      <c r="H1948" s="25" t="s">
        <v>2528</v>
      </c>
      <c r="I1948" s="24" t="s">
        <v>479</v>
      </c>
      <c r="J1948" s="47" t="s">
        <v>1259</v>
      </c>
      <c r="K1948" s="26" t="s">
        <v>2529</v>
      </c>
      <c r="L1948" s="48" t="s">
        <v>2530</v>
      </c>
      <c r="M1948" s="27">
        <v>44742</v>
      </c>
      <c r="N1948" s="47" t="s">
        <v>90</v>
      </c>
      <c r="O1948" s="50">
        <v>4300</v>
      </c>
      <c r="P1948" s="50">
        <v>-4</v>
      </c>
      <c r="Q1948" s="51">
        <f t="shared" si="43"/>
        <v>-17200</v>
      </c>
      <c r="R1948" s="69">
        <v>202310</v>
      </c>
      <c r="S1948" s="54" t="s">
        <v>2532</v>
      </c>
      <c r="T1948" s="33"/>
      <c r="U1948" s="32"/>
      <c r="V1948" s="46"/>
      <c r="W1948" s="52"/>
      <c r="X1948" s="52"/>
      <c r="Y1948" s="36"/>
      <c r="Z1948" s="36"/>
      <c r="AA1948" s="36"/>
      <c r="AB1948" s="36"/>
      <c r="AC1948" s="36"/>
      <c r="AD1948" s="36"/>
      <c r="AE1948" s="36"/>
      <c r="AF1948" s="40" t="s">
        <v>484</v>
      </c>
      <c r="AG1948" s="42"/>
      <c r="AH1948" s="42"/>
      <c r="AI1948" s="43"/>
      <c r="AJ1948" s="43"/>
      <c r="AK1948" s="43"/>
      <c r="AL1948" s="43"/>
      <c r="AM1948" s="43"/>
      <c r="AN1948" s="42"/>
      <c r="AO1948" s="42"/>
      <c r="AP1948" s="42"/>
      <c r="AQ1948" s="43"/>
      <c r="AR1948" s="42"/>
      <c r="AS1948" s="42"/>
    </row>
    <row r="1949" spans="1:45" ht="15" customHeight="1">
      <c r="A1949" s="20" t="s">
        <v>45</v>
      </c>
      <c r="B1949" s="21" t="s">
        <v>46</v>
      </c>
      <c r="C1949" s="20" t="s">
        <v>188</v>
      </c>
      <c r="D1949" s="22" t="s">
        <v>48</v>
      </c>
      <c r="E1949" s="23" t="s">
        <v>2526</v>
      </c>
      <c r="F1949" s="20" t="s">
        <v>2527</v>
      </c>
      <c r="G1949" s="47" t="s">
        <v>77</v>
      </c>
      <c r="H1949" s="25" t="s">
        <v>2528</v>
      </c>
      <c r="I1949" s="24" t="s">
        <v>479</v>
      </c>
      <c r="J1949" s="47" t="s">
        <v>1259</v>
      </c>
      <c r="K1949" s="26" t="s">
        <v>2529</v>
      </c>
      <c r="L1949" s="48" t="s">
        <v>2530</v>
      </c>
      <c r="M1949" s="27">
        <v>44743</v>
      </c>
      <c r="N1949" s="47" t="s">
        <v>90</v>
      </c>
      <c r="O1949" s="50">
        <v>4300</v>
      </c>
      <c r="P1949" s="50">
        <v>4</v>
      </c>
      <c r="Q1949" s="51">
        <f t="shared" si="43"/>
        <v>17200</v>
      </c>
      <c r="R1949" s="69">
        <v>202310</v>
      </c>
      <c r="S1949" s="54" t="s">
        <v>2533</v>
      </c>
      <c r="T1949" s="33"/>
      <c r="U1949" s="32"/>
      <c r="V1949" s="46"/>
      <c r="W1949" s="52"/>
      <c r="X1949" s="52"/>
      <c r="Y1949" s="36"/>
      <c r="Z1949" s="36"/>
      <c r="AA1949" s="36"/>
      <c r="AB1949" s="36"/>
      <c r="AC1949" s="36"/>
      <c r="AD1949" s="36"/>
      <c r="AE1949" s="36"/>
      <c r="AF1949" s="40" t="s">
        <v>484</v>
      </c>
      <c r="AG1949" s="42"/>
      <c r="AH1949" s="42"/>
      <c r="AI1949" s="43"/>
      <c r="AJ1949" s="43"/>
      <c r="AK1949" s="43"/>
      <c r="AL1949" s="43"/>
      <c r="AM1949" s="43"/>
      <c r="AN1949" s="42"/>
      <c r="AO1949" s="42"/>
      <c r="AP1949" s="42"/>
      <c r="AQ1949" s="43"/>
      <c r="AR1949" s="42"/>
      <c r="AS1949" s="42"/>
    </row>
    <row r="1950" spans="1:45" ht="15" customHeight="1">
      <c r="A1950" s="20" t="s">
        <v>45</v>
      </c>
      <c r="B1950" s="21" t="s">
        <v>46</v>
      </c>
      <c r="C1950" s="20" t="s">
        <v>188</v>
      </c>
      <c r="D1950" s="22" t="s">
        <v>48</v>
      </c>
      <c r="E1950" s="23" t="s">
        <v>2526</v>
      </c>
      <c r="F1950" s="20" t="s">
        <v>2527</v>
      </c>
      <c r="G1950" s="47" t="s">
        <v>77</v>
      </c>
      <c r="H1950" s="25" t="s">
        <v>2528</v>
      </c>
      <c r="I1950" s="24" t="s">
        <v>479</v>
      </c>
      <c r="J1950" s="47" t="s">
        <v>1259</v>
      </c>
      <c r="K1950" s="26" t="s">
        <v>2529</v>
      </c>
      <c r="L1950" s="48" t="s">
        <v>2530</v>
      </c>
      <c r="M1950" s="27">
        <v>45055</v>
      </c>
      <c r="N1950" s="47" t="s">
        <v>90</v>
      </c>
      <c r="O1950" s="50">
        <v>4300</v>
      </c>
      <c r="P1950" s="50">
        <v>-4</v>
      </c>
      <c r="Q1950" s="51">
        <f t="shared" si="43"/>
        <v>-17200</v>
      </c>
      <c r="R1950" s="69">
        <v>202310</v>
      </c>
      <c r="S1950" s="54" t="s">
        <v>2534</v>
      </c>
      <c r="T1950" s="33"/>
      <c r="U1950" s="32"/>
      <c r="V1950" s="46"/>
      <c r="W1950" s="52"/>
      <c r="X1950" s="52"/>
      <c r="Y1950" s="36"/>
      <c r="Z1950" s="36"/>
      <c r="AA1950" s="36"/>
      <c r="AB1950" s="36"/>
      <c r="AC1950" s="36"/>
      <c r="AD1950" s="36"/>
      <c r="AE1950" s="36"/>
      <c r="AF1950" s="40" t="s">
        <v>484</v>
      </c>
      <c r="AG1950" s="42"/>
      <c r="AH1950" s="42"/>
      <c r="AI1950" s="43"/>
      <c r="AJ1950" s="43"/>
      <c r="AK1950" s="43"/>
      <c r="AL1950" s="43"/>
      <c r="AM1950" s="43"/>
      <c r="AN1950" s="42"/>
      <c r="AO1950" s="42"/>
      <c r="AP1950" s="42"/>
      <c r="AQ1950" s="43"/>
      <c r="AR1950" s="42"/>
      <c r="AS1950" s="42"/>
    </row>
    <row r="1951" spans="1:45" ht="15" customHeight="1">
      <c r="A1951" s="20" t="s">
        <v>45</v>
      </c>
      <c r="B1951" s="21" t="s">
        <v>46</v>
      </c>
      <c r="C1951" s="20" t="s">
        <v>188</v>
      </c>
      <c r="D1951" s="22" t="s">
        <v>48</v>
      </c>
      <c r="E1951" s="23" t="s">
        <v>2526</v>
      </c>
      <c r="F1951" s="20" t="s">
        <v>2527</v>
      </c>
      <c r="G1951" s="47" t="s">
        <v>165</v>
      </c>
      <c r="H1951" s="25" t="s">
        <v>2528</v>
      </c>
      <c r="I1951" s="24" t="s">
        <v>491</v>
      </c>
      <c r="J1951" s="47" t="s">
        <v>1259</v>
      </c>
      <c r="K1951" s="26" t="s">
        <v>2529</v>
      </c>
      <c r="L1951" s="48" t="s">
        <v>2530</v>
      </c>
      <c r="M1951" s="27">
        <v>44682</v>
      </c>
      <c r="N1951" s="47"/>
      <c r="O1951" s="50">
        <v>0</v>
      </c>
      <c r="P1951" s="50">
        <v>288</v>
      </c>
      <c r="Q1951" s="51">
        <f t="shared" si="43"/>
        <v>0</v>
      </c>
      <c r="R1951" s="69">
        <v>202310</v>
      </c>
      <c r="S1951" s="54" t="s">
        <v>2535</v>
      </c>
      <c r="T1951" s="33"/>
      <c r="U1951" s="32"/>
      <c r="V1951" s="46"/>
      <c r="W1951" s="52"/>
      <c r="X1951" s="52"/>
      <c r="Y1951" s="36"/>
      <c r="Z1951" s="36"/>
      <c r="AA1951" s="36"/>
      <c r="AB1951" s="36"/>
      <c r="AC1951" s="36"/>
      <c r="AD1951" s="36"/>
      <c r="AE1951" s="36"/>
      <c r="AF1951" s="40" t="s">
        <v>484</v>
      </c>
      <c r="AG1951" s="42"/>
      <c r="AH1951" s="42"/>
      <c r="AI1951" s="43"/>
      <c r="AJ1951" s="43"/>
      <c r="AK1951" s="43"/>
      <c r="AL1951" s="43"/>
      <c r="AM1951" s="43"/>
      <c r="AN1951" s="42"/>
      <c r="AO1951" s="42"/>
      <c r="AP1951" s="42"/>
      <c r="AQ1951" s="43"/>
      <c r="AR1951" s="42"/>
      <c r="AS1951" s="42"/>
    </row>
    <row r="1952" spans="1:45" ht="15" customHeight="1">
      <c r="A1952" s="20" t="s">
        <v>45</v>
      </c>
      <c r="B1952" s="21" t="s">
        <v>46</v>
      </c>
      <c r="C1952" s="20" t="s">
        <v>188</v>
      </c>
      <c r="D1952" s="22" t="s">
        <v>48</v>
      </c>
      <c r="E1952" s="23" t="s">
        <v>2526</v>
      </c>
      <c r="F1952" s="20" t="s">
        <v>2527</v>
      </c>
      <c r="G1952" s="47" t="s">
        <v>165</v>
      </c>
      <c r="H1952" s="25" t="s">
        <v>2528</v>
      </c>
      <c r="I1952" s="24" t="s">
        <v>491</v>
      </c>
      <c r="J1952" s="47" t="s">
        <v>1259</v>
      </c>
      <c r="K1952" s="26" t="s">
        <v>2529</v>
      </c>
      <c r="L1952" s="48" t="s">
        <v>2530</v>
      </c>
      <c r="M1952" s="27">
        <v>44742</v>
      </c>
      <c r="N1952" s="47"/>
      <c r="O1952" s="50">
        <v>0</v>
      </c>
      <c r="P1952" s="50">
        <v>-288</v>
      </c>
      <c r="Q1952" s="51">
        <f t="shared" si="43"/>
        <v>0</v>
      </c>
      <c r="R1952" s="69">
        <v>202310</v>
      </c>
      <c r="S1952" s="54" t="s">
        <v>2536</v>
      </c>
      <c r="T1952" s="33"/>
      <c r="U1952" s="32"/>
      <c r="V1952" s="46"/>
      <c r="W1952" s="52"/>
      <c r="X1952" s="52"/>
      <c r="Y1952" s="36"/>
      <c r="Z1952" s="36"/>
      <c r="AA1952" s="36"/>
      <c r="AB1952" s="36"/>
      <c r="AC1952" s="36"/>
      <c r="AD1952" s="36"/>
      <c r="AE1952" s="36"/>
      <c r="AF1952" s="40" t="s">
        <v>484</v>
      </c>
      <c r="AG1952" s="42"/>
      <c r="AH1952" s="42"/>
      <c r="AI1952" s="43"/>
      <c r="AJ1952" s="43"/>
      <c r="AK1952" s="43"/>
      <c r="AL1952" s="43"/>
      <c r="AM1952" s="43"/>
      <c r="AN1952" s="42"/>
      <c r="AO1952" s="42"/>
      <c r="AP1952" s="42"/>
      <c r="AQ1952" s="43"/>
      <c r="AR1952" s="42"/>
      <c r="AS1952" s="42"/>
    </row>
    <row r="1953" spans="1:45" ht="15" customHeight="1">
      <c r="A1953" s="20" t="s">
        <v>45</v>
      </c>
      <c r="B1953" s="21" t="s">
        <v>46</v>
      </c>
      <c r="C1953" s="20" t="s">
        <v>188</v>
      </c>
      <c r="D1953" s="22" t="s">
        <v>48</v>
      </c>
      <c r="E1953" s="23" t="s">
        <v>2526</v>
      </c>
      <c r="F1953" s="20" t="s">
        <v>2527</v>
      </c>
      <c r="G1953" s="47" t="s">
        <v>165</v>
      </c>
      <c r="H1953" s="25" t="s">
        <v>2528</v>
      </c>
      <c r="I1953" s="24" t="s">
        <v>491</v>
      </c>
      <c r="J1953" s="47" t="s">
        <v>1259</v>
      </c>
      <c r="K1953" s="26" t="s">
        <v>2529</v>
      </c>
      <c r="L1953" s="48" t="s">
        <v>2530</v>
      </c>
      <c r="M1953" s="27">
        <v>44743</v>
      </c>
      <c r="N1953" s="47"/>
      <c r="O1953" s="50">
        <v>0</v>
      </c>
      <c r="P1953" s="50">
        <v>128</v>
      </c>
      <c r="Q1953" s="51">
        <f t="shared" si="43"/>
        <v>0</v>
      </c>
      <c r="R1953" s="69">
        <v>202310</v>
      </c>
      <c r="S1953" s="54" t="s">
        <v>2537</v>
      </c>
      <c r="T1953" s="33"/>
      <c r="U1953" s="32"/>
      <c r="V1953" s="46"/>
      <c r="W1953" s="52"/>
      <c r="X1953" s="52"/>
      <c r="Y1953" s="36"/>
      <c r="Z1953" s="36"/>
      <c r="AA1953" s="36"/>
      <c r="AB1953" s="36"/>
      <c r="AC1953" s="36"/>
      <c r="AD1953" s="36"/>
      <c r="AE1953" s="36"/>
      <c r="AF1953" s="40" t="s">
        <v>484</v>
      </c>
      <c r="AG1953" s="42"/>
      <c r="AH1953" s="42"/>
      <c r="AI1953" s="43"/>
      <c r="AJ1953" s="43"/>
      <c r="AK1953" s="43"/>
      <c r="AL1953" s="43"/>
      <c r="AM1953" s="43"/>
      <c r="AN1953" s="42"/>
      <c r="AO1953" s="42"/>
      <c r="AP1953" s="42"/>
      <c r="AQ1953" s="43"/>
      <c r="AR1953" s="42"/>
      <c r="AS1953" s="42"/>
    </row>
    <row r="1954" spans="1:45" ht="15" customHeight="1">
      <c r="A1954" s="20" t="s">
        <v>45</v>
      </c>
      <c r="B1954" s="21" t="s">
        <v>46</v>
      </c>
      <c r="C1954" s="20" t="s">
        <v>188</v>
      </c>
      <c r="D1954" s="22" t="s">
        <v>48</v>
      </c>
      <c r="E1954" s="23" t="s">
        <v>2526</v>
      </c>
      <c r="F1954" s="20" t="s">
        <v>2527</v>
      </c>
      <c r="G1954" s="47" t="s">
        <v>165</v>
      </c>
      <c r="H1954" s="25" t="s">
        <v>2528</v>
      </c>
      <c r="I1954" s="24" t="s">
        <v>491</v>
      </c>
      <c r="J1954" s="47" t="s">
        <v>1259</v>
      </c>
      <c r="K1954" s="26" t="s">
        <v>2529</v>
      </c>
      <c r="L1954" s="48" t="s">
        <v>2530</v>
      </c>
      <c r="M1954" s="27">
        <v>45046</v>
      </c>
      <c r="N1954" s="47"/>
      <c r="O1954" s="50">
        <v>0</v>
      </c>
      <c r="P1954" s="50">
        <v>-128</v>
      </c>
      <c r="Q1954" s="51">
        <f t="shared" si="43"/>
        <v>0</v>
      </c>
      <c r="R1954" s="69">
        <v>202310</v>
      </c>
      <c r="S1954" s="54" t="s">
        <v>2538</v>
      </c>
      <c r="T1954" s="33"/>
      <c r="U1954" s="32"/>
      <c r="V1954" s="46"/>
      <c r="W1954" s="52"/>
      <c r="X1954" s="52"/>
      <c r="Y1954" s="36"/>
      <c r="Z1954" s="36"/>
      <c r="AA1954" s="36"/>
      <c r="AB1954" s="36"/>
      <c r="AC1954" s="36"/>
      <c r="AD1954" s="36"/>
      <c r="AE1954" s="36"/>
      <c r="AF1954" s="40" t="s">
        <v>484</v>
      </c>
      <c r="AG1954" s="42"/>
      <c r="AH1954" s="42"/>
      <c r="AI1954" s="43"/>
      <c r="AJ1954" s="43"/>
      <c r="AK1954" s="43"/>
      <c r="AL1954" s="43"/>
      <c r="AM1954" s="43"/>
      <c r="AN1954" s="42"/>
      <c r="AO1954" s="42"/>
      <c r="AP1954" s="42"/>
      <c r="AQ1954" s="43"/>
      <c r="AR1954" s="42"/>
      <c r="AS1954" s="42"/>
    </row>
    <row r="1955" spans="1:45" ht="15" customHeight="1">
      <c r="A1955" s="20" t="s">
        <v>45</v>
      </c>
      <c r="B1955" s="21" t="s">
        <v>46</v>
      </c>
      <c r="C1955" s="20" t="s">
        <v>188</v>
      </c>
      <c r="D1955" s="22" t="s">
        <v>48</v>
      </c>
      <c r="E1955" s="23" t="s">
        <v>2526</v>
      </c>
      <c r="F1955" s="20" t="s">
        <v>2527</v>
      </c>
      <c r="G1955" s="47" t="s">
        <v>77</v>
      </c>
      <c r="H1955" s="25" t="s">
        <v>2539</v>
      </c>
      <c r="I1955" s="24" t="s">
        <v>479</v>
      </c>
      <c r="J1955" s="47" t="s">
        <v>1259</v>
      </c>
      <c r="K1955" s="26" t="s">
        <v>2540</v>
      </c>
      <c r="L1955" s="48" t="s">
        <v>2530</v>
      </c>
      <c r="M1955" s="27">
        <v>45047</v>
      </c>
      <c r="N1955" s="47" t="s">
        <v>90</v>
      </c>
      <c r="O1955" s="50">
        <v>4300</v>
      </c>
      <c r="P1955" s="50">
        <v>4</v>
      </c>
      <c r="Q1955" s="51">
        <f t="shared" si="43"/>
        <v>17200</v>
      </c>
      <c r="R1955" s="69">
        <v>202310</v>
      </c>
      <c r="S1955" s="54" t="s">
        <v>2541</v>
      </c>
      <c r="T1955" s="33"/>
      <c r="U1955" s="32"/>
      <c r="V1955" s="46"/>
      <c r="W1955" s="52"/>
      <c r="X1955" s="52"/>
      <c r="Y1955" s="36"/>
      <c r="Z1955" s="36"/>
      <c r="AA1955" s="36"/>
      <c r="AB1955" s="36"/>
      <c r="AC1955" s="36"/>
      <c r="AD1955" s="36"/>
      <c r="AE1955" s="36"/>
      <c r="AF1955" s="40" t="s">
        <v>503</v>
      </c>
      <c r="AG1955" s="42"/>
      <c r="AH1955" s="42"/>
      <c r="AI1955" s="43"/>
      <c r="AJ1955" s="43"/>
      <c r="AK1955" s="43"/>
      <c r="AL1955" s="43"/>
      <c r="AM1955" s="43"/>
      <c r="AN1955" s="42"/>
      <c r="AO1955" s="42"/>
      <c r="AP1955" s="42"/>
      <c r="AQ1955" s="43"/>
      <c r="AR1955" s="42"/>
      <c r="AS1955" s="42"/>
    </row>
    <row r="1956" spans="1:45" ht="15" customHeight="1">
      <c r="A1956" s="20" t="s">
        <v>45</v>
      </c>
      <c r="B1956" s="21" t="s">
        <v>46</v>
      </c>
      <c r="C1956" s="20" t="s">
        <v>188</v>
      </c>
      <c r="D1956" s="22" t="s">
        <v>48</v>
      </c>
      <c r="E1956" s="23" t="s">
        <v>2526</v>
      </c>
      <c r="F1956" s="20" t="s">
        <v>2527</v>
      </c>
      <c r="G1956" s="47" t="s">
        <v>165</v>
      </c>
      <c r="H1956" s="25" t="s">
        <v>2539</v>
      </c>
      <c r="I1956" s="24" t="s">
        <v>491</v>
      </c>
      <c r="J1956" s="47" t="s">
        <v>1259</v>
      </c>
      <c r="K1956" s="26" t="s">
        <v>2540</v>
      </c>
      <c r="L1956" s="48" t="s">
        <v>2530</v>
      </c>
      <c r="M1956" s="27">
        <v>45047</v>
      </c>
      <c r="N1956" s="47"/>
      <c r="O1956" s="50">
        <v>0</v>
      </c>
      <c r="P1956" s="50">
        <v>160</v>
      </c>
      <c r="Q1956" s="51">
        <f t="shared" si="43"/>
        <v>0</v>
      </c>
      <c r="R1956" s="69">
        <v>202310</v>
      </c>
      <c r="S1956" s="54" t="s">
        <v>2542</v>
      </c>
      <c r="T1956" s="33"/>
      <c r="U1956" s="32"/>
      <c r="V1956" s="46"/>
      <c r="W1956" s="52"/>
      <c r="X1956" s="52"/>
      <c r="Y1956" s="36"/>
      <c r="Z1956" s="36"/>
      <c r="AA1956" s="36"/>
      <c r="AB1956" s="36"/>
      <c r="AC1956" s="36"/>
      <c r="AD1956" s="36"/>
      <c r="AE1956" s="36"/>
      <c r="AF1956" s="40" t="s">
        <v>503</v>
      </c>
      <c r="AG1956" s="42"/>
      <c r="AH1956" s="42"/>
      <c r="AI1956" s="43"/>
      <c r="AJ1956" s="43"/>
      <c r="AK1956" s="43"/>
      <c r="AL1956" s="43"/>
      <c r="AM1956" s="43"/>
      <c r="AN1956" s="42"/>
      <c r="AO1956" s="42"/>
      <c r="AP1956" s="42"/>
      <c r="AQ1956" s="43"/>
      <c r="AR1956" s="42"/>
      <c r="AS1956" s="42"/>
    </row>
    <row r="1957" spans="1:45" ht="15" customHeight="1">
      <c r="A1957" s="21" t="s">
        <v>45</v>
      </c>
      <c r="B1957" s="22" t="s">
        <v>46</v>
      </c>
      <c r="C1957" s="20" t="s">
        <v>188</v>
      </c>
      <c r="D1957" s="22" t="s">
        <v>48</v>
      </c>
      <c r="E1957" s="23" t="s">
        <v>2543</v>
      </c>
      <c r="F1957" s="20" t="s">
        <v>2544</v>
      </c>
      <c r="G1957" s="101" t="s">
        <v>77</v>
      </c>
      <c r="H1957" s="45" t="s">
        <v>2545</v>
      </c>
      <c r="I1957" s="65" t="s">
        <v>479</v>
      </c>
      <c r="J1957" s="47" t="s">
        <v>2546</v>
      </c>
      <c r="K1957" s="104" t="s">
        <v>2544</v>
      </c>
      <c r="L1957" s="48" t="s">
        <v>2547</v>
      </c>
      <c r="M1957" s="27">
        <v>44927</v>
      </c>
      <c r="N1957" s="105" t="s">
        <v>90</v>
      </c>
      <c r="O1957" s="106">
        <v>4300</v>
      </c>
      <c r="P1957" s="29">
        <v>1</v>
      </c>
      <c r="Q1957" s="51">
        <f t="shared" si="43"/>
        <v>4300</v>
      </c>
      <c r="R1957" s="31">
        <v>202310</v>
      </c>
      <c r="S1957" s="54" t="s">
        <v>2548</v>
      </c>
      <c r="T1957" s="33"/>
      <c r="U1957" s="54"/>
      <c r="V1957" s="54"/>
      <c r="W1957" s="52"/>
      <c r="X1957" s="52"/>
      <c r="Y1957" s="36">
        <v>44905</v>
      </c>
      <c r="Z1957" s="36">
        <v>45269</v>
      </c>
      <c r="AA1957" s="36"/>
      <c r="AB1957" s="36"/>
      <c r="AC1957" s="36"/>
      <c r="AD1957" s="36"/>
      <c r="AE1957" s="36"/>
      <c r="AF1957" s="148" t="s">
        <v>484</v>
      </c>
      <c r="AG1957" s="216"/>
      <c r="AH1957" s="148"/>
      <c r="AI1957" s="43"/>
      <c r="AJ1957" s="43"/>
      <c r="AK1957" s="43"/>
      <c r="AL1957" s="43"/>
      <c r="AM1957" s="43"/>
      <c r="AN1957" s="42"/>
      <c r="AO1957" s="42"/>
      <c r="AP1957" s="42"/>
      <c r="AQ1957" s="43"/>
      <c r="AR1957" s="42"/>
      <c r="AS1957" s="42"/>
    </row>
    <row r="1958" spans="1:45" ht="15" customHeight="1">
      <c r="A1958" s="21" t="s">
        <v>45</v>
      </c>
      <c r="B1958" s="22" t="s">
        <v>46</v>
      </c>
      <c r="C1958" s="20" t="s">
        <v>188</v>
      </c>
      <c r="D1958" s="22" t="s">
        <v>48</v>
      </c>
      <c r="E1958" s="23" t="s">
        <v>2543</v>
      </c>
      <c r="F1958" s="20" t="s">
        <v>2544</v>
      </c>
      <c r="G1958" s="101" t="s">
        <v>165</v>
      </c>
      <c r="H1958" s="45" t="s">
        <v>2545</v>
      </c>
      <c r="I1958" s="65" t="s">
        <v>491</v>
      </c>
      <c r="J1958" s="47" t="s">
        <v>2546</v>
      </c>
      <c r="K1958" s="104" t="s">
        <v>2544</v>
      </c>
      <c r="L1958" s="48" t="s">
        <v>2547</v>
      </c>
      <c r="M1958" s="27">
        <v>44927</v>
      </c>
      <c r="N1958" s="105"/>
      <c r="O1958" s="106">
        <v>0</v>
      </c>
      <c r="P1958" s="29">
        <v>32</v>
      </c>
      <c r="Q1958" s="51">
        <f t="shared" si="43"/>
        <v>0</v>
      </c>
      <c r="R1958" s="31">
        <v>202310</v>
      </c>
      <c r="S1958" s="54" t="s">
        <v>2549</v>
      </c>
      <c r="T1958" s="33"/>
      <c r="U1958" s="54"/>
      <c r="V1958" s="54"/>
      <c r="W1958" s="52"/>
      <c r="X1958" s="52"/>
      <c r="Y1958" s="36">
        <v>44905</v>
      </c>
      <c r="Z1958" s="36">
        <v>45269</v>
      </c>
      <c r="AA1958" s="36"/>
      <c r="AB1958" s="36"/>
      <c r="AC1958" s="36"/>
      <c r="AD1958" s="36"/>
      <c r="AE1958" s="36"/>
      <c r="AF1958" s="148" t="s">
        <v>484</v>
      </c>
      <c r="AG1958" s="216"/>
      <c r="AH1958" s="148"/>
      <c r="AI1958" s="43"/>
      <c r="AJ1958" s="43"/>
      <c r="AK1958" s="43"/>
      <c r="AL1958" s="43"/>
      <c r="AM1958" s="43"/>
      <c r="AN1958" s="42"/>
      <c r="AO1958" s="42"/>
      <c r="AP1958" s="42"/>
      <c r="AQ1958" s="43"/>
      <c r="AR1958" s="42"/>
      <c r="AS1958" s="42"/>
    </row>
    <row r="1959" spans="1:45" ht="15" customHeight="1">
      <c r="A1959" s="65" t="s">
        <v>45</v>
      </c>
      <c r="B1959" s="21" t="s">
        <v>46</v>
      </c>
      <c r="C1959" s="21" t="s">
        <v>188</v>
      </c>
      <c r="D1959" s="21" t="s">
        <v>48</v>
      </c>
      <c r="E1959" s="66" t="s">
        <v>2550</v>
      </c>
      <c r="F1959" s="65" t="s">
        <v>2551</v>
      </c>
      <c r="G1959" s="47" t="s">
        <v>77</v>
      </c>
      <c r="H1959" s="45" t="s">
        <v>2552</v>
      </c>
      <c r="I1959" s="102" t="s">
        <v>78</v>
      </c>
      <c r="J1959" s="65" t="s">
        <v>2553</v>
      </c>
      <c r="K1959" s="47"/>
      <c r="L1959" s="48" t="s">
        <v>2554</v>
      </c>
      <c r="M1959" s="49">
        <v>43804</v>
      </c>
      <c r="N1959" s="47" t="s">
        <v>291</v>
      </c>
      <c r="O1959" s="61">
        <v>8700</v>
      </c>
      <c r="P1959" s="61">
        <v>6</v>
      </c>
      <c r="Q1959" s="51">
        <f t="shared" si="43"/>
        <v>52200</v>
      </c>
      <c r="R1959" s="31">
        <v>202310</v>
      </c>
      <c r="S1959" s="32" t="s">
        <v>2555</v>
      </c>
      <c r="T1959" s="33"/>
      <c r="U1959" s="32"/>
      <c r="V1959" s="33"/>
      <c r="W1959" s="67"/>
      <c r="X1959" s="67"/>
      <c r="Y1959" s="36">
        <v>43709</v>
      </c>
      <c r="Z1959" s="36">
        <v>45900</v>
      </c>
      <c r="AA1959" s="36"/>
      <c r="AB1959" s="36"/>
      <c r="AC1959" s="36"/>
      <c r="AD1959" s="36"/>
      <c r="AE1959" s="36"/>
      <c r="AF1959" s="53" t="s">
        <v>68</v>
      </c>
      <c r="AG1959" s="42"/>
      <c r="AH1959" s="42"/>
      <c r="AI1959" s="43"/>
      <c r="AJ1959" s="43"/>
      <c r="AK1959" s="43"/>
      <c r="AL1959" s="43"/>
      <c r="AM1959" s="43"/>
      <c r="AN1959" s="42"/>
      <c r="AO1959" s="42"/>
      <c r="AP1959" s="42"/>
      <c r="AQ1959" s="43"/>
      <c r="AR1959" s="42"/>
      <c r="AS1959" s="42"/>
    </row>
    <row r="1960" spans="1:45" ht="15" customHeight="1">
      <c r="A1960" s="65" t="s">
        <v>45</v>
      </c>
      <c r="B1960" s="21" t="s">
        <v>46</v>
      </c>
      <c r="C1960" s="21" t="s">
        <v>188</v>
      </c>
      <c r="D1960" s="21" t="s">
        <v>48</v>
      </c>
      <c r="E1960" s="66" t="s">
        <v>2550</v>
      </c>
      <c r="F1960" s="65" t="s">
        <v>2551</v>
      </c>
      <c r="G1960" s="47" t="s">
        <v>77</v>
      </c>
      <c r="H1960" s="45" t="s">
        <v>2552</v>
      </c>
      <c r="I1960" s="102" t="s">
        <v>78</v>
      </c>
      <c r="J1960" s="65" t="s">
        <v>2553</v>
      </c>
      <c r="K1960" s="47"/>
      <c r="L1960" s="48" t="s">
        <v>2554</v>
      </c>
      <c r="M1960" s="49">
        <v>43804</v>
      </c>
      <c r="N1960" s="47" t="s">
        <v>177</v>
      </c>
      <c r="O1960" s="61">
        <v>5800</v>
      </c>
      <c r="P1960" s="61">
        <v>24</v>
      </c>
      <c r="Q1960" s="51">
        <f t="shared" si="43"/>
        <v>139200</v>
      </c>
      <c r="R1960" s="31">
        <v>202310</v>
      </c>
      <c r="S1960" s="32"/>
      <c r="T1960" s="33"/>
      <c r="U1960" s="32"/>
      <c r="V1960" s="33"/>
      <c r="W1960" s="67"/>
      <c r="X1960" s="67"/>
      <c r="Y1960" s="36">
        <v>43709</v>
      </c>
      <c r="Z1960" s="36">
        <v>45900</v>
      </c>
      <c r="AA1960" s="36"/>
      <c r="AB1960" s="36"/>
      <c r="AC1960" s="36"/>
      <c r="AD1960" s="36"/>
      <c r="AE1960" s="36"/>
      <c r="AF1960" s="53" t="s">
        <v>68</v>
      </c>
      <c r="AG1960" s="42"/>
      <c r="AH1960" s="42"/>
      <c r="AI1960" s="43"/>
      <c r="AJ1960" s="43"/>
      <c r="AK1960" s="43"/>
      <c r="AL1960" s="43"/>
      <c r="AM1960" s="43"/>
      <c r="AN1960" s="42"/>
      <c r="AO1960" s="42"/>
      <c r="AP1960" s="42"/>
      <c r="AQ1960" s="43"/>
      <c r="AR1960" s="42"/>
      <c r="AS1960" s="42"/>
    </row>
    <row r="1961" spans="1:45" ht="15" customHeight="1">
      <c r="A1961" s="65" t="s">
        <v>45</v>
      </c>
      <c r="B1961" s="21" t="s">
        <v>46</v>
      </c>
      <c r="C1961" s="21" t="s">
        <v>188</v>
      </c>
      <c r="D1961" s="21" t="s">
        <v>48</v>
      </c>
      <c r="E1961" s="66" t="s">
        <v>2550</v>
      </c>
      <c r="F1961" s="65" t="s">
        <v>2551</v>
      </c>
      <c r="G1961" s="47" t="s">
        <v>77</v>
      </c>
      <c r="H1961" s="45" t="s">
        <v>2552</v>
      </c>
      <c r="I1961" s="102" t="s">
        <v>78</v>
      </c>
      <c r="J1961" s="65" t="s">
        <v>2553</v>
      </c>
      <c r="K1961" s="47"/>
      <c r="L1961" s="48" t="s">
        <v>2554</v>
      </c>
      <c r="M1961" s="49">
        <v>43807</v>
      </c>
      <c r="N1961" s="47" t="s">
        <v>291</v>
      </c>
      <c r="O1961" s="61">
        <v>8700</v>
      </c>
      <c r="P1961" s="61">
        <v>4</v>
      </c>
      <c r="Q1961" s="51">
        <f t="shared" si="43"/>
        <v>34800</v>
      </c>
      <c r="R1961" s="31">
        <v>202310</v>
      </c>
      <c r="S1961" s="32" t="s">
        <v>2555</v>
      </c>
      <c r="T1961" s="33"/>
      <c r="U1961" s="32"/>
      <c r="V1961" s="33"/>
      <c r="W1961" s="67"/>
      <c r="X1961" s="67"/>
      <c r="Y1961" s="36">
        <v>43709</v>
      </c>
      <c r="Z1961" s="36">
        <v>45900</v>
      </c>
      <c r="AA1961" s="36"/>
      <c r="AB1961" s="36"/>
      <c r="AC1961" s="36"/>
      <c r="AD1961" s="36"/>
      <c r="AE1961" s="36"/>
      <c r="AF1961" s="53" t="s">
        <v>68</v>
      </c>
      <c r="AG1961" s="42"/>
      <c r="AH1961" s="42"/>
      <c r="AI1961" s="43"/>
      <c r="AJ1961" s="43"/>
      <c r="AK1961" s="43"/>
      <c r="AL1961" s="43"/>
      <c r="AM1961" s="43"/>
      <c r="AN1961" s="42"/>
      <c r="AO1961" s="42"/>
      <c r="AP1961" s="42"/>
      <c r="AQ1961" s="43"/>
      <c r="AR1961" s="42"/>
      <c r="AS1961" s="42"/>
    </row>
    <row r="1962" spans="1:45" ht="15" customHeight="1">
      <c r="A1962" s="65" t="s">
        <v>45</v>
      </c>
      <c r="B1962" s="21" t="s">
        <v>46</v>
      </c>
      <c r="C1962" s="21" t="s">
        <v>188</v>
      </c>
      <c r="D1962" s="21" t="s">
        <v>48</v>
      </c>
      <c r="E1962" s="66" t="s">
        <v>2550</v>
      </c>
      <c r="F1962" s="65" t="s">
        <v>2551</v>
      </c>
      <c r="G1962" s="47" t="s">
        <v>77</v>
      </c>
      <c r="H1962" s="45" t="s">
        <v>2552</v>
      </c>
      <c r="I1962" s="102" t="s">
        <v>78</v>
      </c>
      <c r="J1962" s="65" t="s">
        <v>2553</v>
      </c>
      <c r="K1962" s="47"/>
      <c r="L1962" s="48" t="s">
        <v>2554</v>
      </c>
      <c r="M1962" s="49">
        <v>43800</v>
      </c>
      <c r="N1962" s="47" t="s">
        <v>177</v>
      </c>
      <c r="O1962" s="61">
        <v>5800</v>
      </c>
      <c r="P1962" s="61">
        <v>23</v>
      </c>
      <c r="Q1962" s="51">
        <f t="shared" si="43"/>
        <v>133400</v>
      </c>
      <c r="R1962" s="31">
        <v>202310</v>
      </c>
      <c r="S1962" s="32"/>
      <c r="T1962" s="33"/>
      <c r="U1962" s="32"/>
      <c r="V1962" s="33"/>
      <c r="W1962" s="67"/>
      <c r="X1962" s="67"/>
      <c r="Y1962" s="36">
        <v>43709</v>
      </c>
      <c r="Z1962" s="36">
        <v>45900</v>
      </c>
      <c r="AA1962" s="36"/>
      <c r="AB1962" s="36"/>
      <c r="AC1962" s="36"/>
      <c r="AD1962" s="36"/>
      <c r="AE1962" s="36"/>
      <c r="AF1962" s="53" t="s">
        <v>68</v>
      </c>
      <c r="AG1962" s="42"/>
      <c r="AH1962" s="42"/>
      <c r="AI1962" s="43"/>
      <c r="AJ1962" s="43"/>
      <c r="AK1962" s="43"/>
      <c r="AL1962" s="43"/>
      <c r="AM1962" s="43"/>
      <c r="AN1962" s="42"/>
      <c r="AO1962" s="42"/>
      <c r="AP1962" s="42"/>
      <c r="AQ1962" s="43"/>
      <c r="AR1962" s="42"/>
      <c r="AS1962" s="42"/>
    </row>
    <row r="1963" spans="1:45" ht="15" customHeight="1">
      <c r="A1963" s="65" t="s">
        <v>45</v>
      </c>
      <c r="B1963" s="21" t="s">
        <v>46</v>
      </c>
      <c r="C1963" s="21" t="s">
        <v>188</v>
      </c>
      <c r="D1963" s="21" t="s">
        <v>48</v>
      </c>
      <c r="E1963" s="66" t="s">
        <v>2550</v>
      </c>
      <c r="F1963" s="65" t="s">
        <v>2551</v>
      </c>
      <c r="G1963" s="47" t="s">
        <v>77</v>
      </c>
      <c r="H1963" s="45" t="s">
        <v>2552</v>
      </c>
      <c r="I1963" s="102" t="s">
        <v>78</v>
      </c>
      <c r="J1963" s="65" t="s">
        <v>2553</v>
      </c>
      <c r="K1963" s="47"/>
      <c r="L1963" s="48" t="s">
        <v>2554</v>
      </c>
      <c r="M1963" s="49">
        <v>43800</v>
      </c>
      <c r="N1963" s="47" t="s">
        <v>388</v>
      </c>
      <c r="O1963" s="61">
        <v>31637</v>
      </c>
      <c r="P1963" s="61">
        <v>10</v>
      </c>
      <c r="Q1963" s="51">
        <f t="shared" si="43"/>
        <v>316370</v>
      </c>
      <c r="R1963" s="31">
        <v>202310</v>
      </c>
      <c r="S1963" s="32"/>
      <c r="T1963" s="33"/>
      <c r="U1963" s="32"/>
      <c r="V1963" s="33"/>
      <c r="W1963" s="67"/>
      <c r="X1963" s="67"/>
      <c r="Y1963" s="36">
        <v>43709</v>
      </c>
      <c r="Z1963" s="36">
        <v>45900</v>
      </c>
      <c r="AA1963" s="36"/>
      <c r="AB1963" s="36"/>
      <c r="AC1963" s="36"/>
      <c r="AD1963" s="36"/>
      <c r="AE1963" s="36"/>
      <c r="AF1963" s="53" t="s">
        <v>68</v>
      </c>
      <c r="AG1963" s="42"/>
      <c r="AH1963" s="42"/>
      <c r="AI1963" s="43"/>
      <c r="AJ1963" s="43"/>
      <c r="AK1963" s="43"/>
      <c r="AL1963" s="43"/>
      <c r="AM1963" s="43"/>
      <c r="AN1963" s="42"/>
      <c r="AO1963" s="42"/>
      <c r="AP1963" s="42"/>
      <c r="AQ1963" s="43"/>
      <c r="AR1963" s="42"/>
      <c r="AS1963" s="42"/>
    </row>
    <row r="1964" spans="1:45" ht="15" customHeight="1">
      <c r="A1964" s="65" t="s">
        <v>45</v>
      </c>
      <c r="B1964" s="21" t="s">
        <v>46</v>
      </c>
      <c r="C1964" s="21" t="s">
        <v>188</v>
      </c>
      <c r="D1964" s="21" t="s">
        <v>48</v>
      </c>
      <c r="E1964" s="66" t="s">
        <v>2550</v>
      </c>
      <c r="F1964" s="65" t="s">
        <v>2551</v>
      </c>
      <c r="G1964" s="47" t="s">
        <v>77</v>
      </c>
      <c r="H1964" s="45" t="s">
        <v>2552</v>
      </c>
      <c r="I1964" s="102" t="s">
        <v>78</v>
      </c>
      <c r="J1964" s="65" t="s">
        <v>2553</v>
      </c>
      <c r="K1964" s="47"/>
      <c r="L1964" s="48" t="s">
        <v>2554</v>
      </c>
      <c r="M1964" s="49">
        <v>43800</v>
      </c>
      <c r="N1964" s="47" t="s">
        <v>291</v>
      </c>
      <c r="O1964" s="61">
        <v>8700</v>
      </c>
      <c r="P1964" s="61">
        <v>2</v>
      </c>
      <c r="Q1964" s="51">
        <f t="shared" si="43"/>
        <v>17400</v>
      </c>
      <c r="R1964" s="31">
        <v>202310</v>
      </c>
      <c r="S1964" s="32"/>
      <c r="T1964" s="33"/>
      <c r="U1964" s="32"/>
      <c r="V1964" s="33"/>
      <c r="W1964" s="67"/>
      <c r="X1964" s="67"/>
      <c r="Y1964" s="36">
        <v>43709</v>
      </c>
      <c r="Z1964" s="36">
        <v>45900</v>
      </c>
      <c r="AA1964" s="36"/>
      <c r="AB1964" s="36"/>
      <c r="AC1964" s="36"/>
      <c r="AD1964" s="36"/>
      <c r="AE1964" s="36"/>
      <c r="AF1964" s="53" t="s">
        <v>68</v>
      </c>
      <c r="AG1964" s="42"/>
      <c r="AH1964" s="42"/>
      <c r="AI1964" s="43"/>
      <c r="AJ1964" s="43"/>
      <c r="AK1964" s="43"/>
      <c r="AL1964" s="43"/>
      <c r="AM1964" s="43"/>
      <c r="AN1964" s="42"/>
      <c r="AO1964" s="42"/>
      <c r="AP1964" s="42"/>
      <c r="AQ1964" s="43"/>
      <c r="AR1964" s="42"/>
      <c r="AS1964" s="42"/>
    </row>
    <row r="1965" spans="1:45" ht="15" customHeight="1">
      <c r="A1965" s="65" t="s">
        <v>45</v>
      </c>
      <c r="B1965" s="21" t="s">
        <v>46</v>
      </c>
      <c r="C1965" s="21" t="s">
        <v>188</v>
      </c>
      <c r="D1965" s="21" t="s">
        <v>48</v>
      </c>
      <c r="E1965" s="66" t="s">
        <v>2550</v>
      </c>
      <c r="F1965" s="65" t="s">
        <v>2551</v>
      </c>
      <c r="G1965" s="47" t="s">
        <v>77</v>
      </c>
      <c r="H1965" s="45" t="s">
        <v>2552</v>
      </c>
      <c r="I1965" s="102" t="s">
        <v>78</v>
      </c>
      <c r="J1965" s="65" t="s">
        <v>2553</v>
      </c>
      <c r="K1965" s="47"/>
      <c r="L1965" s="48" t="s">
        <v>2554</v>
      </c>
      <c r="M1965" s="49">
        <v>43800</v>
      </c>
      <c r="N1965" s="47" t="s">
        <v>348</v>
      </c>
      <c r="O1965" s="61">
        <v>11864</v>
      </c>
      <c r="P1965" s="61">
        <v>14</v>
      </c>
      <c r="Q1965" s="51">
        <f t="shared" si="43"/>
        <v>166096</v>
      </c>
      <c r="R1965" s="31">
        <v>202310</v>
      </c>
      <c r="S1965" s="32"/>
      <c r="T1965" s="33"/>
      <c r="U1965" s="32"/>
      <c r="V1965" s="33"/>
      <c r="W1965" s="67"/>
      <c r="X1965" s="67"/>
      <c r="Y1965" s="36">
        <v>43709</v>
      </c>
      <c r="Z1965" s="36">
        <v>45900</v>
      </c>
      <c r="AA1965" s="36"/>
      <c r="AB1965" s="36"/>
      <c r="AC1965" s="36"/>
      <c r="AD1965" s="36"/>
      <c r="AE1965" s="36"/>
      <c r="AF1965" s="53" t="s">
        <v>68</v>
      </c>
      <c r="AG1965" s="42"/>
      <c r="AH1965" s="42"/>
      <c r="AI1965" s="43"/>
      <c r="AJ1965" s="43"/>
      <c r="AK1965" s="43"/>
      <c r="AL1965" s="43"/>
      <c r="AM1965" s="43"/>
      <c r="AN1965" s="42"/>
      <c r="AO1965" s="42"/>
      <c r="AP1965" s="42"/>
      <c r="AQ1965" s="43"/>
      <c r="AR1965" s="42"/>
      <c r="AS1965" s="42"/>
    </row>
    <row r="1966" spans="1:45" ht="15" customHeight="1">
      <c r="A1966" s="65" t="s">
        <v>45</v>
      </c>
      <c r="B1966" s="21" t="s">
        <v>46</v>
      </c>
      <c r="C1966" s="21" t="s">
        <v>188</v>
      </c>
      <c r="D1966" s="21" t="s">
        <v>48</v>
      </c>
      <c r="E1966" s="66" t="s">
        <v>2550</v>
      </c>
      <c r="F1966" s="65" t="s">
        <v>2551</v>
      </c>
      <c r="G1966" s="47" t="s">
        <v>77</v>
      </c>
      <c r="H1966" s="45" t="s">
        <v>2552</v>
      </c>
      <c r="I1966" s="102" t="s">
        <v>78</v>
      </c>
      <c r="J1966" s="65" t="s">
        <v>2553</v>
      </c>
      <c r="K1966" s="47"/>
      <c r="L1966" s="48" t="s">
        <v>2554</v>
      </c>
      <c r="M1966" s="49">
        <v>43830</v>
      </c>
      <c r="N1966" s="47" t="s">
        <v>177</v>
      </c>
      <c r="O1966" s="61">
        <v>5800</v>
      </c>
      <c r="P1966" s="61">
        <v>6</v>
      </c>
      <c r="Q1966" s="51">
        <f t="shared" si="43"/>
        <v>34800</v>
      </c>
      <c r="R1966" s="31">
        <v>202310</v>
      </c>
      <c r="S1966" s="32" t="s">
        <v>2556</v>
      </c>
      <c r="T1966" s="33"/>
      <c r="U1966" s="32"/>
      <c r="V1966" s="33"/>
      <c r="W1966" s="67"/>
      <c r="X1966" s="67"/>
      <c r="Y1966" s="36">
        <v>43709</v>
      </c>
      <c r="Z1966" s="36">
        <v>45900</v>
      </c>
      <c r="AA1966" s="36"/>
      <c r="AB1966" s="36"/>
      <c r="AC1966" s="36"/>
      <c r="AD1966" s="36"/>
      <c r="AE1966" s="36"/>
      <c r="AF1966" s="53" t="s">
        <v>68</v>
      </c>
      <c r="AG1966" s="42"/>
      <c r="AH1966" s="42"/>
      <c r="AI1966" s="43"/>
      <c r="AJ1966" s="43"/>
      <c r="AK1966" s="43"/>
      <c r="AL1966" s="43"/>
      <c r="AM1966" s="43"/>
      <c r="AN1966" s="42"/>
      <c r="AO1966" s="42"/>
      <c r="AP1966" s="42"/>
      <c r="AQ1966" s="43"/>
      <c r="AR1966" s="42"/>
      <c r="AS1966" s="42"/>
    </row>
    <row r="1967" spans="1:45" ht="15" customHeight="1">
      <c r="A1967" s="65" t="s">
        <v>45</v>
      </c>
      <c r="B1967" s="21" t="s">
        <v>46</v>
      </c>
      <c r="C1967" s="21" t="s">
        <v>188</v>
      </c>
      <c r="D1967" s="21" t="s">
        <v>48</v>
      </c>
      <c r="E1967" s="66" t="s">
        <v>2550</v>
      </c>
      <c r="F1967" s="65" t="s">
        <v>2551</v>
      </c>
      <c r="G1967" s="47" t="s">
        <v>77</v>
      </c>
      <c r="H1967" s="45" t="s">
        <v>2552</v>
      </c>
      <c r="I1967" s="102" t="s">
        <v>78</v>
      </c>
      <c r="J1967" s="65" t="s">
        <v>2553</v>
      </c>
      <c r="K1967" s="47"/>
      <c r="L1967" s="48" t="s">
        <v>2554</v>
      </c>
      <c r="M1967" s="49">
        <v>43906</v>
      </c>
      <c r="N1967" s="47" t="s">
        <v>177</v>
      </c>
      <c r="O1967" s="61">
        <v>5800</v>
      </c>
      <c r="P1967" s="61">
        <v>4</v>
      </c>
      <c r="Q1967" s="51">
        <f t="shared" si="43"/>
        <v>23200</v>
      </c>
      <c r="R1967" s="31">
        <v>202310</v>
      </c>
      <c r="S1967" s="32" t="s">
        <v>2557</v>
      </c>
      <c r="T1967" s="33"/>
      <c r="U1967" s="32"/>
      <c r="V1967" s="33"/>
      <c r="W1967" s="67"/>
      <c r="X1967" s="67"/>
      <c r="Y1967" s="36">
        <v>43709</v>
      </c>
      <c r="Z1967" s="36">
        <v>45900</v>
      </c>
      <c r="AA1967" s="36"/>
      <c r="AB1967" s="36"/>
      <c r="AC1967" s="36"/>
      <c r="AD1967" s="36"/>
      <c r="AE1967" s="36"/>
      <c r="AF1967" s="53" t="s">
        <v>68</v>
      </c>
      <c r="AG1967" s="42"/>
      <c r="AH1967" s="42"/>
      <c r="AI1967" s="43"/>
      <c r="AJ1967" s="43"/>
      <c r="AK1967" s="43"/>
      <c r="AL1967" s="43"/>
      <c r="AM1967" s="43"/>
      <c r="AN1967" s="42"/>
      <c r="AO1967" s="42"/>
      <c r="AP1967" s="42"/>
      <c r="AQ1967" s="43"/>
      <c r="AR1967" s="42"/>
      <c r="AS1967" s="42"/>
    </row>
    <row r="1968" spans="1:45" ht="15" customHeight="1">
      <c r="A1968" s="65" t="s">
        <v>45</v>
      </c>
      <c r="B1968" s="21" t="s">
        <v>46</v>
      </c>
      <c r="C1968" s="21" t="s">
        <v>188</v>
      </c>
      <c r="D1968" s="21" t="s">
        <v>48</v>
      </c>
      <c r="E1968" s="66" t="s">
        <v>2550</v>
      </c>
      <c r="F1968" s="65" t="s">
        <v>2551</v>
      </c>
      <c r="G1968" s="47" t="s">
        <v>77</v>
      </c>
      <c r="H1968" s="45" t="s">
        <v>2552</v>
      </c>
      <c r="I1968" s="102" t="s">
        <v>78</v>
      </c>
      <c r="J1968" s="65" t="s">
        <v>2553</v>
      </c>
      <c r="K1968" s="47"/>
      <c r="L1968" s="48" t="s">
        <v>2554</v>
      </c>
      <c r="M1968" s="49">
        <v>43936</v>
      </c>
      <c r="N1968" s="47" t="s">
        <v>177</v>
      </c>
      <c r="O1968" s="61">
        <v>5800</v>
      </c>
      <c r="P1968" s="61">
        <v>2</v>
      </c>
      <c r="Q1968" s="51">
        <f t="shared" si="43"/>
        <v>11600</v>
      </c>
      <c r="R1968" s="31">
        <v>202310</v>
      </c>
      <c r="S1968" s="32" t="s">
        <v>2558</v>
      </c>
      <c r="T1968" s="33"/>
      <c r="U1968" s="32"/>
      <c r="V1968" s="33"/>
      <c r="W1968" s="67"/>
      <c r="X1968" s="67"/>
      <c r="Y1968" s="36">
        <v>43709</v>
      </c>
      <c r="Z1968" s="36">
        <v>45900</v>
      </c>
      <c r="AA1968" s="36"/>
      <c r="AB1968" s="36"/>
      <c r="AC1968" s="36"/>
      <c r="AD1968" s="36"/>
      <c r="AE1968" s="36"/>
      <c r="AF1968" s="53" t="s">
        <v>68</v>
      </c>
      <c r="AG1968" s="42"/>
      <c r="AH1968" s="42"/>
      <c r="AI1968" s="43"/>
      <c r="AJ1968" s="43"/>
      <c r="AK1968" s="43"/>
      <c r="AL1968" s="43"/>
      <c r="AM1968" s="43"/>
      <c r="AN1968" s="42"/>
      <c r="AO1968" s="42"/>
      <c r="AP1968" s="42"/>
      <c r="AQ1968" s="43"/>
      <c r="AR1968" s="42"/>
      <c r="AS1968" s="42"/>
    </row>
    <row r="1969" spans="1:45" ht="15" customHeight="1">
      <c r="A1969" s="65" t="s">
        <v>45</v>
      </c>
      <c r="B1969" s="21" t="s">
        <v>46</v>
      </c>
      <c r="C1969" s="21" t="s">
        <v>188</v>
      </c>
      <c r="D1969" s="21" t="s">
        <v>48</v>
      </c>
      <c r="E1969" s="66" t="s">
        <v>2550</v>
      </c>
      <c r="F1969" s="65" t="s">
        <v>2551</v>
      </c>
      <c r="G1969" s="47" t="s">
        <v>77</v>
      </c>
      <c r="H1969" s="45" t="s">
        <v>2552</v>
      </c>
      <c r="I1969" s="102" t="s">
        <v>78</v>
      </c>
      <c r="J1969" s="65" t="s">
        <v>2553</v>
      </c>
      <c r="K1969" s="47"/>
      <c r="L1969" s="48" t="s">
        <v>2554</v>
      </c>
      <c r="M1969" s="49">
        <v>43948</v>
      </c>
      <c r="N1969" s="47" t="s">
        <v>177</v>
      </c>
      <c r="O1969" s="61">
        <v>5800</v>
      </c>
      <c r="P1969" s="61">
        <v>-8</v>
      </c>
      <c r="Q1969" s="51">
        <f t="shared" si="43"/>
        <v>-46400</v>
      </c>
      <c r="R1969" s="31">
        <v>202310</v>
      </c>
      <c r="S1969" s="32" t="s">
        <v>2559</v>
      </c>
      <c r="T1969" s="33"/>
      <c r="U1969" s="32"/>
      <c r="V1969" s="33"/>
      <c r="W1969" s="67"/>
      <c r="X1969" s="67"/>
      <c r="Y1969" s="36">
        <v>43709</v>
      </c>
      <c r="Z1969" s="36">
        <v>45900</v>
      </c>
      <c r="AA1969" s="36"/>
      <c r="AB1969" s="36"/>
      <c r="AC1969" s="36"/>
      <c r="AD1969" s="36"/>
      <c r="AE1969" s="36"/>
      <c r="AF1969" s="53" t="s">
        <v>68</v>
      </c>
      <c r="AG1969" s="42"/>
      <c r="AH1969" s="42"/>
      <c r="AI1969" s="43"/>
      <c r="AJ1969" s="43"/>
      <c r="AK1969" s="43"/>
      <c r="AL1969" s="43"/>
      <c r="AM1969" s="43"/>
      <c r="AN1969" s="42"/>
      <c r="AO1969" s="42"/>
      <c r="AP1969" s="42"/>
      <c r="AQ1969" s="43"/>
      <c r="AR1969" s="42"/>
      <c r="AS1969" s="42"/>
    </row>
    <row r="1970" spans="1:45" ht="15" customHeight="1">
      <c r="A1970" s="65" t="s">
        <v>45</v>
      </c>
      <c r="B1970" s="21" t="s">
        <v>46</v>
      </c>
      <c r="C1970" s="21" t="s">
        <v>188</v>
      </c>
      <c r="D1970" s="21" t="s">
        <v>48</v>
      </c>
      <c r="E1970" s="66" t="s">
        <v>2550</v>
      </c>
      <c r="F1970" s="65" t="s">
        <v>2551</v>
      </c>
      <c r="G1970" s="47" t="s">
        <v>77</v>
      </c>
      <c r="H1970" s="45" t="s">
        <v>2552</v>
      </c>
      <c r="I1970" s="102" t="s">
        <v>78</v>
      </c>
      <c r="J1970" s="65" t="s">
        <v>2553</v>
      </c>
      <c r="K1970" s="47"/>
      <c r="L1970" s="48" t="s">
        <v>2554</v>
      </c>
      <c r="M1970" s="49">
        <v>43970</v>
      </c>
      <c r="N1970" s="47" t="s">
        <v>177</v>
      </c>
      <c r="O1970" s="61">
        <v>5800</v>
      </c>
      <c r="P1970" s="61">
        <v>1</v>
      </c>
      <c r="Q1970" s="51">
        <f t="shared" si="43"/>
        <v>5800</v>
      </c>
      <c r="R1970" s="31">
        <v>202310</v>
      </c>
      <c r="S1970" s="32" t="s">
        <v>2560</v>
      </c>
      <c r="T1970" s="33"/>
      <c r="U1970" s="32"/>
      <c r="V1970" s="33"/>
      <c r="W1970" s="67"/>
      <c r="X1970" s="67"/>
      <c r="Y1970" s="36">
        <v>43709</v>
      </c>
      <c r="Z1970" s="36">
        <v>45900</v>
      </c>
      <c r="AA1970" s="36"/>
      <c r="AB1970" s="36"/>
      <c r="AC1970" s="36"/>
      <c r="AD1970" s="36"/>
      <c r="AE1970" s="36"/>
      <c r="AF1970" s="53" t="s">
        <v>68</v>
      </c>
      <c r="AG1970" s="42"/>
      <c r="AH1970" s="42"/>
      <c r="AI1970" s="43"/>
      <c r="AJ1970" s="43"/>
      <c r="AK1970" s="43"/>
      <c r="AL1970" s="43"/>
      <c r="AM1970" s="43"/>
      <c r="AN1970" s="42"/>
      <c r="AO1970" s="42"/>
      <c r="AP1970" s="42"/>
      <c r="AQ1970" s="43"/>
      <c r="AR1970" s="42"/>
      <c r="AS1970" s="42"/>
    </row>
    <row r="1971" spans="1:45" ht="15" customHeight="1">
      <c r="A1971" s="65" t="s">
        <v>45</v>
      </c>
      <c r="B1971" s="21" t="s">
        <v>46</v>
      </c>
      <c r="C1971" s="21" t="s">
        <v>188</v>
      </c>
      <c r="D1971" s="21" t="s">
        <v>48</v>
      </c>
      <c r="E1971" s="66" t="s">
        <v>2550</v>
      </c>
      <c r="F1971" s="65" t="s">
        <v>2551</v>
      </c>
      <c r="G1971" s="47" t="s">
        <v>77</v>
      </c>
      <c r="H1971" s="45" t="s">
        <v>2552</v>
      </c>
      <c r="I1971" s="102" t="s">
        <v>78</v>
      </c>
      <c r="J1971" s="65" t="s">
        <v>2553</v>
      </c>
      <c r="K1971" s="47"/>
      <c r="L1971" s="48" t="s">
        <v>2554</v>
      </c>
      <c r="M1971" s="49">
        <v>43981</v>
      </c>
      <c r="N1971" s="47" t="s">
        <v>177</v>
      </c>
      <c r="O1971" s="61">
        <v>5800</v>
      </c>
      <c r="P1971" s="61">
        <v>2</v>
      </c>
      <c r="Q1971" s="51">
        <f t="shared" si="43"/>
        <v>11600</v>
      </c>
      <c r="R1971" s="31">
        <v>202310</v>
      </c>
      <c r="S1971" s="32" t="s">
        <v>2561</v>
      </c>
      <c r="T1971" s="33"/>
      <c r="U1971" s="32"/>
      <c r="V1971" s="33"/>
      <c r="W1971" s="67"/>
      <c r="X1971" s="67"/>
      <c r="Y1971" s="36">
        <v>43709</v>
      </c>
      <c r="Z1971" s="36">
        <v>45900</v>
      </c>
      <c r="AA1971" s="36"/>
      <c r="AB1971" s="36"/>
      <c r="AC1971" s="36"/>
      <c r="AD1971" s="36"/>
      <c r="AE1971" s="36"/>
      <c r="AF1971" s="53" t="s">
        <v>68</v>
      </c>
      <c r="AG1971" s="42"/>
      <c r="AH1971" s="42"/>
      <c r="AI1971" s="43"/>
      <c r="AJ1971" s="43"/>
      <c r="AK1971" s="43"/>
      <c r="AL1971" s="43"/>
      <c r="AM1971" s="43"/>
      <c r="AN1971" s="42"/>
      <c r="AO1971" s="42"/>
      <c r="AP1971" s="42"/>
      <c r="AQ1971" s="43"/>
      <c r="AR1971" s="42"/>
      <c r="AS1971" s="42"/>
    </row>
    <row r="1972" spans="1:45" ht="15" customHeight="1">
      <c r="A1972" s="65" t="s">
        <v>45</v>
      </c>
      <c r="B1972" s="21" t="s">
        <v>46</v>
      </c>
      <c r="C1972" s="21" t="s">
        <v>188</v>
      </c>
      <c r="D1972" s="21" t="s">
        <v>48</v>
      </c>
      <c r="E1972" s="66" t="s">
        <v>2550</v>
      </c>
      <c r="F1972" s="65" t="s">
        <v>2551</v>
      </c>
      <c r="G1972" s="47" t="s">
        <v>77</v>
      </c>
      <c r="H1972" s="45" t="s">
        <v>2552</v>
      </c>
      <c r="I1972" s="102" t="s">
        <v>78</v>
      </c>
      <c r="J1972" s="65" t="s">
        <v>2553</v>
      </c>
      <c r="K1972" s="47"/>
      <c r="L1972" s="48" t="s">
        <v>2554</v>
      </c>
      <c r="M1972" s="49">
        <v>43987</v>
      </c>
      <c r="N1972" s="47" t="s">
        <v>177</v>
      </c>
      <c r="O1972" s="61">
        <v>5800</v>
      </c>
      <c r="P1972" s="61">
        <v>1</v>
      </c>
      <c r="Q1972" s="51">
        <f t="shared" si="43"/>
        <v>5800</v>
      </c>
      <c r="R1972" s="31">
        <v>202310</v>
      </c>
      <c r="S1972" s="32" t="s">
        <v>2562</v>
      </c>
      <c r="T1972" s="33"/>
      <c r="U1972" s="32"/>
      <c r="V1972" s="33"/>
      <c r="W1972" s="67"/>
      <c r="X1972" s="67"/>
      <c r="Y1972" s="36">
        <v>43709</v>
      </c>
      <c r="Z1972" s="36">
        <v>45900</v>
      </c>
      <c r="AA1972" s="36"/>
      <c r="AB1972" s="36"/>
      <c r="AC1972" s="36"/>
      <c r="AD1972" s="36"/>
      <c r="AE1972" s="36"/>
      <c r="AF1972" s="53" t="s">
        <v>68</v>
      </c>
      <c r="AG1972" s="42"/>
      <c r="AH1972" s="42"/>
      <c r="AI1972" s="43"/>
      <c r="AJ1972" s="43"/>
      <c r="AK1972" s="43"/>
      <c r="AL1972" s="43"/>
      <c r="AM1972" s="43"/>
      <c r="AN1972" s="42"/>
      <c r="AO1972" s="42"/>
      <c r="AP1972" s="42"/>
      <c r="AQ1972" s="43"/>
      <c r="AR1972" s="42"/>
      <c r="AS1972" s="42"/>
    </row>
    <row r="1973" spans="1:45" ht="15" customHeight="1">
      <c r="A1973" s="65" t="s">
        <v>45</v>
      </c>
      <c r="B1973" s="21" t="s">
        <v>46</v>
      </c>
      <c r="C1973" s="21" t="s">
        <v>188</v>
      </c>
      <c r="D1973" s="21" t="s">
        <v>48</v>
      </c>
      <c r="E1973" s="66" t="s">
        <v>2550</v>
      </c>
      <c r="F1973" s="65" t="s">
        <v>2551</v>
      </c>
      <c r="G1973" s="47" t="s">
        <v>77</v>
      </c>
      <c r="H1973" s="45" t="s">
        <v>2552</v>
      </c>
      <c r="I1973" s="102" t="s">
        <v>78</v>
      </c>
      <c r="J1973" s="65" t="s">
        <v>2553</v>
      </c>
      <c r="K1973" s="47"/>
      <c r="L1973" s="48" t="s">
        <v>2554</v>
      </c>
      <c r="M1973" s="49">
        <v>44004</v>
      </c>
      <c r="N1973" s="47" t="s">
        <v>177</v>
      </c>
      <c r="O1973" s="61">
        <v>5800</v>
      </c>
      <c r="P1973" s="61">
        <v>1</v>
      </c>
      <c r="Q1973" s="51">
        <f t="shared" si="43"/>
        <v>5800</v>
      </c>
      <c r="R1973" s="31">
        <v>202310</v>
      </c>
      <c r="S1973" s="32" t="s">
        <v>2563</v>
      </c>
      <c r="T1973" s="33"/>
      <c r="U1973" s="32"/>
      <c r="V1973" s="33"/>
      <c r="W1973" s="67"/>
      <c r="X1973" s="67"/>
      <c r="Y1973" s="36">
        <v>43709</v>
      </c>
      <c r="Z1973" s="36">
        <v>45900</v>
      </c>
      <c r="AA1973" s="36"/>
      <c r="AB1973" s="36"/>
      <c r="AC1973" s="36"/>
      <c r="AD1973" s="36"/>
      <c r="AE1973" s="36"/>
      <c r="AF1973" s="53" t="s">
        <v>68</v>
      </c>
      <c r="AG1973" s="42"/>
      <c r="AH1973" s="42"/>
      <c r="AI1973" s="43"/>
      <c r="AJ1973" s="43"/>
      <c r="AK1973" s="43"/>
      <c r="AL1973" s="43"/>
      <c r="AM1973" s="43"/>
      <c r="AN1973" s="42"/>
      <c r="AO1973" s="42"/>
      <c r="AP1973" s="42"/>
      <c r="AQ1973" s="43"/>
      <c r="AR1973" s="42"/>
      <c r="AS1973" s="42"/>
    </row>
    <row r="1974" spans="1:45" ht="15" customHeight="1">
      <c r="A1974" s="65" t="s">
        <v>45</v>
      </c>
      <c r="B1974" s="21" t="s">
        <v>46</v>
      </c>
      <c r="C1974" s="21" t="s">
        <v>188</v>
      </c>
      <c r="D1974" s="21" t="s">
        <v>48</v>
      </c>
      <c r="E1974" s="66" t="s">
        <v>2550</v>
      </c>
      <c r="F1974" s="65" t="s">
        <v>2551</v>
      </c>
      <c r="G1974" s="47" t="s">
        <v>77</v>
      </c>
      <c r="H1974" s="45" t="s">
        <v>2552</v>
      </c>
      <c r="I1974" s="102" t="s">
        <v>78</v>
      </c>
      <c r="J1974" s="65" t="s">
        <v>2553</v>
      </c>
      <c r="K1974" s="47"/>
      <c r="L1974" s="48" t="s">
        <v>2554</v>
      </c>
      <c r="M1974" s="49">
        <v>44006</v>
      </c>
      <c r="N1974" s="47" t="s">
        <v>177</v>
      </c>
      <c r="O1974" s="61">
        <v>5800</v>
      </c>
      <c r="P1974" s="61">
        <v>1</v>
      </c>
      <c r="Q1974" s="51">
        <f t="shared" si="43"/>
        <v>5800</v>
      </c>
      <c r="R1974" s="31">
        <v>202310</v>
      </c>
      <c r="S1974" s="32" t="s">
        <v>2564</v>
      </c>
      <c r="T1974" s="33"/>
      <c r="U1974" s="32"/>
      <c r="V1974" s="33"/>
      <c r="W1974" s="67"/>
      <c r="X1974" s="67"/>
      <c r="Y1974" s="36">
        <v>43709</v>
      </c>
      <c r="Z1974" s="36">
        <v>45900</v>
      </c>
      <c r="AA1974" s="36"/>
      <c r="AB1974" s="36"/>
      <c r="AC1974" s="36"/>
      <c r="AD1974" s="36"/>
      <c r="AE1974" s="36"/>
      <c r="AF1974" s="53" t="s">
        <v>68</v>
      </c>
      <c r="AG1974" s="42"/>
      <c r="AH1974" s="42"/>
      <c r="AI1974" s="43"/>
      <c r="AJ1974" s="43"/>
      <c r="AK1974" s="43"/>
      <c r="AL1974" s="43"/>
      <c r="AM1974" s="43"/>
      <c r="AN1974" s="42"/>
      <c r="AO1974" s="42"/>
      <c r="AP1974" s="42"/>
      <c r="AQ1974" s="43"/>
      <c r="AR1974" s="42"/>
      <c r="AS1974" s="42"/>
    </row>
    <row r="1975" spans="1:45" ht="15" customHeight="1">
      <c r="A1975" s="65" t="s">
        <v>45</v>
      </c>
      <c r="B1975" s="21" t="s">
        <v>46</v>
      </c>
      <c r="C1975" s="21" t="s">
        <v>188</v>
      </c>
      <c r="D1975" s="21" t="s">
        <v>48</v>
      </c>
      <c r="E1975" s="66" t="s">
        <v>2550</v>
      </c>
      <c r="F1975" s="65" t="s">
        <v>2551</v>
      </c>
      <c r="G1975" s="47" t="s">
        <v>77</v>
      </c>
      <c r="H1975" s="45" t="s">
        <v>2552</v>
      </c>
      <c r="I1975" s="102" t="s">
        <v>78</v>
      </c>
      <c r="J1975" s="65" t="s">
        <v>2553</v>
      </c>
      <c r="K1975" s="47"/>
      <c r="L1975" s="48" t="s">
        <v>2554</v>
      </c>
      <c r="M1975" s="49">
        <v>43987</v>
      </c>
      <c r="N1975" s="47" t="s">
        <v>177</v>
      </c>
      <c r="O1975" s="61">
        <v>5800</v>
      </c>
      <c r="P1975" s="61">
        <v>-1</v>
      </c>
      <c r="Q1975" s="51">
        <f t="shared" si="43"/>
        <v>-5800</v>
      </c>
      <c r="R1975" s="31">
        <v>202310</v>
      </c>
      <c r="S1975" s="32" t="s">
        <v>2565</v>
      </c>
      <c r="T1975" s="33"/>
      <c r="U1975" s="32"/>
      <c r="V1975" s="33"/>
      <c r="W1975" s="67"/>
      <c r="X1975" s="67"/>
      <c r="Y1975" s="36">
        <v>43709</v>
      </c>
      <c r="Z1975" s="36">
        <v>45900</v>
      </c>
      <c r="AA1975" s="36"/>
      <c r="AB1975" s="36"/>
      <c r="AC1975" s="36"/>
      <c r="AD1975" s="36"/>
      <c r="AE1975" s="36"/>
      <c r="AF1975" s="53" t="s">
        <v>68</v>
      </c>
      <c r="AG1975" s="42"/>
      <c r="AH1975" s="42"/>
      <c r="AI1975" s="43"/>
      <c r="AJ1975" s="43"/>
      <c r="AK1975" s="43"/>
      <c r="AL1975" s="43"/>
      <c r="AM1975" s="43"/>
      <c r="AN1975" s="42"/>
      <c r="AO1975" s="42"/>
      <c r="AP1975" s="42"/>
      <c r="AQ1975" s="43"/>
      <c r="AR1975" s="42"/>
      <c r="AS1975" s="42"/>
    </row>
    <row r="1976" spans="1:45" ht="15" customHeight="1">
      <c r="A1976" s="65" t="s">
        <v>45</v>
      </c>
      <c r="B1976" s="21" t="s">
        <v>46</v>
      </c>
      <c r="C1976" s="21" t="s">
        <v>188</v>
      </c>
      <c r="D1976" s="21" t="s">
        <v>48</v>
      </c>
      <c r="E1976" s="66" t="s">
        <v>2550</v>
      </c>
      <c r="F1976" s="65" t="s">
        <v>2551</v>
      </c>
      <c r="G1976" s="47" t="s">
        <v>77</v>
      </c>
      <c r="H1976" s="45" t="s">
        <v>2552</v>
      </c>
      <c r="I1976" s="102" t="s">
        <v>78</v>
      </c>
      <c r="J1976" s="65" t="s">
        <v>2553</v>
      </c>
      <c r="K1976" s="47"/>
      <c r="L1976" s="48" t="s">
        <v>2566</v>
      </c>
      <c r="M1976" s="49">
        <v>43992</v>
      </c>
      <c r="N1976" s="47" t="s">
        <v>177</v>
      </c>
      <c r="O1976" s="61">
        <v>5800</v>
      </c>
      <c r="P1976" s="61">
        <v>1</v>
      </c>
      <c r="Q1976" s="51">
        <f t="shared" si="43"/>
        <v>5800</v>
      </c>
      <c r="R1976" s="31">
        <v>202310</v>
      </c>
      <c r="S1976" s="217" t="s">
        <v>2567</v>
      </c>
      <c r="T1976" s="33"/>
      <c r="U1976" s="32"/>
      <c r="V1976" s="33"/>
      <c r="W1976" s="67"/>
      <c r="X1976" s="67"/>
      <c r="Y1976" s="36">
        <v>43709</v>
      </c>
      <c r="Z1976" s="36">
        <v>45900</v>
      </c>
      <c r="AA1976" s="36"/>
      <c r="AB1976" s="36"/>
      <c r="AC1976" s="36"/>
      <c r="AD1976" s="36"/>
      <c r="AE1976" s="36"/>
      <c r="AF1976" s="53" t="s">
        <v>68</v>
      </c>
      <c r="AG1976" s="42"/>
      <c r="AH1976" s="42"/>
      <c r="AI1976" s="43"/>
      <c r="AJ1976" s="43"/>
      <c r="AK1976" s="43"/>
      <c r="AL1976" s="43"/>
      <c r="AM1976" s="43"/>
      <c r="AN1976" s="42"/>
      <c r="AO1976" s="42"/>
      <c r="AP1976" s="42"/>
      <c r="AQ1976" s="43"/>
      <c r="AR1976" s="42"/>
      <c r="AS1976" s="42"/>
    </row>
    <row r="1977" spans="1:45" ht="15" customHeight="1">
      <c r="A1977" s="65" t="s">
        <v>45</v>
      </c>
      <c r="B1977" s="21" t="s">
        <v>46</v>
      </c>
      <c r="C1977" s="21" t="s">
        <v>188</v>
      </c>
      <c r="D1977" s="21" t="s">
        <v>48</v>
      </c>
      <c r="E1977" s="66" t="s">
        <v>2550</v>
      </c>
      <c r="F1977" s="65" t="s">
        <v>2551</v>
      </c>
      <c r="G1977" s="47" t="s">
        <v>77</v>
      </c>
      <c r="H1977" s="45" t="s">
        <v>2552</v>
      </c>
      <c r="I1977" s="102" t="s">
        <v>78</v>
      </c>
      <c r="J1977" s="65" t="s">
        <v>2553</v>
      </c>
      <c r="K1977" s="47"/>
      <c r="L1977" s="48" t="s">
        <v>2554</v>
      </c>
      <c r="M1977" s="49">
        <v>44011</v>
      </c>
      <c r="N1977" s="47" t="s">
        <v>177</v>
      </c>
      <c r="O1977" s="61">
        <v>5800</v>
      </c>
      <c r="P1977" s="61">
        <v>1</v>
      </c>
      <c r="Q1977" s="51">
        <f t="shared" si="43"/>
        <v>5800</v>
      </c>
      <c r="R1977" s="31">
        <v>202310</v>
      </c>
      <c r="S1977" s="32" t="s">
        <v>2568</v>
      </c>
      <c r="T1977" s="33"/>
      <c r="U1977" s="32"/>
      <c r="V1977" s="33"/>
      <c r="W1977" s="67"/>
      <c r="X1977" s="67"/>
      <c r="Y1977" s="36">
        <v>43709</v>
      </c>
      <c r="Z1977" s="36">
        <v>45900</v>
      </c>
      <c r="AA1977" s="36"/>
      <c r="AB1977" s="36"/>
      <c r="AC1977" s="36"/>
      <c r="AD1977" s="36"/>
      <c r="AE1977" s="36"/>
      <c r="AF1977" s="53" t="s">
        <v>68</v>
      </c>
      <c r="AG1977" s="42"/>
      <c r="AH1977" s="42"/>
      <c r="AI1977" s="43"/>
      <c r="AJ1977" s="43"/>
      <c r="AK1977" s="43"/>
      <c r="AL1977" s="43"/>
      <c r="AM1977" s="43"/>
      <c r="AN1977" s="42"/>
      <c r="AO1977" s="42"/>
      <c r="AP1977" s="42"/>
      <c r="AQ1977" s="43"/>
      <c r="AR1977" s="42"/>
      <c r="AS1977" s="42"/>
    </row>
    <row r="1978" spans="1:45" ht="15" customHeight="1">
      <c r="A1978" s="65" t="s">
        <v>45</v>
      </c>
      <c r="B1978" s="21" t="s">
        <v>46</v>
      </c>
      <c r="C1978" s="21" t="s">
        <v>188</v>
      </c>
      <c r="D1978" s="21" t="s">
        <v>48</v>
      </c>
      <c r="E1978" s="66" t="s">
        <v>2550</v>
      </c>
      <c r="F1978" s="65" t="s">
        <v>2551</v>
      </c>
      <c r="G1978" s="47" t="s">
        <v>77</v>
      </c>
      <c r="H1978" s="45" t="s">
        <v>2552</v>
      </c>
      <c r="I1978" s="102" t="s">
        <v>78</v>
      </c>
      <c r="J1978" s="65" t="s">
        <v>2553</v>
      </c>
      <c r="K1978" s="47"/>
      <c r="L1978" s="48" t="s">
        <v>2554</v>
      </c>
      <c r="M1978" s="49">
        <v>43981</v>
      </c>
      <c r="N1978" s="47" t="s">
        <v>177</v>
      </c>
      <c r="O1978" s="61">
        <v>5800</v>
      </c>
      <c r="P1978" s="61">
        <v>5</v>
      </c>
      <c r="Q1978" s="51">
        <f t="shared" si="43"/>
        <v>29000</v>
      </c>
      <c r="R1978" s="31">
        <v>202310</v>
      </c>
      <c r="S1978" s="32" t="s">
        <v>2569</v>
      </c>
      <c r="T1978" s="33"/>
      <c r="U1978" s="32"/>
      <c r="V1978" s="33"/>
      <c r="W1978" s="67"/>
      <c r="X1978" s="67"/>
      <c r="Y1978" s="36">
        <v>43709</v>
      </c>
      <c r="Z1978" s="36">
        <v>45900</v>
      </c>
      <c r="AA1978" s="36"/>
      <c r="AB1978" s="36"/>
      <c r="AC1978" s="36"/>
      <c r="AD1978" s="36"/>
      <c r="AE1978" s="36"/>
      <c r="AF1978" s="53" t="s">
        <v>68</v>
      </c>
      <c r="AG1978" s="42"/>
      <c r="AH1978" s="42"/>
      <c r="AI1978" s="43"/>
      <c r="AJ1978" s="43"/>
      <c r="AK1978" s="43"/>
      <c r="AL1978" s="43"/>
      <c r="AM1978" s="43"/>
      <c r="AN1978" s="42"/>
      <c r="AO1978" s="42"/>
      <c r="AP1978" s="42"/>
      <c r="AQ1978" s="43"/>
      <c r="AR1978" s="42"/>
      <c r="AS1978" s="42"/>
    </row>
    <row r="1979" spans="1:45" ht="15" customHeight="1">
      <c r="A1979" s="65" t="s">
        <v>45</v>
      </c>
      <c r="B1979" s="21" t="s">
        <v>46</v>
      </c>
      <c r="C1979" s="21" t="s">
        <v>188</v>
      </c>
      <c r="D1979" s="21" t="s">
        <v>48</v>
      </c>
      <c r="E1979" s="66" t="s">
        <v>2550</v>
      </c>
      <c r="F1979" s="65" t="s">
        <v>2551</v>
      </c>
      <c r="G1979" s="47" t="s">
        <v>77</v>
      </c>
      <c r="H1979" s="45" t="s">
        <v>2552</v>
      </c>
      <c r="I1979" s="102" t="s">
        <v>78</v>
      </c>
      <c r="J1979" s="65" t="s">
        <v>2553</v>
      </c>
      <c r="K1979" s="47"/>
      <c r="L1979" s="48" t="s">
        <v>2554</v>
      </c>
      <c r="M1979" s="49">
        <v>44019</v>
      </c>
      <c r="N1979" s="47" t="s">
        <v>177</v>
      </c>
      <c r="O1979" s="61">
        <v>5800</v>
      </c>
      <c r="P1979" s="61">
        <v>3</v>
      </c>
      <c r="Q1979" s="51">
        <f t="shared" si="43"/>
        <v>17400</v>
      </c>
      <c r="R1979" s="31">
        <v>202310</v>
      </c>
      <c r="S1979" s="32" t="s">
        <v>2570</v>
      </c>
      <c r="T1979" s="33"/>
      <c r="U1979" s="32"/>
      <c r="V1979" s="33"/>
      <c r="W1979" s="67"/>
      <c r="X1979" s="67"/>
      <c r="Y1979" s="36">
        <v>43709</v>
      </c>
      <c r="Z1979" s="36">
        <v>45900</v>
      </c>
      <c r="AA1979" s="36"/>
      <c r="AB1979" s="36"/>
      <c r="AC1979" s="36"/>
      <c r="AD1979" s="36"/>
      <c r="AE1979" s="36"/>
      <c r="AF1979" s="53" t="s">
        <v>68</v>
      </c>
      <c r="AG1979" s="42"/>
      <c r="AH1979" s="42"/>
      <c r="AI1979" s="43"/>
      <c r="AJ1979" s="43"/>
      <c r="AK1979" s="43"/>
      <c r="AL1979" s="43"/>
      <c r="AM1979" s="43"/>
      <c r="AN1979" s="42"/>
      <c r="AO1979" s="42"/>
      <c r="AP1979" s="42"/>
      <c r="AQ1979" s="43"/>
      <c r="AR1979" s="42"/>
      <c r="AS1979" s="42"/>
    </row>
    <row r="1980" spans="1:45" ht="15" customHeight="1">
      <c r="A1980" s="65" t="s">
        <v>45</v>
      </c>
      <c r="B1980" s="21" t="s">
        <v>46</v>
      </c>
      <c r="C1980" s="21" t="s">
        <v>188</v>
      </c>
      <c r="D1980" s="21" t="s">
        <v>48</v>
      </c>
      <c r="E1980" s="66" t="s">
        <v>2550</v>
      </c>
      <c r="F1980" s="65" t="s">
        <v>2551</v>
      </c>
      <c r="G1980" s="47" t="s">
        <v>77</v>
      </c>
      <c r="H1980" s="45" t="s">
        <v>2552</v>
      </c>
      <c r="I1980" s="102" t="s">
        <v>78</v>
      </c>
      <c r="J1980" s="65" t="s">
        <v>2553</v>
      </c>
      <c r="K1980" s="47"/>
      <c r="L1980" s="48" t="s">
        <v>2554</v>
      </c>
      <c r="M1980" s="49">
        <v>44023</v>
      </c>
      <c r="N1980" s="47" t="s">
        <v>177</v>
      </c>
      <c r="O1980" s="61">
        <v>5800</v>
      </c>
      <c r="P1980" s="61">
        <v>7</v>
      </c>
      <c r="Q1980" s="51">
        <f t="shared" si="43"/>
        <v>40600</v>
      </c>
      <c r="R1980" s="31">
        <v>202310</v>
      </c>
      <c r="S1980" s="32" t="s">
        <v>2571</v>
      </c>
      <c r="T1980" s="33"/>
      <c r="U1980" s="32"/>
      <c r="V1980" s="33"/>
      <c r="W1980" s="67"/>
      <c r="X1980" s="67"/>
      <c r="Y1980" s="36">
        <v>43709</v>
      </c>
      <c r="Z1980" s="36">
        <v>45900</v>
      </c>
      <c r="AA1980" s="36"/>
      <c r="AB1980" s="36"/>
      <c r="AC1980" s="36"/>
      <c r="AD1980" s="36"/>
      <c r="AE1980" s="36"/>
      <c r="AF1980" s="53" t="s">
        <v>68</v>
      </c>
      <c r="AG1980" s="42"/>
      <c r="AH1980" s="42"/>
      <c r="AI1980" s="43"/>
      <c r="AJ1980" s="43"/>
      <c r="AK1980" s="43"/>
      <c r="AL1980" s="43"/>
      <c r="AM1980" s="43"/>
      <c r="AN1980" s="42"/>
      <c r="AO1980" s="42"/>
      <c r="AP1980" s="42"/>
      <c r="AQ1980" s="43"/>
      <c r="AR1980" s="42"/>
      <c r="AS1980" s="42"/>
    </row>
    <row r="1981" spans="1:45" ht="15" customHeight="1">
      <c r="A1981" s="65" t="s">
        <v>45</v>
      </c>
      <c r="B1981" s="21" t="s">
        <v>46</v>
      </c>
      <c r="C1981" s="21" t="s">
        <v>188</v>
      </c>
      <c r="D1981" s="21" t="s">
        <v>48</v>
      </c>
      <c r="E1981" s="66" t="s">
        <v>2550</v>
      </c>
      <c r="F1981" s="65" t="s">
        <v>2551</v>
      </c>
      <c r="G1981" s="47" t="s">
        <v>77</v>
      </c>
      <c r="H1981" s="45" t="s">
        <v>2552</v>
      </c>
      <c r="I1981" s="102" t="s">
        <v>78</v>
      </c>
      <c r="J1981" s="65" t="s">
        <v>2553</v>
      </c>
      <c r="K1981" s="47"/>
      <c r="L1981" s="48" t="s">
        <v>2554</v>
      </c>
      <c r="M1981" s="49">
        <v>44025</v>
      </c>
      <c r="N1981" s="47" t="s">
        <v>177</v>
      </c>
      <c r="O1981" s="61">
        <v>5800</v>
      </c>
      <c r="P1981" s="61">
        <v>63</v>
      </c>
      <c r="Q1981" s="51">
        <f t="shared" si="43"/>
        <v>365400</v>
      </c>
      <c r="R1981" s="31">
        <v>202310</v>
      </c>
      <c r="S1981" s="32" t="s">
        <v>2572</v>
      </c>
      <c r="T1981" s="33"/>
      <c r="U1981" s="32"/>
      <c r="V1981" s="33"/>
      <c r="W1981" s="67"/>
      <c r="X1981" s="67"/>
      <c r="Y1981" s="36">
        <v>43709</v>
      </c>
      <c r="Z1981" s="36">
        <v>45900</v>
      </c>
      <c r="AA1981" s="36"/>
      <c r="AB1981" s="36"/>
      <c r="AC1981" s="36"/>
      <c r="AD1981" s="36"/>
      <c r="AE1981" s="36"/>
      <c r="AF1981" s="53" t="s">
        <v>68</v>
      </c>
      <c r="AG1981" s="42"/>
      <c r="AH1981" s="42"/>
      <c r="AI1981" s="43"/>
      <c r="AJ1981" s="43"/>
      <c r="AK1981" s="43"/>
      <c r="AL1981" s="43"/>
      <c r="AM1981" s="43"/>
      <c r="AN1981" s="42"/>
      <c r="AO1981" s="42"/>
      <c r="AP1981" s="42"/>
      <c r="AQ1981" s="43"/>
      <c r="AR1981" s="42"/>
      <c r="AS1981" s="42"/>
    </row>
    <row r="1982" spans="1:45" ht="15" customHeight="1">
      <c r="A1982" s="65" t="s">
        <v>45</v>
      </c>
      <c r="B1982" s="21" t="s">
        <v>46</v>
      </c>
      <c r="C1982" s="21" t="s">
        <v>188</v>
      </c>
      <c r="D1982" s="21" t="s">
        <v>48</v>
      </c>
      <c r="E1982" s="66" t="s">
        <v>2550</v>
      </c>
      <c r="F1982" s="65" t="s">
        <v>2551</v>
      </c>
      <c r="G1982" s="47" t="s">
        <v>77</v>
      </c>
      <c r="H1982" s="45" t="s">
        <v>2552</v>
      </c>
      <c r="I1982" s="102" t="s">
        <v>78</v>
      </c>
      <c r="J1982" s="65" t="s">
        <v>2553</v>
      </c>
      <c r="K1982" s="47"/>
      <c r="L1982" s="48" t="s">
        <v>2554</v>
      </c>
      <c r="M1982" s="49">
        <v>44026</v>
      </c>
      <c r="N1982" s="47" t="s">
        <v>177</v>
      </c>
      <c r="O1982" s="61">
        <v>5800</v>
      </c>
      <c r="P1982" s="61">
        <v>149</v>
      </c>
      <c r="Q1982" s="51">
        <f t="shared" si="43"/>
        <v>864200</v>
      </c>
      <c r="R1982" s="31">
        <v>202310</v>
      </c>
      <c r="S1982" s="32" t="s">
        <v>2573</v>
      </c>
      <c r="T1982" s="33"/>
      <c r="U1982" s="32"/>
      <c r="V1982" s="33"/>
      <c r="W1982" s="67"/>
      <c r="X1982" s="67"/>
      <c r="Y1982" s="36">
        <v>43709</v>
      </c>
      <c r="Z1982" s="36">
        <v>45900</v>
      </c>
      <c r="AA1982" s="36"/>
      <c r="AB1982" s="36"/>
      <c r="AC1982" s="36"/>
      <c r="AD1982" s="36"/>
      <c r="AE1982" s="36"/>
      <c r="AF1982" s="53" t="s">
        <v>68</v>
      </c>
      <c r="AG1982" s="42"/>
      <c r="AH1982" s="42"/>
      <c r="AI1982" s="43"/>
      <c r="AJ1982" s="43"/>
      <c r="AK1982" s="43"/>
      <c r="AL1982" s="43"/>
      <c r="AM1982" s="43"/>
      <c r="AN1982" s="42"/>
      <c r="AO1982" s="42"/>
      <c r="AP1982" s="42"/>
      <c r="AQ1982" s="43"/>
      <c r="AR1982" s="42"/>
      <c r="AS1982" s="42"/>
    </row>
    <row r="1983" spans="1:45" ht="15" customHeight="1">
      <c r="A1983" s="65" t="s">
        <v>45</v>
      </c>
      <c r="B1983" s="21" t="s">
        <v>46</v>
      </c>
      <c r="C1983" s="21" t="s">
        <v>188</v>
      </c>
      <c r="D1983" s="21" t="s">
        <v>48</v>
      </c>
      <c r="E1983" s="66" t="s">
        <v>2550</v>
      </c>
      <c r="F1983" s="65" t="s">
        <v>2551</v>
      </c>
      <c r="G1983" s="47" t="s">
        <v>77</v>
      </c>
      <c r="H1983" s="45" t="s">
        <v>2552</v>
      </c>
      <c r="I1983" s="102" t="s">
        <v>78</v>
      </c>
      <c r="J1983" s="65" t="s">
        <v>2553</v>
      </c>
      <c r="K1983" s="47"/>
      <c r="L1983" s="48" t="s">
        <v>2554</v>
      </c>
      <c r="M1983" s="49">
        <v>44027</v>
      </c>
      <c r="N1983" s="47" t="s">
        <v>177</v>
      </c>
      <c r="O1983" s="61">
        <v>5800</v>
      </c>
      <c r="P1983" s="61">
        <v>11</v>
      </c>
      <c r="Q1983" s="51">
        <f t="shared" si="43"/>
        <v>63800</v>
      </c>
      <c r="R1983" s="31">
        <v>202310</v>
      </c>
      <c r="S1983" s="32" t="s">
        <v>2574</v>
      </c>
      <c r="T1983" s="33"/>
      <c r="U1983" s="32"/>
      <c r="V1983" s="33"/>
      <c r="W1983" s="67"/>
      <c r="X1983" s="67"/>
      <c r="Y1983" s="36">
        <v>43709</v>
      </c>
      <c r="Z1983" s="36">
        <v>45900</v>
      </c>
      <c r="AA1983" s="36"/>
      <c r="AB1983" s="36"/>
      <c r="AC1983" s="36"/>
      <c r="AD1983" s="36"/>
      <c r="AE1983" s="36"/>
      <c r="AF1983" s="53" t="s">
        <v>68</v>
      </c>
      <c r="AG1983" s="42"/>
      <c r="AH1983" s="42"/>
      <c r="AI1983" s="43"/>
      <c r="AJ1983" s="43"/>
      <c r="AK1983" s="43"/>
      <c r="AL1983" s="43"/>
      <c r="AM1983" s="43"/>
      <c r="AN1983" s="42"/>
      <c r="AO1983" s="42"/>
      <c r="AP1983" s="42"/>
      <c r="AQ1983" s="43"/>
      <c r="AR1983" s="42"/>
      <c r="AS1983" s="42"/>
    </row>
    <row r="1984" spans="1:45" ht="15" customHeight="1">
      <c r="A1984" s="65" t="s">
        <v>45</v>
      </c>
      <c r="B1984" s="21" t="s">
        <v>46</v>
      </c>
      <c r="C1984" s="21" t="s">
        <v>188</v>
      </c>
      <c r="D1984" s="21" t="s">
        <v>48</v>
      </c>
      <c r="E1984" s="66" t="s">
        <v>2550</v>
      </c>
      <c r="F1984" s="65" t="s">
        <v>2551</v>
      </c>
      <c r="G1984" s="47" t="s">
        <v>77</v>
      </c>
      <c r="H1984" s="45" t="s">
        <v>2552</v>
      </c>
      <c r="I1984" s="102" t="s">
        <v>78</v>
      </c>
      <c r="J1984" s="65" t="s">
        <v>2553</v>
      </c>
      <c r="K1984" s="47"/>
      <c r="L1984" s="48" t="s">
        <v>2554</v>
      </c>
      <c r="M1984" s="49">
        <v>44028</v>
      </c>
      <c r="N1984" s="47" t="s">
        <v>177</v>
      </c>
      <c r="O1984" s="61">
        <v>5800</v>
      </c>
      <c r="P1984" s="61">
        <v>4</v>
      </c>
      <c r="Q1984" s="51">
        <f t="shared" si="43"/>
        <v>23200</v>
      </c>
      <c r="R1984" s="31">
        <v>202310</v>
      </c>
      <c r="S1984" s="32" t="s">
        <v>2575</v>
      </c>
      <c r="T1984" s="33"/>
      <c r="U1984" s="32"/>
      <c r="V1984" s="33"/>
      <c r="W1984" s="67"/>
      <c r="X1984" s="67"/>
      <c r="Y1984" s="36">
        <v>43709</v>
      </c>
      <c r="Z1984" s="36">
        <v>45900</v>
      </c>
      <c r="AA1984" s="36"/>
      <c r="AB1984" s="36"/>
      <c r="AC1984" s="36"/>
      <c r="AD1984" s="36"/>
      <c r="AE1984" s="36"/>
      <c r="AF1984" s="53" t="s">
        <v>68</v>
      </c>
      <c r="AG1984" s="42"/>
      <c r="AH1984" s="42"/>
      <c r="AI1984" s="43"/>
      <c r="AJ1984" s="43"/>
      <c r="AK1984" s="43"/>
      <c r="AL1984" s="43"/>
      <c r="AM1984" s="43"/>
      <c r="AN1984" s="42"/>
      <c r="AO1984" s="42"/>
      <c r="AP1984" s="42"/>
      <c r="AQ1984" s="43"/>
      <c r="AR1984" s="42"/>
      <c r="AS1984" s="42"/>
    </row>
    <row r="1985" spans="1:45" ht="15" customHeight="1">
      <c r="A1985" s="65" t="s">
        <v>45</v>
      </c>
      <c r="B1985" s="21" t="s">
        <v>46</v>
      </c>
      <c r="C1985" s="21" t="s">
        <v>188</v>
      </c>
      <c r="D1985" s="21" t="s">
        <v>48</v>
      </c>
      <c r="E1985" s="66" t="s">
        <v>2550</v>
      </c>
      <c r="F1985" s="65" t="s">
        <v>2551</v>
      </c>
      <c r="G1985" s="47" t="s">
        <v>77</v>
      </c>
      <c r="H1985" s="45" t="s">
        <v>2552</v>
      </c>
      <c r="I1985" s="102" t="s">
        <v>78</v>
      </c>
      <c r="J1985" s="65" t="s">
        <v>2553</v>
      </c>
      <c r="K1985" s="47"/>
      <c r="L1985" s="48" t="s">
        <v>2554</v>
      </c>
      <c r="M1985" s="49">
        <v>44035</v>
      </c>
      <c r="N1985" s="47" t="s">
        <v>348</v>
      </c>
      <c r="O1985" s="61">
        <v>11864</v>
      </c>
      <c r="P1985" s="61">
        <v>2</v>
      </c>
      <c r="Q1985" s="51">
        <f t="shared" si="43"/>
        <v>23728</v>
      </c>
      <c r="R1985" s="31">
        <v>202310</v>
      </c>
      <c r="S1985" s="32" t="s">
        <v>2576</v>
      </c>
      <c r="T1985" s="33"/>
      <c r="U1985" s="32"/>
      <c r="V1985" s="33"/>
      <c r="W1985" s="67"/>
      <c r="X1985" s="67"/>
      <c r="Y1985" s="36">
        <v>43709</v>
      </c>
      <c r="Z1985" s="36">
        <v>45900</v>
      </c>
      <c r="AA1985" s="36"/>
      <c r="AB1985" s="36"/>
      <c r="AC1985" s="36"/>
      <c r="AD1985" s="36"/>
      <c r="AE1985" s="36"/>
      <c r="AF1985" s="53" t="s">
        <v>68</v>
      </c>
      <c r="AG1985" s="42"/>
      <c r="AH1985" s="42"/>
      <c r="AI1985" s="43"/>
      <c r="AJ1985" s="43"/>
      <c r="AK1985" s="43"/>
      <c r="AL1985" s="43"/>
      <c r="AM1985" s="43"/>
      <c r="AN1985" s="42"/>
      <c r="AO1985" s="42"/>
      <c r="AP1985" s="42"/>
      <c r="AQ1985" s="43"/>
      <c r="AR1985" s="42"/>
      <c r="AS1985" s="42"/>
    </row>
    <row r="1986" spans="1:45" ht="15" customHeight="1">
      <c r="A1986" s="65" t="s">
        <v>45</v>
      </c>
      <c r="B1986" s="21" t="s">
        <v>46</v>
      </c>
      <c r="C1986" s="21" t="s">
        <v>188</v>
      </c>
      <c r="D1986" s="21" t="s">
        <v>48</v>
      </c>
      <c r="E1986" s="66" t="s">
        <v>2550</v>
      </c>
      <c r="F1986" s="65" t="s">
        <v>2551</v>
      </c>
      <c r="G1986" s="47" t="s">
        <v>77</v>
      </c>
      <c r="H1986" s="45" t="s">
        <v>2552</v>
      </c>
      <c r="I1986" s="102" t="s">
        <v>78</v>
      </c>
      <c r="J1986" s="65" t="s">
        <v>2553</v>
      </c>
      <c r="K1986" s="47"/>
      <c r="L1986" s="48" t="s">
        <v>2554</v>
      </c>
      <c r="M1986" s="49">
        <v>44041</v>
      </c>
      <c r="N1986" s="47" t="s">
        <v>177</v>
      </c>
      <c r="O1986" s="61">
        <v>5800</v>
      </c>
      <c r="P1986" s="61">
        <v>-10</v>
      </c>
      <c r="Q1986" s="51">
        <f t="shared" si="43"/>
        <v>-58000</v>
      </c>
      <c r="R1986" s="31">
        <v>202310</v>
      </c>
      <c r="S1986" s="32" t="s">
        <v>2577</v>
      </c>
      <c r="T1986" s="33"/>
      <c r="U1986" s="32"/>
      <c r="V1986" s="33"/>
      <c r="W1986" s="67"/>
      <c r="X1986" s="67"/>
      <c r="Y1986" s="36">
        <v>43709</v>
      </c>
      <c r="Z1986" s="36">
        <v>45900</v>
      </c>
      <c r="AA1986" s="36"/>
      <c r="AB1986" s="36"/>
      <c r="AC1986" s="36"/>
      <c r="AD1986" s="36"/>
      <c r="AE1986" s="36"/>
      <c r="AF1986" s="53" t="s">
        <v>68</v>
      </c>
      <c r="AG1986" s="42"/>
      <c r="AH1986" s="42"/>
      <c r="AI1986" s="43"/>
      <c r="AJ1986" s="43"/>
      <c r="AK1986" s="43"/>
      <c r="AL1986" s="43"/>
      <c r="AM1986" s="43"/>
      <c r="AN1986" s="42"/>
      <c r="AO1986" s="42"/>
      <c r="AP1986" s="42"/>
      <c r="AQ1986" s="43"/>
      <c r="AR1986" s="42"/>
      <c r="AS1986" s="42"/>
    </row>
    <row r="1987" spans="1:45" ht="15" customHeight="1">
      <c r="A1987" s="65" t="s">
        <v>45</v>
      </c>
      <c r="B1987" s="21" t="s">
        <v>46</v>
      </c>
      <c r="C1987" s="21" t="s">
        <v>188</v>
      </c>
      <c r="D1987" s="21" t="s">
        <v>48</v>
      </c>
      <c r="E1987" s="66" t="s">
        <v>2550</v>
      </c>
      <c r="F1987" s="65" t="s">
        <v>2551</v>
      </c>
      <c r="G1987" s="47" t="s">
        <v>77</v>
      </c>
      <c r="H1987" s="45" t="s">
        <v>2552</v>
      </c>
      <c r="I1987" s="102" t="s">
        <v>78</v>
      </c>
      <c r="J1987" s="65" t="s">
        <v>2553</v>
      </c>
      <c r="K1987" s="47"/>
      <c r="L1987" s="48" t="s">
        <v>2578</v>
      </c>
      <c r="M1987" s="49">
        <v>44063</v>
      </c>
      <c r="N1987" s="47" t="s">
        <v>177</v>
      </c>
      <c r="O1987" s="61">
        <v>5800</v>
      </c>
      <c r="P1987" s="61">
        <v>1</v>
      </c>
      <c r="Q1987" s="51">
        <f t="shared" si="43"/>
        <v>5800</v>
      </c>
      <c r="R1987" s="31">
        <v>202310</v>
      </c>
      <c r="S1987" s="32" t="s">
        <v>2579</v>
      </c>
      <c r="T1987" s="33"/>
      <c r="U1987" s="32"/>
      <c r="V1987" s="33"/>
      <c r="W1987" s="67"/>
      <c r="X1987" s="67"/>
      <c r="Y1987" s="36">
        <v>43709</v>
      </c>
      <c r="Z1987" s="36">
        <v>45900</v>
      </c>
      <c r="AA1987" s="36"/>
      <c r="AB1987" s="36"/>
      <c r="AC1987" s="36"/>
      <c r="AD1987" s="36"/>
      <c r="AE1987" s="36"/>
      <c r="AF1987" s="53" t="s">
        <v>68</v>
      </c>
      <c r="AG1987" s="42"/>
      <c r="AH1987" s="42"/>
      <c r="AI1987" s="43"/>
      <c r="AJ1987" s="43"/>
      <c r="AK1987" s="43"/>
      <c r="AL1987" s="43"/>
      <c r="AM1987" s="43"/>
      <c r="AN1987" s="42"/>
      <c r="AO1987" s="42"/>
      <c r="AP1987" s="42"/>
      <c r="AQ1987" s="43"/>
      <c r="AR1987" s="42"/>
      <c r="AS1987" s="42"/>
    </row>
    <row r="1988" spans="1:45" ht="15" customHeight="1">
      <c r="A1988" s="65" t="s">
        <v>45</v>
      </c>
      <c r="B1988" s="21" t="s">
        <v>46</v>
      </c>
      <c r="C1988" s="21" t="s">
        <v>188</v>
      </c>
      <c r="D1988" s="21" t="s">
        <v>48</v>
      </c>
      <c r="E1988" s="66" t="s">
        <v>2550</v>
      </c>
      <c r="F1988" s="65" t="s">
        <v>2551</v>
      </c>
      <c r="G1988" s="47" t="s">
        <v>77</v>
      </c>
      <c r="H1988" s="45" t="s">
        <v>2552</v>
      </c>
      <c r="I1988" s="102" t="s">
        <v>78</v>
      </c>
      <c r="J1988" s="65" t="s">
        <v>2553</v>
      </c>
      <c r="K1988" s="47"/>
      <c r="L1988" s="48" t="s">
        <v>2554</v>
      </c>
      <c r="M1988" s="49">
        <v>44069</v>
      </c>
      <c r="N1988" s="47" t="s">
        <v>177</v>
      </c>
      <c r="O1988" s="61">
        <v>5800</v>
      </c>
      <c r="P1988" s="61">
        <v>31</v>
      </c>
      <c r="Q1988" s="51">
        <f t="shared" si="43"/>
        <v>179800</v>
      </c>
      <c r="R1988" s="31">
        <v>202310</v>
      </c>
      <c r="S1988" s="32" t="s">
        <v>2580</v>
      </c>
      <c r="T1988" s="33"/>
      <c r="U1988" s="32"/>
      <c r="V1988" s="33"/>
      <c r="W1988" s="67"/>
      <c r="X1988" s="67"/>
      <c r="Y1988" s="36">
        <v>43709</v>
      </c>
      <c r="Z1988" s="36">
        <v>45900</v>
      </c>
      <c r="AA1988" s="36"/>
      <c r="AB1988" s="36"/>
      <c r="AC1988" s="36"/>
      <c r="AD1988" s="36"/>
      <c r="AE1988" s="36"/>
      <c r="AF1988" s="53" t="s">
        <v>68</v>
      </c>
      <c r="AG1988" s="42"/>
      <c r="AH1988" s="42"/>
      <c r="AI1988" s="43"/>
      <c r="AJ1988" s="43"/>
      <c r="AK1988" s="43"/>
      <c r="AL1988" s="43"/>
      <c r="AM1988" s="43"/>
      <c r="AN1988" s="42"/>
      <c r="AO1988" s="42"/>
      <c r="AP1988" s="42"/>
      <c r="AQ1988" s="43"/>
      <c r="AR1988" s="42"/>
      <c r="AS1988" s="42"/>
    </row>
    <row r="1989" spans="1:45" ht="15" customHeight="1">
      <c r="A1989" s="65" t="s">
        <v>45</v>
      </c>
      <c r="B1989" s="21" t="s">
        <v>46</v>
      </c>
      <c r="C1989" s="21" t="s">
        <v>188</v>
      </c>
      <c r="D1989" s="21" t="s">
        <v>48</v>
      </c>
      <c r="E1989" s="66" t="s">
        <v>2550</v>
      </c>
      <c r="F1989" s="65" t="s">
        <v>2551</v>
      </c>
      <c r="G1989" s="47" t="s">
        <v>77</v>
      </c>
      <c r="H1989" s="45" t="s">
        <v>2552</v>
      </c>
      <c r="I1989" s="102" t="s">
        <v>78</v>
      </c>
      <c r="J1989" s="65" t="s">
        <v>2553</v>
      </c>
      <c r="K1989" s="47"/>
      <c r="L1989" s="48" t="s">
        <v>2554</v>
      </c>
      <c r="M1989" s="49">
        <v>44070</v>
      </c>
      <c r="N1989" s="47" t="s">
        <v>177</v>
      </c>
      <c r="O1989" s="61">
        <v>5800</v>
      </c>
      <c r="P1989" s="61">
        <v>58</v>
      </c>
      <c r="Q1989" s="51">
        <f t="shared" si="43"/>
        <v>336400</v>
      </c>
      <c r="R1989" s="31">
        <v>202310</v>
      </c>
      <c r="S1989" s="32" t="s">
        <v>2581</v>
      </c>
      <c r="T1989" s="33"/>
      <c r="U1989" s="32"/>
      <c r="V1989" s="33"/>
      <c r="W1989" s="67"/>
      <c r="X1989" s="67"/>
      <c r="Y1989" s="36">
        <v>43709</v>
      </c>
      <c r="Z1989" s="36">
        <v>45900</v>
      </c>
      <c r="AA1989" s="36"/>
      <c r="AB1989" s="36"/>
      <c r="AC1989" s="36"/>
      <c r="AD1989" s="36"/>
      <c r="AE1989" s="36"/>
      <c r="AF1989" s="53" t="s">
        <v>68</v>
      </c>
      <c r="AG1989" s="42"/>
      <c r="AH1989" s="42"/>
      <c r="AI1989" s="43"/>
      <c r="AJ1989" s="43"/>
      <c r="AK1989" s="43"/>
      <c r="AL1989" s="43"/>
      <c r="AM1989" s="43"/>
      <c r="AN1989" s="42"/>
      <c r="AO1989" s="42"/>
      <c r="AP1989" s="42"/>
      <c r="AQ1989" s="43"/>
      <c r="AR1989" s="42"/>
      <c r="AS1989" s="42"/>
    </row>
    <row r="1990" spans="1:45" ht="15" customHeight="1">
      <c r="A1990" s="65" t="s">
        <v>45</v>
      </c>
      <c r="B1990" s="21" t="s">
        <v>46</v>
      </c>
      <c r="C1990" s="21" t="s">
        <v>188</v>
      </c>
      <c r="D1990" s="21" t="s">
        <v>48</v>
      </c>
      <c r="E1990" s="66" t="s">
        <v>2550</v>
      </c>
      <c r="F1990" s="65" t="s">
        <v>2551</v>
      </c>
      <c r="G1990" s="47" t="s">
        <v>77</v>
      </c>
      <c r="H1990" s="45" t="s">
        <v>2552</v>
      </c>
      <c r="I1990" s="102" t="s">
        <v>78</v>
      </c>
      <c r="J1990" s="65" t="s">
        <v>2553</v>
      </c>
      <c r="K1990" s="47"/>
      <c r="L1990" s="48" t="s">
        <v>2554</v>
      </c>
      <c r="M1990" s="49">
        <v>44013</v>
      </c>
      <c r="N1990" s="47" t="s">
        <v>382</v>
      </c>
      <c r="O1990" s="61">
        <v>200</v>
      </c>
      <c r="P1990" s="61">
        <v>14</v>
      </c>
      <c r="Q1990" s="51">
        <f t="shared" si="43"/>
        <v>2800</v>
      </c>
      <c r="R1990" s="31">
        <v>202310</v>
      </c>
      <c r="S1990" s="32" t="s">
        <v>2582</v>
      </c>
      <c r="T1990" s="33"/>
      <c r="U1990" s="32"/>
      <c r="V1990" s="33"/>
      <c r="W1990" s="67"/>
      <c r="X1990" s="67"/>
      <c r="Y1990" s="36">
        <v>43709</v>
      </c>
      <c r="Z1990" s="36">
        <v>45900</v>
      </c>
      <c r="AA1990" s="36"/>
      <c r="AB1990" s="36"/>
      <c r="AC1990" s="36"/>
      <c r="AD1990" s="36"/>
      <c r="AE1990" s="36"/>
      <c r="AF1990" s="53" t="s">
        <v>68</v>
      </c>
      <c r="AG1990" s="42"/>
      <c r="AH1990" s="42"/>
      <c r="AI1990" s="43"/>
      <c r="AJ1990" s="43"/>
      <c r="AK1990" s="43"/>
      <c r="AL1990" s="43"/>
      <c r="AM1990" s="43"/>
      <c r="AN1990" s="42"/>
      <c r="AO1990" s="42"/>
      <c r="AP1990" s="42"/>
      <c r="AQ1990" s="43"/>
      <c r="AR1990" s="42"/>
      <c r="AS1990" s="42"/>
    </row>
    <row r="1991" spans="1:45" ht="15" customHeight="1">
      <c r="A1991" s="65" t="s">
        <v>45</v>
      </c>
      <c r="B1991" s="21" t="s">
        <v>46</v>
      </c>
      <c r="C1991" s="21" t="s">
        <v>188</v>
      </c>
      <c r="D1991" s="21" t="s">
        <v>48</v>
      </c>
      <c r="E1991" s="66" t="s">
        <v>2550</v>
      </c>
      <c r="F1991" s="65" t="s">
        <v>2551</v>
      </c>
      <c r="G1991" s="47" t="s">
        <v>77</v>
      </c>
      <c r="H1991" s="45" t="s">
        <v>2552</v>
      </c>
      <c r="I1991" s="102" t="s">
        <v>78</v>
      </c>
      <c r="J1991" s="65" t="s">
        <v>2553</v>
      </c>
      <c r="K1991" s="47"/>
      <c r="L1991" s="48" t="s">
        <v>2578</v>
      </c>
      <c r="M1991" s="49">
        <v>44089</v>
      </c>
      <c r="N1991" s="47" t="s">
        <v>177</v>
      </c>
      <c r="O1991" s="61">
        <v>5800</v>
      </c>
      <c r="P1991" s="61">
        <v>1</v>
      </c>
      <c r="Q1991" s="51">
        <f t="shared" si="43"/>
        <v>5800</v>
      </c>
      <c r="R1991" s="31">
        <v>202310</v>
      </c>
      <c r="S1991" s="32" t="s">
        <v>2583</v>
      </c>
      <c r="T1991" s="33"/>
      <c r="U1991" s="32"/>
      <c r="V1991" s="33"/>
      <c r="W1991" s="67"/>
      <c r="X1991" s="67"/>
      <c r="Y1991" s="36">
        <v>43709</v>
      </c>
      <c r="Z1991" s="36">
        <v>45900</v>
      </c>
      <c r="AA1991" s="36"/>
      <c r="AB1991" s="36"/>
      <c r="AC1991" s="36"/>
      <c r="AD1991" s="36"/>
      <c r="AE1991" s="36"/>
      <c r="AF1991" s="53" t="s">
        <v>68</v>
      </c>
      <c r="AG1991" s="42"/>
      <c r="AH1991" s="42"/>
      <c r="AI1991" s="43"/>
      <c r="AJ1991" s="43"/>
      <c r="AK1991" s="43"/>
      <c r="AL1991" s="43"/>
      <c r="AM1991" s="43"/>
      <c r="AN1991" s="42"/>
      <c r="AO1991" s="42"/>
      <c r="AP1991" s="42"/>
      <c r="AQ1991" s="43"/>
      <c r="AR1991" s="42"/>
      <c r="AS1991" s="42"/>
    </row>
    <row r="1992" spans="1:45" ht="15" customHeight="1">
      <c r="A1992" s="65" t="s">
        <v>45</v>
      </c>
      <c r="B1992" s="21" t="s">
        <v>46</v>
      </c>
      <c r="C1992" s="21" t="s">
        <v>188</v>
      </c>
      <c r="D1992" s="21" t="s">
        <v>48</v>
      </c>
      <c r="E1992" s="66" t="s">
        <v>2550</v>
      </c>
      <c r="F1992" s="65" t="s">
        <v>2551</v>
      </c>
      <c r="G1992" s="47" t="s">
        <v>77</v>
      </c>
      <c r="H1992" s="45" t="s">
        <v>2552</v>
      </c>
      <c r="I1992" s="102" t="s">
        <v>78</v>
      </c>
      <c r="J1992" s="65" t="s">
        <v>2553</v>
      </c>
      <c r="K1992" s="47"/>
      <c r="L1992" s="48" t="s">
        <v>2554</v>
      </c>
      <c r="M1992" s="49">
        <v>44084</v>
      </c>
      <c r="N1992" s="47" t="s">
        <v>177</v>
      </c>
      <c r="O1992" s="61">
        <v>5800</v>
      </c>
      <c r="P1992" s="61">
        <v>15</v>
      </c>
      <c r="Q1992" s="51">
        <f t="shared" si="43"/>
        <v>87000</v>
      </c>
      <c r="R1992" s="31">
        <v>202310</v>
      </c>
      <c r="S1992" s="32" t="s">
        <v>2584</v>
      </c>
      <c r="T1992" s="33"/>
      <c r="U1992" s="32"/>
      <c r="V1992" s="33"/>
      <c r="W1992" s="67"/>
      <c r="X1992" s="67"/>
      <c r="Y1992" s="36">
        <v>43709</v>
      </c>
      <c r="Z1992" s="36">
        <v>45900</v>
      </c>
      <c r="AA1992" s="36"/>
      <c r="AB1992" s="36"/>
      <c r="AC1992" s="36"/>
      <c r="AD1992" s="36"/>
      <c r="AE1992" s="36"/>
      <c r="AF1992" s="53" t="s">
        <v>68</v>
      </c>
      <c r="AG1992" s="42"/>
      <c r="AH1992" s="42"/>
      <c r="AI1992" s="43"/>
      <c r="AJ1992" s="43"/>
      <c r="AK1992" s="43"/>
      <c r="AL1992" s="43"/>
      <c r="AM1992" s="43"/>
      <c r="AN1992" s="42"/>
      <c r="AO1992" s="42"/>
      <c r="AP1992" s="42"/>
      <c r="AQ1992" s="43"/>
      <c r="AR1992" s="42"/>
      <c r="AS1992" s="42"/>
    </row>
    <row r="1993" spans="1:45" ht="15" customHeight="1">
      <c r="A1993" s="65" t="s">
        <v>45</v>
      </c>
      <c r="B1993" s="21" t="s">
        <v>46</v>
      </c>
      <c r="C1993" s="21" t="s">
        <v>188</v>
      </c>
      <c r="D1993" s="21" t="s">
        <v>48</v>
      </c>
      <c r="E1993" s="66" t="s">
        <v>2550</v>
      </c>
      <c r="F1993" s="65" t="s">
        <v>2551</v>
      </c>
      <c r="G1993" s="47" t="s">
        <v>77</v>
      </c>
      <c r="H1993" s="45" t="s">
        <v>2552</v>
      </c>
      <c r="I1993" s="102" t="s">
        <v>78</v>
      </c>
      <c r="J1993" s="65" t="s">
        <v>2553</v>
      </c>
      <c r="K1993" s="47"/>
      <c r="L1993" s="48" t="s">
        <v>2554</v>
      </c>
      <c r="M1993" s="49">
        <v>44089</v>
      </c>
      <c r="N1993" s="47" t="s">
        <v>177</v>
      </c>
      <c r="O1993" s="61">
        <v>5800</v>
      </c>
      <c r="P1993" s="61">
        <v>15</v>
      </c>
      <c r="Q1993" s="51">
        <f t="shared" si="43"/>
        <v>87000</v>
      </c>
      <c r="R1993" s="31">
        <v>202310</v>
      </c>
      <c r="S1993" s="32" t="s">
        <v>2585</v>
      </c>
      <c r="T1993" s="33"/>
      <c r="U1993" s="32"/>
      <c r="V1993" s="33"/>
      <c r="W1993" s="67"/>
      <c r="X1993" s="67"/>
      <c r="Y1993" s="36">
        <v>43709</v>
      </c>
      <c r="Z1993" s="36">
        <v>45900</v>
      </c>
      <c r="AA1993" s="36"/>
      <c r="AB1993" s="36"/>
      <c r="AC1993" s="36"/>
      <c r="AD1993" s="36"/>
      <c r="AE1993" s="36"/>
      <c r="AF1993" s="53" t="s">
        <v>68</v>
      </c>
      <c r="AG1993" s="42"/>
      <c r="AH1993" s="42"/>
      <c r="AI1993" s="43"/>
      <c r="AJ1993" s="43"/>
      <c r="AK1993" s="43"/>
      <c r="AL1993" s="43"/>
      <c r="AM1993" s="43"/>
      <c r="AN1993" s="42"/>
      <c r="AO1993" s="42"/>
      <c r="AP1993" s="42"/>
      <c r="AQ1993" s="43"/>
      <c r="AR1993" s="42"/>
      <c r="AS1993" s="42"/>
    </row>
    <row r="1994" spans="1:45" ht="15" customHeight="1">
      <c r="A1994" s="65" t="s">
        <v>45</v>
      </c>
      <c r="B1994" s="21" t="s">
        <v>46</v>
      </c>
      <c r="C1994" s="21" t="s">
        <v>188</v>
      </c>
      <c r="D1994" s="21" t="s">
        <v>48</v>
      </c>
      <c r="E1994" s="66" t="s">
        <v>2550</v>
      </c>
      <c r="F1994" s="65" t="s">
        <v>2551</v>
      </c>
      <c r="G1994" s="47" t="s">
        <v>77</v>
      </c>
      <c r="H1994" s="45" t="s">
        <v>2552</v>
      </c>
      <c r="I1994" s="102" t="s">
        <v>78</v>
      </c>
      <c r="J1994" s="65" t="s">
        <v>2553</v>
      </c>
      <c r="K1994" s="47"/>
      <c r="L1994" s="48" t="s">
        <v>2554</v>
      </c>
      <c r="M1994" s="49">
        <v>44092</v>
      </c>
      <c r="N1994" s="47" t="s">
        <v>177</v>
      </c>
      <c r="O1994" s="61">
        <v>5800</v>
      </c>
      <c r="P1994" s="61">
        <v>314</v>
      </c>
      <c r="Q1994" s="51">
        <f t="shared" ref="Q1994:Q2059" si="44">ROUND(O1994*P1994,2)</f>
        <v>1821200</v>
      </c>
      <c r="R1994" s="31">
        <v>202310</v>
      </c>
      <c r="S1994" s="32" t="s">
        <v>2586</v>
      </c>
      <c r="T1994" s="33"/>
      <c r="U1994" s="32"/>
      <c r="V1994" s="33"/>
      <c r="W1994" s="67"/>
      <c r="X1994" s="67"/>
      <c r="Y1994" s="36">
        <v>43709</v>
      </c>
      <c r="Z1994" s="36">
        <v>45900</v>
      </c>
      <c r="AA1994" s="36"/>
      <c r="AB1994" s="36"/>
      <c r="AC1994" s="36"/>
      <c r="AD1994" s="36"/>
      <c r="AE1994" s="36"/>
      <c r="AF1994" s="53" t="s">
        <v>68</v>
      </c>
      <c r="AG1994" s="42"/>
      <c r="AH1994" s="42"/>
      <c r="AI1994" s="43"/>
      <c r="AJ1994" s="43"/>
      <c r="AK1994" s="43"/>
      <c r="AL1994" s="43"/>
      <c r="AM1994" s="43"/>
      <c r="AN1994" s="42"/>
      <c r="AO1994" s="42"/>
      <c r="AP1994" s="42"/>
      <c r="AQ1994" s="43"/>
      <c r="AR1994" s="42"/>
      <c r="AS1994" s="42"/>
    </row>
    <row r="1995" spans="1:45" ht="15" customHeight="1">
      <c r="A1995" s="65" t="s">
        <v>45</v>
      </c>
      <c r="B1995" s="21" t="s">
        <v>46</v>
      </c>
      <c r="C1995" s="21" t="s">
        <v>188</v>
      </c>
      <c r="D1995" s="21" t="s">
        <v>48</v>
      </c>
      <c r="E1995" s="66" t="s">
        <v>2550</v>
      </c>
      <c r="F1995" s="65" t="s">
        <v>2551</v>
      </c>
      <c r="G1995" s="47" t="s">
        <v>77</v>
      </c>
      <c r="H1995" s="45" t="s">
        <v>2552</v>
      </c>
      <c r="I1995" s="102" t="s">
        <v>78</v>
      </c>
      <c r="J1995" s="65" t="s">
        <v>2553</v>
      </c>
      <c r="K1995" s="47"/>
      <c r="L1995" s="48" t="s">
        <v>2554</v>
      </c>
      <c r="M1995" s="49">
        <v>44089</v>
      </c>
      <c r="N1995" s="47" t="s">
        <v>177</v>
      </c>
      <c r="O1995" s="61">
        <v>5800</v>
      </c>
      <c r="P1995" s="61">
        <v>23</v>
      </c>
      <c r="Q1995" s="51">
        <f t="shared" si="44"/>
        <v>133400</v>
      </c>
      <c r="R1995" s="31">
        <v>202310</v>
      </c>
      <c r="S1995" s="32" t="s">
        <v>2587</v>
      </c>
      <c r="T1995" s="33"/>
      <c r="U1995" s="32"/>
      <c r="V1995" s="33"/>
      <c r="W1995" s="67"/>
      <c r="X1995" s="67"/>
      <c r="Y1995" s="36">
        <v>43709</v>
      </c>
      <c r="Z1995" s="36">
        <v>45900</v>
      </c>
      <c r="AA1995" s="36"/>
      <c r="AB1995" s="36"/>
      <c r="AC1995" s="36"/>
      <c r="AD1995" s="36"/>
      <c r="AE1995" s="36"/>
      <c r="AF1995" s="53" t="s">
        <v>68</v>
      </c>
      <c r="AG1995" s="42"/>
      <c r="AH1995" s="42"/>
      <c r="AI1995" s="43"/>
      <c r="AJ1995" s="43"/>
      <c r="AK1995" s="43"/>
      <c r="AL1995" s="43"/>
      <c r="AM1995" s="43"/>
      <c r="AN1995" s="42"/>
      <c r="AO1995" s="42"/>
      <c r="AP1995" s="42"/>
      <c r="AQ1995" s="43"/>
      <c r="AR1995" s="42"/>
      <c r="AS1995" s="42"/>
    </row>
    <row r="1996" spans="1:45" ht="15" customHeight="1">
      <c r="A1996" s="65" t="s">
        <v>45</v>
      </c>
      <c r="B1996" s="21" t="s">
        <v>46</v>
      </c>
      <c r="C1996" s="21" t="s">
        <v>188</v>
      </c>
      <c r="D1996" s="21" t="s">
        <v>48</v>
      </c>
      <c r="E1996" s="66" t="s">
        <v>2550</v>
      </c>
      <c r="F1996" s="65" t="s">
        <v>2551</v>
      </c>
      <c r="G1996" s="47" t="s">
        <v>77</v>
      </c>
      <c r="H1996" s="45" t="s">
        <v>2552</v>
      </c>
      <c r="I1996" s="102" t="s">
        <v>78</v>
      </c>
      <c r="J1996" s="65" t="s">
        <v>2553</v>
      </c>
      <c r="K1996" s="47"/>
      <c r="L1996" s="48" t="s">
        <v>2554</v>
      </c>
      <c r="M1996" s="49">
        <v>44090</v>
      </c>
      <c r="N1996" s="47" t="s">
        <v>177</v>
      </c>
      <c r="O1996" s="61">
        <v>5800</v>
      </c>
      <c r="P1996" s="61">
        <v>21</v>
      </c>
      <c r="Q1996" s="51">
        <f t="shared" si="44"/>
        <v>121800</v>
      </c>
      <c r="R1996" s="31">
        <v>202310</v>
      </c>
      <c r="S1996" s="32" t="s">
        <v>2588</v>
      </c>
      <c r="T1996" s="33"/>
      <c r="U1996" s="32"/>
      <c r="V1996" s="33"/>
      <c r="W1996" s="67"/>
      <c r="X1996" s="67"/>
      <c r="Y1996" s="36">
        <v>43709</v>
      </c>
      <c r="Z1996" s="36">
        <v>45900</v>
      </c>
      <c r="AA1996" s="36"/>
      <c r="AB1996" s="36"/>
      <c r="AC1996" s="36"/>
      <c r="AD1996" s="36"/>
      <c r="AE1996" s="36"/>
      <c r="AF1996" s="53" t="s">
        <v>68</v>
      </c>
      <c r="AG1996" s="42"/>
      <c r="AH1996" s="42"/>
      <c r="AI1996" s="43"/>
      <c r="AJ1996" s="43"/>
      <c r="AK1996" s="43"/>
      <c r="AL1996" s="43"/>
      <c r="AM1996" s="43"/>
      <c r="AN1996" s="42"/>
      <c r="AO1996" s="42"/>
      <c r="AP1996" s="42"/>
      <c r="AQ1996" s="43"/>
      <c r="AR1996" s="42"/>
      <c r="AS1996" s="42"/>
    </row>
    <row r="1997" spans="1:45" ht="15" customHeight="1">
      <c r="A1997" s="65" t="s">
        <v>45</v>
      </c>
      <c r="B1997" s="21" t="s">
        <v>46</v>
      </c>
      <c r="C1997" s="21" t="s">
        <v>188</v>
      </c>
      <c r="D1997" s="21" t="s">
        <v>48</v>
      </c>
      <c r="E1997" s="66" t="s">
        <v>2550</v>
      </c>
      <c r="F1997" s="65" t="s">
        <v>2551</v>
      </c>
      <c r="G1997" s="47" t="s">
        <v>77</v>
      </c>
      <c r="H1997" s="45" t="s">
        <v>2552</v>
      </c>
      <c r="I1997" s="102" t="s">
        <v>78</v>
      </c>
      <c r="J1997" s="65" t="s">
        <v>2553</v>
      </c>
      <c r="K1997" s="47"/>
      <c r="L1997" s="48" t="s">
        <v>2554</v>
      </c>
      <c r="M1997" s="49">
        <v>44092</v>
      </c>
      <c r="N1997" s="47" t="s">
        <v>177</v>
      </c>
      <c r="O1997" s="61">
        <v>5800</v>
      </c>
      <c r="P1997" s="61">
        <v>60</v>
      </c>
      <c r="Q1997" s="51">
        <f t="shared" si="44"/>
        <v>348000</v>
      </c>
      <c r="R1997" s="31">
        <v>202310</v>
      </c>
      <c r="S1997" s="32" t="s">
        <v>2589</v>
      </c>
      <c r="T1997" s="33"/>
      <c r="U1997" s="32"/>
      <c r="V1997" s="33"/>
      <c r="W1997" s="67"/>
      <c r="X1997" s="67"/>
      <c r="Y1997" s="36">
        <v>43709</v>
      </c>
      <c r="Z1997" s="36">
        <v>45900</v>
      </c>
      <c r="AA1997" s="36"/>
      <c r="AB1997" s="36"/>
      <c r="AC1997" s="36"/>
      <c r="AD1997" s="36"/>
      <c r="AE1997" s="36"/>
      <c r="AF1997" s="53" t="s">
        <v>68</v>
      </c>
      <c r="AG1997" s="42"/>
      <c r="AH1997" s="42"/>
      <c r="AI1997" s="43"/>
      <c r="AJ1997" s="43"/>
      <c r="AK1997" s="43"/>
      <c r="AL1997" s="43"/>
      <c r="AM1997" s="43"/>
      <c r="AN1997" s="42"/>
      <c r="AO1997" s="42"/>
      <c r="AP1997" s="42"/>
      <c r="AQ1997" s="43"/>
      <c r="AR1997" s="42"/>
      <c r="AS1997" s="42"/>
    </row>
    <row r="1998" spans="1:45" ht="15" customHeight="1">
      <c r="A1998" s="65" t="s">
        <v>45</v>
      </c>
      <c r="B1998" s="21" t="s">
        <v>46</v>
      </c>
      <c r="C1998" s="21" t="s">
        <v>188</v>
      </c>
      <c r="D1998" s="21" t="s">
        <v>48</v>
      </c>
      <c r="E1998" s="66" t="s">
        <v>2550</v>
      </c>
      <c r="F1998" s="65" t="s">
        <v>2551</v>
      </c>
      <c r="G1998" s="47" t="s">
        <v>77</v>
      </c>
      <c r="H1998" s="45" t="s">
        <v>2552</v>
      </c>
      <c r="I1998" s="102" t="s">
        <v>78</v>
      </c>
      <c r="J1998" s="65" t="s">
        <v>2553</v>
      </c>
      <c r="K1998" s="47"/>
      <c r="L1998" s="48" t="s">
        <v>2554</v>
      </c>
      <c r="M1998" s="49">
        <v>44093</v>
      </c>
      <c r="N1998" s="47" t="s">
        <v>177</v>
      </c>
      <c r="O1998" s="61">
        <v>5800</v>
      </c>
      <c r="P1998" s="61">
        <v>192</v>
      </c>
      <c r="Q1998" s="51">
        <f t="shared" si="44"/>
        <v>1113600</v>
      </c>
      <c r="R1998" s="31">
        <v>202310</v>
      </c>
      <c r="S1998" s="32" t="s">
        <v>2590</v>
      </c>
      <c r="T1998" s="33"/>
      <c r="U1998" s="32"/>
      <c r="V1998" s="33"/>
      <c r="W1998" s="67"/>
      <c r="X1998" s="67"/>
      <c r="Y1998" s="36">
        <v>43709</v>
      </c>
      <c r="Z1998" s="36">
        <v>45900</v>
      </c>
      <c r="AA1998" s="36"/>
      <c r="AB1998" s="36"/>
      <c r="AC1998" s="36"/>
      <c r="AD1998" s="36"/>
      <c r="AE1998" s="36"/>
      <c r="AF1998" s="53" t="s">
        <v>68</v>
      </c>
      <c r="AG1998" s="42"/>
      <c r="AH1998" s="42"/>
      <c r="AI1998" s="43"/>
      <c r="AJ1998" s="43"/>
      <c r="AK1998" s="43"/>
      <c r="AL1998" s="43"/>
      <c r="AM1998" s="43"/>
      <c r="AN1998" s="42"/>
      <c r="AO1998" s="42"/>
      <c r="AP1998" s="42"/>
      <c r="AQ1998" s="43"/>
      <c r="AR1998" s="42"/>
      <c r="AS1998" s="42"/>
    </row>
    <row r="1999" spans="1:45" ht="15" customHeight="1">
      <c r="A1999" s="65" t="s">
        <v>45</v>
      </c>
      <c r="B1999" s="21" t="s">
        <v>46</v>
      </c>
      <c r="C1999" s="21" t="s">
        <v>188</v>
      </c>
      <c r="D1999" s="21" t="s">
        <v>48</v>
      </c>
      <c r="E1999" s="66" t="s">
        <v>2550</v>
      </c>
      <c r="F1999" s="65" t="s">
        <v>2551</v>
      </c>
      <c r="G1999" s="47" t="s">
        <v>77</v>
      </c>
      <c r="H1999" s="45" t="s">
        <v>2552</v>
      </c>
      <c r="I1999" s="102" t="s">
        <v>78</v>
      </c>
      <c r="J1999" s="65" t="s">
        <v>2553</v>
      </c>
      <c r="K1999" s="47"/>
      <c r="L1999" s="48" t="s">
        <v>2554</v>
      </c>
      <c r="M1999" s="49">
        <v>44096</v>
      </c>
      <c r="N1999" s="47" t="s">
        <v>177</v>
      </c>
      <c r="O1999" s="61">
        <v>5800</v>
      </c>
      <c r="P1999" s="61">
        <v>-1</v>
      </c>
      <c r="Q1999" s="51">
        <f t="shared" si="44"/>
        <v>-5800</v>
      </c>
      <c r="R1999" s="31">
        <v>202310</v>
      </c>
      <c r="S1999" s="32" t="s">
        <v>2591</v>
      </c>
      <c r="T1999" s="33"/>
      <c r="U1999" s="32"/>
      <c r="V1999" s="33"/>
      <c r="W1999" s="67"/>
      <c r="X1999" s="67"/>
      <c r="Y1999" s="36">
        <v>43709</v>
      </c>
      <c r="Z1999" s="36">
        <v>45900</v>
      </c>
      <c r="AA1999" s="36"/>
      <c r="AB1999" s="36"/>
      <c r="AC1999" s="36"/>
      <c r="AD1999" s="36"/>
      <c r="AE1999" s="36"/>
      <c r="AF1999" s="53" t="s">
        <v>68</v>
      </c>
      <c r="AG1999" s="42"/>
      <c r="AH1999" s="42"/>
      <c r="AI1999" s="43"/>
      <c r="AJ1999" s="43"/>
      <c r="AK1999" s="43"/>
      <c r="AL1999" s="43"/>
      <c r="AM1999" s="43"/>
      <c r="AN1999" s="42"/>
      <c r="AO1999" s="42"/>
      <c r="AP1999" s="42"/>
      <c r="AQ1999" s="43"/>
      <c r="AR1999" s="42"/>
      <c r="AS1999" s="42"/>
    </row>
    <row r="2000" spans="1:45" ht="15" customHeight="1">
      <c r="A2000" s="65" t="s">
        <v>45</v>
      </c>
      <c r="B2000" s="21" t="s">
        <v>46</v>
      </c>
      <c r="C2000" s="21" t="s">
        <v>188</v>
      </c>
      <c r="D2000" s="21" t="s">
        <v>48</v>
      </c>
      <c r="E2000" s="66" t="s">
        <v>2550</v>
      </c>
      <c r="F2000" s="65" t="s">
        <v>2551</v>
      </c>
      <c r="G2000" s="47" t="s">
        <v>77</v>
      </c>
      <c r="H2000" s="45" t="s">
        <v>2552</v>
      </c>
      <c r="I2000" s="102" t="s">
        <v>78</v>
      </c>
      <c r="J2000" s="65" t="s">
        <v>2553</v>
      </c>
      <c r="K2000" s="47"/>
      <c r="L2000" s="48" t="s">
        <v>2578</v>
      </c>
      <c r="M2000" s="49">
        <v>44101</v>
      </c>
      <c r="N2000" s="47" t="s">
        <v>177</v>
      </c>
      <c r="O2000" s="61">
        <v>5800</v>
      </c>
      <c r="P2000" s="61">
        <v>2</v>
      </c>
      <c r="Q2000" s="51">
        <f t="shared" si="44"/>
        <v>11600</v>
      </c>
      <c r="R2000" s="31">
        <v>202310</v>
      </c>
      <c r="S2000" s="32" t="s">
        <v>2592</v>
      </c>
      <c r="T2000" s="33"/>
      <c r="U2000" s="32"/>
      <c r="V2000" s="33"/>
      <c r="W2000" s="67"/>
      <c r="X2000" s="67"/>
      <c r="Y2000" s="36">
        <v>43709</v>
      </c>
      <c r="Z2000" s="36">
        <v>45900</v>
      </c>
      <c r="AA2000" s="36"/>
      <c r="AB2000" s="36"/>
      <c r="AC2000" s="36"/>
      <c r="AD2000" s="36"/>
      <c r="AE2000" s="36"/>
      <c r="AF2000" s="53" t="s">
        <v>68</v>
      </c>
      <c r="AG2000" s="42"/>
      <c r="AH2000" s="42"/>
      <c r="AI2000" s="43"/>
      <c r="AJ2000" s="43"/>
      <c r="AK2000" s="43"/>
      <c r="AL2000" s="43"/>
      <c r="AM2000" s="43"/>
      <c r="AN2000" s="42"/>
      <c r="AO2000" s="42"/>
      <c r="AP2000" s="42"/>
      <c r="AQ2000" s="43"/>
      <c r="AR2000" s="42"/>
      <c r="AS2000" s="42"/>
    </row>
    <row r="2001" spans="1:45" ht="15" customHeight="1">
      <c r="A2001" s="65" t="s">
        <v>45</v>
      </c>
      <c r="B2001" s="21" t="s">
        <v>46</v>
      </c>
      <c r="C2001" s="21" t="s">
        <v>188</v>
      </c>
      <c r="D2001" s="21" t="s">
        <v>48</v>
      </c>
      <c r="E2001" s="66" t="s">
        <v>2550</v>
      </c>
      <c r="F2001" s="65" t="s">
        <v>2551</v>
      </c>
      <c r="G2001" s="47" t="s">
        <v>77</v>
      </c>
      <c r="H2001" s="45" t="s">
        <v>2552</v>
      </c>
      <c r="I2001" s="102" t="s">
        <v>78</v>
      </c>
      <c r="J2001" s="65" t="s">
        <v>2553</v>
      </c>
      <c r="K2001" s="47"/>
      <c r="L2001" s="48" t="s">
        <v>2554</v>
      </c>
      <c r="M2001" s="49">
        <v>44089</v>
      </c>
      <c r="N2001" s="47" t="s">
        <v>177</v>
      </c>
      <c r="O2001" s="61">
        <v>5800</v>
      </c>
      <c r="P2001" s="61">
        <v>17</v>
      </c>
      <c r="Q2001" s="51">
        <f t="shared" si="44"/>
        <v>98600</v>
      </c>
      <c r="R2001" s="31">
        <v>202310</v>
      </c>
      <c r="S2001" s="32" t="s">
        <v>2593</v>
      </c>
      <c r="T2001" s="33"/>
      <c r="U2001" s="32"/>
      <c r="V2001" s="33"/>
      <c r="W2001" s="67"/>
      <c r="X2001" s="67"/>
      <c r="Y2001" s="36">
        <v>43709</v>
      </c>
      <c r="Z2001" s="36">
        <v>45900</v>
      </c>
      <c r="AA2001" s="36"/>
      <c r="AB2001" s="36"/>
      <c r="AC2001" s="36"/>
      <c r="AD2001" s="36"/>
      <c r="AE2001" s="36"/>
      <c r="AF2001" s="53" t="s">
        <v>68</v>
      </c>
      <c r="AG2001" s="42"/>
      <c r="AH2001" s="42"/>
      <c r="AI2001" s="43"/>
      <c r="AJ2001" s="43"/>
      <c r="AK2001" s="43"/>
      <c r="AL2001" s="43"/>
      <c r="AM2001" s="43"/>
      <c r="AN2001" s="42"/>
      <c r="AO2001" s="42"/>
      <c r="AP2001" s="42"/>
      <c r="AQ2001" s="43"/>
      <c r="AR2001" s="42"/>
      <c r="AS2001" s="42"/>
    </row>
    <row r="2002" spans="1:45" ht="15" customHeight="1">
      <c r="A2002" s="65" t="s">
        <v>45</v>
      </c>
      <c r="B2002" s="21" t="s">
        <v>46</v>
      </c>
      <c r="C2002" s="21" t="s">
        <v>188</v>
      </c>
      <c r="D2002" s="21" t="s">
        <v>48</v>
      </c>
      <c r="E2002" s="66" t="s">
        <v>2550</v>
      </c>
      <c r="F2002" s="65" t="s">
        <v>2551</v>
      </c>
      <c r="G2002" s="47" t="s">
        <v>77</v>
      </c>
      <c r="H2002" s="45" t="s">
        <v>2552</v>
      </c>
      <c r="I2002" s="102" t="s">
        <v>78</v>
      </c>
      <c r="J2002" s="65" t="s">
        <v>2553</v>
      </c>
      <c r="K2002" s="47"/>
      <c r="L2002" s="48" t="s">
        <v>2554</v>
      </c>
      <c r="M2002" s="49">
        <v>44151</v>
      </c>
      <c r="N2002" s="47" t="s">
        <v>177</v>
      </c>
      <c r="O2002" s="61">
        <v>5800</v>
      </c>
      <c r="P2002" s="61">
        <v>4</v>
      </c>
      <c r="Q2002" s="51">
        <f t="shared" si="44"/>
        <v>23200</v>
      </c>
      <c r="R2002" s="31">
        <v>202310</v>
      </c>
      <c r="S2002" s="32" t="s">
        <v>2594</v>
      </c>
      <c r="T2002" s="33"/>
      <c r="U2002" s="32"/>
      <c r="V2002" s="33"/>
      <c r="W2002" s="67"/>
      <c r="X2002" s="67"/>
      <c r="Y2002" s="36">
        <v>43709</v>
      </c>
      <c r="Z2002" s="36">
        <v>45900</v>
      </c>
      <c r="AA2002" s="36"/>
      <c r="AB2002" s="36"/>
      <c r="AC2002" s="36"/>
      <c r="AD2002" s="36"/>
      <c r="AE2002" s="36"/>
      <c r="AF2002" s="53" t="s">
        <v>68</v>
      </c>
      <c r="AG2002" s="42"/>
      <c r="AH2002" s="42"/>
      <c r="AI2002" s="43"/>
      <c r="AJ2002" s="43"/>
      <c r="AK2002" s="43"/>
      <c r="AL2002" s="43"/>
      <c r="AM2002" s="43"/>
      <c r="AN2002" s="42"/>
      <c r="AO2002" s="42"/>
      <c r="AP2002" s="42"/>
      <c r="AQ2002" s="43"/>
      <c r="AR2002" s="42"/>
      <c r="AS2002" s="42"/>
    </row>
    <row r="2003" spans="1:45" ht="15" customHeight="1">
      <c r="A2003" s="65" t="s">
        <v>45</v>
      </c>
      <c r="B2003" s="21" t="s">
        <v>46</v>
      </c>
      <c r="C2003" s="21" t="s">
        <v>188</v>
      </c>
      <c r="D2003" s="21" t="s">
        <v>48</v>
      </c>
      <c r="E2003" s="66" t="s">
        <v>2550</v>
      </c>
      <c r="F2003" s="65" t="s">
        <v>2551</v>
      </c>
      <c r="G2003" s="47" t="s">
        <v>77</v>
      </c>
      <c r="H2003" s="45" t="s">
        <v>2552</v>
      </c>
      <c r="I2003" s="102" t="s">
        <v>78</v>
      </c>
      <c r="J2003" s="65" t="s">
        <v>2553</v>
      </c>
      <c r="K2003" s="47"/>
      <c r="L2003" s="48" t="s">
        <v>2554</v>
      </c>
      <c r="M2003" s="49">
        <v>44168</v>
      </c>
      <c r="N2003" s="47" t="s">
        <v>348</v>
      </c>
      <c r="O2003" s="61">
        <v>11864</v>
      </c>
      <c r="P2003" s="61">
        <v>4</v>
      </c>
      <c r="Q2003" s="51">
        <f t="shared" si="44"/>
        <v>47456</v>
      </c>
      <c r="R2003" s="31">
        <v>202310</v>
      </c>
      <c r="S2003" s="32" t="s">
        <v>2595</v>
      </c>
      <c r="T2003" s="33"/>
      <c r="U2003" s="32"/>
      <c r="V2003" s="33"/>
      <c r="W2003" s="67"/>
      <c r="X2003" s="67"/>
      <c r="Y2003" s="36">
        <v>43709</v>
      </c>
      <c r="Z2003" s="36">
        <v>45900</v>
      </c>
      <c r="AA2003" s="36"/>
      <c r="AB2003" s="36"/>
      <c r="AC2003" s="36"/>
      <c r="AD2003" s="36"/>
      <c r="AE2003" s="36"/>
      <c r="AF2003" s="53" t="s">
        <v>68</v>
      </c>
      <c r="AG2003" s="42"/>
      <c r="AH2003" s="42"/>
      <c r="AI2003" s="43"/>
      <c r="AJ2003" s="43"/>
      <c r="AK2003" s="43"/>
      <c r="AL2003" s="43"/>
      <c r="AM2003" s="43"/>
      <c r="AN2003" s="42"/>
      <c r="AO2003" s="42"/>
      <c r="AP2003" s="42"/>
      <c r="AQ2003" s="43"/>
      <c r="AR2003" s="42"/>
      <c r="AS2003" s="42"/>
    </row>
    <row r="2004" spans="1:45" ht="15" customHeight="1">
      <c r="A2004" s="65" t="s">
        <v>45</v>
      </c>
      <c r="B2004" s="21" t="s">
        <v>46</v>
      </c>
      <c r="C2004" s="21" t="s">
        <v>188</v>
      </c>
      <c r="D2004" s="21" t="s">
        <v>48</v>
      </c>
      <c r="E2004" s="66" t="s">
        <v>2550</v>
      </c>
      <c r="F2004" s="65" t="s">
        <v>2551</v>
      </c>
      <c r="G2004" s="47" t="s">
        <v>77</v>
      </c>
      <c r="H2004" s="45" t="s">
        <v>2552</v>
      </c>
      <c r="I2004" s="102" t="s">
        <v>78</v>
      </c>
      <c r="J2004" s="65" t="s">
        <v>2553</v>
      </c>
      <c r="K2004" s="47"/>
      <c r="L2004" s="48" t="s">
        <v>2554</v>
      </c>
      <c r="M2004" s="49">
        <v>44168</v>
      </c>
      <c r="N2004" s="47" t="s">
        <v>388</v>
      </c>
      <c r="O2004" s="61">
        <v>31637</v>
      </c>
      <c r="P2004" s="61">
        <v>2</v>
      </c>
      <c r="Q2004" s="51">
        <f t="shared" si="44"/>
        <v>63274</v>
      </c>
      <c r="R2004" s="31">
        <v>202310</v>
      </c>
      <c r="S2004" s="32" t="s">
        <v>2596</v>
      </c>
      <c r="T2004" s="33"/>
      <c r="U2004" s="32"/>
      <c r="V2004" s="33"/>
      <c r="W2004" s="67"/>
      <c r="X2004" s="67"/>
      <c r="Y2004" s="36">
        <v>43709</v>
      </c>
      <c r="Z2004" s="36">
        <v>45900</v>
      </c>
      <c r="AA2004" s="36"/>
      <c r="AB2004" s="36"/>
      <c r="AC2004" s="36"/>
      <c r="AD2004" s="36"/>
      <c r="AE2004" s="36"/>
      <c r="AF2004" s="53" t="s">
        <v>68</v>
      </c>
      <c r="AG2004" s="42"/>
      <c r="AH2004" s="42"/>
      <c r="AI2004" s="43"/>
      <c r="AJ2004" s="43"/>
      <c r="AK2004" s="43"/>
      <c r="AL2004" s="43"/>
      <c r="AM2004" s="43"/>
      <c r="AN2004" s="42"/>
      <c r="AO2004" s="42"/>
      <c r="AP2004" s="42"/>
      <c r="AQ2004" s="43"/>
      <c r="AR2004" s="42"/>
      <c r="AS2004" s="42"/>
    </row>
    <row r="2005" spans="1:45" ht="15" customHeight="1">
      <c r="A2005" s="65" t="s">
        <v>45</v>
      </c>
      <c r="B2005" s="21" t="s">
        <v>46</v>
      </c>
      <c r="C2005" s="21" t="s">
        <v>188</v>
      </c>
      <c r="D2005" s="21" t="s">
        <v>48</v>
      </c>
      <c r="E2005" s="66" t="s">
        <v>2550</v>
      </c>
      <c r="F2005" s="65" t="s">
        <v>2551</v>
      </c>
      <c r="G2005" s="47" t="s">
        <v>77</v>
      </c>
      <c r="H2005" s="45" t="s">
        <v>2552</v>
      </c>
      <c r="I2005" s="102" t="s">
        <v>78</v>
      </c>
      <c r="J2005" s="65" t="s">
        <v>2597</v>
      </c>
      <c r="K2005" s="47"/>
      <c r="L2005" s="48" t="s">
        <v>2554</v>
      </c>
      <c r="M2005" s="49">
        <v>44200</v>
      </c>
      <c r="N2005" s="47" t="s">
        <v>177</v>
      </c>
      <c r="O2005" s="61">
        <v>5800</v>
      </c>
      <c r="P2005" s="61">
        <v>222</v>
      </c>
      <c r="Q2005" s="51">
        <f t="shared" si="44"/>
        <v>1287600</v>
      </c>
      <c r="R2005" s="31">
        <v>202310</v>
      </c>
      <c r="S2005" s="32" t="s">
        <v>2598</v>
      </c>
      <c r="T2005" s="33"/>
      <c r="U2005" s="32"/>
      <c r="V2005" s="33"/>
      <c r="W2005" s="67"/>
      <c r="X2005" s="67"/>
      <c r="Y2005" s="36">
        <v>43709</v>
      </c>
      <c r="Z2005" s="36">
        <v>45900</v>
      </c>
      <c r="AA2005" s="36"/>
      <c r="AB2005" s="36"/>
      <c r="AC2005" s="36"/>
      <c r="AD2005" s="36"/>
      <c r="AE2005" s="36"/>
      <c r="AF2005" s="53" t="s">
        <v>68</v>
      </c>
      <c r="AG2005" s="42"/>
      <c r="AH2005" s="42"/>
      <c r="AI2005" s="43"/>
      <c r="AJ2005" s="43"/>
      <c r="AK2005" s="43"/>
      <c r="AL2005" s="43"/>
      <c r="AM2005" s="43"/>
      <c r="AN2005" s="42"/>
      <c r="AO2005" s="42"/>
      <c r="AP2005" s="42"/>
      <c r="AQ2005" s="43"/>
      <c r="AR2005" s="42"/>
      <c r="AS2005" s="42"/>
    </row>
    <row r="2006" spans="1:45" ht="15" customHeight="1">
      <c r="A2006" s="65" t="s">
        <v>45</v>
      </c>
      <c r="B2006" s="21" t="s">
        <v>46</v>
      </c>
      <c r="C2006" s="21" t="s">
        <v>188</v>
      </c>
      <c r="D2006" s="21" t="s">
        <v>48</v>
      </c>
      <c r="E2006" s="66" t="s">
        <v>2550</v>
      </c>
      <c r="F2006" s="65" t="s">
        <v>2551</v>
      </c>
      <c r="G2006" s="47" t="s">
        <v>77</v>
      </c>
      <c r="H2006" s="45" t="s">
        <v>2552</v>
      </c>
      <c r="I2006" s="102" t="s">
        <v>78</v>
      </c>
      <c r="J2006" s="65" t="s">
        <v>2597</v>
      </c>
      <c r="K2006" s="47"/>
      <c r="L2006" s="48" t="s">
        <v>2554</v>
      </c>
      <c r="M2006" s="49">
        <v>44205</v>
      </c>
      <c r="N2006" s="47" t="s">
        <v>177</v>
      </c>
      <c r="O2006" s="61">
        <v>5800</v>
      </c>
      <c r="P2006" s="61">
        <v>3</v>
      </c>
      <c r="Q2006" s="51">
        <f t="shared" si="44"/>
        <v>17400</v>
      </c>
      <c r="R2006" s="31">
        <v>202310</v>
      </c>
      <c r="S2006" s="32" t="s">
        <v>2599</v>
      </c>
      <c r="T2006" s="33"/>
      <c r="U2006" s="32"/>
      <c r="V2006" s="33"/>
      <c r="W2006" s="67"/>
      <c r="X2006" s="67"/>
      <c r="Y2006" s="36">
        <v>43709</v>
      </c>
      <c r="Z2006" s="36">
        <v>45900</v>
      </c>
      <c r="AA2006" s="36"/>
      <c r="AB2006" s="36"/>
      <c r="AC2006" s="36"/>
      <c r="AD2006" s="36"/>
      <c r="AE2006" s="36"/>
      <c r="AF2006" s="53" t="s">
        <v>68</v>
      </c>
      <c r="AG2006" s="42"/>
      <c r="AH2006" s="42"/>
      <c r="AI2006" s="43"/>
      <c r="AJ2006" s="43"/>
      <c r="AK2006" s="43"/>
      <c r="AL2006" s="43"/>
      <c r="AM2006" s="43"/>
      <c r="AN2006" s="42"/>
      <c r="AO2006" s="42"/>
      <c r="AP2006" s="42"/>
      <c r="AQ2006" s="43"/>
      <c r="AR2006" s="42"/>
      <c r="AS2006" s="42"/>
    </row>
    <row r="2007" spans="1:45" ht="15" customHeight="1">
      <c r="A2007" s="65" t="s">
        <v>45</v>
      </c>
      <c r="B2007" s="21" t="s">
        <v>46</v>
      </c>
      <c r="C2007" s="21" t="s">
        <v>188</v>
      </c>
      <c r="D2007" s="21" t="s">
        <v>48</v>
      </c>
      <c r="E2007" s="66" t="s">
        <v>2550</v>
      </c>
      <c r="F2007" s="65" t="s">
        <v>2551</v>
      </c>
      <c r="G2007" s="47" t="s">
        <v>77</v>
      </c>
      <c r="H2007" s="45" t="s">
        <v>2552</v>
      </c>
      <c r="I2007" s="102" t="s">
        <v>78</v>
      </c>
      <c r="J2007" s="65" t="s">
        <v>2597</v>
      </c>
      <c r="K2007" s="47"/>
      <c r="L2007" s="48" t="s">
        <v>2554</v>
      </c>
      <c r="M2007" s="49">
        <v>44207</v>
      </c>
      <c r="N2007" s="47" t="s">
        <v>177</v>
      </c>
      <c r="O2007" s="61">
        <v>5800</v>
      </c>
      <c r="P2007" s="61">
        <v>417</v>
      </c>
      <c r="Q2007" s="51">
        <f t="shared" si="44"/>
        <v>2418600</v>
      </c>
      <c r="R2007" s="31">
        <v>202310</v>
      </c>
      <c r="S2007" s="32" t="s">
        <v>2600</v>
      </c>
      <c r="T2007" s="33"/>
      <c r="U2007" s="32"/>
      <c r="V2007" s="33"/>
      <c r="W2007" s="67"/>
      <c r="X2007" s="67"/>
      <c r="Y2007" s="36">
        <v>43709</v>
      </c>
      <c r="Z2007" s="36">
        <v>45900</v>
      </c>
      <c r="AA2007" s="36"/>
      <c r="AB2007" s="36"/>
      <c r="AC2007" s="36"/>
      <c r="AD2007" s="36"/>
      <c r="AE2007" s="36"/>
      <c r="AF2007" s="53" t="s">
        <v>68</v>
      </c>
      <c r="AG2007" s="42"/>
      <c r="AH2007" s="42"/>
      <c r="AI2007" s="43"/>
      <c r="AJ2007" s="43"/>
      <c r="AK2007" s="43"/>
      <c r="AL2007" s="43"/>
      <c r="AM2007" s="43"/>
      <c r="AN2007" s="42"/>
      <c r="AO2007" s="42"/>
      <c r="AP2007" s="42"/>
      <c r="AQ2007" s="43"/>
      <c r="AR2007" s="42"/>
      <c r="AS2007" s="42"/>
    </row>
    <row r="2008" spans="1:45" ht="15" customHeight="1">
      <c r="A2008" s="65" t="s">
        <v>45</v>
      </c>
      <c r="B2008" s="21" t="s">
        <v>46</v>
      </c>
      <c r="C2008" s="21" t="s">
        <v>188</v>
      </c>
      <c r="D2008" s="21" t="s">
        <v>48</v>
      </c>
      <c r="E2008" s="66" t="s">
        <v>2550</v>
      </c>
      <c r="F2008" s="65" t="s">
        <v>2551</v>
      </c>
      <c r="G2008" s="47" t="s">
        <v>77</v>
      </c>
      <c r="H2008" s="45" t="s">
        <v>2552</v>
      </c>
      <c r="I2008" s="102" t="s">
        <v>78</v>
      </c>
      <c r="J2008" s="65" t="s">
        <v>2597</v>
      </c>
      <c r="K2008" s="47"/>
      <c r="L2008" s="48" t="s">
        <v>2554</v>
      </c>
      <c r="M2008" s="49">
        <v>44209</v>
      </c>
      <c r="N2008" s="47" t="s">
        <v>177</v>
      </c>
      <c r="O2008" s="61">
        <v>5800</v>
      </c>
      <c r="P2008" s="61">
        <v>19</v>
      </c>
      <c r="Q2008" s="51">
        <f t="shared" si="44"/>
        <v>110200</v>
      </c>
      <c r="R2008" s="31">
        <v>202310</v>
      </c>
      <c r="S2008" s="32" t="s">
        <v>2601</v>
      </c>
      <c r="T2008" s="33"/>
      <c r="U2008" s="32"/>
      <c r="V2008" s="33"/>
      <c r="W2008" s="67"/>
      <c r="X2008" s="67"/>
      <c r="Y2008" s="36">
        <v>43709</v>
      </c>
      <c r="Z2008" s="36">
        <v>45900</v>
      </c>
      <c r="AA2008" s="36"/>
      <c r="AB2008" s="36"/>
      <c r="AC2008" s="36"/>
      <c r="AD2008" s="36"/>
      <c r="AE2008" s="36"/>
      <c r="AF2008" s="53" t="s">
        <v>68</v>
      </c>
      <c r="AG2008" s="42"/>
      <c r="AH2008" s="42"/>
      <c r="AI2008" s="43"/>
      <c r="AJ2008" s="43"/>
      <c r="AK2008" s="43"/>
      <c r="AL2008" s="43"/>
      <c r="AM2008" s="43"/>
      <c r="AN2008" s="42"/>
      <c r="AO2008" s="42"/>
      <c r="AP2008" s="42"/>
      <c r="AQ2008" s="43"/>
      <c r="AR2008" s="42"/>
      <c r="AS2008" s="42"/>
    </row>
    <row r="2009" spans="1:45" ht="15" customHeight="1">
      <c r="A2009" s="65" t="s">
        <v>45</v>
      </c>
      <c r="B2009" s="21" t="s">
        <v>46</v>
      </c>
      <c r="C2009" s="21" t="s">
        <v>188</v>
      </c>
      <c r="D2009" s="21" t="s">
        <v>48</v>
      </c>
      <c r="E2009" s="66" t="s">
        <v>2550</v>
      </c>
      <c r="F2009" s="65" t="s">
        <v>2551</v>
      </c>
      <c r="G2009" s="47" t="s">
        <v>77</v>
      </c>
      <c r="H2009" s="45" t="s">
        <v>2552</v>
      </c>
      <c r="I2009" s="102" t="s">
        <v>78</v>
      </c>
      <c r="J2009" s="65" t="s">
        <v>2597</v>
      </c>
      <c r="K2009" s="47"/>
      <c r="L2009" s="48" t="s">
        <v>2554</v>
      </c>
      <c r="M2009" s="49">
        <v>44211</v>
      </c>
      <c r="N2009" s="47" t="s">
        <v>177</v>
      </c>
      <c r="O2009" s="61">
        <v>5800</v>
      </c>
      <c r="P2009" s="61">
        <v>22</v>
      </c>
      <c r="Q2009" s="51">
        <f t="shared" si="44"/>
        <v>127600</v>
      </c>
      <c r="R2009" s="31">
        <v>202310</v>
      </c>
      <c r="S2009" s="32" t="s">
        <v>2602</v>
      </c>
      <c r="T2009" s="33"/>
      <c r="U2009" s="32"/>
      <c r="V2009" s="33"/>
      <c r="W2009" s="67"/>
      <c r="X2009" s="67"/>
      <c r="Y2009" s="36">
        <v>43709</v>
      </c>
      <c r="Z2009" s="36">
        <v>45900</v>
      </c>
      <c r="AA2009" s="36"/>
      <c r="AB2009" s="36"/>
      <c r="AC2009" s="36"/>
      <c r="AD2009" s="36"/>
      <c r="AE2009" s="36"/>
      <c r="AF2009" s="53" t="s">
        <v>68</v>
      </c>
      <c r="AG2009" s="42"/>
      <c r="AH2009" s="42"/>
      <c r="AI2009" s="43"/>
      <c r="AJ2009" s="43"/>
      <c r="AK2009" s="43"/>
      <c r="AL2009" s="43"/>
      <c r="AM2009" s="43"/>
      <c r="AN2009" s="42"/>
      <c r="AO2009" s="42"/>
      <c r="AP2009" s="42"/>
      <c r="AQ2009" s="43"/>
      <c r="AR2009" s="42"/>
      <c r="AS2009" s="42"/>
    </row>
    <row r="2010" spans="1:45" ht="15" customHeight="1">
      <c r="A2010" s="65" t="s">
        <v>45</v>
      </c>
      <c r="B2010" s="21" t="s">
        <v>46</v>
      </c>
      <c r="C2010" s="21" t="s">
        <v>188</v>
      </c>
      <c r="D2010" s="21" t="s">
        <v>48</v>
      </c>
      <c r="E2010" s="66" t="s">
        <v>2550</v>
      </c>
      <c r="F2010" s="65" t="s">
        <v>2551</v>
      </c>
      <c r="G2010" s="47" t="s">
        <v>77</v>
      </c>
      <c r="H2010" s="45" t="s">
        <v>2552</v>
      </c>
      <c r="I2010" s="102" t="s">
        <v>78</v>
      </c>
      <c r="J2010" s="65" t="s">
        <v>2597</v>
      </c>
      <c r="K2010" s="47"/>
      <c r="L2010" s="48" t="s">
        <v>2554</v>
      </c>
      <c r="M2010" s="49">
        <v>44214</v>
      </c>
      <c r="N2010" s="47" t="s">
        <v>177</v>
      </c>
      <c r="O2010" s="61">
        <v>5800</v>
      </c>
      <c r="P2010" s="61">
        <v>26</v>
      </c>
      <c r="Q2010" s="51">
        <f t="shared" si="44"/>
        <v>150800</v>
      </c>
      <c r="R2010" s="31">
        <v>202310</v>
      </c>
      <c r="S2010" s="32" t="s">
        <v>2603</v>
      </c>
      <c r="T2010" s="33"/>
      <c r="U2010" s="32"/>
      <c r="V2010" s="33"/>
      <c r="W2010" s="67"/>
      <c r="X2010" s="67"/>
      <c r="Y2010" s="36">
        <v>43709</v>
      </c>
      <c r="Z2010" s="36">
        <v>45900</v>
      </c>
      <c r="AA2010" s="36"/>
      <c r="AB2010" s="36"/>
      <c r="AC2010" s="36"/>
      <c r="AD2010" s="36"/>
      <c r="AE2010" s="36"/>
      <c r="AF2010" s="53" t="s">
        <v>68</v>
      </c>
      <c r="AG2010" s="42"/>
      <c r="AH2010" s="42"/>
      <c r="AI2010" s="43"/>
      <c r="AJ2010" s="43"/>
      <c r="AK2010" s="43"/>
      <c r="AL2010" s="43"/>
      <c r="AM2010" s="43"/>
      <c r="AN2010" s="42"/>
      <c r="AO2010" s="42"/>
      <c r="AP2010" s="42"/>
      <c r="AQ2010" s="43"/>
      <c r="AR2010" s="42"/>
      <c r="AS2010" s="42"/>
    </row>
    <row r="2011" spans="1:45" ht="15" customHeight="1">
      <c r="A2011" s="65" t="s">
        <v>45</v>
      </c>
      <c r="B2011" s="21" t="s">
        <v>46</v>
      </c>
      <c r="C2011" s="21" t="s">
        <v>188</v>
      </c>
      <c r="D2011" s="21" t="s">
        <v>48</v>
      </c>
      <c r="E2011" s="66" t="s">
        <v>2550</v>
      </c>
      <c r="F2011" s="65" t="s">
        <v>2551</v>
      </c>
      <c r="G2011" s="47" t="s">
        <v>77</v>
      </c>
      <c r="H2011" s="45" t="s">
        <v>2552</v>
      </c>
      <c r="I2011" s="102" t="s">
        <v>78</v>
      </c>
      <c r="J2011" s="65" t="s">
        <v>2597</v>
      </c>
      <c r="K2011" s="47"/>
      <c r="L2011" s="48" t="s">
        <v>2554</v>
      </c>
      <c r="M2011" s="49">
        <v>44200</v>
      </c>
      <c r="N2011" s="47" t="s">
        <v>291</v>
      </c>
      <c r="O2011" s="61">
        <v>8700</v>
      </c>
      <c r="P2011" s="61">
        <v>2</v>
      </c>
      <c r="Q2011" s="51">
        <f t="shared" si="44"/>
        <v>17400</v>
      </c>
      <c r="R2011" s="31">
        <v>202310</v>
      </c>
      <c r="S2011" s="32" t="s">
        <v>2604</v>
      </c>
      <c r="T2011" s="33"/>
      <c r="U2011" s="32"/>
      <c r="V2011" s="33"/>
      <c r="W2011" s="67"/>
      <c r="X2011" s="67"/>
      <c r="Y2011" s="36">
        <v>43709</v>
      </c>
      <c r="Z2011" s="36">
        <v>45900</v>
      </c>
      <c r="AA2011" s="36"/>
      <c r="AB2011" s="36"/>
      <c r="AC2011" s="36"/>
      <c r="AD2011" s="36"/>
      <c r="AE2011" s="36"/>
      <c r="AF2011" s="53" t="s">
        <v>68</v>
      </c>
      <c r="AG2011" s="42"/>
      <c r="AH2011" s="42"/>
      <c r="AI2011" s="43"/>
      <c r="AJ2011" s="43"/>
      <c r="AK2011" s="43"/>
      <c r="AL2011" s="43"/>
      <c r="AM2011" s="43"/>
      <c r="AN2011" s="42"/>
      <c r="AO2011" s="42"/>
      <c r="AP2011" s="42"/>
      <c r="AQ2011" s="43"/>
      <c r="AR2011" s="42"/>
      <c r="AS2011" s="42"/>
    </row>
    <row r="2012" spans="1:45" ht="15" customHeight="1">
      <c r="A2012" s="65" t="s">
        <v>45</v>
      </c>
      <c r="B2012" s="21" t="s">
        <v>46</v>
      </c>
      <c r="C2012" s="21" t="s">
        <v>188</v>
      </c>
      <c r="D2012" s="21" t="s">
        <v>48</v>
      </c>
      <c r="E2012" s="66" t="s">
        <v>2550</v>
      </c>
      <c r="F2012" s="65" t="s">
        <v>2551</v>
      </c>
      <c r="G2012" s="47" t="s">
        <v>77</v>
      </c>
      <c r="H2012" s="45" t="s">
        <v>2552</v>
      </c>
      <c r="I2012" s="102" t="s">
        <v>78</v>
      </c>
      <c r="J2012" s="65" t="s">
        <v>2597</v>
      </c>
      <c r="K2012" s="47"/>
      <c r="L2012" s="48" t="s">
        <v>2554</v>
      </c>
      <c r="M2012" s="49">
        <v>44200</v>
      </c>
      <c r="N2012" s="47" t="s">
        <v>348</v>
      </c>
      <c r="O2012" s="61">
        <v>11864</v>
      </c>
      <c r="P2012" s="61">
        <v>4</v>
      </c>
      <c r="Q2012" s="51">
        <f t="shared" si="44"/>
        <v>47456</v>
      </c>
      <c r="R2012" s="31">
        <v>202310</v>
      </c>
      <c r="S2012" s="32" t="s">
        <v>2605</v>
      </c>
      <c r="T2012" s="33"/>
      <c r="U2012" s="32"/>
      <c r="V2012" s="33"/>
      <c r="W2012" s="67"/>
      <c r="X2012" s="67"/>
      <c r="Y2012" s="36">
        <v>43709</v>
      </c>
      <c r="Z2012" s="36">
        <v>45900</v>
      </c>
      <c r="AA2012" s="36"/>
      <c r="AB2012" s="36"/>
      <c r="AC2012" s="36"/>
      <c r="AD2012" s="36"/>
      <c r="AE2012" s="36"/>
      <c r="AF2012" s="53" t="s">
        <v>68</v>
      </c>
      <c r="AG2012" s="42"/>
      <c r="AH2012" s="42"/>
      <c r="AI2012" s="43"/>
      <c r="AJ2012" s="43"/>
      <c r="AK2012" s="43"/>
      <c r="AL2012" s="43"/>
      <c r="AM2012" s="43"/>
      <c r="AN2012" s="42"/>
      <c r="AO2012" s="42"/>
      <c r="AP2012" s="42"/>
      <c r="AQ2012" s="43"/>
      <c r="AR2012" s="42"/>
      <c r="AS2012" s="42"/>
    </row>
    <row r="2013" spans="1:45" ht="15" customHeight="1">
      <c r="A2013" s="65" t="s">
        <v>45</v>
      </c>
      <c r="B2013" s="21" t="s">
        <v>46</v>
      </c>
      <c r="C2013" s="21" t="s">
        <v>188</v>
      </c>
      <c r="D2013" s="21" t="s">
        <v>48</v>
      </c>
      <c r="E2013" s="66" t="s">
        <v>2550</v>
      </c>
      <c r="F2013" s="65" t="s">
        <v>2551</v>
      </c>
      <c r="G2013" s="47" t="s">
        <v>77</v>
      </c>
      <c r="H2013" s="45" t="s">
        <v>2552</v>
      </c>
      <c r="I2013" s="102" t="s">
        <v>78</v>
      </c>
      <c r="J2013" s="65" t="s">
        <v>2597</v>
      </c>
      <c r="K2013" s="47"/>
      <c r="L2013" s="48" t="s">
        <v>2554</v>
      </c>
      <c r="M2013" s="49">
        <v>44200</v>
      </c>
      <c r="N2013" s="47" t="s">
        <v>388</v>
      </c>
      <c r="O2013" s="61">
        <v>31637</v>
      </c>
      <c r="P2013" s="61">
        <v>8</v>
      </c>
      <c r="Q2013" s="51">
        <f t="shared" si="44"/>
        <v>253096</v>
      </c>
      <c r="R2013" s="31">
        <v>202310</v>
      </c>
      <c r="S2013" s="32" t="s">
        <v>2606</v>
      </c>
      <c r="T2013" s="33"/>
      <c r="U2013" s="32"/>
      <c r="V2013" s="33"/>
      <c r="W2013" s="67"/>
      <c r="X2013" s="67"/>
      <c r="Y2013" s="36">
        <v>43709</v>
      </c>
      <c r="Z2013" s="36">
        <v>45900</v>
      </c>
      <c r="AA2013" s="36"/>
      <c r="AB2013" s="36"/>
      <c r="AC2013" s="36"/>
      <c r="AD2013" s="36"/>
      <c r="AE2013" s="36"/>
      <c r="AF2013" s="53" t="s">
        <v>68</v>
      </c>
      <c r="AG2013" s="42"/>
      <c r="AH2013" s="42"/>
      <c r="AI2013" s="43"/>
      <c r="AJ2013" s="43"/>
      <c r="AK2013" s="43"/>
      <c r="AL2013" s="43"/>
      <c r="AM2013" s="43"/>
      <c r="AN2013" s="42"/>
      <c r="AO2013" s="42"/>
      <c r="AP2013" s="42"/>
      <c r="AQ2013" s="43"/>
      <c r="AR2013" s="42"/>
      <c r="AS2013" s="42"/>
    </row>
    <row r="2014" spans="1:45" ht="15" customHeight="1">
      <c r="A2014" s="65" t="s">
        <v>45</v>
      </c>
      <c r="B2014" s="21" t="s">
        <v>46</v>
      </c>
      <c r="C2014" s="21" t="s">
        <v>188</v>
      </c>
      <c r="D2014" s="21" t="s">
        <v>48</v>
      </c>
      <c r="E2014" s="66" t="s">
        <v>2550</v>
      </c>
      <c r="F2014" s="65" t="s">
        <v>2551</v>
      </c>
      <c r="G2014" s="47" t="s">
        <v>77</v>
      </c>
      <c r="H2014" s="45" t="s">
        <v>2552</v>
      </c>
      <c r="I2014" s="102" t="s">
        <v>78</v>
      </c>
      <c r="J2014" s="65" t="s">
        <v>2597</v>
      </c>
      <c r="K2014" s="47"/>
      <c r="L2014" s="48" t="s">
        <v>2554</v>
      </c>
      <c r="M2014" s="49">
        <v>44224</v>
      </c>
      <c r="N2014" s="47" t="s">
        <v>177</v>
      </c>
      <c r="O2014" s="61">
        <v>5800</v>
      </c>
      <c r="P2014" s="61">
        <v>-3</v>
      </c>
      <c r="Q2014" s="51">
        <f t="shared" si="44"/>
        <v>-17400</v>
      </c>
      <c r="R2014" s="31">
        <v>202310</v>
      </c>
      <c r="S2014" s="32" t="s">
        <v>2607</v>
      </c>
      <c r="T2014" s="33"/>
      <c r="U2014" s="32"/>
      <c r="V2014" s="33"/>
      <c r="W2014" s="67"/>
      <c r="X2014" s="67"/>
      <c r="Y2014" s="36">
        <v>43709</v>
      </c>
      <c r="Z2014" s="36">
        <v>45900</v>
      </c>
      <c r="AA2014" s="36"/>
      <c r="AB2014" s="36"/>
      <c r="AC2014" s="36"/>
      <c r="AD2014" s="36"/>
      <c r="AE2014" s="36"/>
      <c r="AF2014" s="53" t="s">
        <v>68</v>
      </c>
      <c r="AG2014" s="42"/>
      <c r="AH2014" s="42"/>
      <c r="AI2014" s="43"/>
      <c r="AJ2014" s="43"/>
      <c r="AK2014" s="43"/>
      <c r="AL2014" s="43"/>
      <c r="AM2014" s="43"/>
      <c r="AN2014" s="42"/>
      <c r="AO2014" s="42"/>
      <c r="AP2014" s="42"/>
      <c r="AQ2014" s="43"/>
      <c r="AR2014" s="42"/>
      <c r="AS2014" s="42"/>
    </row>
    <row r="2015" spans="1:45" ht="15" customHeight="1">
      <c r="A2015" s="65" t="s">
        <v>45</v>
      </c>
      <c r="B2015" s="21" t="s">
        <v>46</v>
      </c>
      <c r="C2015" s="21" t="s">
        <v>188</v>
      </c>
      <c r="D2015" s="21" t="s">
        <v>48</v>
      </c>
      <c r="E2015" s="66" t="s">
        <v>2550</v>
      </c>
      <c r="F2015" s="65" t="s">
        <v>2551</v>
      </c>
      <c r="G2015" s="47" t="s">
        <v>77</v>
      </c>
      <c r="H2015" s="45" t="s">
        <v>2552</v>
      </c>
      <c r="I2015" s="102" t="s">
        <v>78</v>
      </c>
      <c r="J2015" s="65" t="s">
        <v>2597</v>
      </c>
      <c r="K2015" s="47"/>
      <c r="L2015" s="48" t="s">
        <v>2554</v>
      </c>
      <c r="M2015" s="49">
        <v>44200</v>
      </c>
      <c r="N2015" s="47" t="s">
        <v>382</v>
      </c>
      <c r="O2015" s="61">
        <v>200</v>
      </c>
      <c r="P2015" s="61">
        <v>10</v>
      </c>
      <c r="Q2015" s="51">
        <f t="shared" si="44"/>
        <v>2000</v>
      </c>
      <c r="R2015" s="31">
        <v>202310</v>
      </c>
      <c r="S2015" s="32" t="s">
        <v>2608</v>
      </c>
      <c r="T2015" s="33"/>
      <c r="U2015" s="32"/>
      <c r="V2015" s="33"/>
      <c r="W2015" s="67"/>
      <c r="X2015" s="67"/>
      <c r="Y2015" s="36">
        <v>43709</v>
      </c>
      <c r="Z2015" s="36">
        <v>45900</v>
      </c>
      <c r="AA2015" s="36"/>
      <c r="AB2015" s="36"/>
      <c r="AC2015" s="36"/>
      <c r="AD2015" s="36"/>
      <c r="AE2015" s="36"/>
      <c r="AF2015" s="53" t="s">
        <v>68</v>
      </c>
      <c r="AG2015" s="42"/>
      <c r="AH2015" s="42"/>
      <c r="AI2015" s="43"/>
      <c r="AJ2015" s="43"/>
      <c r="AK2015" s="43"/>
      <c r="AL2015" s="43"/>
      <c r="AM2015" s="43"/>
      <c r="AN2015" s="42"/>
      <c r="AO2015" s="42"/>
      <c r="AP2015" s="42"/>
      <c r="AQ2015" s="43"/>
      <c r="AR2015" s="42"/>
      <c r="AS2015" s="42"/>
    </row>
    <row r="2016" spans="1:45" ht="15" customHeight="1">
      <c r="A2016" s="65" t="s">
        <v>45</v>
      </c>
      <c r="B2016" s="21" t="s">
        <v>46</v>
      </c>
      <c r="C2016" s="21" t="s">
        <v>188</v>
      </c>
      <c r="D2016" s="21" t="s">
        <v>48</v>
      </c>
      <c r="E2016" s="66" t="s">
        <v>2550</v>
      </c>
      <c r="F2016" s="65" t="s">
        <v>2551</v>
      </c>
      <c r="G2016" s="47" t="s">
        <v>77</v>
      </c>
      <c r="H2016" s="45" t="s">
        <v>2552</v>
      </c>
      <c r="I2016" s="102" t="s">
        <v>78</v>
      </c>
      <c r="J2016" s="65" t="s">
        <v>2553</v>
      </c>
      <c r="K2016" s="47"/>
      <c r="L2016" s="48" t="s">
        <v>2554</v>
      </c>
      <c r="M2016" s="49">
        <v>44166</v>
      </c>
      <c r="N2016" s="47" t="s">
        <v>382</v>
      </c>
      <c r="O2016" s="61">
        <v>200</v>
      </c>
      <c r="P2016" s="61">
        <v>2</v>
      </c>
      <c r="Q2016" s="51">
        <f t="shared" si="44"/>
        <v>400</v>
      </c>
      <c r="R2016" s="31">
        <v>202310</v>
      </c>
      <c r="S2016" s="32" t="s">
        <v>2609</v>
      </c>
      <c r="T2016" s="33"/>
      <c r="U2016" s="32"/>
      <c r="V2016" s="33"/>
      <c r="W2016" s="67"/>
      <c r="X2016" s="67"/>
      <c r="Y2016" s="36">
        <v>43709</v>
      </c>
      <c r="Z2016" s="36">
        <v>45900</v>
      </c>
      <c r="AA2016" s="36"/>
      <c r="AB2016" s="36"/>
      <c r="AC2016" s="36"/>
      <c r="AD2016" s="36"/>
      <c r="AE2016" s="36"/>
      <c r="AF2016" s="53" t="s">
        <v>68</v>
      </c>
      <c r="AG2016" s="42"/>
      <c r="AH2016" s="42"/>
      <c r="AI2016" s="43"/>
      <c r="AJ2016" s="43"/>
      <c r="AK2016" s="43"/>
      <c r="AL2016" s="43"/>
      <c r="AM2016" s="43"/>
      <c r="AN2016" s="42"/>
      <c r="AO2016" s="42"/>
      <c r="AP2016" s="42"/>
      <c r="AQ2016" s="43"/>
      <c r="AR2016" s="42"/>
      <c r="AS2016" s="42"/>
    </row>
    <row r="2017" spans="1:45" ht="15" customHeight="1">
      <c r="A2017" s="65" t="s">
        <v>45</v>
      </c>
      <c r="B2017" s="21" t="s">
        <v>46</v>
      </c>
      <c r="C2017" s="21" t="s">
        <v>188</v>
      </c>
      <c r="D2017" s="21" t="s">
        <v>48</v>
      </c>
      <c r="E2017" s="66" t="s">
        <v>2550</v>
      </c>
      <c r="F2017" s="65" t="s">
        <v>2551</v>
      </c>
      <c r="G2017" s="47" t="s">
        <v>77</v>
      </c>
      <c r="H2017" s="45" t="s">
        <v>2552</v>
      </c>
      <c r="I2017" s="102" t="s">
        <v>78</v>
      </c>
      <c r="J2017" s="65" t="s">
        <v>2597</v>
      </c>
      <c r="K2017" s="47"/>
      <c r="L2017" s="48" t="s">
        <v>2554</v>
      </c>
      <c r="M2017" s="49">
        <v>44286</v>
      </c>
      <c r="N2017" s="47" t="s">
        <v>177</v>
      </c>
      <c r="O2017" s="61">
        <v>5800</v>
      </c>
      <c r="P2017" s="61">
        <v>2</v>
      </c>
      <c r="Q2017" s="51">
        <f t="shared" si="44"/>
        <v>11600</v>
      </c>
      <c r="R2017" s="31">
        <v>202310</v>
      </c>
      <c r="S2017" s="32" t="s">
        <v>2610</v>
      </c>
      <c r="T2017" s="33"/>
      <c r="U2017" s="32"/>
      <c r="V2017" s="33"/>
      <c r="W2017" s="67"/>
      <c r="X2017" s="67"/>
      <c r="Y2017" s="36">
        <v>43709</v>
      </c>
      <c r="Z2017" s="36">
        <v>45900</v>
      </c>
      <c r="AA2017" s="36"/>
      <c r="AB2017" s="36"/>
      <c r="AC2017" s="36"/>
      <c r="AD2017" s="36"/>
      <c r="AE2017" s="36"/>
      <c r="AF2017" s="53" t="s">
        <v>68</v>
      </c>
      <c r="AG2017" s="42"/>
      <c r="AH2017" s="42"/>
      <c r="AI2017" s="43"/>
      <c r="AJ2017" s="43"/>
      <c r="AK2017" s="43"/>
      <c r="AL2017" s="43"/>
      <c r="AM2017" s="43"/>
      <c r="AN2017" s="42"/>
      <c r="AO2017" s="42"/>
      <c r="AP2017" s="42"/>
      <c r="AQ2017" s="43"/>
      <c r="AR2017" s="42"/>
      <c r="AS2017" s="42"/>
    </row>
    <row r="2018" spans="1:45" ht="15" customHeight="1">
      <c r="A2018" s="65" t="s">
        <v>45</v>
      </c>
      <c r="B2018" s="21" t="s">
        <v>46</v>
      </c>
      <c r="C2018" s="21" t="s">
        <v>188</v>
      </c>
      <c r="D2018" s="21" t="s">
        <v>48</v>
      </c>
      <c r="E2018" s="66" t="s">
        <v>2550</v>
      </c>
      <c r="F2018" s="65" t="s">
        <v>2551</v>
      </c>
      <c r="G2018" s="47" t="s">
        <v>77</v>
      </c>
      <c r="H2018" s="45" t="s">
        <v>2552</v>
      </c>
      <c r="I2018" s="102" t="s">
        <v>78</v>
      </c>
      <c r="J2018" s="65" t="s">
        <v>2597</v>
      </c>
      <c r="K2018" s="47"/>
      <c r="L2018" s="48" t="s">
        <v>2554</v>
      </c>
      <c r="M2018" s="49">
        <v>44302</v>
      </c>
      <c r="N2018" s="47" t="s">
        <v>177</v>
      </c>
      <c r="O2018" s="61">
        <v>5800</v>
      </c>
      <c r="P2018" s="61">
        <v>39</v>
      </c>
      <c r="Q2018" s="51">
        <f t="shared" si="44"/>
        <v>226200</v>
      </c>
      <c r="R2018" s="31">
        <v>202310</v>
      </c>
      <c r="S2018" s="32" t="s">
        <v>2611</v>
      </c>
      <c r="T2018" s="33"/>
      <c r="U2018" s="32"/>
      <c r="V2018" s="33"/>
      <c r="W2018" s="67"/>
      <c r="X2018" s="67"/>
      <c r="Y2018" s="36">
        <v>43709</v>
      </c>
      <c r="Z2018" s="36">
        <v>45900</v>
      </c>
      <c r="AA2018" s="36"/>
      <c r="AB2018" s="36"/>
      <c r="AC2018" s="36"/>
      <c r="AD2018" s="36"/>
      <c r="AE2018" s="36"/>
      <c r="AF2018" s="53" t="s">
        <v>68</v>
      </c>
      <c r="AG2018" s="42"/>
      <c r="AH2018" s="42"/>
      <c r="AI2018" s="43"/>
      <c r="AJ2018" s="43"/>
      <c r="AK2018" s="43"/>
      <c r="AL2018" s="43"/>
      <c r="AM2018" s="43"/>
      <c r="AN2018" s="42"/>
      <c r="AO2018" s="42"/>
      <c r="AP2018" s="42"/>
      <c r="AQ2018" s="43"/>
      <c r="AR2018" s="42"/>
      <c r="AS2018" s="42"/>
    </row>
    <row r="2019" spans="1:45" ht="15" customHeight="1">
      <c r="A2019" s="65" t="s">
        <v>45</v>
      </c>
      <c r="B2019" s="21" t="s">
        <v>46</v>
      </c>
      <c r="C2019" s="21" t="s">
        <v>188</v>
      </c>
      <c r="D2019" s="21" t="s">
        <v>48</v>
      </c>
      <c r="E2019" s="66" t="s">
        <v>2550</v>
      </c>
      <c r="F2019" s="65" t="s">
        <v>2551</v>
      </c>
      <c r="G2019" s="47" t="s">
        <v>77</v>
      </c>
      <c r="H2019" s="45" t="s">
        <v>2552</v>
      </c>
      <c r="I2019" s="102" t="s">
        <v>78</v>
      </c>
      <c r="J2019" s="65" t="s">
        <v>2597</v>
      </c>
      <c r="K2019" s="47"/>
      <c r="L2019" s="48" t="s">
        <v>2554</v>
      </c>
      <c r="M2019" s="49">
        <v>44303</v>
      </c>
      <c r="N2019" s="47" t="s">
        <v>177</v>
      </c>
      <c r="O2019" s="61">
        <v>5800</v>
      </c>
      <c r="P2019" s="61">
        <v>1</v>
      </c>
      <c r="Q2019" s="51">
        <f t="shared" si="44"/>
        <v>5800</v>
      </c>
      <c r="R2019" s="31">
        <v>202310</v>
      </c>
      <c r="S2019" s="32" t="s">
        <v>2612</v>
      </c>
      <c r="T2019" s="33"/>
      <c r="U2019" s="32"/>
      <c r="V2019" s="33"/>
      <c r="W2019" s="67"/>
      <c r="X2019" s="67"/>
      <c r="Y2019" s="36">
        <v>43709</v>
      </c>
      <c r="Z2019" s="36">
        <v>45900</v>
      </c>
      <c r="AA2019" s="36"/>
      <c r="AB2019" s="36"/>
      <c r="AC2019" s="36"/>
      <c r="AD2019" s="36"/>
      <c r="AE2019" s="36"/>
      <c r="AF2019" s="53" t="s">
        <v>68</v>
      </c>
      <c r="AG2019" s="42"/>
      <c r="AH2019" s="42"/>
      <c r="AI2019" s="43"/>
      <c r="AJ2019" s="43"/>
      <c r="AK2019" s="43"/>
      <c r="AL2019" s="43"/>
      <c r="AM2019" s="43"/>
      <c r="AN2019" s="42"/>
      <c r="AO2019" s="42"/>
      <c r="AP2019" s="42"/>
      <c r="AQ2019" s="43"/>
      <c r="AR2019" s="42"/>
      <c r="AS2019" s="42"/>
    </row>
    <row r="2020" spans="1:45" ht="15" customHeight="1">
      <c r="A2020" s="65" t="s">
        <v>45</v>
      </c>
      <c r="B2020" s="21" t="s">
        <v>46</v>
      </c>
      <c r="C2020" s="21" t="s">
        <v>188</v>
      </c>
      <c r="D2020" s="21" t="s">
        <v>48</v>
      </c>
      <c r="E2020" s="66" t="s">
        <v>2550</v>
      </c>
      <c r="F2020" s="65" t="s">
        <v>2551</v>
      </c>
      <c r="G2020" s="47" t="s">
        <v>77</v>
      </c>
      <c r="H2020" s="45" t="s">
        <v>2552</v>
      </c>
      <c r="I2020" s="102" t="s">
        <v>78</v>
      </c>
      <c r="J2020" s="65" t="s">
        <v>2597</v>
      </c>
      <c r="K2020" s="47"/>
      <c r="L2020" s="48" t="s">
        <v>2554</v>
      </c>
      <c r="M2020" s="49">
        <v>44306</v>
      </c>
      <c r="N2020" s="47" t="s">
        <v>177</v>
      </c>
      <c r="O2020" s="61">
        <v>5800</v>
      </c>
      <c r="P2020" s="61">
        <v>16</v>
      </c>
      <c r="Q2020" s="51">
        <f t="shared" si="44"/>
        <v>92800</v>
      </c>
      <c r="R2020" s="31">
        <v>202310</v>
      </c>
      <c r="S2020" s="32" t="s">
        <v>2613</v>
      </c>
      <c r="T2020" s="33"/>
      <c r="U2020" s="32"/>
      <c r="V2020" s="33"/>
      <c r="W2020" s="67"/>
      <c r="X2020" s="67"/>
      <c r="Y2020" s="36">
        <v>43709</v>
      </c>
      <c r="Z2020" s="36">
        <v>45900</v>
      </c>
      <c r="AA2020" s="36"/>
      <c r="AB2020" s="36"/>
      <c r="AC2020" s="36"/>
      <c r="AD2020" s="36"/>
      <c r="AE2020" s="36"/>
      <c r="AF2020" s="53" t="s">
        <v>68</v>
      </c>
      <c r="AG2020" s="42"/>
      <c r="AH2020" s="42"/>
      <c r="AI2020" s="43"/>
      <c r="AJ2020" s="43"/>
      <c r="AK2020" s="43"/>
      <c r="AL2020" s="43"/>
      <c r="AM2020" s="43"/>
      <c r="AN2020" s="42"/>
      <c r="AO2020" s="42"/>
      <c r="AP2020" s="42"/>
      <c r="AQ2020" s="43"/>
      <c r="AR2020" s="42"/>
      <c r="AS2020" s="42"/>
    </row>
    <row r="2021" spans="1:45" ht="15" customHeight="1">
      <c r="A2021" s="65" t="s">
        <v>45</v>
      </c>
      <c r="B2021" s="21" t="s">
        <v>46</v>
      </c>
      <c r="C2021" s="21" t="s">
        <v>188</v>
      </c>
      <c r="D2021" s="21" t="s">
        <v>48</v>
      </c>
      <c r="E2021" s="66" t="s">
        <v>2550</v>
      </c>
      <c r="F2021" s="65" t="s">
        <v>2551</v>
      </c>
      <c r="G2021" s="47" t="s">
        <v>77</v>
      </c>
      <c r="H2021" s="45" t="s">
        <v>2552</v>
      </c>
      <c r="I2021" s="102" t="s">
        <v>78</v>
      </c>
      <c r="J2021" s="65" t="s">
        <v>2597</v>
      </c>
      <c r="K2021" s="47"/>
      <c r="L2021" s="48" t="s">
        <v>2554</v>
      </c>
      <c r="M2021" s="49">
        <v>44307</v>
      </c>
      <c r="N2021" s="47" t="s">
        <v>177</v>
      </c>
      <c r="O2021" s="61">
        <v>5800</v>
      </c>
      <c r="P2021" s="61">
        <v>99</v>
      </c>
      <c r="Q2021" s="51">
        <f t="shared" si="44"/>
        <v>574200</v>
      </c>
      <c r="R2021" s="31">
        <v>202310</v>
      </c>
      <c r="S2021" s="32" t="s">
        <v>2614</v>
      </c>
      <c r="T2021" s="33"/>
      <c r="U2021" s="32"/>
      <c r="V2021" s="33"/>
      <c r="W2021" s="67"/>
      <c r="X2021" s="67"/>
      <c r="Y2021" s="36">
        <v>43709</v>
      </c>
      <c r="Z2021" s="36">
        <v>45900</v>
      </c>
      <c r="AA2021" s="36"/>
      <c r="AB2021" s="36"/>
      <c r="AC2021" s="36"/>
      <c r="AD2021" s="36"/>
      <c r="AE2021" s="36"/>
      <c r="AF2021" s="53" t="s">
        <v>68</v>
      </c>
      <c r="AG2021" s="42"/>
      <c r="AH2021" s="42"/>
      <c r="AI2021" s="43"/>
      <c r="AJ2021" s="43"/>
      <c r="AK2021" s="43"/>
      <c r="AL2021" s="43"/>
      <c r="AM2021" s="43"/>
      <c r="AN2021" s="42"/>
      <c r="AO2021" s="42"/>
      <c r="AP2021" s="42"/>
      <c r="AQ2021" s="43"/>
      <c r="AR2021" s="42"/>
      <c r="AS2021" s="42"/>
    </row>
    <row r="2022" spans="1:45" ht="15" customHeight="1">
      <c r="A2022" s="65" t="s">
        <v>45</v>
      </c>
      <c r="B2022" s="21" t="s">
        <v>46</v>
      </c>
      <c r="C2022" s="21" t="s">
        <v>188</v>
      </c>
      <c r="D2022" s="21" t="s">
        <v>48</v>
      </c>
      <c r="E2022" s="66" t="s">
        <v>2550</v>
      </c>
      <c r="F2022" s="65" t="s">
        <v>2551</v>
      </c>
      <c r="G2022" s="47" t="s">
        <v>77</v>
      </c>
      <c r="H2022" s="45" t="s">
        <v>2552</v>
      </c>
      <c r="I2022" s="102" t="s">
        <v>78</v>
      </c>
      <c r="J2022" s="65" t="s">
        <v>2597</v>
      </c>
      <c r="K2022" s="47"/>
      <c r="L2022" s="48" t="s">
        <v>2554</v>
      </c>
      <c r="M2022" s="49">
        <v>44310</v>
      </c>
      <c r="N2022" s="47" t="s">
        <v>177</v>
      </c>
      <c r="O2022" s="61">
        <v>5800</v>
      </c>
      <c r="P2022" s="61">
        <v>16</v>
      </c>
      <c r="Q2022" s="51">
        <f t="shared" si="44"/>
        <v>92800</v>
      </c>
      <c r="R2022" s="31">
        <v>202310</v>
      </c>
      <c r="S2022" s="32" t="s">
        <v>2615</v>
      </c>
      <c r="T2022" s="33"/>
      <c r="U2022" s="32"/>
      <c r="V2022" s="33"/>
      <c r="W2022" s="67"/>
      <c r="X2022" s="67"/>
      <c r="Y2022" s="36">
        <v>43709</v>
      </c>
      <c r="Z2022" s="36">
        <v>45900</v>
      </c>
      <c r="AA2022" s="36"/>
      <c r="AB2022" s="36"/>
      <c r="AC2022" s="36"/>
      <c r="AD2022" s="36"/>
      <c r="AE2022" s="36"/>
      <c r="AF2022" s="53" t="s">
        <v>68</v>
      </c>
      <c r="AG2022" s="42"/>
      <c r="AH2022" s="42"/>
      <c r="AI2022" s="43"/>
      <c r="AJ2022" s="43"/>
      <c r="AK2022" s="43"/>
      <c r="AL2022" s="43"/>
      <c r="AM2022" s="43"/>
      <c r="AN2022" s="42"/>
      <c r="AO2022" s="42"/>
      <c r="AP2022" s="42"/>
      <c r="AQ2022" s="43"/>
      <c r="AR2022" s="42"/>
      <c r="AS2022" s="42"/>
    </row>
    <row r="2023" spans="1:45" ht="15" customHeight="1">
      <c r="A2023" s="65" t="s">
        <v>45</v>
      </c>
      <c r="B2023" s="21" t="s">
        <v>46</v>
      </c>
      <c r="C2023" s="21" t="s">
        <v>188</v>
      </c>
      <c r="D2023" s="21" t="s">
        <v>48</v>
      </c>
      <c r="E2023" s="66" t="s">
        <v>2550</v>
      </c>
      <c r="F2023" s="65" t="s">
        <v>2551</v>
      </c>
      <c r="G2023" s="47" t="s">
        <v>77</v>
      </c>
      <c r="H2023" s="45" t="s">
        <v>2552</v>
      </c>
      <c r="I2023" s="102" t="s">
        <v>78</v>
      </c>
      <c r="J2023" s="65" t="s">
        <v>2597</v>
      </c>
      <c r="K2023" s="47"/>
      <c r="L2023" s="48" t="s">
        <v>2554</v>
      </c>
      <c r="M2023" s="49">
        <v>44314</v>
      </c>
      <c r="N2023" s="47" t="s">
        <v>177</v>
      </c>
      <c r="O2023" s="61">
        <v>5800</v>
      </c>
      <c r="P2023" s="61">
        <v>9</v>
      </c>
      <c r="Q2023" s="51">
        <f t="shared" si="44"/>
        <v>52200</v>
      </c>
      <c r="R2023" s="31">
        <v>202310</v>
      </c>
      <c r="S2023" s="32" t="s">
        <v>2616</v>
      </c>
      <c r="T2023" s="33"/>
      <c r="U2023" s="32"/>
      <c r="V2023" s="33"/>
      <c r="W2023" s="67"/>
      <c r="X2023" s="67"/>
      <c r="Y2023" s="36">
        <v>43709</v>
      </c>
      <c r="Z2023" s="36">
        <v>45900</v>
      </c>
      <c r="AA2023" s="36"/>
      <c r="AB2023" s="36"/>
      <c r="AC2023" s="36"/>
      <c r="AD2023" s="36"/>
      <c r="AE2023" s="36"/>
      <c r="AF2023" s="53" t="s">
        <v>68</v>
      </c>
      <c r="AG2023" s="42"/>
      <c r="AH2023" s="42"/>
      <c r="AI2023" s="43"/>
      <c r="AJ2023" s="43"/>
      <c r="AK2023" s="43"/>
      <c r="AL2023" s="43"/>
      <c r="AM2023" s="43"/>
      <c r="AN2023" s="42"/>
      <c r="AO2023" s="42"/>
      <c r="AP2023" s="42"/>
      <c r="AQ2023" s="43"/>
      <c r="AR2023" s="42"/>
      <c r="AS2023" s="42"/>
    </row>
    <row r="2024" spans="1:45" ht="15" customHeight="1">
      <c r="A2024" s="65" t="s">
        <v>45</v>
      </c>
      <c r="B2024" s="21" t="s">
        <v>46</v>
      </c>
      <c r="C2024" s="21" t="s">
        <v>188</v>
      </c>
      <c r="D2024" s="21" t="s">
        <v>48</v>
      </c>
      <c r="E2024" s="66" t="s">
        <v>2550</v>
      </c>
      <c r="F2024" s="65" t="s">
        <v>2551</v>
      </c>
      <c r="G2024" s="47" t="s">
        <v>77</v>
      </c>
      <c r="H2024" s="45" t="s">
        <v>2552</v>
      </c>
      <c r="I2024" s="102" t="s">
        <v>78</v>
      </c>
      <c r="J2024" s="65" t="s">
        <v>2553</v>
      </c>
      <c r="K2024" s="47"/>
      <c r="L2024" s="48" t="s">
        <v>2578</v>
      </c>
      <c r="M2024" s="49">
        <v>44334</v>
      </c>
      <c r="N2024" s="47" t="s">
        <v>177</v>
      </c>
      <c r="O2024" s="61">
        <v>5800</v>
      </c>
      <c r="P2024" s="61">
        <v>1</v>
      </c>
      <c r="Q2024" s="51">
        <f t="shared" si="44"/>
        <v>5800</v>
      </c>
      <c r="R2024" s="31">
        <v>202310</v>
      </c>
      <c r="S2024" s="32" t="s">
        <v>2617</v>
      </c>
      <c r="T2024" s="33"/>
      <c r="U2024" s="32"/>
      <c r="V2024" s="33"/>
      <c r="W2024" s="67"/>
      <c r="X2024" s="67"/>
      <c r="Y2024" s="36">
        <v>43709</v>
      </c>
      <c r="Z2024" s="36">
        <v>45900</v>
      </c>
      <c r="AA2024" s="36"/>
      <c r="AB2024" s="36"/>
      <c r="AC2024" s="36"/>
      <c r="AD2024" s="36"/>
      <c r="AE2024" s="36"/>
      <c r="AF2024" s="53" t="s">
        <v>68</v>
      </c>
      <c r="AG2024" s="42"/>
      <c r="AH2024" s="42"/>
      <c r="AI2024" s="43"/>
      <c r="AJ2024" s="43"/>
      <c r="AK2024" s="43"/>
      <c r="AL2024" s="43"/>
      <c r="AM2024" s="43"/>
      <c r="AN2024" s="42"/>
      <c r="AO2024" s="42"/>
      <c r="AP2024" s="42"/>
      <c r="AQ2024" s="43"/>
      <c r="AR2024" s="42"/>
      <c r="AS2024" s="42"/>
    </row>
    <row r="2025" spans="1:45" ht="15" customHeight="1">
      <c r="A2025" s="65" t="s">
        <v>45</v>
      </c>
      <c r="B2025" s="21" t="s">
        <v>46</v>
      </c>
      <c r="C2025" s="21" t="s">
        <v>188</v>
      </c>
      <c r="D2025" s="21" t="s">
        <v>48</v>
      </c>
      <c r="E2025" s="66" t="s">
        <v>2550</v>
      </c>
      <c r="F2025" s="65" t="s">
        <v>2551</v>
      </c>
      <c r="G2025" s="47" t="s">
        <v>77</v>
      </c>
      <c r="H2025" s="45" t="s">
        <v>2552</v>
      </c>
      <c r="I2025" s="102" t="s">
        <v>78</v>
      </c>
      <c r="J2025" s="65" t="s">
        <v>2597</v>
      </c>
      <c r="K2025" s="47"/>
      <c r="L2025" s="48" t="s">
        <v>2578</v>
      </c>
      <c r="M2025" s="49">
        <v>44334</v>
      </c>
      <c r="N2025" s="47" t="s">
        <v>177</v>
      </c>
      <c r="O2025" s="61">
        <v>5800</v>
      </c>
      <c r="P2025" s="61">
        <v>2</v>
      </c>
      <c r="Q2025" s="51">
        <f t="shared" si="44"/>
        <v>11600</v>
      </c>
      <c r="R2025" s="31">
        <v>202310</v>
      </c>
      <c r="S2025" s="32" t="s">
        <v>2618</v>
      </c>
      <c r="T2025" s="33"/>
      <c r="U2025" s="32"/>
      <c r="V2025" s="33"/>
      <c r="W2025" s="67"/>
      <c r="X2025" s="67"/>
      <c r="Y2025" s="36">
        <v>43709</v>
      </c>
      <c r="Z2025" s="36">
        <v>45900</v>
      </c>
      <c r="AA2025" s="36"/>
      <c r="AB2025" s="36"/>
      <c r="AC2025" s="36"/>
      <c r="AD2025" s="36"/>
      <c r="AE2025" s="36"/>
      <c r="AF2025" s="53" t="s">
        <v>68</v>
      </c>
      <c r="AG2025" s="42"/>
      <c r="AH2025" s="42"/>
      <c r="AI2025" s="43"/>
      <c r="AJ2025" s="43"/>
      <c r="AK2025" s="43"/>
      <c r="AL2025" s="43"/>
      <c r="AM2025" s="43"/>
      <c r="AN2025" s="42"/>
      <c r="AO2025" s="42"/>
      <c r="AP2025" s="42"/>
      <c r="AQ2025" s="43"/>
      <c r="AR2025" s="42"/>
      <c r="AS2025" s="42"/>
    </row>
    <row r="2026" spans="1:45" ht="15" customHeight="1">
      <c r="A2026" s="65" t="s">
        <v>45</v>
      </c>
      <c r="B2026" s="21" t="s">
        <v>46</v>
      </c>
      <c r="C2026" s="21" t="s">
        <v>188</v>
      </c>
      <c r="D2026" s="21" t="s">
        <v>48</v>
      </c>
      <c r="E2026" s="66" t="s">
        <v>2550</v>
      </c>
      <c r="F2026" s="65" t="s">
        <v>2551</v>
      </c>
      <c r="G2026" s="47" t="s">
        <v>77</v>
      </c>
      <c r="H2026" s="45" t="s">
        <v>2552</v>
      </c>
      <c r="I2026" s="102" t="s">
        <v>78</v>
      </c>
      <c r="J2026" s="65" t="s">
        <v>2597</v>
      </c>
      <c r="K2026" s="47"/>
      <c r="L2026" s="48" t="s">
        <v>2554</v>
      </c>
      <c r="M2026" s="49">
        <v>44331</v>
      </c>
      <c r="N2026" s="47" t="s">
        <v>177</v>
      </c>
      <c r="O2026" s="61">
        <v>5800</v>
      </c>
      <c r="P2026" s="61">
        <v>2</v>
      </c>
      <c r="Q2026" s="51">
        <f t="shared" si="44"/>
        <v>11600</v>
      </c>
      <c r="R2026" s="31">
        <v>202310</v>
      </c>
      <c r="S2026" s="32" t="s">
        <v>2619</v>
      </c>
      <c r="T2026" s="33"/>
      <c r="U2026" s="32"/>
      <c r="V2026" s="33"/>
      <c r="W2026" s="67"/>
      <c r="X2026" s="67"/>
      <c r="Y2026" s="36">
        <v>43709</v>
      </c>
      <c r="Z2026" s="36">
        <v>45900</v>
      </c>
      <c r="AA2026" s="36"/>
      <c r="AB2026" s="36"/>
      <c r="AC2026" s="36"/>
      <c r="AD2026" s="36"/>
      <c r="AE2026" s="36"/>
      <c r="AF2026" s="53" t="s">
        <v>68</v>
      </c>
      <c r="AG2026" s="42"/>
      <c r="AH2026" s="42"/>
      <c r="AI2026" s="43"/>
      <c r="AJ2026" s="43"/>
      <c r="AK2026" s="43"/>
      <c r="AL2026" s="43"/>
      <c r="AM2026" s="43"/>
      <c r="AN2026" s="42"/>
      <c r="AO2026" s="42"/>
      <c r="AP2026" s="42"/>
      <c r="AQ2026" s="43"/>
      <c r="AR2026" s="42"/>
      <c r="AS2026" s="42"/>
    </row>
    <row r="2027" spans="1:45" ht="15" customHeight="1">
      <c r="A2027" s="65" t="s">
        <v>45</v>
      </c>
      <c r="B2027" s="21" t="s">
        <v>46</v>
      </c>
      <c r="C2027" s="21" t="s">
        <v>188</v>
      </c>
      <c r="D2027" s="21" t="s">
        <v>48</v>
      </c>
      <c r="E2027" s="66" t="s">
        <v>2550</v>
      </c>
      <c r="F2027" s="65" t="s">
        <v>2551</v>
      </c>
      <c r="G2027" s="47" t="s">
        <v>77</v>
      </c>
      <c r="H2027" s="45" t="s">
        <v>2552</v>
      </c>
      <c r="I2027" s="102" t="s">
        <v>78</v>
      </c>
      <c r="J2027" s="65" t="s">
        <v>2597</v>
      </c>
      <c r="K2027" s="47"/>
      <c r="L2027" s="48" t="s">
        <v>2554</v>
      </c>
      <c r="M2027" s="49">
        <v>44332</v>
      </c>
      <c r="N2027" s="47" t="s">
        <v>177</v>
      </c>
      <c r="O2027" s="61">
        <v>5800</v>
      </c>
      <c r="P2027" s="61">
        <v>1</v>
      </c>
      <c r="Q2027" s="51">
        <f t="shared" si="44"/>
        <v>5800</v>
      </c>
      <c r="R2027" s="31">
        <v>202310</v>
      </c>
      <c r="S2027" s="32" t="s">
        <v>2620</v>
      </c>
      <c r="T2027" s="33"/>
      <c r="U2027" s="32"/>
      <c r="V2027" s="33"/>
      <c r="W2027" s="67"/>
      <c r="X2027" s="67"/>
      <c r="Y2027" s="36">
        <v>43709</v>
      </c>
      <c r="Z2027" s="36">
        <v>45900</v>
      </c>
      <c r="AA2027" s="36"/>
      <c r="AB2027" s="36"/>
      <c r="AC2027" s="36"/>
      <c r="AD2027" s="36"/>
      <c r="AE2027" s="36"/>
      <c r="AF2027" s="53" t="s">
        <v>68</v>
      </c>
      <c r="AG2027" s="42"/>
      <c r="AH2027" s="42"/>
      <c r="AI2027" s="43"/>
      <c r="AJ2027" s="43"/>
      <c r="AK2027" s="43"/>
      <c r="AL2027" s="43"/>
      <c r="AM2027" s="43"/>
      <c r="AN2027" s="42"/>
      <c r="AO2027" s="42"/>
      <c r="AP2027" s="42"/>
      <c r="AQ2027" s="43"/>
      <c r="AR2027" s="42"/>
      <c r="AS2027" s="42"/>
    </row>
    <row r="2028" spans="1:45" ht="15" customHeight="1">
      <c r="A2028" s="65" t="s">
        <v>45</v>
      </c>
      <c r="B2028" s="21" t="s">
        <v>46</v>
      </c>
      <c r="C2028" s="21" t="s">
        <v>188</v>
      </c>
      <c r="D2028" s="21" t="s">
        <v>48</v>
      </c>
      <c r="E2028" s="66" t="s">
        <v>2550</v>
      </c>
      <c r="F2028" s="65" t="s">
        <v>2551</v>
      </c>
      <c r="G2028" s="47" t="s">
        <v>77</v>
      </c>
      <c r="H2028" s="45" t="s">
        <v>2552</v>
      </c>
      <c r="I2028" s="102" t="s">
        <v>78</v>
      </c>
      <c r="J2028" s="65" t="s">
        <v>2597</v>
      </c>
      <c r="K2028" s="47"/>
      <c r="L2028" s="48" t="s">
        <v>2554</v>
      </c>
      <c r="M2028" s="49">
        <v>44333</v>
      </c>
      <c r="N2028" s="47" t="s">
        <v>177</v>
      </c>
      <c r="O2028" s="61">
        <v>5800</v>
      </c>
      <c r="P2028" s="61">
        <v>20</v>
      </c>
      <c r="Q2028" s="51">
        <f t="shared" si="44"/>
        <v>116000</v>
      </c>
      <c r="R2028" s="31">
        <v>202310</v>
      </c>
      <c r="S2028" s="32" t="s">
        <v>2621</v>
      </c>
      <c r="T2028" s="33"/>
      <c r="U2028" s="32"/>
      <c r="V2028" s="33"/>
      <c r="W2028" s="67"/>
      <c r="X2028" s="67"/>
      <c r="Y2028" s="36">
        <v>43709</v>
      </c>
      <c r="Z2028" s="36">
        <v>45900</v>
      </c>
      <c r="AA2028" s="36"/>
      <c r="AB2028" s="36"/>
      <c r="AC2028" s="36"/>
      <c r="AD2028" s="36"/>
      <c r="AE2028" s="36"/>
      <c r="AF2028" s="53" t="s">
        <v>68</v>
      </c>
      <c r="AG2028" s="42"/>
      <c r="AH2028" s="42"/>
      <c r="AI2028" s="43"/>
      <c r="AJ2028" s="43"/>
      <c r="AK2028" s="43"/>
      <c r="AL2028" s="43"/>
      <c r="AM2028" s="43"/>
      <c r="AN2028" s="42"/>
      <c r="AO2028" s="42"/>
      <c r="AP2028" s="42"/>
      <c r="AQ2028" s="43"/>
      <c r="AR2028" s="42"/>
      <c r="AS2028" s="42"/>
    </row>
    <row r="2029" spans="1:45" ht="15" customHeight="1">
      <c r="A2029" s="65" t="s">
        <v>45</v>
      </c>
      <c r="B2029" s="21" t="s">
        <v>46</v>
      </c>
      <c r="C2029" s="21" t="s">
        <v>188</v>
      </c>
      <c r="D2029" s="21" t="s">
        <v>48</v>
      </c>
      <c r="E2029" s="66" t="s">
        <v>2550</v>
      </c>
      <c r="F2029" s="65" t="s">
        <v>2551</v>
      </c>
      <c r="G2029" s="47" t="s">
        <v>77</v>
      </c>
      <c r="H2029" s="45" t="s">
        <v>2552</v>
      </c>
      <c r="I2029" s="102" t="s">
        <v>78</v>
      </c>
      <c r="J2029" s="65" t="s">
        <v>2597</v>
      </c>
      <c r="K2029" s="47"/>
      <c r="L2029" s="48" t="s">
        <v>2554</v>
      </c>
      <c r="M2029" s="49">
        <v>44334</v>
      </c>
      <c r="N2029" s="47" t="s">
        <v>177</v>
      </c>
      <c r="O2029" s="61">
        <v>5800</v>
      </c>
      <c r="P2029" s="61">
        <v>65</v>
      </c>
      <c r="Q2029" s="51">
        <f t="shared" si="44"/>
        <v>377000</v>
      </c>
      <c r="R2029" s="31">
        <v>202310</v>
      </c>
      <c r="S2029" s="32" t="s">
        <v>2622</v>
      </c>
      <c r="T2029" s="33"/>
      <c r="U2029" s="32"/>
      <c r="V2029" s="33"/>
      <c r="W2029" s="67"/>
      <c r="X2029" s="67"/>
      <c r="Y2029" s="36">
        <v>43709</v>
      </c>
      <c r="Z2029" s="36">
        <v>45900</v>
      </c>
      <c r="AA2029" s="36"/>
      <c r="AB2029" s="36"/>
      <c r="AC2029" s="36"/>
      <c r="AD2029" s="36"/>
      <c r="AE2029" s="36"/>
      <c r="AF2029" s="53" t="s">
        <v>68</v>
      </c>
      <c r="AG2029" s="42"/>
      <c r="AH2029" s="42"/>
      <c r="AI2029" s="43"/>
      <c r="AJ2029" s="43"/>
      <c r="AK2029" s="43"/>
      <c r="AL2029" s="43"/>
      <c r="AM2029" s="43"/>
      <c r="AN2029" s="42"/>
      <c r="AO2029" s="42"/>
      <c r="AP2029" s="42"/>
      <c r="AQ2029" s="43"/>
      <c r="AR2029" s="42"/>
      <c r="AS2029" s="42"/>
    </row>
    <row r="2030" spans="1:45" ht="15" customHeight="1">
      <c r="A2030" s="65" t="s">
        <v>45</v>
      </c>
      <c r="B2030" s="21" t="s">
        <v>46</v>
      </c>
      <c r="C2030" s="21" t="s">
        <v>188</v>
      </c>
      <c r="D2030" s="21" t="s">
        <v>48</v>
      </c>
      <c r="E2030" s="66" t="s">
        <v>2550</v>
      </c>
      <c r="F2030" s="65" t="s">
        <v>2551</v>
      </c>
      <c r="G2030" s="47" t="s">
        <v>77</v>
      </c>
      <c r="H2030" s="45" t="s">
        <v>2552</v>
      </c>
      <c r="I2030" s="102" t="s">
        <v>78</v>
      </c>
      <c r="J2030" s="65" t="s">
        <v>2597</v>
      </c>
      <c r="K2030" s="47"/>
      <c r="L2030" s="48" t="s">
        <v>2554</v>
      </c>
      <c r="M2030" s="49">
        <v>44335</v>
      </c>
      <c r="N2030" s="47" t="s">
        <v>177</v>
      </c>
      <c r="O2030" s="61">
        <v>5800</v>
      </c>
      <c r="P2030" s="61">
        <v>60</v>
      </c>
      <c r="Q2030" s="51">
        <f t="shared" si="44"/>
        <v>348000</v>
      </c>
      <c r="R2030" s="31">
        <v>202310</v>
      </c>
      <c r="S2030" s="32" t="s">
        <v>2623</v>
      </c>
      <c r="T2030" s="33"/>
      <c r="U2030" s="32"/>
      <c r="V2030" s="33"/>
      <c r="W2030" s="67"/>
      <c r="X2030" s="67"/>
      <c r="Y2030" s="36">
        <v>43709</v>
      </c>
      <c r="Z2030" s="36">
        <v>45900</v>
      </c>
      <c r="AA2030" s="36"/>
      <c r="AB2030" s="36"/>
      <c r="AC2030" s="36"/>
      <c r="AD2030" s="36"/>
      <c r="AE2030" s="36"/>
      <c r="AF2030" s="53" t="s">
        <v>68</v>
      </c>
      <c r="AG2030" s="42"/>
      <c r="AH2030" s="42"/>
      <c r="AI2030" s="43"/>
      <c r="AJ2030" s="43"/>
      <c r="AK2030" s="43"/>
      <c r="AL2030" s="43"/>
      <c r="AM2030" s="43"/>
      <c r="AN2030" s="42"/>
      <c r="AO2030" s="42"/>
      <c r="AP2030" s="42"/>
      <c r="AQ2030" s="43"/>
      <c r="AR2030" s="42"/>
      <c r="AS2030" s="42"/>
    </row>
    <row r="2031" spans="1:45" ht="15" customHeight="1">
      <c r="A2031" s="65" t="s">
        <v>45</v>
      </c>
      <c r="B2031" s="21" t="s">
        <v>46</v>
      </c>
      <c r="C2031" s="21" t="s">
        <v>188</v>
      </c>
      <c r="D2031" s="21" t="s">
        <v>48</v>
      </c>
      <c r="E2031" s="66" t="s">
        <v>2550</v>
      </c>
      <c r="F2031" s="65" t="s">
        <v>2551</v>
      </c>
      <c r="G2031" s="47" t="s">
        <v>77</v>
      </c>
      <c r="H2031" s="45" t="s">
        <v>2552</v>
      </c>
      <c r="I2031" s="102" t="s">
        <v>78</v>
      </c>
      <c r="J2031" s="65" t="s">
        <v>2597</v>
      </c>
      <c r="K2031" s="47"/>
      <c r="L2031" s="48" t="s">
        <v>2554</v>
      </c>
      <c r="M2031" s="49">
        <v>44337</v>
      </c>
      <c r="N2031" s="47" t="s">
        <v>177</v>
      </c>
      <c r="O2031" s="61">
        <v>5800</v>
      </c>
      <c r="P2031" s="61">
        <v>19</v>
      </c>
      <c r="Q2031" s="51">
        <f t="shared" si="44"/>
        <v>110200</v>
      </c>
      <c r="R2031" s="31">
        <v>202310</v>
      </c>
      <c r="S2031" s="32" t="s">
        <v>2624</v>
      </c>
      <c r="T2031" s="33"/>
      <c r="U2031" s="32"/>
      <c r="V2031" s="33"/>
      <c r="W2031" s="67"/>
      <c r="X2031" s="67"/>
      <c r="Y2031" s="36">
        <v>43709</v>
      </c>
      <c r="Z2031" s="36">
        <v>45900</v>
      </c>
      <c r="AA2031" s="36"/>
      <c r="AB2031" s="36"/>
      <c r="AC2031" s="36"/>
      <c r="AD2031" s="36"/>
      <c r="AE2031" s="36"/>
      <c r="AF2031" s="53" t="s">
        <v>68</v>
      </c>
      <c r="AG2031" s="42"/>
      <c r="AH2031" s="42"/>
      <c r="AI2031" s="43"/>
      <c r="AJ2031" s="43"/>
      <c r="AK2031" s="43"/>
      <c r="AL2031" s="43"/>
      <c r="AM2031" s="43"/>
      <c r="AN2031" s="42"/>
      <c r="AO2031" s="42"/>
      <c r="AP2031" s="42"/>
      <c r="AQ2031" s="43"/>
      <c r="AR2031" s="42"/>
      <c r="AS2031" s="42"/>
    </row>
    <row r="2032" spans="1:45" ht="15" customHeight="1">
      <c r="A2032" s="65" t="s">
        <v>45</v>
      </c>
      <c r="B2032" s="21" t="s">
        <v>46</v>
      </c>
      <c r="C2032" s="21" t="s">
        <v>188</v>
      </c>
      <c r="D2032" s="21" t="s">
        <v>48</v>
      </c>
      <c r="E2032" s="66" t="s">
        <v>2550</v>
      </c>
      <c r="F2032" s="65" t="s">
        <v>2551</v>
      </c>
      <c r="G2032" s="47" t="s">
        <v>77</v>
      </c>
      <c r="H2032" s="45" t="s">
        <v>2552</v>
      </c>
      <c r="I2032" s="102" t="s">
        <v>78</v>
      </c>
      <c r="J2032" s="65" t="s">
        <v>2597</v>
      </c>
      <c r="K2032" s="47"/>
      <c r="L2032" s="48" t="s">
        <v>2554</v>
      </c>
      <c r="M2032" s="49">
        <v>44870</v>
      </c>
      <c r="N2032" s="47" t="s">
        <v>177</v>
      </c>
      <c r="O2032" s="61">
        <v>5800</v>
      </c>
      <c r="P2032" s="61">
        <v>-9</v>
      </c>
      <c r="Q2032" s="51">
        <f t="shared" si="44"/>
        <v>-52200</v>
      </c>
      <c r="R2032" s="31">
        <v>202310</v>
      </c>
      <c r="S2032" s="32" t="s">
        <v>2625</v>
      </c>
      <c r="T2032" s="33"/>
      <c r="U2032" s="32"/>
      <c r="V2032" s="33"/>
      <c r="W2032" s="67"/>
      <c r="X2032" s="67"/>
      <c r="Y2032" s="36">
        <v>43709</v>
      </c>
      <c r="Z2032" s="36">
        <v>45900</v>
      </c>
      <c r="AA2032" s="36"/>
      <c r="AB2032" s="36"/>
      <c r="AC2032" s="36"/>
      <c r="AD2032" s="36"/>
      <c r="AE2032" s="36"/>
      <c r="AF2032" s="53" t="s">
        <v>68</v>
      </c>
      <c r="AG2032" s="42"/>
      <c r="AH2032" s="42"/>
      <c r="AI2032" s="43"/>
      <c r="AJ2032" s="43"/>
      <c r="AK2032" s="43"/>
      <c r="AL2032" s="43"/>
      <c r="AM2032" s="43"/>
      <c r="AN2032" s="42"/>
      <c r="AO2032" s="42"/>
      <c r="AP2032" s="42"/>
      <c r="AQ2032" s="43"/>
      <c r="AR2032" s="42"/>
      <c r="AS2032" s="42"/>
    </row>
    <row r="2033" spans="1:45" ht="15" customHeight="1">
      <c r="A2033" s="65" t="s">
        <v>45</v>
      </c>
      <c r="B2033" s="21" t="s">
        <v>46</v>
      </c>
      <c r="C2033" s="21" t="s">
        <v>188</v>
      </c>
      <c r="D2033" s="21" t="s">
        <v>48</v>
      </c>
      <c r="E2033" s="66" t="s">
        <v>2550</v>
      </c>
      <c r="F2033" s="65" t="s">
        <v>2551</v>
      </c>
      <c r="G2033" s="47" t="s">
        <v>77</v>
      </c>
      <c r="H2033" s="45" t="s">
        <v>2552</v>
      </c>
      <c r="I2033" s="102" t="s">
        <v>78</v>
      </c>
      <c r="J2033" s="65" t="s">
        <v>2553</v>
      </c>
      <c r="K2033" s="47"/>
      <c r="L2033" s="48" t="s">
        <v>2554</v>
      </c>
      <c r="M2033" s="49">
        <v>44972</v>
      </c>
      <c r="N2033" s="47" t="s">
        <v>382</v>
      </c>
      <c r="O2033" s="61">
        <v>200</v>
      </c>
      <c r="P2033" s="61">
        <v>-2</v>
      </c>
      <c r="Q2033" s="51">
        <f t="shared" si="44"/>
        <v>-400</v>
      </c>
      <c r="R2033" s="31">
        <v>202310</v>
      </c>
      <c r="S2033" s="32" t="s">
        <v>2626</v>
      </c>
      <c r="T2033" s="33"/>
      <c r="U2033" s="32"/>
      <c r="V2033" s="33"/>
      <c r="W2033" s="67"/>
      <c r="X2033" s="67"/>
      <c r="Y2033" s="36">
        <v>43709</v>
      </c>
      <c r="Z2033" s="36">
        <v>45900</v>
      </c>
      <c r="AA2033" s="36"/>
      <c r="AB2033" s="36"/>
      <c r="AC2033" s="36"/>
      <c r="AD2033" s="36"/>
      <c r="AE2033" s="36"/>
      <c r="AF2033" s="53" t="s">
        <v>68</v>
      </c>
      <c r="AG2033" s="42"/>
      <c r="AH2033" s="42"/>
      <c r="AI2033" s="43"/>
      <c r="AJ2033" s="43"/>
      <c r="AK2033" s="43"/>
      <c r="AL2033" s="43"/>
      <c r="AM2033" s="43"/>
      <c r="AN2033" s="42"/>
      <c r="AO2033" s="42"/>
      <c r="AP2033" s="42"/>
      <c r="AQ2033" s="43"/>
      <c r="AR2033" s="42"/>
      <c r="AS2033" s="42"/>
    </row>
    <row r="2034" spans="1:45" ht="15" customHeight="1">
      <c r="A2034" s="65" t="s">
        <v>45</v>
      </c>
      <c r="B2034" s="21" t="s">
        <v>46</v>
      </c>
      <c r="C2034" s="21" t="s">
        <v>188</v>
      </c>
      <c r="D2034" s="21" t="s">
        <v>48</v>
      </c>
      <c r="E2034" s="66" t="s">
        <v>2550</v>
      </c>
      <c r="F2034" s="65" t="s">
        <v>2551</v>
      </c>
      <c r="G2034" s="47" t="s">
        <v>77</v>
      </c>
      <c r="H2034" s="45" t="s">
        <v>2552</v>
      </c>
      <c r="I2034" s="102" t="s">
        <v>78</v>
      </c>
      <c r="J2034" s="65" t="s">
        <v>2597</v>
      </c>
      <c r="K2034" s="47"/>
      <c r="L2034" s="48" t="s">
        <v>2554</v>
      </c>
      <c r="M2034" s="49">
        <v>44985</v>
      </c>
      <c r="N2034" s="47" t="s">
        <v>177</v>
      </c>
      <c r="O2034" s="61">
        <v>5800</v>
      </c>
      <c r="P2034" s="61">
        <v>-9</v>
      </c>
      <c r="Q2034" s="51">
        <f t="shared" si="44"/>
        <v>-52200</v>
      </c>
      <c r="R2034" s="31">
        <v>202310</v>
      </c>
      <c r="S2034" s="79" t="s">
        <v>2627</v>
      </c>
      <c r="T2034" s="33"/>
      <c r="U2034" s="32"/>
      <c r="V2034" s="33"/>
      <c r="W2034" s="67"/>
      <c r="X2034" s="67"/>
      <c r="Y2034" s="36">
        <v>43709</v>
      </c>
      <c r="Z2034" s="36">
        <v>45900</v>
      </c>
      <c r="AA2034" s="36"/>
      <c r="AB2034" s="36"/>
      <c r="AC2034" s="36"/>
      <c r="AD2034" s="36"/>
      <c r="AE2034" s="36"/>
      <c r="AF2034" s="53" t="s">
        <v>68</v>
      </c>
      <c r="AG2034" s="42"/>
      <c r="AH2034" s="42"/>
      <c r="AI2034" s="43"/>
      <c r="AJ2034" s="43"/>
      <c r="AK2034" s="43"/>
      <c r="AL2034" s="43"/>
      <c r="AM2034" s="43"/>
      <c r="AN2034" s="42"/>
      <c r="AO2034" s="42"/>
      <c r="AP2034" s="42"/>
      <c r="AQ2034" s="43"/>
      <c r="AR2034" s="42"/>
      <c r="AS2034" s="42"/>
    </row>
    <row r="2035" spans="1:45" ht="15" customHeight="1">
      <c r="A2035" s="65" t="s">
        <v>45</v>
      </c>
      <c r="B2035" s="21" t="s">
        <v>46</v>
      </c>
      <c r="C2035" s="21" t="s">
        <v>188</v>
      </c>
      <c r="D2035" s="21" t="s">
        <v>48</v>
      </c>
      <c r="E2035" s="66" t="s">
        <v>2550</v>
      </c>
      <c r="F2035" s="65" t="s">
        <v>2551</v>
      </c>
      <c r="G2035" s="47" t="s">
        <v>77</v>
      </c>
      <c r="H2035" s="45" t="s">
        <v>2552</v>
      </c>
      <c r="I2035" s="102" t="s">
        <v>78</v>
      </c>
      <c r="J2035" s="65" t="s">
        <v>2553</v>
      </c>
      <c r="K2035" s="47"/>
      <c r="L2035" s="48" t="s">
        <v>2554</v>
      </c>
      <c r="M2035" s="49">
        <v>44973</v>
      </c>
      <c r="N2035" s="47" t="s">
        <v>356</v>
      </c>
      <c r="O2035" s="61">
        <v>11864</v>
      </c>
      <c r="P2035" s="61">
        <v>2</v>
      </c>
      <c r="Q2035" s="51">
        <f t="shared" si="44"/>
        <v>23728</v>
      </c>
      <c r="R2035" s="31">
        <v>202310</v>
      </c>
      <c r="S2035" s="32" t="s">
        <v>2626</v>
      </c>
      <c r="T2035" s="33"/>
      <c r="U2035" s="32"/>
      <c r="V2035" s="33"/>
      <c r="W2035" s="67"/>
      <c r="X2035" s="67"/>
      <c r="Y2035" s="36">
        <v>43709</v>
      </c>
      <c r="Z2035" s="36">
        <v>45900</v>
      </c>
      <c r="AA2035" s="36"/>
      <c r="AB2035" s="36"/>
      <c r="AC2035" s="36"/>
      <c r="AD2035" s="36"/>
      <c r="AE2035" s="36"/>
      <c r="AF2035" s="53" t="s">
        <v>68</v>
      </c>
      <c r="AG2035" s="42"/>
      <c r="AH2035" s="42"/>
      <c r="AI2035" s="43"/>
      <c r="AJ2035" s="43"/>
      <c r="AK2035" s="43"/>
      <c r="AL2035" s="43"/>
      <c r="AM2035" s="43"/>
      <c r="AN2035" s="42"/>
      <c r="AO2035" s="42"/>
      <c r="AP2035" s="42"/>
      <c r="AQ2035" s="43"/>
      <c r="AR2035" s="42"/>
      <c r="AS2035" s="42"/>
    </row>
    <row r="2036" spans="1:45" ht="15" customHeight="1">
      <c r="A2036" s="65" t="s">
        <v>45</v>
      </c>
      <c r="B2036" s="21" t="s">
        <v>46</v>
      </c>
      <c r="C2036" s="21" t="s">
        <v>188</v>
      </c>
      <c r="D2036" s="21" t="s">
        <v>48</v>
      </c>
      <c r="E2036" s="66" t="s">
        <v>2550</v>
      </c>
      <c r="F2036" s="65" t="s">
        <v>2551</v>
      </c>
      <c r="G2036" s="47" t="s">
        <v>114</v>
      </c>
      <c r="H2036" s="45" t="s">
        <v>2628</v>
      </c>
      <c r="I2036" s="47" t="s">
        <v>114</v>
      </c>
      <c r="J2036" s="65" t="s">
        <v>2629</v>
      </c>
      <c r="K2036" s="47"/>
      <c r="L2036" s="48"/>
      <c r="M2036" s="49">
        <v>43984</v>
      </c>
      <c r="N2036" s="47" t="s">
        <v>2187</v>
      </c>
      <c r="O2036" s="61">
        <v>225000</v>
      </c>
      <c r="P2036" s="51">
        <v>1</v>
      </c>
      <c r="Q2036" s="51">
        <f t="shared" si="44"/>
        <v>225000</v>
      </c>
      <c r="R2036" s="31">
        <v>202310</v>
      </c>
      <c r="S2036" s="108" t="s">
        <v>2630</v>
      </c>
      <c r="T2036" s="33"/>
      <c r="U2036" s="32"/>
      <c r="V2036" s="33"/>
      <c r="W2036" s="67"/>
      <c r="X2036" s="67"/>
      <c r="Y2036" s="36">
        <v>43709</v>
      </c>
      <c r="Z2036" s="36">
        <v>45900</v>
      </c>
      <c r="AA2036" s="36"/>
      <c r="AB2036" s="36"/>
      <c r="AC2036" s="36"/>
      <c r="AD2036" s="36"/>
      <c r="AE2036" s="36"/>
      <c r="AF2036" s="53" t="s">
        <v>68</v>
      </c>
      <c r="AG2036" s="42"/>
      <c r="AH2036" s="42"/>
      <c r="AI2036" s="43"/>
      <c r="AJ2036" s="43"/>
      <c r="AK2036" s="43"/>
      <c r="AL2036" s="43"/>
      <c r="AM2036" s="43"/>
      <c r="AN2036" s="42"/>
      <c r="AO2036" s="42"/>
      <c r="AP2036" s="42"/>
      <c r="AQ2036" s="43"/>
      <c r="AR2036" s="42"/>
      <c r="AS2036" s="42"/>
    </row>
    <row r="2037" spans="1:45" ht="15" customHeight="1">
      <c r="A2037" s="65" t="s">
        <v>45</v>
      </c>
      <c r="B2037" s="21" t="s">
        <v>46</v>
      </c>
      <c r="C2037" s="21" t="s">
        <v>188</v>
      </c>
      <c r="D2037" s="21" t="s">
        <v>48</v>
      </c>
      <c r="E2037" s="66" t="s">
        <v>2550</v>
      </c>
      <c r="F2037" s="65" t="s">
        <v>2551</v>
      </c>
      <c r="G2037" s="47" t="s">
        <v>114</v>
      </c>
      <c r="H2037" s="45" t="s">
        <v>2628</v>
      </c>
      <c r="I2037" s="47" t="s">
        <v>114</v>
      </c>
      <c r="J2037" s="65" t="s">
        <v>2629</v>
      </c>
      <c r="K2037" s="47"/>
      <c r="L2037" s="48"/>
      <c r="M2037" s="49">
        <v>44985</v>
      </c>
      <c r="N2037" s="47" t="s">
        <v>2187</v>
      </c>
      <c r="O2037" s="61">
        <v>225000</v>
      </c>
      <c r="P2037" s="51">
        <v>-1</v>
      </c>
      <c r="Q2037" s="51">
        <f t="shared" si="44"/>
        <v>-225000</v>
      </c>
      <c r="R2037" s="31">
        <v>202310</v>
      </c>
      <c r="S2037" s="108" t="s">
        <v>2631</v>
      </c>
      <c r="T2037" s="33"/>
      <c r="U2037" s="108"/>
      <c r="V2037" s="78"/>
      <c r="W2037" s="67"/>
      <c r="X2037" s="67"/>
      <c r="Y2037" s="36">
        <v>43709</v>
      </c>
      <c r="Z2037" s="36">
        <v>45900</v>
      </c>
      <c r="AA2037" s="36"/>
      <c r="AB2037" s="36"/>
      <c r="AC2037" s="36"/>
      <c r="AD2037" s="36"/>
      <c r="AE2037" s="36"/>
      <c r="AF2037" s="53" t="s">
        <v>68</v>
      </c>
      <c r="AG2037" s="42"/>
      <c r="AH2037" s="42"/>
      <c r="AI2037" s="43"/>
      <c r="AJ2037" s="43"/>
      <c r="AK2037" s="43"/>
      <c r="AL2037" s="43"/>
      <c r="AM2037" s="43"/>
      <c r="AN2037" s="42"/>
      <c r="AO2037" s="42"/>
      <c r="AP2037" s="42"/>
      <c r="AQ2037" s="43"/>
      <c r="AR2037" s="42"/>
      <c r="AS2037" s="42"/>
    </row>
    <row r="2038" spans="1:45" ht="15" customHeight="1">
      <c r="A2038" s="65" t="s">
        <v>45</v>
      </c>
      <c r="B2038" s="21" t="s">
        <v>46</v>
      </c>
      <c r="C2038" s="21" t="s">
        <v>188</v>
      </c>
      <c r="D2038" s="21" t="s">
        <v>48</v>
      </c>
      <c r="E2038" s="66" t="s">
        <v>2550</v>
      </c>
      <c r="F2038" s="65" t="s">
        <v>2551</v>
      </c>
      <c r="G2038" s="26" t="s">
        <v>62</v>
      </c>
      <c r="H2038" s="45" t="s">
        <v>2628</v>
      </c>
      <c r="I2038" s="26" t="s">
        <v>64</v>
      </c>
      <c r="J2038" s="65" t="s">
        <v>2632</v>
      </c>
      <c r="K2038" s="47"/>
      <c r="L2038" s="48"/>
      <c r="M2038" s="49">
        <v>43746</v>
      </c>
      <c r="N2038" s="47" t="s">
        <v>1801</v>
      </c>
      <c r="O2038" s="61">
        <v>385</v>
      </c>
      <c r="P2038" s="51">
        <v>231.34</v>
      </c>
      <c r="Q2038" s="51">
        <f t="shared" si="44"/>
        <v>89065.9</v>
      </c>
      <c r="R2038" s="31">
        <v>202310</v>
      </c>
      <c r="S2038" s="32" t="s">
        <v>2633</v>
      </c>
      <c r="T2038" s="33"/>
      <c r="U2038" s="32"/>
      <c r="V2038" s="33"/>
      <c r="W2038" s="67"/>
      <c r="X2038" s="67"/>
      <c r="Y2038" s="36">
        <v>43709</v>
      </c>
      <c r="Z2038" s="36">
        <v>45900</v>
      </c>
      <c r="AA2038" s="36"/>
      <c r="AB2038" s="36"/>
      <c r="AC2038" s="36"/>
      <c r="AD2038" s="36"/>
      <c r="AE2038" s="36"/>
      <c r="AF2038" s="53" t="s">
        <v>68</v>
      </c>
      <c r="AG2038" s="42"/>
      <c r="AH2038" s="42"/>
      <c r="AI2038" s="43"/>
      <c r="AJ2038" s="43"/>
      <c r="AK2038" s="43"/>
      <c r="AL2038" s="43"/>
      <c r="AM2038" s="43"/>
      <c r="AN2038" s="42"/>
      <c r="AO2038" s="42"/>
      <c r="AP2038" s="42"/>
      <c r="AQ2038" s="43"/>
      <c r="AR2038" s="42"/>
      <c r="AS2038" s="42"/>
    </row>
    <row r="2039" spans="1:45" ht="15" customHeight="1">
      <c r="A2039" s="65" t="s">
        <v>45</v>
      </c>
      <c r="B2039" s="21" t="s">
        <v>46</v>
      </c>
      <c r="C2039" s="21" t="s">
        <v>188</v>
      </c>
      <c r="D2039" s="21" t="s">
        <v>48</v>
      </c>
      <c r="E2039" s="66" t="s">
        <v>2550</v>
      </c>
      <c r="F2039" s="65" t="s">
        <v>2551</v>
      </c>
      <c r="G2039" s="26" t="s">
        <v>62</v>
      </c>
      <c r="H2039" s="45" t="s">
        <v>2628</v>
      </c>
      <c r="I2039" s="26" t="s">
        <v>64</v>
      </c>
      <c r="J2039" s="65" t="s">
        <v>2634</v>
      </c>
      <c r="K2039" s="47"/>
      <c r="L2039" s="48"/>
      <c r="M2039" s="49">
        <v>43746</v>
      </c>
      <c r="N2039" s="47" t="s">
        <v>1801</v>
      </c>
      <c r="O2039" s="61">
        <v>385</v>
      </c>
      <c r="P2039" s="51">
        <v>448.4</v>
      </c>
      <c r="Q2039" s="51">
        <f t="shared" si="44"/>
        <v>172634</v>
      </c>
      <c r="R2039" s="31">
        <v>202310</v>
      </c>
      <c r="S2039" s="32" t="s">
        <v>2635</v>
      </c>
      <c r="T2039" s="33"/>
      <c r="U2039" s="32"/>
      <c r="V2039" s="33"/>
      <c r="W2039" s="67"/>
      <c r="X2039" s="67"/>
      <c r="Y2039" s="36">
        <v>43709</v>
      </c>
      <c r="Z2039" s="36">
        <v>45900</v>
      </c>
      <c r="AA2039" s="36"/>
      <c r="AB2039" s="36"/>
      <c r="AC2039" s="36"/>
      <c r="AD2039" s="36"/>
      <c r="AE2039" s="36"/>
      <c r="AF2039" s="53" t="s">
        <v>68</v>
      </c>
      <c r="AG2039" s="42"/>
      <c r="AH2039" s="42"/>
      <c r="AI2039" s="43"/>
      <c r="AJ2039" s="43"/>
      <c r="AK2039" s="43"/>
      <c r="AL2039" s="43"/>
      <c r="AM2039" s="43"/>
      <c r="AN2039" s="42"/>
      <c r="AO2039" s="42"/>
      <c r="AP2039" s="42"/>
      <c r="AQ2039" s="43"/>
      <c r="AR2039" s="42"/>
      <c r="AS2039" s="42"/>
    </row>
    <row r="2040" spans="1:45" ht="15" customHeight="1">
      <c r="A2040" s="65" t="s">
        <v>45</v>
      </c>
      <c r="B2040" s="21" t="s">
        <v>46</v>
      </c>
      <c r="C2040" s="21" t="s">
        <v>188</v>
      </c>
      <c r="D2040" s="21" t="s">
        <v>48</v>
      </c>
      <c r="E2040" s="66" t="s">
        <v>2550</v>
      </c>
      <c r="F2040" s="65" t="s">
        <v>2551</v>
      </c>
      <c r="G2040" s="47" t="s">
        <v>77</v>
      </c>
      <c r="H2040" s="45" t="s">
        <v>2636</v>
      </c>
      <c r="I2040" s="102" t="s">
        <v>78</v>
      </c>
      <c r="J2040" s="65" t="s">
        <v>2597</v>
      </c>
      <c r="K2040" s="47"/>
      <c r="L2040" s="48" t="s">
        <v>2554</v>
      </c>
      <c r="M2040" s="49">
        <v>44337</v>
      </c>
      <c r="N2040" s="47" t="s">
        <v>177</v>
      </c>
      <c r="O2040" s="61">
        <v>5800</v>
      </c>
      <c r="P2040" s="61">
        <v>11</v>
      </c>
      <c r="Q2040" s="51">
        <f t="shared" si="44"/>
        <v>63800</v>
      </c>
      <c r="R2040" s="31">
        <v>202310</v>
      </c>
      <c r="S2040" s="32" t="s">
        <v>2637</v>
      </c>
      <c r="T2040" s="33"/>
      <c r="U2040" s="32"/>
      <c r="V2040" s="33"/>
      <c r="W2040" s="67"/>
      <c r="X2040" s="67"/>
      <c r="Y2040" s="36">
        <v>43709</v>
      </c>
      <c r="Z2040" s="36">
        <v>45900</v>
      </c>
      <c r="AA2040" s="36"/>
      <c r="AB2040" s="36"/>
      <c r="AC2040" s="36"/>
      <c r="AD2040" s="36"/>
      <c r="AE2040" s="36"/>
      <c r="AF2040" s="53" t="s">
        <v>68</v>
      </c>
      <c r="AG2040" s="42"/>
      <c r="AH2040" s="42"/>
      <c r="AI2040" s="43"/>
      <c r="AJ2040" s="43"/>
      <c r="AK2040" s="43"/>
      <c r="AL2040" s="43"/>
      <c r="AM2040" s="43"/>
      <c r="AN2040" s="42"/>
      <c r="AO2040" s="42"/>
      <c r="AP2040" s="42"/>
      <c r="AQ2040" s="43"/>
      <c r="AR2040" s="42"/>
      <c r="AS2040" s="42"/>
    </row>
    <row r="2041" spans="1:45" ht="15" customHeight="1">
      <c r="A2041" s="65" t="s">
        <v>45</v>
      </c>
      <c r="B2041" s="21" t="s">
        <v>46</v>
      </c>
      <c r="C2041" s="21" t="s">
        <v>188</v>
      </c>
      <c r="D2041" s="21" t="s">
        <v>48</v>
      </c>
      <c r="E2041" s="66" t="s">
        <v>2550</v>
      </c>
      <c r="F2041" s="65" t="s">
        <v>2551</v>
      </c>
      <c r="G2041" s="47" t="s">
        <v>77</v>
      </c>
      <c r="H2041" s="45" t="s">
        <v>2636</v>
      </c>
      <c r="I2041" s="102" t="s">
        <v>78</v>
      </c>
      <c r="J2041" s="65" t="s">
        <v>2597</v>
      </c>
      <c r="K2041" s="47"/>
      <c r="L2041" s="48" t="s">
        <v>2578</v>
      </c>
      <c r="M2041" s="49">
        <v>44365</v>
      </c>
      <c r="N2041" s="47" t="s">
        <v>177</v>
      </c>
      <c r="O2041" s="61">
        <v>5800</v>
      </c>
      <c r="P2041" s="61">
        <v>2</v>
      </c>
      <c r="Q2041" s="51">
        <f t="shared" si="44"/>
        <v>11600</v>
      </c>
      <c r="R2041" s="31">
        <v>202310</v>
      </c>
      <c r="S2041" s="32" t="s">
        <v>2638</v>
      </c>
      <c r="T2041" s="33"/>
      <c r="U2041" s="32"/>
      <c r="V2041" s="33"/>
      <c r="W2041" s="67"/>
      <c r="X2041" s="67"/>
      <c r="Y2041" s="36">
        <v>43709</v>
      </c>
      <c r="Z2041" s="36">
        <v>45900</v>
      </c>
      <c r="AA2041" s="36"/>
      <c r="AB2041" s="36"/>
      <c r="AC2041" s="36"/>
      <c r="AD2041" s="36"/>
      <c r="AE2041" s="36"/>
      <c r="AF2041" s="53" t="s">
        <v>68</v>
      </c>
      <c r="AG2041" s="42"/>
      <c r="AH2041" s="42"/>
      <c r="AI2041" s="43"/>
      <c r="AJ2041" s="43"/>
      <c r="AK2041" s="43"/>
      <c r="AL2041" s="43"/>
      <c r="AM2041" s="43"/>
      <c r="AN2041" s="42"/>
      <c r="AO2041" s="42"/>
      <c r="AP2041" s="42"/>
      <c r="AQ2041" s="43"/>
      <c r="AR2041" s="42"/>
      <c r="AS2041" s="42"/>
    </row>
    <row r="2042" spans="1:45" ht="15" customHeight="1">
      <c r="A2042" s="65" t="s">
        <v>45</v>
      </c>
      <c r="B2042" s="21" t="s">
        <v>46</v>
      </c>
      <c r="C2042" s="21" t="s">
        <v>188</v>
      </c>
      <c r="D2042" s="21" t="s">
        <v>48</v>
      </c>
      <c r="E2042" s="66" t="s">
        <v>2550</v>
      </c>
      <c r="F2042" s="65" t="s">
        <v>2551</v>
      </c>
      <c r="G2042" s="47" t="s">
        <v>77</v>
      </c>
      <c r="H2042" s="45" t="s">
        <v>2636</v>
      </c>
      <c r="I2042" s="102" t="s">
        <v>78</v>
      </c>
      <c r="J2042" s="65" t="s">
        <v>2597</v>
      </c>
      <c r="K2042" s="47"/>
      <c r="L2042" s="48" t="s">
        <v>2554</v>
      </c>
      <c r="M2042" s="49">
        <v>44379</v>
      </c>
      <c r="N2042" s="47" t="s">
        <v>177</v>
      </c>
      <c r="O2042" s="61">
        <v>5800</v>
      </c>
      <c r="P2042" s="61">
        <v>8</v>
      </c>
      <c r="Q2042" s="51">
        <f t="shared" si="44"/>
        <v>46400</v>
      </c>
      <c r="R2042" s="31">
        <v>202310</v>
      </c>
      <c r="S2042" s="32" t="s">
        <v>2639</v>
      </c>
      <c r="T2042" s="33"/>
      <c r="U2042" s="32"/>
      <c r="V2042" s="33"/>
      <c r="W2042" s="67"/>
      <c r="X2042" s="67"/>
      <c r="Y2042" s="36">
        <v>43709</v>
      </c>
      <c r="Z2042" s="36">
        <v>45900</v>
      </c>
      <c r="AA2042" s="36"/>
      <c r="AB2042" s="36"/>
      <c r="AC2042" s="36"/>
      <c r="AD2042" s="36"/>
      <c r="AE2042" s="36"/>
      <c r="AF2042" s="53" t="s">
        <v>68</v>
      </c>
      <c r="AG2042" s="42"/>
      <c r="AH2042" s="42"/>
      <c r="AI2042" s="43"/>
      <c r="AJ2042" s="43"/>
      <c r="AK2042" s="43"/>
      <c r="AL2042" s="43"/>
      <c r="AM2042" s="43"/>
      <c r="AN2042" s="42"/>
      <c r="AO2042" s="42"/>
      <c r="AP2042" s="42"/>
      <c r="AQ2042" s="43"/>
      <c r="AR2042" s="42"/>
      <c r="AS2042" s="42"/>
    </row>
    <row r="2043" spans="1:45" ht="15" customHeight="1">
      <c r="A2043" s="65" t="s">
        <v>45</v>
      </c>
      <c r="B2043" s="21" t="s">
        <v>46</v>
      </c>
      <c r="C2043" s="21" t="s">
        <v>188</v>
      </c>
      <c r="D2043" s="21" t="s">
        <v>48</v>
      </c>
      <c r="E2043" s="66" t="s">
        <v>2550</v>
      </c>
      <c r="F2043" s="65" t="s">
        <v>2551</v>
      </c>
      <c r="G2043" s="47" t="s">
        <v>77</v>
      </c>
      <c r="H2043" s="45" t="s">
        <v>2636</v>
      </c>
      <c r="I2043" s="102" t="s">
        <v>78</v>
      </c>
      <c r="J2043" s="65" t="s">
        <v>2597</v>
      </c>
      <c r="K2043" s="47"/>
      <c r="L2043" s="48" t="s">
        <v>2554</v>
      </c>
      <c r="M2043" s="49">
        <v>44391</v>
      </c>
      <c r="N2043" s="47" t="s">
        <v>177</v>
      </c>
      <c r="O2043" s="61">
        <v>5800</v>
      </c>
      <c r="P2043" s="61">
        <v>8</v>
      </c>
      <c r="Q2043" s="51">
        <f t="shared" si="44"/>
        <v>46400</v>
      </c>
      <c r="R2043" s="31">
        <v>202310</v>
      </c>
      <c r="S2043" s="32" t="s">
        <v>2640</v>
      </c>
      <c r="T2043" s="33"/>
      <c r="U2043" s="32"/>
      <c r="V2043" s="33"/>
      <c r="W2043" s="67"/>
      <c r="X2043" s="67"/>
      <c r="Y2043" s="36">
        <v>43709</v>
      </c>
      <c r="Z2043" s="36">
        <v>45900</v>
      </c>
      <c r="AA2043" s="36"/>
      <c r="AB2043" s="36"/>
      <c r="AC2043" s="36"/>
      <c r="AD2043" s="36"/>
      <c r="AE2043" s="36"/>
      <c r="AF2043" s="53" t="s">
        <v>68</v>
      </c>
      <c r="AG2043" s="42"/>
      <c r="AH2043" s="42"/>
      <c r="AI2043" s="43"/>
      <c r="AJ2043" s="43"/>
      <c r="AK2043" s="43"/>
      <c r="AL2043" s="43"/>
      <c r="AM2043" s="43"/>
      <c r="AN2043" s="42"/>
      <c r="AO2043" s="42"/>
      <c r="AP2043" s="42"/>
      <c r="AQ2043" s="43"/>
      <c r="AR2043" s="42"/>
      <c r="AS2043" s="42"/>
    </row>
    <row r="2044" spans="1:45" ht="15" customHeight="1">
      <c r="A2044" s="65" t="s">
        <v>45</v>
      </c>
      <c r="B2044" s="21" t="s">
        <v>46</v>
      </c>
      <c r="C2044" s="21" t="s">
        <v>188</v>
      </c>
      <c r="D2044" s="21" t="s">
        <v>48</v>
      </c>
      <c r="E2044" s="66" t="s">
        <v>2550</v>
      </c>
      <c r="F2044" s="65" t="s">
        <v>2551</v>
      </c>
      <c r="G2044" s="47" t="s">
        <v>77</v>
      </c>
      <c r="H2044" s="45" t="s">
        <v>2636</v>
      </c>
      <c r="I2044" s="102" t="s">
        <v>78</v>
      </c>
      <c r="J2044" s="65" t="s">
        <v>2597</v>
      </c>
      <c r="K2044" s="47"/>
      <c r="L2044" s="48" t="s">
        <v>2554</v>
      </c>
      <c r="M2044" s="49">
        <v>44392</v>
      </c>
      <c r="N2044" s="47" t="s">
        <v>177</v>
      </c>
      <c r="O2044" s="61">
        <v>5800</v>
      </c>
      <c r="P2044" s="61">
        <v>2</v>
      </c>
      <c r="Q2044" s="51">
        <f t="shared" si="44"/>
        <v>11600</v>
      </c>
      <c r="R2044" s="31">
        <v>202310</v>
      </c>
      <c r="S2044" s="32" t="s">
        <v>2641</v>
      </c>
      <c r="T2044" s="33"/>
      <c r="U2044" s="32"/>
      <c r="V2044" s="33"/>
      <c r="W2044" s="67"/>
      <c r="X2044" s="67"/>
      <c r="Y2044" s="36">
        <v>43709</v>
      </c>
      <c r="Z2044" s="36">
        <v>45900</v>
      </c>
      <c r="AA2044" s="36"/>
      <c r="AB2044" s="36"/>
      <c r="AC2044" s="36"/>
      <c r="AD2044" s="36"/>
      <c r="AE2044" s="36"/>
      <c r="AF2044" s="53" t="s">
        <v>68</v>
      </c>
      <c r="AG2044" s="42"/>
      <c r="AH2044" s="42"/>
      <c r="AI2044" s="43"/>
      <c r="AJ2044" s="43"/>
      <c r="AK2044" s="43"/>
      <c r="AL2044" s="43"/>
      <c r="AM2044" s="43"/>
      <c r="AN2044" s="42"/>
      <c r="AO2044" s="42"/>
      <c r="AP2044" s="42"/>
      <c r="AQ2044" s="43"/>
      <c r="AR2044" s="42"/>
      <c r="AS2044" s="42"/>
    </row>
    <row r="2045" spans="1:45" ht="15" customHeight="1">
      <c r="A2045" s="65" t="s">
        <v>45</v>
      </c>
      <c r="B2045" s="21" t="s">
        <v>46</v>
      </c>
      <c r="C2045" s="21" t="s">
        <v>188</v>
      </c>
      <c r="D2045" s="21" t="s">
        <v>48</v>
      </c>
      <c r="E2045" s="66" t="s">
        <v>2550</v>
      </c>
      <c r="F2045" s="65" t="s">
        <v>2551</v>
      </c>
      <c r="G2045" s="47" t="s">
        <v>77</v>
      </c>
      <c r="H2045" s="45" t="s">
        <v>2636</v>
      </c>
      <c r="I2045" s="102" t="s">
        <v>78</v>
      </c>
      <c r="J2045" s="65" t="s">
        <v>2597</v>
      </c>
      <c r="K2045" s="47"/>
      <c r="L2045" s="48" t="s">
        <v>2554</v>
      </c>
      <c r="M2045" s="49">
        <v>44477</v>
      </c>
      <c r="N2045" s="47" t="s">
        <v>177</v>
      </c>
      <c r="O2045" s="61">
        <v>5800</v>
      </c>
      <c r="P2045" s="61">
        <v>49</v>
      </c>
      <c r="Q2045" s="51">
        <f t="shared" si="44"/>
        <v>284200</v>
      </c>
      <c r="R2045" s="31">
        <v>202310</v>
      </c>
      <c r="S2045" s="32" t="s">
        <v>2642</v>
      </c>
      <c r="T2045" s="33"/>
      <c r="U2045" s="32"/>
      <c r="V2045" s="33"/>
      <c r="W2045" s="67"/>
      <c r="X2045" s="67"/>
      <c r="Y2045" s="36">
        <v>43709</v>
      </c>
      <c r="Z2045" s="36">
        <v>45900</v>
      </c>
      <c r="AA2045" s="36"/>
      <c r="AB2045" s="36"/>
      <c r="AC2045" s="36"/>
      <c r="AD2045" s="36"/>
      <c r="AE2045" s="36"/>
      <c r="AF2045" s="53" t="s">
        <v>68</v>
      </c>
      <c r="AG2045" s="42"/>
      <c r="AH2045" s="42"/>
      <c r="AI2045" s="43"/>
      <c r="AJ2045" s="43"/>
      <c r="AK2045" s="43"/>
      <c r="AL2045" s="43"/>
      <c r="AM2045" s="43"/>
      <c r="AN2045" s="42"/>
      <c r="AO2045" s="42"/>
      <c r="AP2045" s="42"/>
      <c r="AQ2045" s="43"/>
      <c r="AR2045" s="42"/>
      <c r="AS2045" s="42"/>
    </row>
    <row r="2046" spans="1:45" ht="15" customHeight="1">
      <c r="A2046" s="65" t="s">
        <v>45</v>
      </c>
      <c r="B2046" s="21" t="s">
        <v>46</v>
      </c>
      <c r="C2046" s="21" t="s">
        <v>188</v>
      </c>
      <c r="D2046" s="21" t="s">
        <v>48</v>
      </c>
      <c r="E2046" s="66" t="s">
        <v>2550</v>
      </c>
      <c r="F2046" s="65" t="s">
        <v>2551</v>
      </c>
      <c r="G2046" s="47" t="s">
        <v>77</v>
      </c>
      <c r="H2046" s="45" t="s">
        <v>2636</v>
      </c>
      <c r="I2046" s="102" t="s">
        <v>78</v>
      </c>
      <c r="J2046" s="65" t="s">
        <v>2597</v>
      </c>
      <c r="K2046" s="47"/>
      <c r="L2046" s="48" t="s">
        <v>2554</v>
      </c>
      <c r="M2046" s="49">
        <v>44479</v>
      </c>
      <c r="N2046" s="47" t="s">
        <v>177</v>
      </c>
      <c r="O2046" s="61">
        <v>5800</v>
      </c>
      <c r="P2046" s="61">
        <v>6</v>
      </c>
      <c r="Q2046" s="51">
        <f t="shared" si="44"/>
        <v>34800</v>
      </c>
      <c r="R2046" s="31">
        <v>202310</v>
      </c>
      <c r="S2046" s="32" t="s">
        <v>2643</v>
      </c>
      <c r="T2046" s="33"/>
      <c r="U2046" s="32"/>
      <c r="V2046" s="33"/>
      <c r="W2046" s="67"/>
      <c r="X2046" s="67"/>
      <c r="Y2046" s="36">
        <v>43709</v>
      </c>
      <c r="Z2046" s="36">
        <v>45900</v>
      </c>
      <c r="AA2046" s="36"/>
      <c r="AB2046" s="36"/>
      <c r="AC2046" s="36"/>
      <c r="AD2046" s="36"/>
      <c r="AE2046" s="36"/>
      <c r="AF2046" s="53" t="s">
        <v>68</v>
      </c>
      <c r="AG2046" s="42"/>
      <c r="AH2046" s="42"/>
      <c r="AI2046" s="43"/>
      <c r="AJ2046" s="43"/>
      <c r="AK2046" s="43"/>
      <c r="AL2046" s="43"/>
      <c r="AM2046" s="43"/>
      <c r="AN2046" s="42"/>
      <c r="AO2046" s="42"/>
      <c r="AP2046" s="42"/>
      <c r="AQ2046" s="43"/>
      <c r="AR2046" s="42"/>
      <c r="AS2046" s="42"/>
    </row>
    <row r="2047" spans="1:45" ht="15" customHeight="1">
      <c r="A2047" s="65" t="s">
        <v>45</v>
      </c>
      <c r="B2047" s="21" t="s">
        <v>46</v>
      </c>
      <c r="C2047" s="21" t="s">
        <v>188</v>
      </c>
      <c r="D2047" s="21" t="s">
        <v>48</v>
      </c>
      <c r="E2047" s="66" t="s">
        <v>2550</v>
      </c>
      <c r="F2047" s="65" t="s">
        <v>2551</v>
      </c>
      <c r="G2047" s="47" t="s">
        <v>77</v>
      </c>
      <c r="H2047" s="45" t="s">
        <v>2636</v>
      </c>
      <c r="I2047" s="102" t="s">
        <v>78</v>
      </c>
      <c r="J2047" s="65" t="s">
        <v>2597</v>
      </c>
      <c r="K2047" s="47"/>
      <c r="L2047" s="48" t="s">
        <v>2554</v>
      </c>
      <c r="M2047" s="49">
        <v>44393</v>
      </c>
      <c r="N2047" s="47" t="s">
        <v>177</v>
      </c>
      <c r="O2047" s="61">
        <v>5800</v>
      </c>
      <c r="P2047" s="61">
        <v>2</v>
      </c>
      <c r="Q2047" s="51">
        <f t="shared" si="44"/>
        <v>11600</v>
      </c>
      <c r="R2047" s="31">
        <v>202310</v>
      </c>
      <c r="S2047" s="32" t="s">
        <v>2644</v>
      </c>
      <c r="T2047" s="33"/>
      <c r="U2047" s="32"/>
      <c r="V2047" s="33"/>
      <c r="W2047" s="67"/>
      <c r="X2047" s="67"/>
      <c r="Y2047" s="36">
        <v>43709</v>
      </c>
      <c r="Z2047" s="36">
        <v>45900</v>
      </c>
      <c r="AA2047" s="36"/>
      <c r="AB2047" s="36"/>
      <c r="AC2047" s="36"/>
      <c r="AD2047" s="36"/>
      <c r="AE2047" s="36"/>
      <c r="AF2047" s="53" t="s">
        <v>68</v>
      </c>
      <c r="AG2047" s="42"/>
      <c r="AH2047" s="42"/>
      <c r="AI2047" s="43"/>
      <c r="AJ2047" s="43"/>
      <c r="AK2047" s="43"/>
      <c r="AL2047" s="43"/>
      <c r="AM2047" s="43"/>
      <c r="AN2047" s="42"/>
      <c r="AO2047" s="42"/>
      <c r="AP2047" s="42"/>
      <c r="AQ2047" s="43"/>
      <c r="AR2047" s="42"/>
      <c r="AS2047" s="42"/>
    </row>
    <row r="2048" spans="1:45" ht="15" customHeight="1">
      <c r="A2048" s="65" t="s">
        <v>45</v>
      </c>
      <c r="B2048" s="21" t="s">
        <v>46</v>
      </c>
      <c r="C2048" s="21" t="s">
        <v>188</v>
      </c>
      <c r="D2048" s="21" t="s">
        <v>48</v>
      </c>
      <c r="E2048" s="66" t="s">
        <v>2550</v>
      </c>
      <c r="F2048" s="65" t="s">
        <v>2551</v>
      </c>
      <c r="G2048" s="47" t="s">
        <v>77</v>
      </c>
      <c r="H2048" s="45" t="s">
        <v>2636</v>
      </c>
      <c r="I2048" s="102" t="s">
        <v>78</v>
      </c>
      <c r="J2048" s="65" t="s">
        <v>2553</v>
      </c>
      <c r="K2048" s="47"/>
      <c r="L2048" s="48" t="s">
        <v>2578</v>
      </c>
      <c r="M2048" s="49">
        <v>44568</v>
      </c>
      <c r="N2048" s="47" t="s">
        <v>177</v>
      </c>
      <c r="O2048" s="61">
        <v>5800</v>
      </c>
      <c r="P2048" s="61">
        <v>1</v>
      </c>
      <c r="Q2048" s="51">
        <f t="shared" si="44"/>
        <v>5800</v>
      </c>
      <c r="R2048" s="31">
        <v>202310</v>
      </c>
      <c r="S2048" s="32" t="s">
        <v>2645</v>
      </c>
      <c r="T2048" s="33"/>
      <c r="U2048" s="32"/>
      <c r="V2048" s="33"/>
      <c r="W2048" s="67"/>
      <c r="X2048" s="67"/>
      <c r="Y2048" s="36">
        <v>43709</v>
      </c>
      <c r="Z2048" s="36">
        <v>45900</v>
      </c>
      <c r="AA2048" s="36"/>
      <c r="AB2048" s="36"/>
      <c r="AC2048" s="36"/>
      <c r="AD2048" s="36"/>
      <c r="AE2048" s="36"/>
      <c r="AF2048" s="53" t="s">
        <v>68</v>
      </c>
      <c r="AG2048" s="42"/>
      <c r="AH2048" s="42"/>
      <c r="AI2048" s="43"/>
      <c r="AJ2048" s="43"/>
      <c r="AK2048" s="43"/>
      <c r="AL2048" s="43"/>
      <c r="AM2048" s="43"/>
      <c r="AN2048" s="42"/>
      <c r="AO2048" s="42"/>
      <c r="AP2048" s="42"/>
      <c r="AQ2048" s="43"/>
      <c r="AR2048" s="42"/>
      <c r="AS2048" s="42"/>
    </row>
    <row r="2049" spans="1:45" ht="15" customHeight="1">
      <c r="A2049" s="65" t="s">
        <v>45</v>
      </c>
      <c r="B2049" s="21" t="s">
        <v>46</v>
      </c>
      <c r="C2049" s="21" t="s">
        <v>188</v>
      </c>
      <c r="D2049" s="21" t="s">
        <v>48</v>
      </c>
      <c r="E2049" s="66" t="s">
        <v>2550</v>
      </c>
      <c r="F2049" s="65" t="s">
        <v>2551</v>
      </c>
      <c r="G2049" s="47" t="s">
        <v>77</v>
      </c>
      <c r="H2049" s="45" t="s">
        <v>2636</v>
      </c>
      <c r="I2049" s="102" t="s">
        <v>78</v>
      </c>
      <c r="J2049" s="65" t="s">
        <v>2597</v>
      </c>
      <c r="K2049" s="47"/>
      <c r="L2049" s="48" t="s">
        <v>2554</v>
      </c>
      <c r="M2049" s="49">
        <v>44869</v>
      </c>
      <c r="N2049" s="47" t="s">
        <v>177</v>
      </c>
      <c r="O2049" s="61">
        <v>5800</v>
      </c>
      <c r="P2049" s="61">
        <v>-4</v>
      </c>
      <c r="Q2049" s="51">
        <f t="shared" si="44"/>
        <v>-23200</v>
      </c>
      <c r="R2049" s="31">
        <v>202310</v>
      </c>
      <c r="S2049" s="32" t="s">
        <v>2646</v>
      </c>
      <c r="T2049" s="33"/>
      <c r="U2049" s="32"/>
      <c r="V2049" s="33"/>
      <c r="W2049" s="67"/>
      <c r="X2049" s="67"/>
      <c r="Y2049" s="36">
        <v>43709</v>
      </c>
      <c r="Z2049" s="36">
        <v>45900</v>
      </c>
      <c r="AA2049" s="36"/>
      <c r="AB2049" s="36"/>
      <c r="AC2049" s="36"/>
      <c r="AD2049" s="36"/>
      <c r="AE2049" s="36"/>
      <c r="AF2049" s="53" t="s">
        <v>68</v>
      </c>
      <c r="AG2049" s="42"/>
      <c r="AH2049" s="42"/>
      <c r="AI2049" s="43"/>
      <c r="AJ2049" s="43"/>
      <c r="AK2049" s="43"/>
      <c r="AL2049" s="43"/>
      <c r="AM2049" s="43"/>
      <c r="AN2049" s="42"/>
      <c r="AO2049" s="42"/>
      <c r="AP2049" s="42"/>
      <c r="AQ2049" s="43"/>
      <c r="AR2049" s="42"/>
      <c r="AS2049" s="42"/>
    </row>
    <row r="2050" spans="1:45" ht="15" customHeight="1">
      <c r="A2050" s="65" t="s">
        <v>45</v>
      </c>
      <c r="B2050" s="21" t="s">
        <v>46</v>
      </c>
      <c r="C2050" s="21" t="s">
        <v>188</v>
      </c>
      <c r="D2050" s="21" t="s">
        <v>48</v>
      </c>
      <c r="E2050" s="66" t="s">
        <v>2550</v>
      </c>
      <c r="F2050" s="65" t="s">
        <v>2551</v>
      </c>
      <c r="G2050" s="47" t="s">
        <v>77</v>
      </c>
      <c r="H2050" s="45" t="s">
        <v>2636</v>
      </c>
      <c r="I2050" s="102" t="s">
        <v>78</v>
      </c>
      <c r="J2050" s="65" t="s">
        <v>2597</v>
      </c>
      <c r="K2050" s="47"/>
      <c r="L2050" s="48" t="s">
        <v>2554</v>
      </c>
      <c r="M2050" s="49">
        <v>44870</v>
      </c>
      <c r="N2050" s="47" t="s">
        <v>177</v>
      </c>
      <c r="O2050" s="61">
        <v>5800</v>
      </c>
      <c r="P2050" s="61">
        <v>-5</v>
      </c>
      <c r="Q2050" s="51">
        <f t="shared" si="44"/>
        <v>-29000</v>
      </c>
      <c r="R2050" s="31">
        <v>202310</v>
      </c>
      <c r="S2050" s="32" t="s">
        <v>2647</v>
      </c>
      <c r="T2050" s="33"/>
      <c r="U2050" s="32"/>
      <c r="V2050" s="33"/>
      <c r="W2050" s="67"/>
      <c r="X2050" s="67"/>
      <c r="Y2050" s="36">
        <v>43709</v>
      </c>
      <c r="Z2050" s="36">
        <v>45900</v>
      </c>
      <c r="AA2050" s="36"/>
      <c r="AB2050" s="36"/>
      <c r="AC2050" s="36"/>
      <c r="AD2050" s="36"/>
      <c r="AE2050" s="36"/>
      <c r="AF2050" s="53" t="s">
        <v>68</v>
      </c>
      <c r="AG2050" s="42"/>
      <c r="AH2050" s="42"/>
      <c r="AI2050" s="43"/>
      <c r="AJ2050" s="43"/>
      <c r="AK2050" s="43"/>
      <c r="AL2050" s="43"/>
      <c r="AM2050" s="43"/>
      <c r="AN2050" s="42"/>
      <c r="AO2050" s="42"/>
      <c r="AP2050" s="42"/>
      <c r="AQ2050" s="43"/>
      <c r="AR2050" s="42"/>
      <c r="AS2050" s="42"/>
    </row>
    <row r="2051" spans="1:45" ht="15" customHeight="1">
      <c r="A2051" s="65" t="s">
        <v>45</v>
      </c>
      <c r="B2051" s="21" t="s">
        <v>46</v>
      </c>
      <c r="C2051" s="21" t="s">
        <v>188</v>
      </c>
      <c r="D2051" s="21" t="s">
        <v>48</v>
      </c>
      <c r="E2051" s="66" t="s">
        <v>2550</v>
      </c>
      <c r="F2051" s="65" t="s">
        <v>2551</v>
      </c>
      <c r="G2051" s="47" t="s">
        <v>77</v>
      </c>
      <c r="H2051" s="45" t="s">
        <v>2636</v>
      </c>
      <c r="I2051" s="102" t="s">
        <v>78</v>
      </c>
      <c r="J2051" s="65" t="s">
        <v>2597</v>
      </c>
      <c r="K2051" s="47"/>
      <c r="L2051" s="48" t="s">
        <v>2554</v>
      </c>
      <c r="M2051" s="49">
        <v>44958</v>
      </c>
      <c r="N2051" s="47" t="s">
        <v>177</v>
      </c>
      <c r="O2051" s="61">
        <v>5800</v>
      </c>
      <c r="P2051" s="61">
        <v>1</v>
      </c>
      <c r="Q2051" s="51">
        <f t="shared" si="44"/>
        <v>5800</v>
      </c>
      <c r="R2051" s="31">
        <v>202310</v>
      </c>
      <c r="S2051" s="32" t="s">
        <v>2648</v>
      </c>
      <c r="T2051" s="33"/>
      <c r="U2051" s="32"/>
      <c r="V2051" s="33"/>
      <c r="W2051" s="67"/>
      <c r="X2051" s="67"/>
      <c r="Y2051" s="36">
        <v>43709</v>
      </c>
      <c r="Z2051" s="36">
        <v>45900</v>
      </c>
      <c r="AA2051" s="36"/>
      <c r="AB2051" s="36"/>
      <c r="AC2051" s="36"/>
      <c r="AD2051" s="36"/>
      <c r="AE2051" s="36"/>
      <c r="AF2051" s="53" t="s">
        <v>68</v>
      </c>
      <c r="AG2051" s="42"/>
      <c r="AH2051" s="42"/>
      <c r="AI2051" s="43"/>
      <c r="AJ2051" s="43"/>
      <c r="AK2051" s="43"/>
      <c r="AL2051" s="43"/>
      <c r="AM2051" s="43"/>
      <c r="AN2051" s="42"/>
      <c r="AO2051" s="42"/>
      <c r="AP2051" s="42"/>
      <c r="AQ2051" s="43"/>
      <c r="AR2051" s="42"/>
      <c r="AS2051" s="42"/>
    </row>
    <row r="2052" spans="1:45" ht="15" customHeight="1">
      <c r="A2052" s="65" t="s">
        <v>45</v>
      </c>
      <c r="B2052" s="21" t="s">
        <v>46</v>
      </c>
      <c r="C2052" s="21" t="s">
        <v>188</v>
      </c>
      <c r="D2052" s="21" t="s">
        <v>48</v>
      </c>
      <c r="E2052" s="66" t="s">
        <v>2550</v>
      </c>
      <c r="F2052" s="65" t="s">
        <v>2551</v>
      </c>
      <c r="G2052" s="47" t="s">
        <v>77</v>
      </c>
      <c r="H2052" s="45" t="s">
        <v>2636</v>
      </c>
      <c r="I2052" s="102" t="s">
        <v>78</v>
      </c>
      <c r="J2052" s="65" t="s">
        <v>2597</v>
      </c>
      <c r="K2052" s="47"/>
      <c r="L2052" s="48" t="s">
        <v>2554</v>
      </c>
      <c r="M2052" s="49">
        <v>45093</v>
      </c>
      <c r="N2052" s="47" t="s">
        <v>177</v>
      </c>
      <c r="O2052" s="61">
        <v>5800</v>
      </c>
      <c r="P2052" s="61">
        <v>2</v>
      </c>
      <c r="Q2052" s="51">
        <f>ROUND(O2052*P2052,2)</f>
        <v>11600</v>
      </c>
      <c r="R2052" s="31">
        <v>202310</v>
      </c>
      <c r="S2052" s="32" t="s">
        <v>2649</v>
      </c>
      <c r="T2052" s="33"/>
      <c r="U2052" s="32"/>
      <c r="V2052" s="33"/>
      <c r="W2052" s="67"/>
      <c r="X2052" s="67"/>
      <c r="Y2052" s="36">
        <v>43709</v>
      </c>
      <c r="Z2052" s="36">
        <v>45900</v>
      </c>
      <c r="AA2052" s="36"/>
      <c r="AB2052" s="36"/>
      <c r="AC2052" s="36"/>
      <c r="AD2052" s="36"/>
      <c r="AE2052" s="36"/>
      <c r="AF2052" s="53" t="s">
        <v>68</v>
      </c>
      <c r="AG2052" s="42"/>
      <c r="AH2052" s="42"/>
      <c r="AI2052" s="43"/>
      <c r="AJ2052" s="43"/>
      <c r="AK2052" s="43"/>
      <c r="AL2052" s="43"/>
      <c r="AM2052" s="43"/>
      <c r="AN2052" s="42"/>
      <c r="AO2052" s="42"/>
      <c r="AP2052" s="42"/>
      <c r="AQ2052" s="43"/>
      <c r="AR2052" s="42"/>
      <c r="AS2052" s="42"/>
    </row>
    <row r="2053" spans="1:45" ht="15" customHeight="1">
      <c r="A2053" s="65" t="s">
        <v>45</v>
      </c>
      <c r="B2053" s="21" t="s">
        <v>46</v>
      </c>
      <c r="C2053" s="21" t="s">
        <v>188</v>
      </c>
      <c r="D2053" s="21" t="s">
        <v>48</v>
      </c>
      <c r="E2053" s="66" t="s">
        <v>2550</v>
      </c>
      <c r="F2053" s="65" t="s">
        <v>2551</v>
      </c>
      <c r="G2053" s="47" t="s">
        <v>77</v>
      </c>
      <c r="H2053" s="45" t="s">
        <v>2636</v>
      </c>
      <c r="I2053" s="102" t="s">
        <v>78</v>
      </c>
      <c r="J2053" s="65" t="s">
        <v>2597</v>
      </c>
      <c r="K2053" s="47"/>
      <c r="L2053" s="48" t="s">
        <v>2554</v>
      </c>
      <c r="M2053" s="49">
        <v>45169</v>
      </c>
      <c r="N2053" s="47" t="s">
        <v>177</v>
      </c>
      <c r="O2053" s="61">
        <v>5800</v>
      </c>
      <c r="P2053" s="61">
        <v>-2</v>
      </c>
      <c r="Q2053" s="51">
        <f>ROUND(O2053*P2053,2)</f>
        <v>-11600</v>
      </c>
      <c r="R2053" s="31">
        <v>202310</v>
      </c>
      <c r="S2053" s="32" t="s">
        <v>2650</v>
      </c>
      <c r="T2053" s="33"/>
      <c r="U2053" s="32"/>
      <c r="V2053" s="33"/>
      <c r="W2053" s="67"/>
      <c r="X2053" s="67"/>
      <c r="Y2053" s="36">
        <v>43709</v>
      </c>
      <c r="Z2053" s="36">
        <v>45900</v>
      </c>
      <c r="AA2053" s="36"/>
      <c r="AB2053" s="36"/>
      <c r="AC2053" s="36"/>
      <c r="AD2053" s="36"/>
      <c r="AE2053" s="36"/>
      <c r="AF2053" s="53" t="s">
        <v>68</v>
      </c>
      <c r="AG2053" s="42"/>
      <c r="AH2053" s="42"/>
      <c r="AI2053" s="43"/>
      <c r="AJ2053" s="43"/>
      <c r="AK2053" s="43"/>
      <c r="AL2053" s="43"/>
      <c r="AM2053" s="43"/>
      <c r="AN2053" s="42"/>
      <c r="AO2053" s="42"/>
      <c r="AP2053" s="42"/>
      <c r="AQ2053" s="43"/>
      <c r="AR2053" s="42"/>
      <c r="AS2053" s="42"/>
    </row>
    <row r="2054" spans="1:45" ht="15" customHeight="1">
      <c r="A2054" s="65" t="s">
        <v>45</v>
      </c>
      <c r="B2054" s="21" t="s">
        <v>46</v>
      </c>
      <c r="C2054" s="21" t="s">
        <v>188</v>
      </c>
      <c r="D2054" s="21" t="s">
        <v>48</v>
      </c>
      <c r="E2054" s="66" t="s">
        <v>2550</v>
      </c>
      <c r="F2054" s="65" t="s">
        <v>2551</v>
      </c>
      <c r="G2054" s="47" t="s">
        <v>77</v>
      </c>
      <c r="H2054" s="45" t="s">
        <v>2552</v>
      </c>
      <c r="I2054" s="102" t="s">
        <v>78</v>
      </c>
      <c r="J2054" s="65" t="s">
        <v>2597</v>
      </c>
      <c r="K2054" s="47"/>
      <c r="L2054" s="48" t="s">
        <v>2554</v>
      </c>
      <c r="M2054" s="49">
        <v>45169</v>
      </c>
      <c r="N2054" s="47" t="s">
        <v>177</v>
      </c>
      <c r="O2054" s="61">
        <v>5800</v>
      </c>
      <c r="P2054" s="61">
        <v>-2</v>
      </c>
      <c r="Q2054" s="51">
        <f t="shared" ref="Q2054" si="45">ROUND(O2054*P2054,2)</f>
        <v>-11600</v>
      </c>
      <c r="R2054" s="31">
        <v>202310</v>
      </c>
      <c r="S2054" s="32" t="s">
        <v>2651</v>
      </c>
      <c r="T2054" s="33"/>
      <c r="U2054" s="32"/>
      <c r="V2054" s="33"/>
      <c r="W2054" s="67"/>
      <c r="X2054" s="67"/>
      <c r="Y2054" s="36">
        <v>43709</v>
      </c>
      <c r="Z2054" s="36">
        <v>45900</v>
      </c>
      <c r="AA2054" s="36"/>
      <c r="AB2054" s="36"/>
      <c r="AC2054" s="36"/>
      <c r="AD2054" s="36"/>
      <c r="AE2054" s="36"/>
      <c r="AF2054" s="53" t="s">
        <v>68</v>
      </c>
      <c r="AG2054" s="42"/>
      <c r="AH2054" s="42"/>
      <c r="AI2054" s="43"/>
      <c r="AJ2054" s="43"/>
      <c r="AK2054" s="43"/>
      <c r="AL2054" s="43"/>
      <c r="AM2054" s="43"/>
      <c r="AN2054" s="42"/>
      <c r="AO2054" s="42"/>
      <c r="AP2054" s="42"/>
      <c r="AQ2054" s="43"/>
      <c r="AR2054" s="42"/>
      <c r="AS2054" s="42"/>
    </row>
    <row r="2055" spans="1:45" ht="15" customHeight="1">
      <c r="A2055" s="65" t="s">
        <v>45</v>
      </c>
      <c r="B2055" s="21" t="s">
        <v>46</v>
      </c>
      <c r="C2055" s="21" t="s">
        <v>188</v>
      </c>
      <c r="D2055" s="21" t="s">
        <v>48</v>
      </c>
      <c r="E2055" s="66" t="s">
        <v>2550</v>
      </c>
      <c r="F2055" s="65" t="s">
        <v>2551</v>
      </c>
      <c r="G2055" s="26" t="s">
        <v>62</v>
      </c>
      <c r="H2055" s="45" t="s">
        <v>2636</v>
      </c>
      <c r="I2055" s="26" t="s">
        <v>64</v>
      </c>
      <c r="J2055" s="65" t="s">
        <v>2652</v>
      </c>
      <c r="K2055" s="47"/>
      <c r="L2055" s="48"/>
      <c r="M2055" s="49">
        <v>44393</v>
      </c>
      <c r="N2055" s="47" t="s">
        <v>66</v>
      </c>
      <c r="O2055" s="61">
        <v>385</v>
      </c>
      <c r="P2055" s="51">
        <v>100</v>
      </c>
      <c r="Q2055" s="51">
        <f t="shared" si="44"/>
        <v>38500</v>
      </c>
      <c r="R2055" s="31">
        <v>202310</v>
      </c>
      <c r="S2055" s="32" t="s">
        <v>2653</v>
      </c>
      <c r="T2055" s="33"/>
      <c r="U2055" s="32"/>
      <c r="V2055" s="33"/>
      <c r="W2055" s="67"/>
      <c r="X2055" s="67"/>
      <c r="Y2055" s="36">
        <v>43709</v>
      </c>
      <c r="Z2055" s="36">
        <v>45900</v>
      </c>
      <c r="AA2055" s="36"/>
      <c r="AB2055" s="36"/>
      <c r="AC2055" s="36"/>
      <c r="AD2055" s="36"/>
      <c r="AE2055" s="36"/>
      <c r="AF2055" s="53" t="s">
        <v>68</v>
      </c>
      <c r="AG2055" s="42"/>
      <c r="AH2055" s="42"/>
      <c r="AI2055" s="43"/>
      <c r="AJ2055" s="43"/>
      <c r="AK2055" s="43"/>
      <c r="AL2055" s="43"/>
      <c r="AM2055" s="43"/>
      <c r="AN2055" s="42"/>
      <c r="AO2055" s="42"/>
      <c r="AP2055" s="42"/>
      <c r="AQ2055" s="43"/>
      <c r="AR2055" s="42"/>
      <c r="AS2055" s="42"/>
    </row>
    <row r="2056" spans="1:45" ht="15" customHeight="1">
      <c r="A2056" s="65" t="s">
        <v>45</v>
      </c>
      <c r="B2056" s="21" t="s">
        <v>46</v>
      </c>
      <c r="C2056" s="21" t="s">
        <v>188</v>
      </c>
      <c r="D2056" s="21" t="s">
        <v>48</v>
      </c>
      <c r="E2056" s="66" t="s">
        <v>2550</v>
      </c>
      <c r="F2056" s="65" t="s">
        <v>2551</v>
      </c>
      <c r="G2056" s="26" t="s">
        <v>62</v>
      </c>
      <c r="H2056" s="45" t="s">
        <v>2636</v>
      </c>
      <c r="I2056" s="26" t="s">
        <v>64</v>
      </c>
      <c r="J2056" s="65" t="s">
        <v>2652</v>
      </c>
      <c r="K2056" s="47"/>
      <c r="L2056" s="48"/>
      <c r="M2056" s="49">
        <v>44393</v>
      </c>
      <c r="N2056" s="47" t="s">
        <v>66</v>
      </c>
      <c r="O2056" s="61">
        <v>385</v>
      </c>
      <c r="P2056" s="51">
        <v>83</v>
      </c>
      <c r="Q2056" s="51">
        <f t="shared" si="44"/>
        <v>31955</v>
      </c>
      <c r="R2056" s="31">
        <v>202310</v>
      </c>
      <c r="S2056" s="32" t="s">
        <v>2654</v>
      </c>
      <c r="T2056" s="33"/>
      <c r="U2056" s="32"/>
      <c r="V2056" s="33"/>
      <c r="W2056" s="67"/>
      <c r="X2056" s="67"/>
      <c r="Y2056" s="36">
        <v>43709</v>
      </c>
      <c r="Z2056" s="36">
        <v>45900</v>
      </c>
      <c r="AA2056" s="36"/>
      <c r="AB2056" s="36"/>
      <c r="AC2056" s="36"/>
      <c r="AD2056" s="36"/>
      <c r="AE2056" s="36"/>
      <c r="AF2056" s="53" t="s">
        <v>68</v>
      </c>
      <c r="AG2056" s="42"/>
      <c r="AH2056" s="42"/>
      <c r="AI2056" s="43"/>
      <c r="AJ2056" s="43"/>
      <c r="AK2056" s="43"/>
      <c r="AL2056" s="43"/>
      <c r="AM2056" s="43"/>
      <c r="AN2056" s="42"/>
      <c r="AO2056" s="42"/>
      <c r="AP2056" s="42"/>
      <c r="AQ2056" s="43"/>
      <c r="AR2056" s="42"/>
      <c r="AS2056" s="42"/>
    </row>
    <row r="2057" spans="1:45" ht="15" customHeight="1">
      <c r="A2057" s="65" t="s">
        <v>45</v>
      </c>
      <c r="B2057" s="21" t="s">
        <v>46</v>
      </c>
      <c r="C2057" s="21" t="s">
        <v>188</v>
      </c>
      <c r="D2057" s="21" t="s">
        <v>48</v>
      </c>
      <c r="E2057" s="66" t="s">
        <v>2550</v>
      </c>
      <c r="F2057" s="65" t="s">
        <v>2551</v>
      </c>
      <c r="G2057" s="47" t="s">
        <v>62</v>
      </c>
      <c r="H2057" s="45" t="s">
        <v>2636</v>
      </c>
      <c r="I2057" s="47" t="s">
        <v>64</v>
      </c>
      <c r="J2057" s="65" t="s">
        <v>2652</v>
      </c>
      <c r="K2057" s="47"/>
      <c r="L2057" s="48"/>
      <c r="M2057" s="49">
        <v>44427</v>
      </c>
      <c r="N2057" s="47" t="s">
        <v>66</v>
      </c>
      <c r="O2057" s="61">
        <v>385</v>
      </c>
      <c r="P2057" s="51">
        <v>90.6</v>
      </c>
      <c r="Q2057" s="51">
        <f t="shared" si="44"/>
        <v>34881</v>
      </c>
      <c r="R2057" s="31">
        <v>202310</v>
      </c>
      <c r="S2057" s="108" t="s">
        <v>2655</v>
      </c>
      <c r="T2057" s="33"/>
      <c r="U2057" s="108"/>
      <c r="V2057" s="78"/>
      <c r="W2057" s="67"/>
      <c r="X2057" s="67"/>
      <c r="Y2057" s="36">
        <v>43709</v>
      </c>
      <c r="Z2057" s="36">
        <v>45900</v>
      </c>
      <c r="AA2057" s="36"/>
      <c r="AB2057" s="36"/>
      <c r="AC2057" s="36"/>
      <c r="AD2057" s="36"/>
      <c r="AE2057" s="36"/>
      <c r="AF2057" s="53" t="s">
        <v>68</v>
      </c>
      <c r="AG2057" s="42"/>
      <c r="AH2057" s="42"/>
      <c r="AI2057" s="43"/>
      <c r="AJ2057" s="43"/>
      <c r="AK2057" s="43"/>
      <c r="AL2057" s="43"/>
      <c r="AM2057" s="43"/>
      <c r="AN2057" s="42"/>
      <c r="AO2057" s="42"/>
      <c r="AP2057" s="42"/>
      <c r="AQ2057" s="43"/>
      <c r="AR2057" s="42"/>
      <c r="AS2057" s="42"/>
    </row>
    <row r="2058" spans="1:45" ht="15" customHeight="1">
      <c r="A2058" s="65" t="s">
        <v>45</v>
      </c>
      <c r="B2058" s="21" t="s">
        <v>46</v>
      </c>
      <c r="C2058" s="21" t="s">
        <v>188</v>
      </c>
      <c r="D2058" s="21" t="s">
        <v>48</v>
      </c>
      <c r="E2058" s="66" t="s">
        <v>2550</v>
      </c>
      <c r="F2058" s="65" t="s">
        <v>2551</v>
      </c>
      <c r="G2058" s="47" t="s">
        <v>62</v>
      </c>
      <c r="H2058" s="45" t="s">
        <v>2636</v>
      </c>
      <c r="I2058" s="47" t="s">
        <v>64</v>
      </c>
      <c r="J2058" s="65" t="s">
        <v>2652</v>
      </c>
      <c r="K2058" s="47"/>
      <c r="L2058" s="48"/>
      <c r="M2058" s="49">
        <v>44442</v>
      </c>
      <c r="N2058" s="47" t="s">
        <v>66</v>
      </c>
      <c r="O2058" s="61">
        <v>385</v>
      </c>
      <c r="P2058" s="51">
        <v>104.9</v>
      </c>
      <c r="Q2058" s="51">
        <f t="shared" si="44"/>
        <v>40386.5</v>
      </c>
      <c r="R2058" s="31">
        <v>202310</v>
      </c>
      <c r="S2058" s="108" t="s">
        <v>2656</v>
      </c>
      <c r="T2058" s="33"/>
      <c r="U2058" s="108"/>
      <c r="V2058" s="78"/>
      <c r="W2058" s="67"/>
      <c r="X2058" s="67"/>
      <c r="Y2058" s="36">
        <v>43709</v>
      </c>
      <c r="Z2058" s="36">
        <v>45900</v>
      </c>
      <c r="AA2058" s="36"/>
      <c r="AB2058" s="36"/>
      <c r="AC2058" s="36"/>
      <c r="AD2058" s="36"/>
      <c r="AE2058" s="36"/>
      <c r="AF2058" s="53" t="s">
        <v>68</v>
      </c>
      <c r="AG2058" s="42"/>
      <c r="AH2058" s="42"/>
      <c r="AI2058" s="43"/>
      <c r="AJ2058" s="43"/>
      <c r="AK2058" s="43"/>
      <c r="AL2058" s="43"/>
      <c r="AM2058" s="43"/>
      <c r="AN2058" s="42"/>
      <c r="AO2058" s="42"/>
      <c r="AP2058" s="42"/>
      <c r="AQ2058" s="43"/>
      <c r="AR2058" s="42"/>
      <c r="AS2058" s="42"/>
    </row>
    <row r="2059" spans="1:45" ht="15" customHeight="1">
      <c r="A2059" s="65" t="s">
        <v>45</v>
      </c>
      <c r="B2059" s="21" t="s">
        <v>46</v>
      </c>
      <c r="C2059" s="21" t="s">
        <v>188</v>
      </c>
      <c r="D2059" s="21" t="s">
        <v>48</v>
      </c>
      <c r="E2059" s="66" t="s">
        <v>2550</v>
      </c>
      <c r="F2059" s="65" t="s">
        <v>2551</v>
      </c>
      <c r="G2059" s="47" t="s">
        <v>62</v>
      </c>
      <c r="H2059" s="45" t="s">
        <v>2636</v>
      </c>
      <c r="I2059" s="47" t="s">
        <v>64</v>
      </c>
      <c r="J2059" s="65" t="s">
        <v>2657</v>
      </c>
      <c r="K2059" s="47"/>
      <c r="L2059" s="48"/>
      <c r="M2059" s="49">
        <v>44501</v>
      </c>
      <c r="N2059" s="47" t="s">
        <v>66</v>
      </c>
      <c r="O2059" s="61">
        <v>385</v>
      </c>
      <c r="P2059" s="51">
        <v>40.4</v>
      </c>
      <c r="Q2059" s="51">
        <f t="shared" si="44"/>
        <v>15554</v>
      </c>
      <c r="R2059" s="31">
        <v>202310</v>
      </c>
      <c r="S2059" s="108" t="s">
        <v>2658</v>
      </c>
      <c r="T2059" s="33"/>
      <c r="U2059" s="108"/>
      <c r="V2059" s="78"/>
      <c r="W2059" s="67"/>
      <c r="X2059" s="67"/>
      <c r="Y2059" s="36">
        <v>43709</v>
      </c>
      <c r="Z2059" s="36">
        <v>45900</v>
      </c>
      <c r="AA2059" s="36"/>
      <c r="AB2059" s="36"/>
      <c r="AC2059" s="36"/>
      <c r="AD2059" s="36"/>
      <c r="AE2059" s="36"/>
      <c r="AF2059" s="53" t="s">
        <v>68</v>
      </c>
      <c r="AG2059" s="42"/>
      <c r="AH2059" s="42"/>
      <c r="AI2059" s="43"/>
      <c r="AJ2059" s="43"/>
      <c r="AK2059" s="43"/>
      <c r="AL2059" s="43"/>
      <c r="AM2059" s="43"/>
      <c r="AN2059" s="42"/>
      <c r="AO2059" s="42"/>
      <c r="AP2059" s="42"/>
      <c r="AQ2059" s="43"/>
      <c r="AR2059" s="42"/>
      <c r="AS2059" s="42"/>
    </row>
    <row r="2060" spans="1:45" ht="15" customHeight="1">
      <c r="A2060" s="65" t="s">
        <v>45</v>
      </c>
      <c r="B2060" s="21" t="s">
        <v>46</v>
      </c>
      <c r="C2060" s="21" t="s">
        <v>188</v>
      </c>
      <c r="D2060" s="21" t="s">
        <v>48</v>
      </c>
      <c r="E2060" s="66" t="s">
        <v>2550</v>
      </c>
      <c r="F2060" s="65" t="s">
        <v>2551</v>
      </c>
      <c r="G2060" s="47" t="s">
        <v>62</v>
      </c>
      <c r="H2060" s="45" t="s">
        <v>2636</v>
      </c>
      <c r="I2060" s="47" t="s">
        <v>64</v>
      </c>
      <c r="J2060" s="65" t="s">
        <v>2657</v>
      </c>
      <c r="K2060" s="47"/>
      <c r="L2060" s="48"/>
      <c r="M2060" s="49">
        <v>44501</v>
      </c>
      <c r="N2060" s="47" t="s">
        <v>66</v>
      </c>
      <c r="O2060" s="61">
        <v>385</v>
      </c>
      <c r="P2060" s="51">
        <v>66.5</v>
      </c>
      <c r="Q2060" s="51">
        <f t="shared" ref="Q2060" si="46">ROUND(O2060*P2060,2)</f>
        <v>25602.5</v>
      </c>
      <c r="R2060" s="31">
        <v>202310</v>
      </c>
      <c r="S2060" s="108" t="s">
        <v>2658</v>
      </c>
      <c r="T2060" s="33"/>
      <c r="U2060" s="108"/>
      <c r="V2060" s="78"/>
      <c r="W2060" s="67"/>
      <c r="X2060" s="67"/>
      <c r="Y2060" s="36">
        <v>43709</v>
      </c>
      <c r="Z2060" s="36">
        <v>45900</v>
      </c>
      <c r="AA2060" s="36"/>
      <c r="AB2060" s="36"/>
      <c r="AC2060" s="36"/>
      <c r="AD2060" s="36"/>
      <c r="AE2060" s="36"/>
      <c r="AF2060" s="53" t="s">
        <v>68</v>
      </c>
      <c r="AG2060" s="42"/>
      <c r="AH2060" s="42"/>
      <c r="AI2060" s="43"/>
      <c r="AJ2060" s="43"/>
      <c r="AK2060" s="43"/>
      <c r="AL2060" s="43"/>
      <c r="AM2060" s="43"/>
      <c r="AN2060" s="42"/>
      <c r="AO2060" s="42"/>
      <c r="AP2060" s="42"/>
      <c r="AQ2060" s="43"/>
      <c r="AR2060" s="42"/>
      <c r="AS2060" s="42"/>
    </row>
    <row r="2061" spans="1:45" ht="15" customHeight="1">
      <c r="A2061" s="20" t="s">
        <v>45</v>
      </c>
      <c r="B2061" s="21" t="s">
        <v>46</v>
      </c>
      <c r="C2061" s="22" t="s">
        <v>188</v>
      </c>
      <c r="D2061" s="22" t="s">
        <v>48</v>
      </c>
      <c r="E2061" s="23" t="s">
        <v>2550</v>
      </c>
      <c r="F2061" s="20" t="s">
        <v>2551</v>
      </c>
      <c r="G2061" s="47" t="s">
        <v>77</v>
      </c>
      <c r="H2061" s="25" t="s">
        <v>2659</v>
      </c>
      <c r="I2061" s="24" t="s">
        <v>479</v>
      </c>
      <c r="J2061" s="20" t="s">
        <v>2660</v>
      </c>
      <c r="K2061" s="218" t="s">
        <v>2551</v>
      </c>
      <c r="L2061" s="48" t="s">
        <v>2661</v>
      </c>
      <c r="M2061" s="49">
        <v>42309</v>
      </c>
      <c r="N2061" s="47" t="s">
        <v>1310</v>
      </c>
      <c r="O2061" s="50">
        <v>5000</v>
      </c>
      <c r="P2061" s="51">
        <v>8</v>
      </c>
      <c r="Q2061" s="51">
        <f>P2061*O2061</f>
        <v>40000</v>
      </c>
      <c r="R2061" s="31">
        <v>202310</v>
      </c>
      <c r="S2061" s="32" t="s">
        <v>2662</v>
      </c>
      <c r="T2061" s="33"/>
      <c r="U2061" s="32"/>
      <c r="V2061" s="32"/>
      <c r="W2061" s="52"/>
      <c r="X2061" s="52"/>
      <c r="Y2061" s="36"/>
      <c r="Z2061" s="36"/>
      <c r="AA2061" s="36"/>
      <c r="AB2061" s="36"/>
      <c r="AC2061" s="36"/>
      <c r="AD2061" s="36"/>
      <c r="AE2061" s="36"/>
      <c r="AF2061" s="40" t="s">
        <v>503</v>
      </c>
      <c r="AG2061" s="42"/>
      <c r="AH2061" s="42"/>
      <c r="AI2061" s="43"/>
      <c r="AJ2061" s="43"/>
      <c r="AK2061" s="43"/>
      <c r="AL2061" s="43"/>
      <c r="AM2061" s="43"/>
      <c r="AN2061" s="42"/>
      <c r="AO2061" s="42"/>
      <c r="AP2061" s="42"/>
      <c r="AQ2061" s="43"/>
      <c r="AR2061" s="42"/>
      <c r="AS2061" s="42"/>
    </row>
    <row r="2062" spans="1:45" ht="15" customHeight="1">
      <c r="A2062" s="20" t="s">
        <v>45</v>
      </c>
      <c r="B2062" s="21" t="s">
        <v>46</v>
      </c>
      <c r="C2062" s="22" t="s">
        <v>188</v>
      </c>
      <c r="D2062" s="22" t="s">
        <v>48</v>
      </c>
      <c r="E2062" s="23" t="s">
        <v>2550</v>
      </c>
      <c r="F2062" s="20" t="s">
        <v>2551</v>
      </c>
      <c r="G2062" s="47" t="s">
        <v>77</v>
      </c>
      <c r="H2062" s="25" t="s">
        <v>2659</v>
      </c>
      <c r="I2062" s="24" t="s">
        <v>479</v>
      </c>
      <c r="J2062" s="20" t="s">
        <v>2660</v>
      </c>
      <c r="K2062" s="218" t="s">
        <v>2551</v>
      </c>
      <c r="L2062" s="48" t="s">
        <v>2661</v>
      </c>
      <c r="M2062" s="49">
        <v>44712</v>
      </c>
      <c r="N2062" s="47" t="s">
        <v>1310</v>
      </c>
      <c r="O2062" s="50">
        <v>5000</v>
      </c>
      <c r="P2062" s="51">
        <v>-8</v>
      </c>
      <c r="Q2062" s="51">
        <f>P2062*O2062</f>
        <v>-40000</v>
      </c>
      <c r="R2062" s="31">
        <v>202310</v>
      </c>
      <c r="S2062" s="32" t="s">
        <v>2663</v>
      </c>
      <c r="T2062" s="33"/>
      <c r="U2062" s="32"/>
      <c r="V2062" s="32"/>
      <c r="W2062" s="52"/>
      <c r="X2062" s="52"/>
      <c r="Y2062" s="36"/>
      <c r="Z2062" s="36"/>
      <c r="AA2062" s="36"/>
      <c r="AB2062" s="36"/>
      <c r="AC2062" s="36"/>
      <c r="AD2062" s="36"/>
      <c r="AE2062" s="36"/>
      <c r="AF2062" s="40" t="s">
        <v>503</v>
      </c>
      <c r="AG2062" s="42"/>
      <c r="AH2062" s="42"/>
      <c r="AI2062" s="43"/>
      <c r="AJ2062" s="43"/>
      <c r="AK2062" s="43"/>
      <c r="AL2062" s="43"/>
      <c r="AM2062" s="43"/>
      <c r="AN2062" s="42"/>
      <c r="AO2062" s="42"/>
      <c r="AP2062" s="42"/>
      <c r="AQ2062" s="43"/>
      <c r="AR2062" s="42"/>
      <c r="AS2062" s="42"/>
    </row>
    <row r="2063" spans="1:45" ht="15" customHeight="1">
      <c r="A2063" s="20" t="s">
        <v>45</v>
      </c>
      <c r="B2063" s="21" t="s">
        <v>46</v>
      </c>
      <c r="C2063" s="22" t="s">
        <v>188</v>
      </c>
      <c r="D2063" s="22" t="s">
        <v>48</v>
      </c>
      <c r="E2063" s="23" t="s">
        <v>2550</v>
      </c>
      <c r="F2063" s="20" t="s">
        <v>2551</v>
      </c>
      <c r="G2063" s="47" t="s">
        <v>77</v>
      </c>
      <c r="H2063" s="25" t="s">
        <v>2659</v>
      </c>
      <c r="I2063" s="24" t="s">
        <v>849</v>
      </c>
      <c r="J2063" s="20" t="s">
        <v>2660</v>
      </c>
      <c r="K2063" s="47" t="s">
        <v>2664</v>
      </c>
      <c r="L2063" s="48" t="s">
        <v>2665</v>
      </c>
      <c r="M2063" s="49">
        <v>42430</v>
      </c>
      <c r="N2063" s="47" t="s">
        <v>1310</v>
      </c>
      <c r="O2063" s="50">
        <v>5000</v>
      </c>
      <c r="P2063" s="51">
        <v>4</v>
      </c>
      <c r="Q2063" s="51">
        <f>P2063*O2063</f>
        <v>20000</v>
      </c>
      <c r="R2063" s="31">
        <v>202310</v>
      </c>
      <c r="S2063" s="32" t="s">
        <v>2666</v>
      </c>
      <c r="T2063" s="33"/>
      <c r="U2063" s="32"/>
      <c r="V2063" s="32"/>
      <c r="W2063" s="52"/>
      <c r="X2063" s="52"/>
      <c r="Y2063" s="36"/>
      <c r="Z2063" s="36"/>
      <c r="AA2063" s="36"/>
      <c r="AB2063" s="36"/>
      <c r="AC2063" s="36"/>
      <c r="AD2063" s="36"/>
      <c r="AE2063" s="36"/>
      <c r="AF2063" s="40" t="s">
        <v>853</v>
      </c>
      <c r="AG2063" s="42"/>
      <c r="AH2063" s="42"/>
      <c r="AI2063" s="43"/>
      <c r="AJ2063" s="43"/>
      <c r="AK2063" s="43"/>
      <c r="AL2063" s="43"/>
      <c r="AM2063" s="43"/>
      <c r="AN2063" s="42"/>
      <c r="AO2063" s="42"/>
      <c r="AP2063" s="42"/>
      <c r="AQ2063" s="43"/>
      <c r="AR2063" s="42"/>
      <c r="AS2063" s="42"/>
    </row>
    <row r="2064" spans="1:45" ht="15" customHeight="1">
      <c r="A2064" s="20" t="s">
        <v>45</v>
      </c>
      <c r="B2064" s="21" t="s">
        <v>46</v>
      </c>
      <c r="C2064" s="22" t="s">
        <v>188</v>
      </c>
      <c r="D2064" s="22" t="s">
        <v>48</v>
      </c>
      <c r="E2064" s="23" t="s">
        <v>2550</v>
      </c>
      <c r="F2064" s="20" t="s">
        <v>2551</v>
      </c>
      <c r="G2064" s="47" t="s">
        <v>77</v>
      </c>
      <c r="H2064" s="25" t="s">
        <v>2659</v>
      </c>
      <c r="I2064" s="24" t="s">
        <v>849</v>
      </c>
      <c r="J2064" s="20" t="s">
        <v>2660</v>
      </c>
      <c r="K2064" s="47" t="s">
        <v>2664</v>
      </c>
      <c r="L2064" s="48" t="s">
        <v>2665</v>
      </c>
      <c r="M2064" s="49">
        <v>44644</v>
      </c>
      <c r="N2064" s="47" t="s">
        <v>1310</v>
      </c>
      <c r="O2064" s="50">
        <v>5000</v>
      </c>
      <c r="P2064" s="51">
        <v>-1</v>
      </c>
      <c r="Q2064" s="51">
        <f>ROUND(O2064*P2064,2)</f>
        <v>-5000</v>
      </c>
      <c r="R2064" s="31">
        <v>202310</v>
      </c>
      <c r="S2064" s="32" t="s">
        <v>2667</v>
      </c>
      <c r="T2064" s="33"/>
      <c r="U2064" s="32"/>
      <c r="V2064" s="32"/>
      <c r="W2064" s="52"/>
      <c r="X2064" s="52"/>
      <c r="Y2064" s="36"/>
      <c r="Z2064" s="36"/>
      <c r="AA2064" s="36"/>
      <c r="AB2064" s="36"/>
      <c r="AC2064" s="36"/>
      <c r="AD2064" s="36"/>
      <c r="AE2064" s="36"/>
      <c r="AF2064" s="40" t="s">
        <v>853</v>
      </c>
      <c r="AG2064" s="42"/>
      <c r="AH2064" s="42"/>
      <c r="AI2064" s="43"/>
      <c r="AJ2064" s="43"/>
      <c r="AK2064" s="43"/>
      <c r="AL2064" s="43"/>
      <c r="AM2064" s="43"/>
      <c r="AN2064" s="42"/>
      <c r="AO2064" s="42"/>
      <c r="AP2064" s="42"/>
      <c r="AQ2064" s="43"/>
      <c r="AR2064" s="42"/>
      <c r="AS2064" s="42"/>
    </row>
    <row r="2065" spans="1:45" ht="15" customHeight="1">
      <c r="A2065" s="22" t="s">
        <v>45</v>
      </c>
      <c r="B2065" s="21" t="s">
        <v>46</v>
      </c>
      <c r="C2065" s="20" t="s">
        <v>188</v>
      </c>
      <c r="D2065" s="22" t="s">
        <v>48</v>
      </c>
      <c r="E2065" s="175" t="s">
        <v>2550</v>
      </c>
      <c r="F2065" s="22" t="s">
        <v>2551</v>
      </c>
      <c r="G2065" s="22" t="s">
        <v>77</v>
      </c>
      <c r="H2065" s="25" t="s">
        <v>2659</v>
      </c>
      <c r="I2065" s="24" t="s">
        <v>479</v>
      </c>
      <c r="J2065" s="20" t="s">
        <v>2668</v>
      </c>
      <c r="K2065" s="26" t="s">
        <v>2669</v>
      </c>
      <c r="L2065" s="48" t="s">
        <v>2661</v>
      </c>
      <c r="M2065" s="49">
        <v>44013</v>
      </c>
      <c r="N2065" s="49" t="s">
        <v>1310</v>
      </c>
      <c r="O2065" s="60">
        <v>5000</v>
      </c>
      <c r="P2065" s="51">
        <v>3</v>
      </c>
      <c r="Q2065" s="30">
        <f>ROUND(O2065*P2065,2)</f>
        <v>15000</v>
      </c>
      <c r="R2065" s="31">
        <v>202310</v>
      </c>
      <c r="S2065" s="32" t="s">
        <v>2670</v>
      </c>
      <c r="T2065" s="33"/>
      <c r="U2065" s="32"/>
      <c r="V2065" s="32"/>
      <c r="W2065" s="151"/>
      <c r="X2065" s="151"/>
      <c r="Y2065" s="36"/>
      <c r="Z2065" s="36"/>
      <c r="AA2065" s="36"/>
      <c r="AB2065" s="36"/>
      <c r="AC2065" s="36"/>
      <c r="AD2065" s="36"/>
      <c r="AE2065" s="36"/>
      <c r="AF2065" s="40" t="s">
        <v>503</v>
      </c>
      <c r="AG2065" s="42"/>
      <c r="AH2065" s="42"/>
      <c r="AI2065" s="43"/>
      <c r="AJ2065" s="43"/>
      <c r="AK2065" s="43"/>
      <c r="AL2065" s="43"/>
      <c r="AM2065" s="43"/>
      <c r="AN2065" s="42"/>
      <c r="AO2065" s="42"/>
      <c r="AP2065" s="42"/>
      <c r="AQ2065" s="43"/>
      <c r="AR2065" s="42"/>
      <c r="AS2065" s="42"/>
    </row>
    <row r="2066" spans="1:45" ht="15" customHeight="1">
      <c r="A2066" s="22" t="s">
        <v>45</v>
      </c>
      <c r="B2066" s="21" t="s">
        <v>46</v>
      </c>
      <c r="C2066" s="20" t="s">
        <v>188</v>
      </c>
      <c r="D2066" s="22" t="s">
        <v>48</v>
      </c>
      <c r="E2066" s="175" t="s">
        <v>2550</v>
      </c>
      <c r="F2066" s="22" t="s">
        <v>2551</v>
      </c>
      <c r="G2066" s="22" t="s">
        <v>77</v>
      </c>
      <c r="H2066" s="25" t="s">
        <v>2659</v>
      </c>
      <c r="I2066" s="24" t="s">
        <v>479</v>
      </c>
      <c r="J2066" s="20" t="s">
        <v>2668</v>
      </c>
      <c r="K2066" s="26" t="s">
        <v>2669</v>
      </c>
      <c r="L2066" s="48" t="s">
        <v>2661</v>
      </c>
      <c r="M2066" s="49">
        <v>44555</v>
      </c>
      <c r="N2066" s="49" t="s">
        <v>1310</v>
      </c>
      <c r="O2066" s="60">
        <v>5000</v>
      </c>
      <c r="P2066" s="51">
        <v>-1</v>
      </c>
      <c r="Q2066" s="51">
        <f>ROUND(O2066*P2066,2)</f>
        <v>-5000</v>
      </c>
      <c r="R2066" s="31">
        <v>202310</v>
      </c>
      <c r="S2066" s="32" t="s">
        <v>2671</v>
      </c>
      <c r="T2066" s="33"/>
      <c r="U2066" s="32"/>
      <c r="V2066" s="32"/>
      <c r="W2066" s="151"/>
      <c r="X2066" s="151"/>
      <c r="Y2066" s="36"/>
      <c r="Z2066" s="36"/>
      <c r="AA2066" s="36"/>
      <c r="AB2066" s="36"/>
      <c r="AC2066" s="36"/>
      <c r="AD2066" s="36"/>
      <c r="AE2066" s="36"/>
      <c r="AF2066" s="40" t="s">
        <v>503</v>
      </c>
      <c r="AG2066" s="42"/>
      <c r="AH2066" s="42"/>
      <c r="AI2066" s="43"/>
      <c r="AJ2066" s="43"/>
      <c r="AK2066" s="43"/>
      <c r="AL2066" s="43"/>
      <c r="AM2066" s="43"/>
      <c r="AN2066" s="42"/>
      <c r="AO2066" s="42"/>
      <c r="AP2066" s="42"/>
      <c r="AQ2066" s="43"/>
      <c r="AR2066" s="42"/>
      <c r="AS2066" s="42"/>
    </row>
    <row r="2067" spans="1:45" ht="15" customHeight="1">
      <c r="A2067" s="22" t="s">
        <v>45</v>
      </c>
      <c r="B2067" s="21" t="s">
        <v>46</v>
      </c>
      <c r="C2067" s="20" t="s">
        <v>188</v>
      </c>
      <c r="D2067" s="22" t="s">
        <v>48</v>
      </c>
      <c r="E2067" s="175" t="s">
        <v>2550</v>
      </c>
      <c r="F2067" s="22" t="s">
        <v>2551</v>
      </c>
      <c r="G2067" s="22" t="s">
        <v>77</v>
      </c>
      <c r="H2067" s="25" t="s">
        <v>2659</v>
      </c>
      <c r="I2067" s="24" t="s">
        <v>479</v>
      </c>
      <c r="J2067" s="20" t="s">
        <v>2668</v>
      </c>
      <c r="K2067" s="26" t="s">
        <v>2669</v>
      </c>
      <c r="L2067" s="48" t="s">
        <v>2661</v>
      </c>
      <c r="M2067" s="49">
        <v>44773</v>
      </c>
      <c r="N2067" s="49" t="s">
        <v>1310</v>
      </c>
      <c r="O2067" s="60">
        <v>5000</v>
      </c>
      <c r="P2067" s="51">
        <v>-1</v>
      </c>
      <c r="Q2067" s="51">
        <f>ROUND(O2067*P2067,2)</f>
        <v>-5000</v>
      </c>
      <c r="R2067" s="31">
        <v>202310</v>
      </c>
      <c r="S2067" s="32" t="s">
        <v>2672</v>
      </c>
      <c r="T2067" s="33"/>
      <c r="U2067" s="32"/>
      <c r="V2067" s="32"/>
      <c r="W2067" s="151"/>
      <c r="X2067" s="151"/>
      <c r="Y2067" s="36"/>
      <c r="Z2067" s="36"/>
      <c r="AA2067" s="36"/>
      <c r="AB2067" s="36"/>
      <c r="AC2067" s="36"/>
      <c r="AD2067" s="36"/>
      <c r="AE2067" s="36"/>
      <c r="AF2067" s="40" t="s">
        <v>503</v>
      </c>
      <c r="AG2067" s="42"/>
      <c r="AH2067" s="42"/>
      <c r="AI2067" s="43"/>
      <c r="AJ2067" s="43"/>
      <c r="AK2067" s="43"/>
      <c r="AL2067" s="43"/>
      <c r="AM2067" s="43"/>
      <c r="AN2067" s="42"/>
      <c r="AO2067" s="42"/>
      <c r="AP2067" s="42"/>
      <c r="AQ2067" s="43"/>
      <c r="AR2067" s="42"/>
      <c r="AS2067" s="42"/>
    </row>
    <row r="2068" spans="1:45" ht="15" customHeight="1">
      <c r="A2068" s="20" t="s">
        <v>45</v>
      </c>
      <c r="B2068" s="21" t="s">
        <v>46</v>
      </c>
      <c r="C2068" s="22" t="s">
        <v>188</v>
      </c>
      <c r="D2068" s="22" t="s">
        <v>48</v>
      </c>
      <c r="E2068" s="23" t="s">
        <v>2550</v>
      </c>
      <c r="F2068" s="20" t="s">
        <v>2551</v>
      </c>
      <c r="G2068" s="47" t="s">
        <v>165</v>
      </c>
      <c r="H2068" s="25" t="s">
        <v>2659</v>
      </c>
      <c r="I2068" s="24" t="s">
        <v>859</v>
      </c>
      <c r="J2068" s="20" t="s">
        <v>2660</v>
      </c>
      <c r="K2068" s="47" t="s">
        <v>2664</v>
      </c>
      <c r="L2068" s="48" t="s">
        <v>2665</v>
      </c>
      <c r="M2068" s="49">
        <v>42430</v>
      </c>
      <c r="N2068" s="47"/>
      <c r="O2068" s="50">
        <v>0</v>
      </c>
      <c r="P2068" s="51">
        <v>424</v>
      </c>
      <c r="Q2068" s="51">
        <f t="shared" ref="Q2068:Q2074" si="47">ROUND(P2068*O2068,2)</f>
        <v>0</v>
      </c>
      <c r="R2068" s="31">
        <v>202310</v>
      </c>
      <c r="S2068" s="32" t="s">
        <v>2673</v>
      </c>
      <c r="T2068" s="33"/>
      <c r="U2068" s="32"/>
      <c r="V2068" s="32"/>
      <c r="W2068" s="52"/>
      <c r="X2068" s="52"/>
      <c r="Y2068" s="36"/>
      <c r="Z2068" s="36"/>
      <c r="AA2068" s="36"/>
      <c r="AB2068" s="36"/>
      <c r="AC2068" s="36"/>
      <c r="AD2068" s="36"/>
      <c r="AE2068" s="36"/>
      <c r="AF2068" s="40" t="s">
        <v>853</v>
      </c>
      <c r="AG2068" s="42"/>
      <c r="AH2068" s="42"/>
      <c r="AI2068" s="43"/>
      <c r="AJ2068" s="43"/>
      <c r="AK2068" s="43"/>
      <c r="AL2068" s="43"/>
      <c r="AM2068" s="43"/>
      <c r="AN2068" s="42"/>
      <c r="AO2068" s="42"/>
      <c r="AP2068" s="42"/>
      <c r="AQ2068" s="43"/>
      <c r="AR2068" s="42"/>
      <c r="AS2068" s="42"/>
    </row>
    <row r="2069" spans="1:45" ht="15" customHeight="1">
      <c r="A2069" s="20" t="s">
        <v>45</v>
      </c>
      <c r="B2069" s="21" t="s">
        <v>46</v>
      </c>
      <c r="C2069" s="22" t="s">
        <v>188</v>
      </c>
      <c r="D2069" s="22" t="s">
        <v>48</v>
      </c>
      <c r="E2069" s="23" t="s">
        <v>2550</v>
      </c>
      <c r="F2069" s="20" t="s">
        <v>2551</v>
      </c>
      <c r="G2069" s="47" t="s">
        <v>165</v>
      </c>
      <c r="H2069" s="25" t="s">
        <v>2659</v>
      </c>
      <c r="I2069" s="24" t="s">
        <v>859</v>
      </c>
      <c r="J2069" s="20" t="s">
        <v>2660</v>
      </c>
      <c r="K2069" s="47" t="s">
        <v>2664</v>
      </c>
      <c r="L2069" s="48" t="s">
        <v>2665</v>
      </c>
      <c r="M2069" s="49">
        <v>42430</v>
      </c>
      <c r="N2069" s="47"/>
      <c r="O2069" s="50">
        <v>50</v>
      </c>
      <c r="P2069" s="51">
        <v>344</v>
      </c>
      <c r="Q2069" s="51">
        <f t="shared" si="47"/>
        <v>17200</v>
      </c>
      <c r="R2069" s="31">
        <v>202310</v>
      </c>
      <c r="S2069" s="32" t="s">
        <v>2674</v>
      </c>
      <c r="T2069" s="33"/>
      <c r="U2069" s="32"/>
      <c r="V2069" s="32"/>
      <c r="W2069" s="52"/>
      <c r="X2069" s="52"/>
      <c r="Y2069" s="36"/>
      <c r="Z2069" s="36"/>
      <c r="AA2069" s="36"/>
      <c r="AB2069" s="36"/>
      <c r="AC2069" s="36"/>
      <c r="AD2069" s="36"/>
      <c r="AE2069" s="36"/>
      <c r="AF2069" s="40" t="s">
        <v>853</v>
      </c>
      <c r="AG2069" s="42"/>
      <c r="AH2069" s="42"/>
      <c r="AI2069" s="43"/>
      <c r="AJ2069" s="43"/>
      <c r="AK2069" s="43"/>
      <c r="AL2069" s="43"/>
      <c r="AM2069" s="43"/>
      <c r="AN2069" s="42"/>
      <c r="AO2069" s="42"/>
      <c r="AP2069" s="42"/>
      <c r="AQ2069" s="43"/>
      <c r="AR2069" s="42"/>
      <c r="AS2069" s="42"/>
    </row>
    <row r="2070" spans="1:45" ht="15" customHeight="1">
      <c r="A2070" s="20" t="s">
        <v>45</v>
      </c>
      <c r="B2070" s="21" t="s">
        <v>46</v>
      </c>
      <c r="C2070" s="22" t="s">
        <v>188</v>
      </c>
      <c r="D2070" s="22" t="s">
        <v>48</v>
      </c>
      <c r="E2070" s="23" t="s">
        <v>2550</v>
      </c>
      <c r="F2070" s="20" t="s">
        <v>2551</v>
      </c>
      <c r="G2070" s="47" t="s">
        <v>165</v>
      </c>
      <c r="H2070" s="25" t="s">
        <v>2659</v>
      </c>
      <c r="I2070" s="24" t="s">
        <v>859</v>
      </c>
      <c r="J2070" s="20" t="s">
        <v>2660</v>
      </c>
      <c r="K2070" s="47" t="s">
        <v>2664</v>
      </c>
      <c r="L2070" s="48" t="s">
        <v>2665</v>
      </c>
      <c r="M2070" s="49">
        <v>45036</v>
      </c>
      <c r="N2070" s="47"/>
      <c r="O2070" s="50">
        <v>0</v>
      </c>
      <c r="P2070" s="51">
        <v>-256</v>
      </c>
      <c r="Q2070" s="51">
        <f t="shared" si="47"/>
        <v>0</v>
      </c>
      <c r="R2070" s="31">
        <v>202310</v>
      </c>
      <c r="S2070" s="32" t="s">
        <v>2675</v>
      </c>
      <c r="T2070" s="33"/>
      <c r="U2070" s="32"/>
      <c r="V2070" s="32"/>
      <c r="W2070" s="52"/>
      <c r="X2070" s="52"/>
      <c r="Y2070" s="36"/>
      <c r="Z2070" s="36"/>
      <c r="AA2070" s="36"/>
      <c r="AB2070" s="36"/>
      <c r="AC2070" s="36"/>
      <c r="AD2070" s="36"/>
      <c r="AE2070" s="36"/>
      <c r="AF2070" s="40" t="s">
        <v>853</v>
      </c>
      <c r="AG2070" s="42"/>
      <c r="AH2070" s="42"/>
      <c r="AI2070" s="43"/>
      <c r="AJ2070" s="43"/>
      <c r="AK2070" s="43"/>
      <c r="AL2070" s="43"/>
      <c r="AM2070" s="43"/>
      <c r="AN2070" s="42"/>
      <c r="AO2070" s="42"/>
      <c r="AP2070" s="42"/>
      <c r="AQ2070" s="43"/>
      <c r="AR2070" s="42"/>
      <c r="AS2070" s="42"/>
    </row>
    <row r="2071" spans="1:45" ht="15" customHeight="1">
      <c r="A2071" s="22" t="s">
        <v>45</v>
      </c>
      <c r="B2071" s="21" t="s">
        <v>46</v>
      </c>
      <c r="C2071" s="20" t="s">
        <v>188</v>
      </c>
      <c r="D2071" s="22" t="s">
        <v>48</v>
      </c>
      <c r="E2071" s="175" t="s">
        <v>2550</v>
      </c>
      <c r="F2071" s="22" t="s">
        <v>2551</v>
      </c>
      <c r="G2071" s="22" t="s">
        <v>165</v>
      </c>
      <c r="H2071" s="25" t="s">
        <v>2659</v>
      </c>
      <c r="I2071" s="24" t="s">
        <v>491</v>
      </c>
      <c r="J2071" s="20" t="s">
        <v>2668</v>
      </c>
      <c r="K2071" s="218" t="s">
        <v>2669</v>
      </c>
      <c r="L2071" s="48"/>
      <c r="M2071" s="49">
        <v>44013</v>
      </c>
      <c r="N2071" s="49"/>
      <c r="O2071" s="60">
        <v>0</v>
      </c>
      <c r="P2071" s="51">
        <v>288</v>
      </c>
      <c r="Q2071" s="51">
        <f t="shared" si="47"/>
        <v>0</v>
      </c>
      <c r="R2071" s="31">
        <v>202310</v>
      </c>
      <c r="S2071" s="32" t="s">
        <v>2676</v>
      </c>
      <c r="T2071" s="33"/>
      <c r="U2071" s="32"/>
      <c r="V2071" s="32"/>
      <c r="W2071" s="151"/>
      <c r="X2071" s="151"/>
      <c r="Y2071" s="36"/>
      <c r="Z2071" s="36"/>
      <c r="AA2071" s="36"/>
      <c r="AB2071" s="36"/>
      <c r="AC2071" s="36"/>
      <c r="AD2071" s="36"/>
      <c r="AE2071" s="36"/>
      <c r="AF2071" s="40" t="s">
        <v>503</v>
      </c>
      <c r="AG2071" s="42"/>
      <c r="AH2071" s="42"/>
      <c r="AI2071" s="43"/>
      <c r="AJ2071" s="43"/>
      <c r="AK2071" s="43"/>
      <c r="AL2071" s="43"/>
      <c r="AM2071" s="43"/>
      <c r="AN2071" s="42"/>
      <c r="AO2071" s="42"/>
      <c r="AP2071" s="42"/>
      <c r="AQ2071" s="43"/>
      <c r="AR2071" s="42"/>
      <c r="AS2071" s="42"/>
    </row>
    <row r="2072" spans="1:45" ht="15" customHeight="1">
      <c r="A2072" s="22" t="s">
        <v>45</v>
      </c>
      <c r="B2072" s="21" t="s">
        <v>46</v>
      </c>
      <c r="C2072" s="20" t="s">
        <v>188</v>
      </c>
      <c r="D2072" s="22" t="s">
        <v>48</v>
      </c>
      <c r="E2072" s="175" t="s">
        <v>2550</v>
      </c>
      <c r="F2072" s="22" t="s">
        <v>2551</v>
      </c>
      <c r="G2072" s="22" t="s">
        <v>165</v>
      </c>
      <c r="H2072" s="25" t="s">
        <v>2659</v>
      </c>
      <c r="I2072" s="24" t="s">
        <v>491</v>
      </c>
      <c r="J2072" s="20" t="s">
        <v>2668</v>
      </c>
      <c r="K2072" s="218" t="s">
        <v>2669</v>
      </c>
      <c r="L2072" s="48"/>
      <c r="M2072" s="49">
        <v>44773</v>
      </c>
      <c r="N2072" s="49"/>
      <c r="O2072" s="60">
        <v>0</v>
      </c>
      <c r="P2072" s="51">
        <v>-128</v>
      </c>
      <c r="Q2072" s="51">
        <f t="shared" si="47"/>
        <v>0</v>
      </c>
      <c r="R2072" s="31">
        <v>202310</v>
      </c>
      <c r="S2072" s="32" t="s">
        <v>2677</v>
      </c>
      <c r="T2072" s="33"/>
      <c r="U2072" s="32"/>
      <c r="V2072" s="32"/>
      <c r="W2072" s="151"/>
      <c r="X2072" s="151"/>
      <c r="Y2072" s="36"/>
      <c r="Z2072" s="36"/>
      <c r="AA2072" s="36"/>
      <c r="AB2072" s="36"/>
      <c r="AC2072" s="36"/>
      <c r="AD2072" s="36"/>
      <c r="AE2072" s="36"/>
      <c r="AF2072" s="40" t="s">
        <v>503</v>
      </c>
      <c r="AG2072" s="42"/>
      <c r="AH2072" s="42"/>
      <c r="AI2072" s="43"/>
      <c r="AJ2072" s="43"/>
      <c r="AK2072" s="43"/>
      <c r="AL2072" s="43"/>
      <c r="AM2072" s="43"/>
      <c r="AN2072" s="42"/>
      <c r="AO2072" s="42"/>
      <c r="AP2072" s="42"/>
      <c r="AQ2072" s="43"/>
      <c r="AR2072" s="42"/>
      <c r="AS2072" s="42"/>
    </row>
    <row r="2073" spans="1:45" ht="15" customHeight="1">
      <c r="A2073" s="56" t="s">
        <v>45</v>
      </c>
      <c r="B2073" s="21" t="s">
        <v>46</v>
      </c>
      <c r="C2073" s="57" t="s">
        <v>188</v>
      </c>
      <c r="D2073" s="22" t="s">
        <v>48</v>
      </c>
      <c r="E2073" s="58" t="s">
        <v>2550</v>
      </c>
      <c r="F2073" s="56" t="s">
        <v>2551</v>
      </c>
      <c r="G2073" s="26" t="s">
        <v>165</v>
      </c>
      <c r="H2073" s="25" t="s">
        <v>2659</v>
      </c>
      <c r="I2073" s="24" t="s">
        <v>491</v>
      </c>
      <c r="J2073" s="56" t="s">
        <v>2678</v>
      </c>
      <c r="K2073" s="218" t="s">
        <v>2551</v>
      </c>
      <c r="L2073" s="48"/>
      <c r="M2073" s="49">
        <v>42309</v>
      </c>
      <c r="N2073" s="49"/>
      <c r="O2073" s="60">
        <v>0</v>
      </c>
      <c r="P2073" s="61">
        <v>544</v>
      </c>
      <c r="Q2073" s="51">
        <f t="shared" si="47"/>
        <v>0</v>
      </c>
      <c r="R2073" s="31">
        <v>202310</v>
      </c>
      <c r="S2073" s="108" t="s">
        <v>2679</v>
      </c>
      <c r="T2073" s="33"/>
      <c r="U2073" s="32"/>
      <c r="V2073" s="108"/>
      <c r="W2073" s="63"/>
      <c r="X2073" s="63"/>
      <c r="Y2073" s="36"/>
      <c r="Z2073" s="36"/>
      <c r="AA2073" s="36"/>
      <c r="AB2073" s="36"/>
      <c r="AC2073" s="36"/>
      <c r="AD2073" s="36"/>
      <c r="AE2073" s="36"/>
      <c r="AF2073" s="40" t="s">
        <v>503</v>
      </c>
      <c r="AG2073" s="42"/>
      <c r="AH2073" s="42"/>
      <c r="AI2073" s="43"/>
      <c r="AJ2073" s="43"/>
      <c r="AK2073" s="43"/>
      <c r="AL2073" s="43"/>
      <c r="AM2073" s="43"/>
      <c r="AN2073" s="42"/>
      <c r="AO2073" s="42"/>
      <c r="AP2073" s="42"/>
      <c r="AQ2073" s="43"/>
      <c r="AR2073" s="42"/>
      <c r="AS2073" s="42"/>
    </row>
    <row r="2074" spans="1:45" ht="15" customHeight="1">
      <c r="A2074" s="56" t="s">
        <v>45</v>
      </c>
      <c r="B2074" s="21" t="s">
        <v>46</v>
      </c>
      <c r="C2074" s="57" t="s">
        <v>188</v>
      </c>
      <c r="D2074" s="22" t="s">
        <v>48</v>
      </c>
      <c r="E2074" s="58" t="s">
        <v>2550</v>
      </c>
      <c r="F2074" s="56" t="s">
        <v>2551</v>
      </c>
      <c r="G2074" s="26" t="s">
        <v>165</v>
      </c>
      <c r="H2074" s="25" t="s">
        <v>2659</v>
      </c>
      <c r="I2074" s="24" t="s">
        <v>491</v>
      </c>
      <c r="J2074" s="56" t="s">
        <v>2678</v>
      </c>
      <c r="K2074" s="218" t="s">
        <v>2551</v>
      </c>
      <c r="L2074" s="48"/>
      <c r="M2074" s="49">
        <v>44712</v>
      </c>
      <c r="N2074" s="49"/>
      <c r="O2074" s="60">
        <v>0</v>
      </c>
      <c r="P2074" s="61">
        <v>-544</v>
      </c>
      <c r="Q2074" s="51">
        <f t="shared" si="47"/>
        <v>0</v>
      </c>
      <c r="R2074" s="31">
        <v>202310</v>
      </c>
      <c r="S2074" s="108" t="s">
        <v>2680</v>
      </c>
      <c r="T2074" s="33"/>
      <c r="U2074" s="32"/>
      <c r="V2074" s="108"/>
      <c r="W2074" s="63"/>
      <c r="X2074" s="63"/>
      <c r="Y2074" s="36"/>
      <c r="Z2074" s="36"/>
      <c r="AA2074" s="36"/>
      <c r="AB2074" s="36"/>
      <c r="AC2074" s="36"/>
      <c r="AD2074" s="36"/>
      <c r="AE2074" s="36"/>
      <c r="AF2074" s="40" t="s">
        <v>503</v>
      </c>
      <c r="AG2074" s="42"/>
      <c r="AH2074" s="42"/>
      <c r="AI2074" s="43"/>
      <c r="AJ2074" s="43"/>
      <c r="AK2074" s="43"/>
      <c r="AL2074" s="43"/>
      <c r="AM2074" s="43"/>
      <c r="AN2074" s="42"/>
      <c r="AO2074" s="42"/>
      <c r="AP2074" s="42"/>
      <c r="AQ2074" s="43"/>
      <c r="AR2074" s="42"/>
      <c r="AS2074" s="42"/>
    </row>
    <row r="2075" spans="1:45" ht="15" customHeight="1">
      <c r="A2075" s="22" t="s">
        <v>45</v>
      </c>
      <c r="B2075" s="21" t="s">
        <v>46</v>
      </c>
      <c r="C2075" s="22" t="s">
        <v>188</v>
      </c>
      <c r="D2075" s="22" t="s">
        <v>48</v>
      </c>
      <c r="E2075" s="175" t="s">
        <v>2681</v>
      </c>
      <c r="F2075" s="20" t="s">
        <v>2682</v>
      </c>
      <c r="G2075" s="101" t="s">
        <v>165</v>
      </c>
      <c r="H2075" s="25" t="s">
        <v>2683</v>
      </c>
      <c r="I2075" s="20" t="s">
        <v>491</v>
      </c>
      <c r="J2075" s="20" t="s">
        <v>2682</v>
      </c>
      <c r="K2075" s="26" t="s">
        <v>2684</v>
      </c>
      <c r="L2075" s="48"/>
      <c r="M2075" s="27">
        <v>43497</v>
      </c>
      <c r="N2075" s="105"/>
      <c r="O2075" s="28">
        <v>0</v>
      </c>
      <c r="P2075" s="29">
        <v>256</v>
      </c>
      <c r="Q2075" s="51">
        <f t="shared" ref="Q2075:Q2140" si="48">ROUND(O2075*P2075,2)</f>
        <v>0</v>
      </c>
      <c r="R2075" s="31">
        <v>202310</v>
      </c>
      <c r="S2075" s="110" t="s">
        <v>2685</v>
      </c>
      <c r="T2075" s="33"/>
      <c r="U2075" s="54"/>
      <c r="V2075" s="54"/>
      <c r="W2075" s="52"/>
      <c r="X2075" s="52"/>
      <c r="Y2075" s="36"/>
      <c r="Z2075" s="36"/>
      <c r="AA2075" s="36"/>
      <c r="AB2075" s="36"/>
      <c r="AC2075" s="36"/>
      <c r="AD2075" s="36"/>
      <c r="AE2075" s="36"/>
      <c r="AF2075" s="40" t="s">
        <v>484</v>
      </c>
      <c r="AG2075" s="42"/>
      <c r="AH2075" s="42"/>
      <c r="AI2075" s="43"/>
      <c r="AJ2075" s="43"/>
      <c r="AK2075" s="43"/>
      <c r="AL2075" s="43"/>
      <c r="AM2075" s="43"/>
      <c r="AN2075" s="42"/>
      <c r="AO2075" s="42"/>
      <c r="AP2075" s="42"/>
      <c r="AQ2075" s="43"/>
      <c r="AR2075" s="42"/>
      <c r="AS2075" s="42"/>
    </row>
    <row r="2076" spans="1:45" ht="15" customHeight="1">
      <c r="A2076" s="22" t="s">
        <v>45</v>
      </c>
      <c r="B2076" s="21" t="s">
        <v>46</v>
      </c>
      <c r="C2076" s="22" t="s">
        <v>188</v>
      </c>
      <c r="D2076" s="22" t="s">
        <v>48</v>
      </c>
      <c r="E2076" s="175" t="s">
        <v>2681</v>
      </c>
      <c r="F2076" s="20" t="s">
        <v>2682</v>
      </c>
      <c r="G2076" s="101" t="s">
        <v>165</v>
      </c>
      <c r="H2076" s="25" t="s">
        <v>2683</v>
      </c>
      <c r="I2076" s="20" t="s">
        <v>491</v>
      </c>
      <c r="J2076" s="20" t="s">
        <v>2682</v>
      </c>
      <c r="K2076" s="26" t="s">
        <v>2684</v>
      </c>
      <c r="L2076" s="48"/>
      <c r="M2076" s="27">
        <v>43497</v>
      </c>
      <c r="N2076" s="105"/>
      <c r="O2076" s="28">
        <v>0</v>
      </c>
      <c r="P2076" s="29">
        <v>32</v>
      </c>
      <c r="Q2076" s="51">
        <f t="shared" si="48"/>
        <v>0</v>
      </c>
      <c r="R2076" s="31">
        <v>202310</v>
      </c>
      <c r="S2076" s="54" t="s">
        <v>2686</v>
      </c>
      <c r="T2076" s="33"/>
      <c r="U2076" s="54"/>
      <c r="V2076" s="54"/>
      <c r="W2076" s="52"/>
      <c r="X2076" s="52"/>
      <c r="Y2076" s="36"/>
      <c r="Z2076" s="36"/>
      <c r="AA2076" s="36"/>
      <c r="AB2076" s="36"/>
      <c r="AC2076" s="36"/>
      <c r="AD2076" s="36"/>
      <c r="AE2076" s="36"/>
      <c r="AF2076" s="40" t="s">
        <v>484</v>
      </c>
      <c r="AG2076" s="42"/>
      <c r="AH2076" s="42"/>
      <c r="AI2076" s="43"/>
      <c r="AJ2076" s="43"/>
      <c r="AK2076" s="43"/>
      <c r="AL2076" s="43"/>
      <c r="AM2076" s="43"/>
      <c r="AN2076" s="42"/>
      <c r="AO2076" s="42"/>
      <c r="AP2076" s="42"/>
      <c r="AQ2076" s="43"/>
      <c r="AR2076" s="42"/>
      <c r="AS2076" s="42"/>
    </row>
    <row r="2077" spans="1:45" ht="15" customHeight="1">
      <c r="A2077" s="21" t="s">
        <v>45</v>
      </c>
      <c r="B2077" s="22" t="s">
        <v>46</v>
      </c>
      <c r="C2077" s="21" t="s">
        <v>188</v>
      </c>
      <c r="D2077" s="22" t="s">
        <v>48</v>
      </c>
      <c r="E2077" s="80" t="s">
        <v>2681</v>
      </c>
      <c r="F2077" s="21" t="s">
        <v>2682</v>
      </c>
      <c r="G2077" s="101" t="s">
        <v>165</v>
      </c>
      <c r="H2077" s="25" t="s">
        <v>2687</v>
      </c>
      <c r="I2077" s="65" t="s">
        <v>491</v>
      </c>
      <c r="J2077" s="104" t="s">
        <v>2682</v>
      </c>
      <c r="K2077" s="104" t="s">
        <v>2682</v>
      </c>
      <c r="L2077" s="48" t="s">
        <v>2688</v>
      </c>
      <c r="M2077" s="27">
        <v>44835</v>
      </c>
      <c r="N2077" s="105"/>
      <c r="O2077" s="106">
        <v>0</v>
      </c>
      <c r="P2077" s="29">
        <v>256</v>
      </c>
      <c r="Q2077" s="51">
        <f t="shared" si="48"/>
        <v>0</v>
      </c>
      <c r="R2077" s="31">
        <v>202310</v>
      </c>
      <c r="S2077" s="42" t="s">
        <v>2689</v>
      </c>
      <c r="T2077" s="33"/>
      <c r="U2077" s="32"/>
      <c r="V2077" s="42"/>
      <c r="W2077" s="42"/>
      <c r="X2077" s="42"/>
      <c r="Y2077" s="36"/>
      <c r="Z2077" s="36"/>
      <c r="AA2077" s="36"/>
      <c r="AB2077" s="36"/>
      <c r="AC2077" s="36"/>
      <c r="AD2077" s="36"/>
      <c r="AE2077" s="36"/>
      <c r="AF2077" s="40" t="s">
        <v>484</v>
      </c>
      <c r="AG2077" s="42"/>
      <c r="AH2077" s="42"/>
      <c r="AI2077" s="43"/>
      <c r="AJ2077" s="43"/>
      <c r="AK2077" s="43"/>
      <c r="AL2077" s="43"/>
      <c r="AM2077" s="43"/>
      <c r="AN2077" s="42"/>
      <c r="AO2077" s="42"/>
      <c r="AP2077" s="42"/>
      <c r="AQ2077" s="43"/>
      <c r="AR2077" s="42"/>
      <c r="AS2077" s="42"/>
    </row>
    <row r="2078" spans="1:45" ht="15" customHeight="1">
      <c r="A2078" s="22" t="s">
        <v>45</v>
      </c>
      <c r="B2078" s="21" t="s">
        <v>46</v>
      </c>
      <c r="C2078" s="22" t="s">
        <v>188</v>
      </c>
      <c r="D2078" s="22" t="s">
        <v>48</v>
      </c>
      <c r="E2078" s="175" t="s">
        <v>2681</v>
      </c>
      <c r="F2078" s="20" t="s">
        <v>2682</v>
      </c>
      <c r="G2078" s="101" t="s">
        <v>77</v>
      </c>
      <c r="H2078" s="25" t="s">
        <v>2687</v>
      </c>
      <c r="I2078" s="20" t="s">
        <v>479</v>
      </c>
      <c r="J2078" s="20" t="s">
        <v>2682</v>
      </c>
      <c r="K2078" s="26" t="s">
        <v>2682</v>
      </c>
      <c r="L2078" s="48" t="s">
        <v>2690</v>
      </c>
      <c r="M2078" s="27">
        <v>43497</v>
      </c>
      <c r="N2078" s="105" t="s">
        <v>504</v>
      </c>
      <c r="O2078" s="28">
        <v>4300</v>
      </c>
      <c r="P2078" s="29">
        <v>7</v>
      </c>
      <c r="Q2078" s="51">
        <f t="shared" si="48"/>
        <v>30100</v>
      </c>
      <c r="R2078" s="31">
        <v>202310</v>
      </c>
      <c r="S2078" s="54" t="s">
        <v>2691</v>
      </c>
      <c r="T2078" s="33"/>
      <c r="U2078" s="32"/>
      <c r="V2078" s="54"/>
      <c r="W2078" s="52"/>
      <c r="X2078" s="52"/>
      <c r="Y2078" s="36"/>
      <c r="Z2078" s="36"/>
      <c r="AA2078" s="36"/>
      <c r="AB2078" s="36"/>
      <c r="AC2078" s="36"/>
      <c r="AD2078" s="36"/>
      <c r="AE2078" s="36"/>
      <c r="AF2078" s="40" t="s">
        <v>484</v>
      </c>
      <c r="AG2078" s="42"/>
      <c r="AH2078" s="42"/>
      <c r="AI2078" s="43"/>
      <c r="AJ2078" s="43"/>
      <c r="AK2078" s="43"/>
      <c r="AL2078" s="43"/>
      <c r="AM2078" s="43"/>
      <c r="AN2078" s="42"/>
      <c r="AO2078" s="42"/>
      <c r="AP2078" s="42"/>
      <c r="AQ2078" s="43"/>
      <c r="AR2078" s="42"/>
      <c r="AS2078" s="42"/>
    </row>
    <row r="2079" spans="1:45" ht="15" customHeight="1">
      <c r="A2079" s="22" t="s">
        <v>45</v>
      </c>
      <c r="B2079" s="21" t="s">
        <v>46</v>
      </c>
      <c r="C2079" s="22" t="s">
        <v>188</v>
      </c>
      <c r="D2079" s="22" t="s">
        <v>48</v>
      </c>
      <c r="E2079" s="175" t="s">
        <v>2681</v>
      </c>
      <c r="F2079" s="20" t="s">
        <v>2682</v>
      </c>
      <c r="G2079" s="101" t="s">
        <v>77</v>
      </c>
      <c r="H2079" s="25" t="s">
        <v>2687</v>
      </c>
      <c r="I2079" s="20" t="s">
        <v>479</v>
      </c>
      <c r="J2079" s="20" t="s">
        <v>2682</v>
      </c>
      <c r="K2079" s="26" t="s">
        <v>2682</v>
      </c>
      <c r="L2079" s="48" t="s">
        <v>2690</v>
      </c>
      <c r="M2079" s="27">
        <v>44713</v>
      </c>
      <c r="N2079" s="105" t="s">
        <v>504</v>
      </c>
      <c r="O2079" s="28">
        <v>4300</v>
      </c>
      <c r="P2079" s="29">
        <v>-6</v>
      </c>
      <c r="Q2079" s="51">
        <f t="shared" si="48"/>
        <v>-25800</v>
      </c>
      <c r="R2079" s="31">
        <v>202310</v>
      </c>
      <c r="S2079" s="54" t="s">
        <v>2692</v>
      </c>
      <c r="T2079" s="33"/>
      <c r="U2079" s="32"/>
      <c r="V2079" s="54"/>
      <c r="W2079" s="52"/>
      <c r="X2079" s="52"/>
      <c r="Y2079" s="36"/>
      <c r="Z2079" s="36"/>
      <c r="AA2079" s="36"/>
      <c r="AB2079" s="36"/>
      <c r="AC2079" s="36"/>
      <c r="AD2079" s="36"/>
      <c r="AE2079" s="36"/>
      <c r="AF2079" s="40" t="s">
        <v>484</v>
      </c>
      <c r="AG2079" s="42"/>
      <c r="AH2079" s="42"/>
      <c r="AI2079" s="43"/>
      <c r="AJ2079" s="43"/>
      <c r="AK2079" s="43"/>
      <c r="AL2079" s="43"/>
      <c r="AM2079" s="43"/>
      <c r="AN2079" s="42"/>
      <c r="AO2079" s="42"/>
      <c r="AP2079" s="42"/>
      <c r="AQ2079" s="43"/>
      <c r="AR2079" s="42"/>
      <c r="AS2079" s="42"/>
    </row>
    <row r="2080" spans="1:45" ht="15" customHeight="1">
      <c r="A2080" s="21" t="s">
        <v>45</v>
      </c>
      <c r="B2080" s="22" t="s">
        <v>46</v>
      </c>
      <c r="C2080" s="21" t="s">
        <v>188</v>
      </c>
      <c r="D2080" s="22" t="s">
        <v>48</v>
      </c>
      <c r="E2080" s="80" t="s">
        <v>2681</v>
      </c>
      <c r="F2080" s="21" t="s">
        <v>2682</v>
      </c>
      <c r="G2080" s="101" t="s">
        <v>77</v>
      </c>
      <c r="H2080" s="219" t="s">
        <v>2693</v>
      </c>
      <c r="I2080" s="65" t="s">
        <v>479</v>
      </c>
      <c r="J2080" s="104" t="s">
        <v>2682</v>
      </c>
      <c r="K2080" s="104" t="s">
        <v>2684</v>
      </c>
      <c r="L2080" s="48" t="s">
        <v>2694</v>
      </c>
      <c r="M2080" s="27">
        <v>44835</v>
      </c>
      <c r="N2080" s="105" t="s">
        <v>90</v>
      </c>
      <c r="O2080" s="106">
        <v>4500</v>
      </c>
      <c r="P2080" s="29">
        <v>3</v>
      </c>
      <c r="Q2080" s="51">
        <f t="shared" si="48"/>
        <v>13500</v>
      </c>
      <c r="R2080" s="31">
        <v>202310</v>
      </c>
      <c r="S2080" s="37" t="s">
        <v>2695</v>
      </c>
      <c r="T2080" s="33"/>
      <c r="U2080" s="54"/>
      <c r="V2080" s="42"/>
      <c r="W2080" s="42"/>
      <c r="X2080" s="42"/>
      <c r="Y2080" s="36"/>
      <c r="Z2080" s="36"/>
      <c r="AA2080" s="36"/>
      <c r="AB2080" s="36"/>
      <c r="AC2080" s="36"/>
      <c r="AD2080" s="36"/>
      <c r="AE2080" s="36"/>
      <c r="AF2080" s="40" t="s">
        <v>484</v>
      </c>
      <c r="AG2080" s="42"/>
      <c r="AH2080" s="42"/>
      <c r="AI2080" s="43"/>
      <c r="AJ2080" s="43"/>
      <c r="AK2080" s="43"/>
      <c r="AL2080" s="43"/>
      <c r="AM2080" s="43"/>
      <c r="AN2080" s="42"/>
      <c r="AO2080" s="42"/>
      <c r="AP2080" s="42"/>
      <c r="AQ2080" s="43"/>
      <c r="AR2080" s="42"/>
      <c r="AS2080" s="42"/>
    </row>
    <row r="2081" spans="1:45" ht="15" customHeight="1">
      <c r="A2081" s="21" t="s">
        <v>45</v>
      </c>
      <c r="B2081" s="22" t="s">
        <v>46</v>
      </c>
      <c r="C2081" s="21" t="s">
        <v>188</v>
      </c>
      <c r="D2081" s="22" t="s">
        <v>48</v>
      </c>
      <c r="E2081" s="80" t="s">
        <v>2681</v>
      </c>
      <c r="F2081" s="21" t="s">
        <v>2682</v>
      </c>
      <c r="G2081" s="101" t="s">
        <v>77</v>
      </c>
      <c r="H2081" s="219" t="s">
        <v>2693</v>
      </c>
      <c r="I2081" s="65" t="s">
        <v>479</v>
      </c>
      <c r="J2081" s="104" t="s">
        <v>2682</v>
      </c>
      <c r="K2081" s="104" t="s">
        <v>2684</v>
      </c>
      <c r="L2081" s="48" t="s">
        <v>2694</v>
      </c>
      <c r="M2081" s="27">
        <v>44942</v>
      </c>
      <c r="N2081" s="105" t="s">
        <v>90</v>
      </c>
      <c r="O2081" s="106">
        <v>4500</v>
      </c>
      <c r="P2081" s="29">
        <v>3</v>
      </c>
      <c r="Q2081" s="51">
        <f t="shared" si="48"/>
        <v>13500</v>
      </c>
      <c r="R2081" s="31">
        <v>202310</v>
      </c>
      <c r="S2081" s="42" t="s">
        <v>2696</v>
      </c>
      <c r="T2081" s="33"/>
      <c r="U2081" s="54"/>
      <c r="V2081" s="42"/>
      <c r="W2081" s="42"/>
      <c r="X2081" s="42"/>
      <c r="Y2081" s="36"/>
      <c r="Z2081" s="36"/>
      <c r="AA2081" s="36"/>
      <c r="AB2081" s="36"/>
      <c r="AC2081" s="36"/>
      <c r="AD2081" s="36"/>
      <c r="AE2081" s="36"/>
      <c r="AF2081" s="40" t="s">
        <v>484</v>
      </c>
      <c r="AG2081" s="42"/>
      <c r="AH2081" s="42"/>
      <c r="AI2081" s="43"/>
      <c r="AJ2081" s="43"/>
      <c r="AK2081" s="43"/>
      <c r="AL2081" s="43"/>
      <c r="AM2081" s="43"/>
      <c r="AN2081" s="42"/>
      <c r="AO2081" s="42"/>
      <c r="AP2081" s="42"/>
      <c r="AQ2081" s="43"/>
      <c r="AR2081" s="42"/>
      <c r="AS2081" s="42"/>
    </row>
    <row r="2082" spans="1:45" ht="15" customHeight="1">
      <c r="A2082" s="21" t="s">
        <v>45</v>
      </c>
      <c r="B2082" s="22" t="s">
        <v>46</v>
      </c>
      <c r="C2082" s="21" t="s">
        <v>188</v>
      </c>
      <c r="D2082" s="22" t="s">
        <v>48</v>
      </c>
      <c r="E2082" s="80" t="s">
        <v>2681</v>
      </c>
      <c r="F2082" s="21" t="s">
        <v>2682</v>
      </c>
      <c r="G2082" s="101" t="s">
        <v>77</v>
      </c>
      <c r="H2082" s="219" t="s">
        <v>2693</v>
      </c>
      <c r="I2082" s="65" t="s">
        <v>479</v>
      </c>
      <c r="J2082" s="104" t="s">
        <v>2682</v>
      </c>
      <c r="K2082" s="104" t="s">
        <v>2684</v>
      </c>
      <c r="L2082" s="48" t="s">
        <v>2694</v>
      </c>
      <c r="M2082" s="27">
        <v>45005</v>
      </c>
      <c r="N2082" s="105" t="s">
        <v>90</v>
      </c>
      <c r="O2082" s="106">
        <v>4500</v>
      </c>
      <c r="P2082" s="29">
        <v>3</v>
      </c>
      <c r="Q2082" s="51">
        <f t="shared" si="48"/>
        <v>13500</v>
      </c>
      <c r="R2082" s="31">
        <v>202310</v>
      </c>
      <c r="S2082" s="42" t="s">
        <v>2697</v>
      </c>
      <c r="T2082" s="33"/>
      <c r="U2082" s="54"/>
      <c r="V2082" s="42"/>
      <c r="W2082" s="42"/>
      <c r="X2082" s="42"/>
      <c r="Y2082" s="36"/>
      <c r="Z2082" s="36"/>
      <c r="AA2082" s="36"/>
      <c r="AB2082" s="36"/>
      <c r="AC2082" s="36"/>
      <c r="AD2082" s="36"/>
      <c r="AE2082" s="36"/>
      <c r="AF2082" s="40" t="s">
        <v>484</v>
      </c>
      <c r="AG2082" s="42"/>
      <c r="AH2082" s="42"/>
      <c r="AI2082" s="43"/>
      <c r="AJ2082" s="43"/>
      <c r="AK2082" s="43"/>
      <c r="AL2082" s="43"/>
      <c r="AM2082" s="43"/>
      <c r="AN2082" s="42"/>
      <c r="AO2082" s="42"/>
      <c r="AP2082" s="42"/>
      <c r="AQ2082" s="43"/>
      <c r="AR2082" s="42"/>
      <c r="AS2082" s="42"/>
    </row>
    <row r="2083" spans="1:45" ht="15" customHeight="1">
      <c r="A2083" s="22" t="s">
        <v>45</v>
      </c>
      <c r="B2083" s="21" t="s">
        <v>46</v>
      </c>
      <c r="C2083" s="22" t="s">
        <v>188</v>
      </c>
      <c r="D2083" s="22" t="s">
        <v>48</v>
      </c>
      <c r="E2083" s="175" t="s">
        <v>2698</v>
      </c>
      <c r="F2083" s="20" t="s">
        <v>2699</v>
      </c>
      <c r="G2083" s="101" t="s">
        <v>77</v>
      </c>
      <c r="H2083" s="25" t="s">
        <v>2700</v>
      </c>
      <c r="I2083" s="20" t="s">
        <v>479</v>
      </c>
      <c r="J2083" s="20" t="s">
        <v>2701</v>
      </c>
      <c r="K2083" s="26" t="s">
        <v>2702</v>
      </c>
      <c r="L2083" s="48" t="s">
        <v>2703</v>
      </c>
      <c r="M2083" s="27">
        <v>44774</v>
      </c>
      <c r="N2083" s="105" t="s">
        <v>504</v>
      </c>
      <c r="O2083" s="28">
        <v>4000</v>
      </c>
      <c r="P2083" s="29">
        <v>1</v>
      </c>
      <c r="Q2083" s="51">
        <f t="shared" si="48"/>
        <v>4000</v>
      </c>
      <c r="R2083" s="31">
        <v>202310</v>
      </c>
      <c r="S2083" s="54" t="s">
        <v>2704</v>
      </c>
      <c r="T2083" s="33"/>
      <c r="U2083" s="32"/>
      <c r="V2083" s="54"/>
      <c r="W2083" s="52"/>
      <c r="X2083" s="52"/>
      <c r="Y2083" s="36"/>
      <c r="Z2083" s="36"/>
      <c r="AA2083" s="36"/>
      <c r="AB2083" s="36"/>
      <c r="AC2083" s="36"/>
      <c r="AD2083" s="36"/>
      <c r="AE2083" s="36"/>
      <c r="AF2083" s="40" t="s">
        <v>503</v>
      </c>
      <c r="AG2083" s="42"/>
      <c r="AH2083" s="42"/>
      <c r="AI2083" s="43"/>
      <c r="AJ2083" s="43"/>
      <c r="AK2083" s="43"/>
      <c r="AL2083" s="43"/>
      <c r="AM2083" s="43"/>
      <c r="AN2083" s="42"/>
      <c r="AO2083" s="42"/>
      <c r="AP2083" s="42"/>
      <c r="AQ2083" s="43"/>
      <c r="AR2083" s="42"/>
      <c r="AS2083" s="42"/>
    </row>
    <row r="2084" spans="1:45" ht="15" customHeight="1">
      <c r="A2084" s="22" t="s">
        <v>45</v>
      </c>
      <c r="B2084" s="21" t="s">
        <v>46</v>
      </c>
      <c r="C2084" s="22" t="s">
        <v>188</v>
      </c>
      <c r="D2084" s="22" t="s">
        <v>48</v>
      </c>
      <c r="E2084" s="175" t="s">
        <v>2698</v>
      </c>
      <c r="F2084" s="20" t="s">
        <v>2699</v>
      </c>
      <c r="G2084" s="101" t="s">
        <v>77</v>
      </c>
      <c r="H2084" s="25" t="s">
        <v>2700</v>
      </c>
      <c r="I2084" s="20" t="s">
        <v>479</v>
      </c>
      <c r="J2084" s="20" t="s">
        <v>2701</v>
      </c>
      <c r="K2084" s="26" t="s">
        <v>2702</v>
      </c>
      <c r="L2084" s="48" t="s">
        <v>2703</v>
      </c>
      <c r="M2084" s="27">
        <v>43405</v>
      </c>
      <c r="N2084" s="105" t="s">
        <v>504</v>
      </c>
      <c r="O2084" s="28">
        <v>4000</v>
      </c>
      <c r="P2084" s="29">
        <v>2</v>
      </c>
      <c r="Q2084" s="51">
        <f t="shared" si="48"/>
        <v>8000</v>
      </c>
      <c r="R2084" s="31">
        <v>202310</v>
      </c>
      <c r="S2084" s="54" t="s">
        <v>2705</v>
      </c>
      <c r="T2084" s="33"/>
      <c r="U2084" s="32"/>
      <c r="V2084" s="54"/>
      <c r="W2084" s="52"/>
      <c r="X2084" s="52"/>
      <c r="Y2084" s="36"/>
      <c r="Z2084" s="36"/>
      <c r="AA2084" s="36"/>
      <c r="AB2084" s="36"/>
      <c r="AC2084" s="36"/>
      <c r="AD2084" s="36"/>
      <c r="AE2084" s="36"/>
      <c r="AF2084" s="40" t="s">
        <v>503</v>
      </c>
      <c r="AG2084" s="42"/>
      <c r="AH2084" s="42"/>
      <c r="AI2084" s="43"/>
      <c r="AJ2084" s="43"/>
      <c r="AK2084" s="43"/>
      <c r="AL2084" s="43"/>
      <c r="AM2084" s="43"/>
      <c r="AN2084" s="42"/>
      <c r="AO2084" s="42"/>
      <c r="AP2084" s="42"/>
      <c r="AQ2084" s="43"/>
      <c r="AR2084" s="42"/>
      <c r="AS2084" s="42"/>
    </row>
    <row r="2085" spans="1:45" ht="15" customHeight="1">
      <c r="A2085" s="22" t="s">
        <v>45</v>
      </c>
      <c r="B2085" s="21" t="s">
        <v>46</v>
      </c>
      <c r="C2085" s="22" t="s">
        <v>188</v>
      </c>
      <c r="D2085" s="22" t="s">
        <v>48</v>
      </c>
      <c r="E2085" s="175" t="s">
        <v>2698</v>
      </c>
      <c r="F2085" s="20" t="s">
        <v>2699</v>
      </c>
      <c r="G2085" s="101" t="s">
        <v>165</v>
      </c>
      <c r="H2085" s="25" t="s">
        <v>2700</v>
      </c>
      <c r="I2085" s="20" t="s">
        <v>491</v>
      </c>
      <c r="J2085" s="20" t="s">
        <v>2706</v>
      </c>
      <c r="K2085" s="104" t="s">
        <v>2699</v>
      </c>
      <c r="L2085" s="48" t="s">
        <v>2707</v>
      </c>
      <c r="M2085" s="27">
        <v>43210</v>
      </c>
      <c r="N2085" s="105"/>
      <c r="O2085" s="28">
        <v>0</v>
      </c>
      <c r="P2085" s="29">
        <v>288</v>
      </c>
      <c r="Q2085" s="51">
        <f t="shared" si="48"/>
        <v>0</v>
      </c>
      <c r="R2085" s="31">
        <v>202310</v>
      </c>
      <c r="S2085" s="54" t="s">
        <v>2708</v>
      </c>
      <c r="T2085" s="33"/>
      <c r="U2085" s="32"/>
      <c r="V2085" s="54"/>
      <c r="W2085" s="52"/>
      <c r="X2085" s="52"/>
      <c r="Y2085" s="36"/>
      <c r="Z2085" s="36"/>
      <c r="AA2085" s="36"/>
      <c r="AB2085" s="36"/>
      <c r="AC2085" s="36"/>
      <c r="AD2085" s="36"/>
      <c r="AE2085" s="36"/>
      <c r="AF2085" s="40" t="s">
        <v>503</v>
      </c>
      <c r="AG2085" s="42"/>
      <c r="AH2085" s="42"/>
      <c r="AI2085" s="43"/>
      <c r="AJ2085" s="43"/>
      <c r="AK2085" s="43"/>
      <c r="AL2085" s="43"/>
      <c r="AM2085" s="43"/>
      <c r="AN2085" s="42"/>
      <c r="AO2085" s="42"/>
      <c r="AP2085" s="42"/>
      <c r="AQ2085" s="43"/>
      <c r="AR2085" s="42"/>
      <c r="AS2085" s="42"/>
    </row>
    <row r="2086" spans="1:45" ht="15" customHeight="1">
      <c r="A2086" s="22" t="s">
        <v>45</v>
      </c>
      <c r="B2086" s="21" t="s">
        <v>46</v>
      </c>
      <c r="C2086" s="22" t="s">
        <v>188</v>
      </c>
      <c r="D2086" s="22" t="s">
        <v>48</v>
      </c>
      <c r="E2086" s="175" t="s">
        <v>2698</v>
      </c>
      <c r="F2086" s="20" t="s">
        <v>2699</v>
      </c>
      <c r="G2086" s="101" t="s">
        <v>165</v>
      </c>
      <c r="H2086" s="25" t="s">
        <v>2700</v>
      </c>
      <c r="I2086" s="20" t="s">
        <v>491</v>
      </c>
      <c r="J2086" s="20" t="s">
        <v>2706</v>
      </c>
      <c r="K2086" s="104" t="s">
        <v>2699</v>
      </c>
      <c r="L2086" s="48" t="s">
        <v>2707</v>
      </c>
      <c r="M2086" s="27">
        <v>44681</v>
      </c>
      <c r="N2086" s="105"/>
      <c r="O2086" s="28">
        <v>0</v>
      </c>
      <c r="P2086" s="29">
        <v>-288</v>
      </c>
      <c r="Q2086" s="51">
        <f t="shared" si="48"/>
        <v>0</v>
      </c>
      <c r="R2086" s="31">
        <v>202310</v>
      </c>
      <c r="S2086" s="54" t="s">
        <v>2709</v>
      </c>
      <c r="T2086" s="33"/>
      <c r="U2086" s="32"/>
      <c r="V2086" s="54"/>
      <c r="W2086" s="52"/>
      <c r="X2086" s="52"/>
      <c r="Y2086" s="36"/>
      <c r="Z2086" s="36"/>
      <c r="AA2086" s="36"/>
      <c r="AB2086" s="36"/>
      <c r="AC2086" s="36"/>
      <c r="AD2086" s="36"/>
      <c r="AE2086" s="36"/>
      <c r="AF2086" s="40" t="s">
        <v>503</v>
      </c>
      <c r="AG2086" s="42"/>
      <c r="AH2086" s="42"/>
      <c r="AI2086" s="43"/>
      <c r="AJ2086" s="43"/>
      <c r="AK2086" s="43"/>
      <c r="AL2086" s="43"/>
      <c r="AM2086" s="43"/>
      <c r="AN2086" s="42"/>
      <c r="AO2086" s="42"/>
      <c r="AP2086" s="42"/>
      <c r="AQ2086" s="43"/>
      <c r="AR2086" s="42"/>
      <c r="AS2086" s="42"/>
    </row>
    <row r="2087" spans="1:45" ht="15" customHeight="1">
      <c r="A2087" s="22" t="s">
        <v>45</v>
      </c>
      <c r="B2087" s="21" t="s">
        <v>46</v>
      </c>
      <c r="C2087" s="22" t="s">
        <v>188</v>
      </c>
      <c r="D2087" s="22" t="s">
        <v>48</v>
      </c>
      <c r="E2087" s="175" t="s">
        <v>2698</v>
      </c>
      <c r="F2087" s="20" t="s">
        <v>2699</v>
      </c>
      <c r="G2087" s="101" t="s">
        <v>77</v>
      </c>
      <c r="H2087" s="25" t="s">
        <v>2700</v>
      </c>
      <c r="I2087" s="20" t="s">
        <v>479</v>
      </c>
      <c r="J2087" s="20" t="s">
        <v>2701</v>
      </c>
      <c r="K2087" s="26" t="s">
        <v>2702</v>
      </c>
      <c r="L2087" s="48" t="s">
        <v>2703</v>
      </c>
      <c r="M2087" s="27">
        <v>43405</v>
      </c>
      <c r="N2087" s="105" t="s">
        <v>504</v>
      </c>
      <c r="O2087" s="28">
        <v>4000</v>
      </c>
      <c r="P2087" s="29">
        <v>4</v>
      </c>
      <c r="Q2087" s="51">
        <f t="shared" si="48"/>
        <v>16000</v>
      </c>
      <c r="R2087" s="31">
        <v>202310</v>
      </c>
      <c r="S2087" s="54" t="s">
        <v>2710</v>
      </c>
      <c r="T2087" s="33"/>
      <c r="U2087" s="32"/>
      <c r="V2087" s="54"/>
      <c r="W2087" s="52"/>
      <c r="X2087" s="52"/>
      <c r="Y2087" s="36"/>
      <c r="Z2087" s="36"/>
      <c r="AA2087" s="36"/>
      <c r="AB2087" s="36"/>
      <c r="AC2087" s="36"/>
      <c r="AD2087" s="36"/>
      <c r="AE2087" s="36"/>
      <c r="AF2087" s="40" t="s">
        <v>503</v>
      </c>
      <c r="AG2087" s="42"/>
      <c r="AH2087" s="42"/>
      <c r="AI2087" s="43"/>
      <c r="AJ2087" s="43"/>
      <c r="AK2087" s="43"/>
      <c r="AL2087" s="43"/>
      <c r="AM2087" s="43"/>
      <c r="AN2087" s="42"/>
      <c r="AO2087" s="42"/>
      <c r="AP2087" s="42"/>
      <c r="AQ2087" s="43"/>
      <c r="AR2087" s="42"/>
      <c r="AS2087" s="42"/>
    </row>
    <row r="2088" spans="1:45" ht="15" customHeight="1">
      <c r="A2088" s="22" t="s">
        <v>45</v>
      </c>
      <c r="B2088" s="21" t="s">
        <v>46</v>
      </c>
      <c r="C2088" s="22" t="s">
        <v>188</v>
      </c>
      <c r="D2088" s="22" t="s">
        <v>48</v>
      </c>
      <c r="E2088" s="175" t="s">
        <v>2698</v>
      </c>
      <c r="F2088" s="20" t="s">
        <v>2699</v>
      </c>
      <c r="G2088" s="101" t="s">
        <v>165</v>
      </c>
      <c r="H2088" s="25" t="s">
        <v>2700</v>
      </c>
      <c r="I2088" s="20" t="s">
        <v>491</v>
      </c>
      <c r="J2088" s="20" t="s">
        <v>2701</v>
      </c>
      <c r="K2088" s="26" t="s">
        <v>2702</v>
      </c>
      <c r="L2088" s="48" t="s">
        <v>2711</v>
      </c>
      <c r="M2088" s="27">
        <v>43405</v>
      </c>
      <c r="N2088" s="105"/>
      <c r="O2088" s="28">
        <v>0</v>
      </c>
      <c r="P2088" s="29">
        <v>256</v>
      </c>
      <c r="Q2088" s="51">
        <f t="shared" si="48"/>
        <v>0</v>
      </c>
      <c r="R2088" s="31">
        <v>202310</v>
      </c>
      <c r="S2088" s="54" t="s">
        <v>2712</v>
      </c>
      <c r="T2088" s="33"/>
      <c r="U2088" s="32"/>
      <c r="V2088" s="54"/>
      <c r="W2088" s="52"/>
      <c r="X2088" s="52"/>
      <c r="Y2088" s="36"/>
      <c r="Z2088" s="36"/>
      <c r="AA2088" s="36"/>
      <c r="AB2088" s="36"/>
      <c r="AC2088" s="36"/>
      <c r="AD2088" s="36"/>
      <c r="AE2088" s="36"/>
      <c r="AF2088" s="40" t="s">
        <v>503</v>
      </c>
      <c r="AG2088" s="42"/>
      <c r="AH2088" s="42"/>
      <c r="AI2088" s="43"/>
      <c r="AJ2088" s="43"/>
      <c r="AK2088" s="43"/>
      <c r="AL2088" s="43"/>
      <c r="AM2088" s="43"/>
      <c r="AN2088" s="42"/>
      <c r="AO2088" s="42"/>
      <c r="AP2088" s="42"/>
      <c r="AQ2088" s="43"/>
      <c r="AR2088" s="42"/>
      <c r="AS2088" s="42"/>
    </row>
    <row r="2089" spans="1:45" ht="15" customHeight="1">
      <c r="A2089" s="22" t="s">
        <v>45</v>
      </c>
      <c r="B2089" s="21" t="s">
        <v>46</v>
      </c>
      <c r="C2089" s="22" t="s">
        <v>188</v>
      </c>
      <c r="D2089" s="22" t="s">
        <v>48</v>
      </c>
      <c r="E2089" s="175" t="s">
        <v>2698</v>
      </c>
      <c r="F2089" s="20" t="s">
        <v>2699</v>
      </c>
      <c r="G2089" s="101" t="s">
        <v>77</v>
      </c>
      <c r="H2089" s="25" t="s">
        <v>2700</v>
      </c>
      <c r="I2089" s="20" t="s">
        <v>479</v>
      </c>
      <c r="J2089" s="20" t="s">
        <v>2713</v>
      </c>
      <c r="K2089" s="26" t="s">
        <v>2714</v>
      </c>
      <c r="L2089" s="48" t="s">
        <v>2715</v>
      </c>
      <c r="M2089" s="27">
        <v>43580</v>
      </c>
      <c r="N2089" s="105" t="s">
        <v>504</v>
      </c>
      <c r="O2089" s="28">
        <v>4000</v>
      </c>
      <c r="P2089" s="29">
        <v>10</v>
      </c>
      <c r="Q2089" s="51">
        <f t="shared" si="48"/>
        <v>40000</v>
      </c>
      <c r="R2089" s="31">
        <v>202310</v>
      </c>
      <c r="S2089" s="54" t="s">
        <v>2716</v>
      </c>
      <c r="T2089" s="33"/>
      <c r="U2089" s="32"/>
      <c r="V2089" s="54"/>
      <c r="W2089" s="52"/>
      <c r="X2089" s="52"/>
      <c r="Y2089" s="36"/>
      <c r="Z2089" s="36"/>
      <c r="AA2089" s="36"/>
      <c r="AB2089" s="36"/>
      <c r="AC2089" s="36"/>
      <c r="AD2089" s="36"/>
      <c r="AE2089" s="36"/>
      <c r="AF2089" s="40" t="s">
        <v>484</v>
      </c>
      <c r="AG2089" s="42"/>
      <c r="AH2089" s="42"/>
      <c r="AI2089" s="43"/>
      <c r="AJ2089" s="43"/>
      <c r="AK2089" s="43"/>
      <c r="AL2089" s="43"/>
      <c r="AM2089" s="43"/>
      <c r="AN2089" s="42"/>
      <c r="AO2089" s="42"/>
      <c r="AP2089" s="42"/>
      <c r="AQ2089" s="43"/>
      <c r="AR2089" s="42"/>
      <c r="AS2089" s="42"/>
    </row>
    <row r="2090" spans="1:45" ht="15" customHeight="1">
      <c r="A2090" s="22" t="s">
        <v>45</v>
      </c>
      <c r="B2090" s="21" t="s">
        <v>46</v>
      </c>
      <c r="C2090" s="22" t="s">
        <v>188</v>
      </c>
      <c r="D2090" s="22" t="s">
        <v>48</v>
      </c>
      <c r="E2090" s="175" t="s">
        <v>2698</v>
      </c>
      <c r="F2090" s="20" t="s">
        <v>2699</v>
      </c>
      <c r="G2090" s="101" t="s">
        <v>77</v>
      </c>
      <c r="H2090" s="25" t="s">
        <v>2700</v>
      </c>
      <c r="I2090" s="20" t="s">
        <v>479</v>
      </c>
      <c r="J2090" s="20" t="s">
        <v>2713</v>
      </c>
      <c r="K2090" s="26" t="s">
        <v>2714</v>
      </c>
      <c r="L2090" s="48" t="s">
        <v>2715</v>
      </c>
      <c r="M2090" s="27">
        <v>43580</v>
      </c>
      <c r="N2090" s="105" t="s">
        <v>504</v>
      </c>
      <c r="O2090" s="28">
        <v>4000</v>
      </c>
      <c r="P2090" s="29">
        <v>3</v>
      </c>
      <c r="Q2090" s="51">
        <f t="shared" si="48"/>
        <v>12000</v>
      </c>
      <c r="R2090" s="31">
        <v>202310</v>
      </c>
      <c r="S2090" s="54" t="s">
        <v>2717</v>
      </c>
      <c r="T2090" s="33"/>
      <c r="U2090" s="32"/>
      <c r="V2090" s="54"/>
      <c r="W2090" s="52"/>
      <c r="X2090" s="52"/>
      <c r="Y2090" s="36"/>
      <c r="Z2090" s="36"/>
      <c r="AA2090" s="36"/>
      <c r="AB2090" s="36"/>
      <c r="AC2090" s="36"/>
      <c r="AD2090" s="36"/>
      <c r="AE2090" s="36"/>
      <c r="AF2090" s="40" t="s">
        <v>484</v>
      </c>
      <c r="AG2090" s="42"/>
      <c r="AH2090" s="42"/>
      <c r="AI2090" s="43"/>
      <c r="AJ2090" s="43"/>
      <c r="AK2090" s="43"/>
      <c r="AL2090" s="43"/>
      <c r="AM2090" s="43"/>
      <c r="AN2090" s="42"/>
      <c r="AO2090" s="42"/>
      <c r="AP2090" s="42"/>
      <c r="AQ2090" s="43"/>
      <c r="AR2090" s="42"/>
      <c r="AS2090" s="42"/>
    </row>
    <row r="2091" spans="1:45" ht="15" customHeight="1">
      <c r="A2091" s="22" t="s">
        <v>45</v>
      </c>
      <c r="B2091" s="21" t="s">
        <v>46</v>
      </c>
      <c r="C2091" s="22" t="s">
        <v>188</v>
      </c>
      <c r="D2091" s="22" t="s">
        <v>48</v>
      </c>
      <c r="E2091" s="175" t="s">
        <v>2698</v>
      </c>
      <c r="F2091" s="20" t="s">
        <v>2699</v>
      </c>
      <c r="G2091" s="101" t="s">
        <v>77</v>
      </c>
      <c r="H2091" s="25" t="s">
        <v>2700</v>
      </c>
      <c r="I2091" s="20" t="s">
        <v>479</v>
      </c>
      <c r="J2091" s="20" t="s">
        <v>2713</v>
      </c>
      <c r="K2091" s="26" t="s">
        <v>2714</v>
      </c>
      <c r="L2091" s="48" t="s">
        <v>2715</v>
      </c>
      <c r="M2091" s="27">
        <v>44712</v>
      </c>
      <c r="N2091" s="105" t="s">
        <v>504</v>
      </c>
      <c r="O2091" s="28">
        <v>4000</v>
      </c>
      <c r="P2091" s="29">
        <v>-6</v>
      </c>
      <c r="Q2091" s="51">
        <f t="shared" si="48"/>
        <v>-24000</v>
      </c>
      <c r="R2091" s="31">
        <v>202310</v>
      </c>
      <c r="S2091" s="54" t="s">
        <v>2718</v>
      </c>
      <c r="T2091" s="33"/>
      <c r="U2091" s="32"/>
      <c r="V2091" s="54"/>
      <c r="W2091" s="52"/>
      <c r="X2091" s="52"/>
      <c r="Y2091" s="36"/>
      <c r="Z2091" s="36"/>
      <c r="AA2091" s="36"/>
      <c r="AB2091" s="36"/>
      <c r="AC2091" s="36"/>
      <c r="AD2091" s="36"/>
      <c r="AE2091" s="36"/>
      <c r="AF2091" s="40" t="s">
        <v>484</v>
      </c>
      <c r="AG2091" s="42"/>
      <c r="AH2091" s="42"/>
      <c r="AI2091" s="43"/>
      <c r="AJ2091" s="43"/>
      <c r="AK2091" s="43"/>
      <c r="AL2091" s="43"/>
      <c r="AM2091" s="43"/>
      <c r="AN2091" s="42"/>
      <c r="AO2091" s="42"/>
      <c r="AP2091" s="42"/>
      <c r="AQ2091" s="43"/>
      <c r="AR2091" s="42"/>
      <c r="AS2091" s="42"/>
    </row>
    <row r="2092" spans="1:45" ht="15" customHeight="1">
      <c r="A2092" s="22" t="s">
        <v>45</v>
      </c>
      <c r="B2092" s="21" t="s">
        <v>46</v>
      </c>
      <c r="C2092" s="22" t="s">
        <v>188</v>
      </c>
      <c r="D2092" s="22" t="s">
        <v>48</v>
      </c>
      <c r="E2092" s="175" t="s">
        <v>2698</v>
      </c>
      <c r="F2092" s="20" t="s">
        <v>2699</v>
      </c>
      <c r="G2092" s="101" t="s">
        <v>77</v>
      </c>
      <c r="H2092" s="25" t="s">
        <v>2700</v>
      </c>
      <c r="I2092" s="20" t="s">
        <v>479</v>
      </c>
      <c r="J2092" s="20" t="s">
        <v>2713</v>
      </c>
      <c r="K2092" s="26" t="s">
        <v>2714</v>
      </c>
      <c r="L2092" s="48" t="s">
        <v>2715</v>
      </c>
      <c r="M2092" s="27">
        <v>44317</v>
      </c>
      <c r="N2092" s="105" t="s">
        <v>504</v>
      </c>
      <c r="O2092" s="28">
        <v>4000</v>
      </c>
      <c r="P2092" s="29">
        <v>1</v>
      </c>
      <c r="Q2092" s="51">
        <f t="shared" si="48"/>
        <v>4000</v>
      </c>
      <c r="R2092" s="31">
        <v>202310</v>
      </c>
      <c r="S2092" s="54" t="s">
        <v>2719</v>
      </c>
      <c r="T2092" s="33"/>
      <c r="U2092" s="32"/>
      <c r="V2092" s="54"/>
      <c r="W2092" s="52"/>
      <c r="X2092" s="52"/>
      <c r="Y2092" s="36"/>
      <c r="Z2092" s="36"/>
      <c r="AA2092" s="36"/>
      <c r="AB2092" s="36"/>
      <c r="AC2092" s="36"/>
      <c r="AD2092" s="36"/>
      <c r="AE2092" s="36"/>
      <c r="AF2092" s="40" t="s">
        <v>484</v>
      </c>
      <c r="AG2092" s="42"/>
      <c r="AH2092" s="42"/>
      <c r="AI2092" s="43"/>
      <c r="AJ2092" s="43"/>
      <c r="AK2092" s="43"/>
      <c r="AL2092" s="43"/>
      <c r="AM2092" s="43"/>
      <c r="AN2092" s="42"/>
      <c r="AO2092" s="42"/>
      <c r="AP2092" s="42"/>
      <c r="AQ2092" s="43"/>
      <c r="AR2092" s="42"/>
      <c r="AS2092" s="42"/>
    </row>
    <row r="2093" spans="1:45" ht="15" customHeight="1">
      <c r="A2093" s="22" t="s">
        <v>45</v>
      </c>
      <c r="B2093" s="21" t="s">
        <v>46</v>
      </c>
      <c r="C2093" s="22" t="s">
        <v>188</v>
      </c>
      <c r="D2093" s="22" t="s">
        <v>48</v>
      </c>
      <c r="E2093" s="175" t="s">
        <v>2698</v>
      </c>
      <c r="F2093" s="20" t="s">
        <v>2699</v>
      </c>
      <c r="G2093" s="101" t="s">
        <v>77</v>
      </c>
      <c r="H2093" s="25" t="s">
        <v>2700</v>
      </c>
      <c r="I2093" s="20" t="s">
        <v>479</v>
      </c>
      <c r="J2093" s="20" t="s">
        <v>2713</v>
      </c>
      <c r="K2093" s="26" t="s">
        <v>2714</v>
      </c>
      <c r="L2093" s="48" t="s">
        <v>2715</v>
      </c>
      <c r="M2093" s="27">
        <v>44573</v>
      </c>
      <c r="N2093" s="105" t="s">
        <v>504</v>
      </c>
      <c r="O2093" s="28">
        <v>4000</v>
      </c>
      <c r="P2093" s="29">
        <v>2</v>
      </c>
      <c r="Q2093" s="51">
        <f t="shared" si="48"/>
        <v>8000</v>
      </c>
      <c r="R2093" s="31">
        <v>202310</v>
      </c>
      <c r="S2093" s="54" t="s">
        <v>2720</v>
      </c>
      <c r="T2093" s="33"/>
      <c r="U2093" s="32"/>
      <c r="V2093" s="54"/>
      <c r="W2093" s="52"/>
      <c r="X2093" s="52"/>
      <c r="Y2093" s="36"/>
      <c r="Z2093" s="36"/>
      <c r="AA2093" s="36"/>
      <c r="AB2093" s="36"/>
      <c r="AC2093" s="36"/>
      <c r="AD2093" s="36"/>
      <c r="AE2093" s="36"/>
      <c r="AF2093" s="40" t="s">
        <v>484</v>
      </c>
      <c r="AG2093" s="42"/>
      <c r="AH2093" s="42"/>
      <c r="AI2093" s="43"/>
      <c r="AJ2093" s="43"/>
      <c r="AK2093" s="43"/>
      <c r="AL2093" s="43"/>
      <c r="AM2093" s="43"/>
      <c r="AN2093" s="42"/>
      <c r="AO2093" s="42"/>
      <c r="AP2093" s="42"/>
      <c r="AQ2093" s="43"/>
      <c r="AR2093" s="42"/>
      <c r="AS2093" s="42"/>
    </row>
    <row r="2094" spans="1:45" ht="15" customHeight="1">
      <c r="A2094" s="22" t="s">
        <v>45</v>
      </c>
      <c r="B2094" s="21" t="s">
        <v>46</v>
      </c>
      <c r="C2094" s="22" t="s">
        <v>188</v>
      </c>
      <c r="D2094" s="22" t="s">
        <v>48</v>
      </c>
      <c r="E2094" s="175" t="s">
        <v>2698</v>
      </c>
      <c r="F2094" s="20" t="s">
        <v>2699</v>
      </c>
      <c r="G2094" s="101" t="s">
        <v>77</v>
      </c>
      <c r="H2094" s="25" t="s">
        <v>2700</v>
      </c>
      <c r="I2094" s="20" t="s">
        <v>479</v>
      </c>
      <c r="J2094" s="20" t="s">
        <v>2713</v>
      </c>
      <c r="K2094" s="26" t="s">
        <v>2714</v>
      </c>
      <c r="L2094" s="48" t="s">
        <v>2715</v>
      </c>
      <c r="M2094" s="27">
        <v>44773</v>
      </c>
      <c r="N2094" s="105" t="s">
        <v>504</v>
      </c>
      <c r="O2094" s="28">
        <v>4000</v>
      </c>
      <c r="P2094" s="29">
        <v>-4</v>
      </c>
      <c r="Q2094" s="51">
        <f t="shared" si="48"/>
        <v>-16000</v>
      </c>
      <c r="R2094" s="31">
        <v>202310</v>
      </c>
      <c r="S2094" s="54" t="s">
        <v>2721</v>
      </c>
      <c r="T2094" s="33"/>
      <c r="U2094" s="32"/>
      <c r="V2094" s="54"/>
      <c r="W2094" s="52"/>
      <c r="X2094" s="52"/>
      <c r="Y2094" s="36"/>
      <c r="Z2094" s="36"/>
      <c r="AA2094" s="36"/>
      <c r="AB2094" s="36"/>
      <c r="AC2094" s="36"/>
      <c r="AD2094" s="36"/>
      <c r="AE2094" s="36"/>
      <c r="AF2094" s="40" t="s">
        <v>484</v>
      </c>
      <c r="AG2094" s="42"/>
      <c r="AH2094" s="42"/>
      <c r="AI2094" s="43"/>
      <c r="AJ2094" s="43"/>
      <c r="AK2094" s="43"/>
      <c r="AL2094" s="43"/>
      <c r="AM2094" s="43"/>
      <c r="AN2094" s="42"/>
      <c r="AO2094" s="42"/>
      <c r="AP2094" s="42"/>
      <c r="AQ2094" s="43"/>
      <c r="AR2094" s="42"/>
      <c r="AS2094" s="42"/>
    </row>
    <row r="2095" spans="1:45" ht="15" customHeight="1">
      <c r="A2095" s="22" t="s">
        <v>45</v>
      </c>
      <c r="B2095" s="21" t="s">
        <v>46</v>
      </c>
      <c r="C2095" s="22" t="s">
        <v>188</v>
      </c>
      <c r="D2095" s="22" t="s">
        <v>48</v>
      </c>
      <c r="E2095" s="175" t="s">
        <v>2698</v>
      </c>
      <c r="F2095" s="20" t="s">
        <v>2699</v>
      </c>
      <c r="G2095" s="101" t="s">
        <v>165</v>
      </c>
      <c r="H2095" s="25" t="s">
        <v>2700</v>
      </c>
      <c r="I2095" s="20" t="s">
        <v>491</v>
      </c>
      <c r="J2095" s="20" t="s">
        <v>2713</v>
      </c>
      <c r="K2095" s="26" t="s">
        <v>2714</v>
      </c>
      <c r="L2095" s="48" t="s">
        <v>2722</v>
      </c>
      <c r="M2095" s="27">
        <v>43580</v>
      </c>
      <c r="N2095" s="105" t="s">
        <v>653</v>
      </c>
      <c r="O2095" s="28">
        <v>0</v>
      </c>
      <c r="P2095" s="29">
        <v>256</v>
      </c>
      <c r="Q2095" s="51">
        <f t="shared" si="48"/>
        <v>0</v>
      </c>
      <c r="R2095" s="31">
        <v>202310</v>
      </c>
      <c r="S2095" s="54" t="s">
        <v>2723</v>
      </c>
      <c r="T2095" s="33"/>
      <c r="U2095" s="32"/>
      <c r="V2095" s="54"/>
      <c r="W2095" s="52"/>
      <c r="X2095" s="52"/>
      <c r="Y2095" s="36"/>
      <c r="Z2095" s="36"/>
      <c r="AA2095" s="36"/>
      <c r="AB2095" s="36"/>
      <c r="AC2095" s="36"/>
      <c r="AD2095" s="36"/>
      <c r="AE2095" s="36"/>
      <c r="AF2095" s="40" t="s">
        <v>484</v>
      </c>
      <c r="AG2095" s="42"/>
      <c r="AH2095" s="42"/>
      <c r="AI2095" s="43"/>
      <c r="AJ2095" s="43"/>
      <c r="AK2095" s="43"/>
      <c r="AL2095" s="43"/>
      <c r="AM2095" s="43"/>
      <c r="AN2095" s="42"/>
      <c r="AO2095" s="42"/>
      <c r="AP2095" s="42"/>
      <c r="AQ2095" s="43"/>
      <c r="AR2095" s="42"/>
      <c r="AS2095" s="42"/>
    </row>
    <row r="2096" spans="1:45" ht="15" customHeight="1">
      <c r="A2096" s="22" t="s">
        <v>45</v>
      </c>
      <c r="B2096" s="21" t="s">
        <v>46</v>
      </c>
      <c r="C2096" s="22" t="s">
        <v>188</v>
      </c>
      <c r="D2096" s="22" t="s">
        <v>48</v>
      </c>
      <c r="E2096" s="175" t="s">
        <v>2698</v>
      </c>
      <c r="F2096" s="20" t="s">
        <v>2699</v>
      </c>
      <c r="G2096" s="101" t="s">
        <v>165</v>
      </c>
      <c r="H2096" s="25" t="s">
        <v>2700</v>
      </c>
      <c r="I2096" s="20" t="s">
        <v>491</v>
      </c>
      <c r="J2096" s="20" t="s">
        <v>2713</v>
      </c>
      <c r="K2096" s="26" t="s">
        <v>2714</v>
      </c>
      <c r="L2096" s="48" t="s">
        <v>2722</v>
      </c>
      <c r="M2096" s="27">
        <v>43580</v>
      </c>
      <c r="N2096" s="105" t="s">
        <v>653</v>
      </c>
      <c r="O2096" s="28">
        <v>0</v>
      </c>
      <c r="P2096" s="29">
        <v>288</v>
      </c>
      <c r="Q2096" s="51">
        <f t="shared" si="48"/>
        <v>0</v>
      </c>
      <c r="R2096" s="31">
        <v>202310</v>
      </c>
      <c r="S2096" s="54" t="s">
        <v>2724</v>
      </c>
      <c r="T2096" s="33"/>
      <c r="U2096" s="32"/>
      <c r="V2096" s="54"/>
      <c r="W2096" s="52"/>
      <c r="X2096" s="52"/>
      <c r="Y2096" s="36"/>
      <c r="Z2096" s="36"/>
      <c r="AA2096" s="36"/>
      <c r="AB2096" s="36"/>
      <c r="AC2096" s="36"/>
      <c r="AD2096" s="36"/>
      <c r="AE2096" s="36"/>
      <c r="AF2096" s="40" t="s">
        <v>484</v>
      </c>
      <c r="AG2096" s="42"/>
      <c r="AH2096" s="42"/>
      <c r="AI2096" s="43"/>
      <c r="AJ2096" s="43"/>
      <c r="AK2096" s="43"/>
      <c r="AL2096" s="43"/>
      <c r="AM2096" s="43"/>
      <c r="AN2096" s="42"/>
      <c r="AO2096" s="42"/>
      <c r="AP2096" s="42"/>
      <c r="AQ2096" s="43"/>
      <c r="AR2096" s="42"/>
      <c r="AS2096" s="42"/>
    </row>
    <row r="2097" spans="1:45" ht="15" customHeight="1">
      <c r="A2097" s="22" t="s">
        <v>45</v>
      </c>
      <c r="B2097" s="21" t="s">
        <v>46</v>
      </c>
      <c r="C2097" s="22" t="s">
        <v>188</v>
      </c>
      <c r="D2097" s="22" t="s">
        <v>48</v>
      </c>
      <c r="E2097" s="175" t="s">
        <v>2698</v>
      </c>
      <c r="F2097" s="20" t="s">
        <v>2699</v>
      </c>
      <c r="G2097" s="101" t="s">
        <v>165</v>
      </c>
      <c r="H2097" s="25" t="s">
        <v>2700</v>
      </c>
      <c r="I2097" s="20" t="s">
        <v>491</v>
      </c>
      <c r="J2097" s="20" t="s">
        <v>2713</v>
      </c>
      <c r="K2097" s="26" t="s">
        <v>2714</v>
      </c>
      <c r="L2097" s="48" t="s">
        <v>2722</v>
      </c>
      <c r="M2097" s="27">
        <v>44773</v>
      </c>
      <c r="N2097" s="105" t="s">
        <v>653</v>
      </c>
      <c r="O2097" s="28">
        <v>0</v>
      </c>
      <c r="P2097" s="29">
        <v>-288</v>
      </c>
      <c r="Q2097" s="51">
        <f t="shared" si="48"/>
        <v>0</v>
      </c>
      <c r="R2097" s="31">
        <v>202310</v>
      </c>
      <c r="S2097" s="54" t="s">
        <v>2725</v>
      </c>
      <c r="T2097" s="33"/>
      <c r="U2097" s="32"/>
      <c r="V2097" s="54"/>
      <c r="W2097" s="52"/>
      <c r="X2097" s="52"/>
      <c r="Y2097" s="36"/>
      <c r="Z2097" s="36"/>
      <c r="AA2097" s="36"/>
      <c r="AB2097" s="36"/>
      <c r="AC2097" s="36"/>
      <c r="AD2097" s="36"/>
      <c r="AE2097" s="36"/>
      <c r="AF2097" s="40" t="s">
        <v>484</v>
      </c>
      <c r="AG2097" s="42"/>
      <c r="AH2097" s="42"/>
      <c r="AI2097" s="43"/>
      <c r="AJ2097" s="43"/>
      <c r="AK2097" s="43"/>
      <c r="AL2097" s="43"/>
      <c r="AM2097" s="43"/>
      <c r="AN2097" s="42"/>
      <c r="AO2097" s="42"/>
      <c r="AP2097" s="42"/>
      <c r="AQ2097" s="43"/>
      <c r="AR2097" s="42"/>
      <c r="AS2097" s="42"/>
    </row>
    <row r="2098" spans="1:45" ht="15" customHeight="1">
      <c r="A2098" s="22" t="s">
        <v>45</v>
      </c>
      <c r="B2098" s="21" t="s">
        <v>46</v>
      </c>
      <c r="C2098" s="22" t="s">
        <v>188</v>
      </c>
      <c r="D2098" s="22" t="s">
        <v>48</v>
      </c>
      <c r="E2098" s="175" t="s">
        <v>2698</v>
      </c>
      <c r="F2098" s="20" t="s">
        <v>2699</v>
      </c>
      <c r="G2098" s="101" t="s">
        <v>165</v>
      </c>
      <c r="H2098" s="25" t="s">
        <v>2700</v>
      </c>
      <c r="I2098" s="20" t="s">
        <v>491</v>
      </c>
      <c r="J2098" s="20" t="s">
        <v>2713</v>
      </c>
      <c r="K2098" s="26" t="s">
        <v>2714</v>
      </c>
      <c r="L2098" s="48" t="s">
        <v>2722</v>
      </c>
      <c r="M2098" s="27">
        <v>43678</v>
      </c>
      <c r="N2098" s="105" t="s">
        <v>653</v>
      </c>
      <c r="O2098" s="28">
        <v>0</v>
      </c>
      <c r="P2098" s="29">
        <v>128</v>
      </c>
      <c r="Q2098" s="51">
        <f t="shared" si="48"/>
        <v>0</v>
      </c>
      <c r="R2098" s="31">
        <v>202310</v>
      </c>
      <c r="S2098" s="54" t="s">
        <v>2726</v>
      </c>
      <c r="T2098" s="33"/>
      <c r="U2098" s="32"/>
      <c r="V2098" s="54"/>
      <c r="W2098" s="52"/>
      <c r="X2098" s="52"/>
      <c r="Y2098" s="36"/>
      <c r="Z2098" s="36"/>
      <c r="AA2098" s="36"/>
      <c r="AB2098" s="36"/>
      <c r="AC2098" s="36"/>
      <c r="AD2098" s="36"/>
      <c r="AE2098" s="36"/>
      <c r="AF2098" s="40" t="s">
        <v>484</v>
      </c>
      <c r="AG2098" s="42"/>
      <c r="AH2098" s="42"/>
      <c r="AI2098" s="43"/>
      <c r="AJ2098" s="43"/>
      <c r="AK2098" s="43"/>
      <c r="AL2098" s="43"/>
      <c r="AM2098" s="43"/>
      <c r="AN2098" s="42"/>
      <c r="AO2098" s="42"/>
      <c r="AP2098" s="42"/>
      <c r="AQ2098" s="43"/>
      <c r="AR2098" s="42"/>
      <c r="AS2098" s="42"/>
    </row>
    <row r="2099" spans="1:45" ht="15" customHeight="1">
      <c r="A2099" s="22" t="s">
        <v>45</v>
      </c>
      <c r="B2099" s="21" t="s">
        <v>46</v>
      </c>
      <c r="C2099" s="22" t="s">
        <v>188</v>
      </c>
      <c r="D2099" s="22" t="s">
        <v>48</v>
      </c>
      <c r="E2099" s="175" t="s">
        <v>2698</v>
      </c>
      <c r="F2099" s="20" t="s">
        <v>2699</v>
      </c>
      <c r="G2099" s="101" t="s">
        <v>165</v>
      </c>
      <c r="H2099" s="25" t="s">
        <v>2700</v>
      </c>
      <c r="I2099" s="20" t="s">
        <v>491</v>
      </c>
      <c r="J2099" s="20" t="s">
        <v>2713</v>
      </c>
      <c r="K2099" s="26" t="s">
        <v>2714</v>
      </c>
      <c r="L2099" s="48" t="s">
        <v>2722</v>
      </c>
      <c r="M2099" s="27">
        <v>43678</v>
      </c>
      <c r="N2099" s="105" t="s">
        <v>653</v>
      </c>
      <c r="O2099" s="28">
        <v>0</v>
      </c>
      <c r="P2099" s="29">
        <v>256</v>
      </c>
      <c r="Q2099" s="51">
        <f t="shared" si="48"/>
        <v>0</v>
      </c>
      <c r="R2099" s="31">
        <v>202310</v>
      </c>
      <c r="S2099" s="54" t="s">
        <v>2727</v>
      </c>
      <c r="T2099" s="33"/>
      <c r="U2099" s="32"/>
      <c r="V2099" s="54"/>
      <c r="W2099" s="52"/>
      <c r="X2099" s="52"/>
      <c r="Y2099" s="36"/>
      <c r="Z2099" s="36"/>
      <c r="AA2099" s="36"/>
      <c r="AB2099" s="36"/>
      <c r="AC2099" s="36"/>
      <c r="AD2099" s="36"/>
      <c r="AE2099" s="36"/>
      <c r="AF2099" s="40" t="s">
        <v>484</v>
      </c>
      <c r="AG2099" s="42"/>
      <c r="AH2099" s="42"/>
      <c r="AI2099" s="43"/>
      <c r="AJ2099" s="43"/>
      <c r="AK2099" s="43"/>
      <c r="AL2099" s="43"/>
      <c r="AM2099" s="43"/>
      <c r="AN2099" s="42"/>
      <c r="AO2099" s="42"/>
      <c r="AP2099" s="42"/>
      <c r="AQ2099" s="43"/>
      <c r="AR2099" s="42"/>
      <c r="AS2099" s="42"/>
    </row>
    <row r="2100" spans="1:45" ht="15" customHeight="1">
      <c r="A2100" s="22" t="s">
        <v>45</v>
      </c>
      <c r="B2100" s="21" t="s">
        <v>46</v>
      </c>
      <c r="C2100" s="22" t="s">
        <v>188</v>
      </c>
      <c r="D2100" s="22" t="s">
        <v>48</v>
      </c>
      <c r="E2100" s="175" t="s">
        <v>2698</v>
      </c>
      <c r="F2100" s="20" t="s">
        <v>2699</v>
      </c>
      <c r="G2100" s="101" t="s">
        <v>165</v>
      </c>
      <c r="H2100" s="25" t="s">
        <v>2700</v>
      </c>
      <c r="I2100" s="20" t="s">
        <v>491</v>
      </c>
      <c r="J2100" s="20" t="s">
        <v>2713</v>
      </c>
      <c r="K2100" s="26" t="s">
        <v>2714</v>
      </c>
      <c r="L2100" s="48" t="s">
        <v>2722</v>
      </c>
      <c r="M2100" s="27">
        <v>44773</v>
      </c>
      <c r="N2100" s="105" t="s">
        <v>653</v>
      </c>
      <c r="O2100" s="28">
        <v>0</v>
      </c>
      <c r="P2100" s="29">
        <v>-256</v>
      </c>
      <c r="Q2100" s="51">
        <f t="shared" si="48"/>
        <v>0</v>
      </c>
      <c r="R2100" s="31">
        <v>202310</v>
      </c>
      <c r="S2100" s="54" t="s">
        <v>2728</v>
      </c>
      <c r="T2100" s="33"/>
      <c r="U2100" s="32"/>
      <c r="V2100" s="54"/>
      <c r="W2100" s="52"/>
      <c r="X2100" s="52"/>
      <c r="Y2100" s="36"/>
      <c r="Z2100" s="36"/>
      <c r="AA2100" s="36"/>
      <c r="AB2100" s="36"/>
      <c r="AC2100" s="36"/>
      <c r="AD2100" s="36"/>
      <c r="AE2100" s="36"/>
      <c r="AF2100" s="40" t="s">
        <v>484</v>
      </c>
      <c r="AG2100" s="42"/>
      <c r="AH2100" s="42"/>
      <c r="AI2100" s="43"/>
      <c r="AJ2100" s="43"/>
      <c r="AK2100" s="43"/>
      <c r="AL2100" s="43"/>
      <c r="AM2100" s="43"/>
      <c r="AN2100" s="42"/>
      <c r="AO2100" s="42"/>
      <c r="AP2100" s="42"/>
      <c r="AQ2100" s="43"/>
      <c r="AR2100" s="42"/>
      <c r="AS2100" s="42"/>
    </row>
    <row r="2101" spans="1:45" ht="15" customHeight="1">
      <c r="A2101" s="22" t="s">
        <v>45</v>
      </c>
      <c r="B2101" s="21" t="s">
        <v>46</v>
      </c>
      <c r="C2101" s="22" t="s">
        <v>188</v>
      </c>
      <c r="D2101" s="22" t="s">
        <v>48</v>
      </c>
      <c r="E2101" s="175" t="s">
        <v>2698</v>
      </c>
      <c r="F2101" s="20" t="s">
        <v>2699</v>
      </c>
      <c r="G2101" s="101" t="s">
        <v>165</v>
      </c>
      <c r="H2101" s="25" t="s">
        <v>2700</v>
      </c>
      <c r="I2101" s="20" t="s">
        <v>491</v>
      </c>
      <c r="J2101" s="20" t="s">
        <v>2713</v>
      </c>
      <c r="K2101" s="26" t="s">
        <v>2714</v>
      </c>
      <c r="L2101" s="48" t="s">
        <v>2722</v>
      </c>
      <c r="M2101" s="27">
        <v>44573</v>
      </c>
      <c r="N2101" s="105" t="s">
        <v>653</v>
      </c>
      <c r="O2101" s="28">
        <v>0</v>
      </c>
      <c r="P2101" s="29">
        <v>128</v>
      </c>
      <c r="Q2101" s="51">
        <f t="shared" si="48"/>
        <v>0</v>
      </c>
      <c r="R2101" s="31">
        <v>202310</v>
      </c>
      <c r="S2101" s="54" t="s">
        <v>2729</v>
      </c>
      <c r="T2101" s="33"/>
      <c r="U2101" s="32"/>
      <c r="V2101" s="54"/>
      <c r="W2101" s="52"/>
      <c r="X2101" s="52"/>
      <c r="Y2101" s="36"/>
      <c r="Z2101" s="36"/>
      <c r="AA2101" s="36"/>
      <c r="AB2101" s="36"/>
      <c r="AC2101" s="36"/>
      <c r="AD2101" s="36"/>
      <c r="AE2101" s="36"/>
      <c r="AF2101" s="40" t="s">
        <v>484</v>
      </c>
      <c r="AG2101" s="42"/>
      <c r="AH2101" s="42"/>
      <c r="AI2101" s="43"/>
      <c r="AJ2101" s="43"/>
      <c r="AK2101" s="43"/>
      <c r="AL2101" s="43"/>
      <c r="AM2101" s="43"/>
      <c r="AN2101" s="42"/>
      <c r="AO2101" s="42"/>
      <c r="AP2101" s="42"/>
      <c r="AQ2101" s="43"/>
      <c r="AR2101" s="42"/>
      <c r="AS2101" s="42"/>
    </row>
    <row r="2102" spans="1:45" ht="15" customHeight="1">
      <c r="A2102" s="22" t="s">
        <v>45</v>
      </c>
      <c r="B2102" s="21" t="s">
        <v>46</v>
      </c>
      <c r="C2102" s="22" t="s">
        <v>188</v>
      </c>
      <c r="D2102" s="22" t="s">
        <v>48</v>
      </c>
      <c r="E2102" s="175" t="s">
        <v>2698</v>
      </c>
      <c r="F2102" s="20" t="s">
        <v>2699</v>
      </c>
      <c r="G2102" s="101" t="s">
        <v>165</v>
      </c>
      <c r="H2102" s="25" t="s">
        <v>2700</v>
      </c>
      <c r="I2102" s="20" t="s">
        <v>491</v>
      </c>
      <c r="J2102" s="20" t="s">
        <v>2713</v>
      </c>
      <c r="K2102" s="26" t="s">
        <v>2714</v>
      </c>
      <c r="L2102" s="48" t="s">
        <v>2722</v>
      </c>
      <c r="M2102" s="27"/>
      <c r="N2102" s="105" t="s">
        <v>656</v>
      </c>
      <c r="O2102" s="28">
        <v>0</v>
      </c>
      <c r="P2102" s="29">
        <v>0</v>
      </c>
      <c r="Q2102" s="51">
        <f t="shared" si="48"/>
        <v>0</v>
      </c>
      <c r="R2102" s="31">
        <v>202310</v>
      </c>
      <c r="S2102" s="54" t="s">
        <v>2730</v>
      </c>
      <c r="T2102" s="33"/>
      <c r="U2102" s="32"/>
      <c r="V2102" s="54"/>
      <c r="W2102" s="52"/>
      <c r="X2102" s="52"/>
      <c r="Y2102" s="36"/>
      <c r="Z2102" s="36"/>
      <c r="AA2102" s="36"/>
      <c r="AB2102" s="36"/>
      <c r="AC2102" s="36"/>
      <c r="AD2102" s="36"/>
      <c r="AE2102" s="36"/>
      <c r="AF2102" s="40" t="s">
        <v>484</v>
      </c>
      <c r="AG2102" s="42"/>
      <c r="AH2102" s="42"/>
      <c r="AI2102" s="43"/>
      <c r="AJ2102" s="43"/>
      <c r="AK2102" s="43"/>
      <c r="AL2102" s="43"/>
      <c r="AM2102" s="43"/>
      <c r="AN2102" s="42"/>
      <c r="AO2102" s="42"/>
      <c r="AP2102" s="42"/>
      <c r="AQ2102" s="43"/>
      <c r="AR2102" s="42"/>
      <c r="AS2102" s="42"/>
    </row>
    <row r="2103" spans="1:45" ht="15" customHeight="1">
      <c r="A2103" s="22" t="s">
        <v>45</v>
      </c>
      <c r="B2103" s="21" t="s">
        <v>46</v>
      </c>
      <c r="C2103" s="22" t="s">
        <v>188</v>
      </c>
      <c r="D2103" s="22" t="s">
        <v>48</v>
      </c>
      <c r="E2103" s="175" t="s">
        <v>2698</v>
      </c>
      <c r="F2103" s="20" t="s">
        <v>2699</v>
      </c>
      <c r="G2103" s="101" t="s">
        <v>77</v>
      </c>
      <c r="H2103" s="25" t="s">
        <v>2731</v>
      </c>
      <c r="I2103" s="20" t="s">
        <v>479</v>
      </c>
      <c r="J2103" s="20" t="s">
        <v>2701</v>
      </c>
      <c r="K2103" s="26" t="s">
        <v>2702</v>
      </c>
      <c r="L2103" s="48" t="s">
        <v>2703</v>
      </c>
      <c r="M2103" s="27">
        <v>44777</v>
      </c>
      <c r="N2103" s="105" t="s">
        <v>504</v>
      </c>
      <c r="O2103" s="28">
        <v>0</v>
      </c>
      <c r="P2103" s="29">
        <v>1</v>
      </c>
      <c r="Q2103" s="51">
        <f t="shared" si="48"/>
        <v>0</v>
      </c>
      <c r="R2103" s="31">
        <v>202310</v>
      </c>
      <c r="S2103" s="54" t="s">
        <v>2732</v>
      </c>
      <c r="T2103" s="33"/>
      <c r="U2103" s="54" t="s">
        <v>2733</v>
      </c>
      <c r="V2103" s="54"/>
      <c r="W2103" s="52"/>
      <c r="X2103" s="52"/>
      <c r="Y2103" s="36"/>
      <c r="Z2103" s="36"/>
      <c r="AA2103" s="36"/>
      <c r="AB2103" s="36"/>
      <c r="AC2103" s="36"/>
      <c r="AD2103" s="36"/>
      <c r="AE2103" s="36"/>
      <c r="AF2103" s="40" t="s">
        <v>503</v>
      </c>
      <c r="AG2103" s="42"/>
      <c r="AH2103" s="42"/>
      <c r="AI2103" s="43"/>
      <c r="AJ2103" s="43"/>
      <c r="AK2103" s="43"/>
      <c r="AL2103" s="43"/>
      <c r="AM2103" s="43"/>
      <c r="AN2103" s="42"/>
      <c r="AO2103" s="42"/>
      <c r="AP2103" s="42"/>
      <c r="AQ2103" s="43"/>
      <c r="AR2103" s="42"/>
      <c r="AS2103" s="42"/>
    </row>
    <row r="2104" spans="1:45" ht="15" customHeight="1">
      <c r="A2104" s="21" t="s">
        <v>45</v>
      </c>
      <c r="B2104" s="22" t="s">
        <v>46</v>
      </c>
      <c r="C2104" s="21" t="s">
        <v>188</v>
      </c>
      <c r="D2104" s="22" t="s">
        <v>48</v>
      </c>
      <c r="E2104" s="80" t="s">
        <v>2698</v>
      </c>
      <c r="F2104" s="21" t="s">
        <v>2699</v>
      </c>
      <c r="G2104" s="101" t="s">
        <v>62</v>
      </c>
      <c r="H2104" s="25" t="s">
        <v>2731</v>
      </c>
      <c r="I2104" s="65" t="s">
        <v>64</v>
      </c>
      <c r="J2104" s="65"/>
      <c r="K2104" s="104" t="s">
        <v>2734</v>
      </c>
      <c r="L2104" s="48"/>
      <c r="M2104" s="27">
        <v>44743</v>
      </c>
      <c r="N2104" s="194" t="s">
        <v>2735</v>
      </c>
      <c r="O2104" s="147">
        <v>3500</v>
      </c>
      <c r="P2104" s="149">
        <v>2</v>
      </c>
      <c r="Q2104" s="51">
        <f t="shared" si="48"/>
        <v>7000</v>
      </c>
      <c r="R2104" s="31">
        <v>202310</v>
      </c>
      <c r="S2104" s="54" t="s">
        <v>2736</v>
      </c>
      <c r="T2104" s="33"/>
      <c r="U2104" s="54"/>
      <c r="V2104" s="54"/>
      <c r="W2104" s="52"/>
      <c r="X2104" s="52"/>
      <c r="Y2104" s="36"/>
      <c r="Z2104" s="36"/>
      <c r="AA2104" s="36"/>
      <c r="AB2104" s="36"/>
      <c r="AC2104" s="36"/>
      <c r="AD2104" s="36"/>
      <c r="AE2104" s="36"/>
      <c r="AF2104" s="53" t="s">
        <v>68</v>
      </c>
      <c r="AG2104" s="42"/>
      <c r="AH2104" s="43"/>
      <c r="AI2104" s="43"/>
      <c r="AJ2104" s="43"/>
      <c r="AK2104" s="43"/>
      <c r="AL2104" s="43"/>
      <c r="AM2104" s="43"/>
      <c r="AN2104" s="42"/>
      <c r="AO2104" s="42"/>
      <c r="AP2104" s="42"/>
      <c r="AQ2104" s="43"/>
      <c r="AR2104" s="42"/>
      <c r="AS2104" s="42"/>
    </row>
    <row r="2105" spans="1:45" ht="15" customHeight="1">
      <c r="A2105" s="22" t="s">
        <v>45</v>
      </c>
      <c r="B2105" s="21" t="s">
        <v>46</v>
      </c>
      <c r="C2105" s="22" t="s">
        <v>188</v>
      </c>
      <c r="D2105" s="22" t="s">
        <v>48</v>
      </c>
      <c r="E2105" s="175" t="s">
        <v>2698</v>
      </c>
      <c r="F2105" s="20" t="s">
        <v>2699</v>
      </c>
      <c r="G2105" s="101" t="s">
        <v>77</v>
      </c>
      <c r="H2105" s="25" t="s">
        <v>2737</v>
      </c>
      <c r="I2105" s="20" t="s">
        <v>479</v>
      </c>
      <c r="J2105" s="20" t="s">
        <v>2706</v>
      </c>
      <c r="K2105" s="104" t="s">
        <v>2699</v>
      </c>
      <c r="L2105" s="48" t="s">
        <v>2738</v>
      </c>
      <c r="M2105" s="27">
        <v>43210</v>
      </c>
      <c r="N2105" s="105" t="s">
        <v>90</v>
      </c>
      <c r="O2105" s="28">
        <v>4500</v>
      </c>
      <c r="P2105" s="29">
        <v>5</v>
      </c>
      <c r="Q2105" s="51">
        <f t="shared" si="48"/>
        <v>22500</v>
      </c>
      <c r="R2105" s="31">
        <v>202310</v>
      </c>
      <c r="S2105" s="54" t="s">
        <v>2739</v>
      </c>
      <c r="T2105" s="33"/>
      <c r="U2105" s="54"/>
      <c r="V2105" s="54"/>
      <c r="W2105" s="52"/>
      <c r="X2105" s="52"/>
      <c r="Y2105" s="36"/>
      <c r="Z2105" s="36"/>
      <c r="AA2105" s="36"/>
      <c r="AB2105" s="36"/>
      <c r="AC2105" s="36"/>
      <c r="AD2105" s="36"/>
      <c r="AE2105" s="36"/>
      <c r="AF2105" s="40" t="s">
        <v>503</v>
      </c>
      <c r="AG2105" s="42"/>
      <c r="AH2105" s="42"/>
      <c r="AI2105" s="43"/>
      <c r="AJ2105" s="43"/>
      <c r="AK2105" s="43"/>
      <c r="AL2105" s="43"/>
      <c r="AM2105" s="43"/>
      <c r="AN2105" s="42"/>
      <c r="AO2105" s="42"/>
      <c r="AP2105" s="42"/>
      <c r="AQ2105" s="43"/>
      <c r="AR2105" s="42"/>
      <c r="AS2105" s="42"/>
    </row>
    <row r="2106" spans="1:45" ht="15" customHeight="1">
      <c r="A2106" s="22" t="s">
        <v>45</v>
      </c>
      <c r="B2106" s="21" t="s">
        <v>46</v>
      </c>
      <c r="C2106" s="22" t="s">
        <v>188</v>
      </c>
      <c r="D2106" s="22" t="s">
        <v>48</v>
      </c>
      <c r="E2106" s="175" t="s">
        <v>2698</v>
      </c>
      <c r="F2106" s="20" t="s">
        <v>2699</v>
      </c>
      <c r="G2106" s="101" t="s">
        <v>77</v>
      </c>
      <c r="H2106" s="25" t="s">
        <v>2737</v>
      </c>
      <c r="I2106" s="20" t="s">
        <v>479</v>
      </c>
      <c r="J2106" s="20" t="s">
        <v>2706</v>
      </c>
      <c r="K2106" s="104" t="s">
        <v>2699</v>
      </c>
      <c r="L2106" s="48" t="s">
        <v>2738</v>
      </c>
      <c r="M2106" s="27">
        <v>44681</v>
      </c>
      <c r="N2106" s="105" t="s">
        <v>90</v>
      </c>
      <c r="O2106" s="28">
        <v>4500</v>
      </c>
      <c r="P2106" s="29">
        <v>-5</v>
      </c>
      <c r="Q2106" s="51">
        <f t="shared" si="48"/>
        <v>-22500</v>
      </c>
      <c r="R2106" s="31">
        <v>202310</v>
      </c>
      <c r="S2106" s="54" t="s">
        <v>2740</v>
      </c>
      <c r="T2106" s="33"/>
      <c r="U2106" s="54"/>
      <c r="V2106" s="54"/>
      <c r="W2106" s="52"/>
      <c r="X2106" s="52"/>
      <c r="Y2106" s="36"/>
      <c r="Z2106" s="36"/>
      <c r="AA2106" s="36"/>
      <c r="AB2106" s="36"/>
      <c r="AC2106" s="36"/>
      <c r="AD2106" s="36"/>
      <c r="AE2106" s="36"/>
      <c r="AF2106" s="40" t="s">
        <v>503</v>
      </c>
      <c r="AG2106" s="42"/>
      <c r="AH2106" s="42"/>
      <c r="AI2106" s="43"/>
      <c r="AJ2106" s="43"/>
      <c r="AK2106" s="43"/>
      <c r="AL2106" s="43"/>
      <c r="AM2106" s="43"/>
      <c r="AN2106" s="42"/>
      <c r="AO2106" s="42"/>
      <c r="AP2106" s="42"/>
      <c r="AQ2106" s="43"/>
      <c r="AR2106" s="42"/>
      <c r="AS2106" s="42"/>
    </row>
    <row r="2107" spans="1:45" ht="15" customHeight="1">
      <c r="A2107" s="21" t="s">
        <v>45</v>
      </c>
      <c r="B2107" s="22" t="s">
        <v>46</v>
      </c>
      <c r="C2107" s="21" t="s">
        <v>887</v>
      </c>
      <c r="D2107" s="21" t="s">
        <v>888</v>
      </c>
      <c r="E2107" s="80" t="s">
        <v>2741</v>
      </c>
      <c r="F2107" s="21" t="s">
        <v>2742</v>
      </c>
      <c r="G2107" s="101" t="s">
        <v>77</v>
      </c>
      <c r="H2107" s="25" t="s">
        <v>2743</v>
      </c>
      <c r="I2107" s="65" t="s">
        <v>2744</v>
      </c>
      <c r="J2107" s="65" t="s">
        <v>2069</v>
      </c>
      <c r="K2107" s="104" t="s">
        <v>2745</v>
      </c>
      <c r="L2107" s="48" t="s">
        <v>2746</v>
      </c>
      <c r="M2107" s="27">
        <v>43311</v>
      </c>
      <c r="N2107" s="105" t="s">
        <v>90</v>
      </c>
      <c r="O2107" s="147">
        <v>5000</v>
      </c>
      <c r="P2107" s="147">
        <v>4</v>
      </c>
      <c r="Q2107" s="51">
        <f t="shared" si="48"/>
        <v>20000</v>
      </c>
      <c r="R2107" s="31">
        <v>202310</v>
      </c>
      <c r="S2107" s="54" t="s">
        <v>2747</v>
      </c>
      <c r="T2107" s="33"/>
      <c r="U2107" s="32"/>
      <c r="V2107" s="54"/>
      <c r="W2107" s="52"/>
      <c r="X2107" s="52"/>
      <c r="Y2107" s="36"/>
      <c r="Z2107" s="36"/>
      <c r="AA2107" s="36"/>
      <c r="AB2107" s="36"/>
      <c r="AC2107" s="36"/>
      <c r="AD2107" s="36"/>
      <c r="AE2107" s="36"/>
      <c r="AF2107" s="53" t="s">
        <v>503</v>
      </c>
      <c r="AG2107" s="42"/>
      <c r="AH2107" s="43"/>
      <c r="AI2107" s="43"/>
      <c r="AJ2107" s="43"/>
      <c r="AK2107" s="43"/>
      <c r="AL2107" s="43"/>
      <c r="AM2107" s="43"/>
      <c r="AN2107" s="42"/>
      <c r="AO2107" s="42"/>
      <c r="AP2107" s="42"/>
      <c r="AQ2107" s="43"/>
      <c r="AR2107" s="42"/>
      <c r="AS2107" s="42"/>
    </row>
    <row r="2108" spans="1:45" ht="15" customHeight="1">
      <c r="A2108" s="21" t="s">
        <v>45</v>
      </c>
      <c r="B2108" s="22" t="s">
        <v>46</v>
      </c>
      <c r="C2108" s="21" t="s">
        <v>887</v>
      </c>
      <c r="D2108" s="21" t="s">
        <v>888</v>
      </c>
      <c r="E2108" s="80" t="s">
        <v>2741</v>
      </c>
      <c r="F2108" s="21" t="s">
        <v>2742</v>
      </c>
      <c r="G2108" s="101" t="s">
        <v>77</v>
      </c>
      <c r="H2108" s="25" t="s">
        <v>2743</v>
      </c>
      <c r="I2108" s="65" t="s">
        <v>2744</v>
      </c>
      <c r="J2108" s="65" t="s">
        <v>2069</v>
      </c>
      <c r="K2108" s="104" t="s">
        <v>2745</v>
      </c>
      <c r="L2108" s="48" t="s">
        <v>2746</v>
      </c>
      <c r="M2108" s="27">
        <v>43686</v>
      </c>
      <c r="N2108" s="105" t="s">
        <v>90</v>
      </c>
      <c r="O2108" s="147">
        <v>5000</v>
      </c>
      <c r="P2108" s="147">
        <v>-4</v>
      </c>
      <c r="Q2108" s="51">
        <f t="shared" si="48"/>
        <v>-20000</v>
      </c>
      <c r="R2108" s="31">
        <v>202310</v>
      </c>
      <c r="S2108" s="54" t="s">
        <v>2748</v>
      </c>
      <c r="T2108" s="33"/>
      <c r="U2108" s="32"/>
      <c r="V2108" s="54"/>
      <c r="W2108" s="52"/>
      <c r="X2108" s="52"/>
      <c r="Y2108" s="36"/>
      <c r="Z2108" s="36"/>
      <c r="AA2108" s="36"/>
      <c r="AB2108" s="36"/>
      <c r="AC2108" s="36"/>
      <c r="AD2108" s="36"/>
      <c r="AE2108" s="36"/>
      <c r="AF2108" s="53" t="s">
        <v>503</v>
      </c>
      <c r="AG2108" s="42"/>
      <c r="AH2108" s="43"/>
      <c r="AI2108" s="43"/>
      <c r="AJ2108" s="43"/>
      <c r="AK2108" s="43"/>
      <c r="AL2108" s="43"/>
      <c r="AM2108" s="43"/>
      <c r="AN2108" s="42"/>
      <c r="AO2108" s="42"/>
      <c r="AP2108" s="42"/>
      <c r="AQ2108" s="43"/>
      <c r="AR2108" s="42"/>
      <c r="AS2108" s="42"/>
    </row>
    <row r="2109" spans="1:45" ht="15" customHeight="1">
      <c r="A2109" s="21" t="s">
        <v>45</v>
      </c>
      <c r="B2109" s="22" t="s">
        <v>46</v>
      </c>
      <c r="C2109" s="21" t="s">
        <v>887</v>
      </c>
      <c r="D2109" s="21" t="s">
        <v>888</v>
      </c>
      <c r="E2109" s="80" t="s">
        <v>2741</v>
      </c>
      <c r="F2109" s="21" t="s">
        <v>2742</v>
      </c>
      <c r="G2109" s="101" t="s">
        <v>77</v>
      </c>
      <c r="H2109" s="25" t="s">
        <v>2743</v>
      </c>
      <c r="I2109" s="65" t="s">
        <v>2744</v>
      </c>
      <c r="J2109" s="65" t="s">
        <v>2069</v>
      </c>
      <c r="K2109" s="104" t="s">
        <v>2742</v>
      </c>
      <c r="L2109" s="48" t="s">
        <v>2749</v>
      </c>
      <c r="M2109" s="27">
        <v>43101</v>
      </c>
      <c r="N2109" s="105" t="s">
        <v>90</v>
      </c>
      <c r="O2109" s="147">
        <v>5000</v>
      </c>
      <c r="P2109" s="147">
        <v>9</v>
      </c>
      <c r="Q2109" s="51">
        <f t="shared" si="48"/>
        <v>45000</v>
      </c>
      <c r="R2109" s="31">
        <v>202310</v>
      </c>
      <c r="S2109" s="54" t="s">
        <v>2750</v>
      </c>
      <c r="T2109" s="33"/>
      <c r="U2109" s="32"/>
      <c r="V2109" s="54"/>
      <c r="W2109" s="52"/>
      <c r="X2109" s="52"/>
      <c r="Y2109" s="36"/>
      <c r="Z2109" s="36"/>
      <c r="AA2109" s="36"/>
      <c r="AB2109" s="36"/>
      <c r="AC2109" s="36"/>
      <c r="AD2109" s="36"/>
      <c r="AE2109" s="36"/>
      <c r="AF2109" s="53" t="s">
        <v>503</v>
      </c>
      <c r="AG2109" s="42"/>
      <c r="AH2109" s="43"/>
      <c r="AI2109" s="43"/>
      <c r="AJ2109" s="43"/>
      <c r="AK2109" s="43"/>
      <c r="AL2109" s="43"/>
      <c r="AM2109" s="43"/>
      <c r="AN2109" s="42"/>
      <c r="AO2109" s="42"/>
      <c r="AP2109" s="42"/>
      <c r="AQ2109" s="43"/>
      <c r="AR2109" s="42"/>
      <c r="AS2109" s="42"/>
    </row>
    <row r="2110" spans="1:45" ht="15" customHeight="1">
      <c r="A2110" s="21" t="s">
        <v>45</v>
      </c>
      <c r="B2110" s="22" t="s">
        <v>46</v>
      </c>
      <c r="C2110" s="21" t="s">
        <v>887</v>
      </c>
      <c r="D2110" s="21" t="s">
        <v>888</v>
      </c>
      <c r="E2110" s="80" t="s">
        <v>2741</v>
      </c>
      <c r="F2110" s="21" t="s">
        <v>2742</v>
      </c>
      <c r="G2110" s="101" t="s">
        <v>77</v>
      </c>
      <c r="H2110" s="25" t="s">
        <v>2743</v>
      </c>
      <c r="I2110" s="65" t="s">
        <v>2744</v>
      </c>
      <c r="J2110" s="65" t="s">
        <v>2069</v>
      </c>
      <c r="K2110" s="104" t="s">
        <v>2742</v>
      </c>
      <c r="L2110" s="48" t="s">
        <v>2749</v>
      </c>
      <c r="M2110" s="27">
        <v>44773</v>
      </c>
      <c r="N2110" s="105" t="s">
        <v>90</v>
      </c>
      <c r="O2110" s="147">
        <v>5000</v>
      </c>
      <c r="P2110" s="147">
        <v>-9</v>
      </c>
      <c r="Q2110" s="51">
        <f t="shared" si="48"/>
        <v>-45000</v>
      </c>
      <c r="R2110" s="31">
        <v>202310</v>
      </c>
      <c r="S2110" s="54" t="s">
        <v>2751</v>
      </c>
      <c r="T2110" s="33"/>
      <c r="U2110" s="32"/>
      <c r="V2110" s="54"/>
      <c r="W2110" s="52"/>
      <c r="X2110" s="52"/>
      <c r="Y2110" s="36"/>
      <c r="Z2110" s="36"/>
      <c r="AA2110" s="36"/>
      <c r="AB2110" s="36"/>
      <c r="AC2110" s="36"/>
      <c r="AD2110" s="36"/>
      <c r="AE2110" s="36"/>
      <c r="AF2110" s="53" t="s">
        <v>503</v>
      </c>
      <c r="AG2110" s="42"/>
      <c r="AH2110" s="43"/>
      <c r="AI2110" s="43"/>
      <c r="AJ2110" s="43"/>
      <c r="AK2110" s="43"/>
      <c r="AL2110" s="43"/>
      <c r="AM2110" s="43"/>
      <c r="AN2110" s="42"/>
      <c r="AO2110" s="42"/>
      <c r="AP2110" s="42"/>
      <c r="AQ2110" s="43"/>
      <c r="AR2110" s="42"/>
      <c r="AS2110" s="42"/>
    </row>
    <row r="2111" spans="1:45" ht="15" customHeight="1">
      <c r="A2111" s="21" t="s">
        <v>45</v>
      </c>
      <c r="B2111" s="22" t="s">
        <v>46</v>
      </c>
      <c r="C2111" s="21" t="s">
        <v>887</v>
      </c>
      <c r="D2111" s="21" t="s">
        <v>888</v>
      </c>
      <c r="E2111" s="80" t="s">
        <v>2741</v>
      </c>
      <c r="F2111" s="21" t="s">
        <v>2742</v>
      </c>
      <c r="G2111" s="101" t="s">
        <v>77</v>
      </c>
      <c r="H2111" s="25" t="s">
        <v>2743</v>
      </c>
      <c r="I2111" s="65" t="s">
        <v>2744</v>
      </c>
      <c r="J2111" s="65" t="s">
        <v>2069</v>
      </c>
      <c r="K2111" s="26" t="s">
        <v>2752</v>
      </c>
      <c r="L2111" s="48" t="s">
        <v>2746</v>
      </c>
      <c r="M2111" s="27">
        <v>43101</v>
      </c>
      <c r="N2111" s="105" t="s">
        <v>90</v>
      </c>
      <c r="O2111" s="147">
        <v>5000</v>
      </c>
      <c r="P2111" s="147">
        <v>10</v>
      </c>
      <c r="Q2111" s="51">
        <f t="shared" si="48"/>
        <v>50000</v>
      </c>
      <c r="R2111" s="31">
        <v>202310</v>
      </c>
      <c r="S2111" s="54" t="s">
        <v>2753</v>
      </c>
      <c r="T2111" s="33"/>
      <c r="U2111" s="32"/>
      <c r="V2111" s="54"/>
      <c r="W2111" s="52"/>
      <c r="X2111" s="52"/>
      <c r="Y2111" s="36"/>
      <c r="Z2111" s="36"/>
      <c r="AA2111" s="36"/>
      <c r="AB2111" s="36"/>
      <c r="AC2111" s="36"/>
      <c r="AD2111" s="36"/>
      <c r="AE2111" s="36"/>
      <c r="AF2111" s="53" t="s">
        <v>503</v>
      </c>
      <c r="AG2111" s="42"/>
      <c r="AH2111" s="43"/>
      <c r="AI2111" s="43"/>
      <c r="AJ2111" s="43"/>
      <c r="AK2111" s="43"/>
      <c r="AL2111" s="43"/>
      <c r="AM2111" s="43"/>
      <c r="AN2111" s="42"/>
      <c r="AO2111" s="42"/>
      <c r="AP2111" s="42"/>
      <c r="AQ2111" s="43"/>
      <c r="AR2111" s="42"/>
      <c r="AS2111" s="42"/>
    </row>
    <row r="2112" spans="1:45" ht="15" customHeight="1">
      <c r="A2112" s="21" t="s">
        <v>45</v>
      </c>
      <c r="B2112" s="22" t="s">
        <v>46</v>
      </c>
      <c r="C2112" s="21" t="s">
        <v>887</v>
      </c>
      <c r="D2112" s="21" t="s">
        <v>888</v>
      </c>
      <c r="E2112" s="80" t="s">
        <v>2741</v>
      </c>
      <c r="F2112" s="21" t="s">
        <v>2742</v>
      </c>
      <c r="G2112" s="101" t="s">
        <v>77</v>
      </c>
      <c r="H2112" s="25" t="s">
        <v>2743</v>
      </c>
      <c r="I2112" s="65" t="s">
        <v>2744</v>
      </c>
      <c r="J2112" s="65" t="s">
        <v>2069</v>
      </c>
      <c r="K2112" s="26" t="s">
        <v>2754</v>
      </c>
      <c r="L2112" s="48" t="s">
        <v>2746</v>
      </c>
      <c r="M2112" s="27">
        <v>43101</v>
      </c>
      <c r="N2112" s="105" t="s">
        <v>90</v>
      </c>
      <c r="O2112" s="147">
        <v>5000</v>
      </c>
      <c r="P2112" s="147">
        <v>4</v>
      </c>
      <c r="Q2112" s="51">
        <f t="shared" si="48"/>
        <v>20000</v>
      </c>
      <c r="R2112" s="31">
        <v>202310</v>
      </c>
      <c r="S2112" s="54" t="s">
        <v>2755</v>
      </c>
      <c r="T2112" s="33"/>
      <c r="U2112" s="32"/>
      <c r="V2112" s="54"/>
      <c r="W2112" s="52"/>
      <c r="X2112" s="52"/>
      <c r="Y2112" s="36"/>
      <c r="Z2112" s="36"/>
      <c r="AA2112" s="36"/>
      <c r="AB2112" s="36"/>
      <c r="AC2112" s="36"/>
      <c r="AD2112" s="36"/>
      <c r="AE2112" s="36"/>
      <c r="AF2112" s="53" t="s">
        <v>503</v>
      </c>
      <c r="AG2112" s="42"/>
      <c r="AH2112" s="43"/>
      <c r="AI2112" s="43"/>
      <c r="AJ2112" s="43"/>
      <c r="AK2112" s="43"/>
      <c r="AL2112" s="43"/>
      <c r="AM2112" s="43"/>
      <c r="AN2112" s="42"/>
      <c r="AO2112" s="42"/>
      <c r="AP2112" s="42"/>
      <c r="AQ2112" s="43"/>
      <c r="AR2112" s="42"/>
      <c r="AS2112" s="42"/>
    </row>
    <row r="2113" spans="1:45" ht="15" customHeight="1">
      <c r="A2113" s="21" t="s">
        <v>45</v>
      </c>
      <c r="B2113" s="22" t="s">
        <v>46</v>
      </c>
      <c r="C2113" s="21" t="s">
        <v>887</v>
      </c>
      <c r="D2113" s="21" t="s">
        <v>888</v>
      </c>
      <c r="E2113" s="80" t="s">
        <v>2741</v>
      </c>
      <c r="F2113" s="21" t="s">
        <v>2742</v>
      </c>
      <c r="G2113" s="101" t="s">
        <v>77</v>
      </c>
      <c r="H2113" s="25" t="s">
        <v>2743</v>
      </c>
      <c r="I2113" s="65" t="s">
        <v>2744</v>
      </c>
      <c r="J2113" s="65" t="s">
        <v>2069</v>
      </c>
      <c r="K2113" s="26" t="s">
        <v>2752</v>
      </c>
      <c r="L2113" s="48" t="s">
        <v>2746</v>
      </c>
      <c r="M2113" s="27">
        <v>44447</v>
      </c>
      <c r="N2113" s="105" t="s">
        <v>90</v>
      </c>
      <c r="O2113" s="147">
        <v>5000</v>
      </c>
      <c r="P2113" s="147">
        <v>-3</v>
      </c>
      <c r="Q2113" s="51">
        <f t="shared" si="48"/>
        <v>-15000</v>
      </c>
      <c r="R2113" s="31">
        <v>202310</v>
      </c>
      <c r="S2113" s="54" t="s">
        <v>2753</v>
      </c>
      <c r="T2113" s="33"/>
      <c r="U2113" s="32"/>
      <c r="V2113" s="54"/>
      <c r="W2113" s="52"/>
      <c r="X2113" s="52"/>
      <c r="Y2113" s="36"/>
      <c r="Z2113" s="36"/>
      <c r="AA2113" s="36"/>
      <c r="AB2113" s="36"/>
      <c r="AC2113" s="36"/>
      <c r="AD2113" s="36"/>
      <c r="AE2113" s="36"/>
      <c r="AF2113" s="53" t="s">
        <v>503</v>
      </c>
      <c r="AG2113" s="42"/>
      <c r="AH2113" s="43"/>
      <c r="AI2113" s="43"/>
      <c r="AJ2113" s="43"/>
      <c r="AK2113" s="43"/>
      <c r="AL2113" s="43"/>
      <c r="AM2113" s="43"/>
      <c r="AN2113" s="42"/>
      <c r="AO2113" s="42"/>
      <c r="AP2113" s="42"/>
      <c r="AQ2113" s="43"/>
      <c r="AR2113" s="42"/>
      <c r="AS2113" s="42"/>
    </row>
    <row r="2114" spans="1:45" ht="15" customHeight="1">
      <c r="A2114" s="21" t="s">
        <v>45</v>
      </c>
      <c r="B2114" s="22" t="s">
        <v>46</v>
      </c>
      <c r="C2114" s="21" t="s">
        <v>887</v>
      </c>
      <c r="D2114" s="21" t="s">
        <v>888</v>
      </c>
      <c r="E2114" s="80" t="s">
        <v>2741</v>
      </c>
      <c r="F2114" s="21" t="s">
        <v>2742</v>
      </c>
      <c r="G2114" s="101" t="s">
        <v>77</v>
      </c>
      <c r="H2114" s="25" t="s">
        <v>2743</v>
      </c>
      <c r="I2114" s="65" t="s">
        <v>479</v>
      </c>
      <c r="J2114" s="65" t="s">
        <v>2069</v>
      </c>
      <c r="K2114" s="26" t="s">
        <v>2754</v>
      </c>
      <c r="L2114" s="48" t="s">
        <v>2746</v>
      </c>
      <c r="M2114" s="27">
        <v>43686</v>
      </c>
      <c r="N2114" s="105" t="s">
        <v>90</v>
      </c>
      <c r="O2114" s="147">
        <v>5000</v>
      </c>
      <c r="P2114" s="147">
        <v>3</v>
      </c>
      <c r="Q2114" s="51">
        <f t="shared" si="48"/>
        <v>15000</v>
      </c>
      <c r="R2114" s="31">
        <v>202310</v>
      </c>
      <c r="S2114" s="54" t="s">
        <v>2756</v>
      </c>
      <c r="T2114" s="33"/>
      <c r="U2114" s="32"/>
      <c r="V2114" s="54"/>
      <c r="W2114" s="52"/>
      <c r="X2114" s="52"/>
      <c r="Y2114" s="36"/>
      <c r="Z2114" s="36"/>
      <c r="AA2114" s="36"/>
      <c r="AB2114" s="36"/>
      <c r="AC2114" s="36"/>
      <c r="AD2114" s="36"/>
      <c r="AE2114" s="36"/>
      <c r="AF2114" s="53" t="s">
        <v>484</v>
      </c>
      <c r="AG2114" s="42"/>
      <c r="AH2114" s="43"/>
      <c r="AI2114" s="43"/>
      <c r="AJ2114" s="43"/>
      <c r="AK2114" s="43"/>
      <c r="AL2114" s="43"/>
      <c r="AM2114" s="43"/>
      <c r="AN2114" s="42"/>
      <c r="AO2114" s="42"/>
      <c r="AP2114" s="42"/>
      <c r="AQ2114" s="43"/>
      <c r="AR2114" s="42"/>
      <c r="AS2114" s="42"/>
    </row>
    <row r="2115" spans="1:45" ht="15" customHeight="1">
      <c r="A2115" s="21" t="s">
        <v>45</v>
      </c>
      <c r="B2115" s="22" t="s">
        <v>46</v>
      </c>
      <c r="C2115" s="21" t="s">
        <v>887</v>
      </c>
      <c r="D2115" s="21" t="s">
        <v>888</v>
      </c>
      <c r="E2115" s="80" t="s">
        <v>2741</v>
      </c>
      <c r="F2115" s="21" t="s">
        <v>2742</v>
      </c>
      <c r="G2115" s="101" t="s">
        <v>77</v>
      </c>
      <c r="H2115" s="25" t="s">
        <v>2743</v>
      </c>
      <c r="I2115" s="65" t="s">
        <v>479</v>
      </c>
      <c r="J2115" s="65" t="s">
        <v>2069</v>
      </c>
      <c r="K2115" s="26" t="s">
        <v>2754</v>
      </c>
      <c r="L2115" s="48" t="s">
        <v>2746</v>
      </c>
      <c r="M2115" s="27">
        <v>44298</v>
      </c>
      <c r="N2115" s="105" t="s">
        <v>90</v>
      </c>
      <c r="O2115" s="147">
        <v>5000</v>
      </c>
      <c r="P2115" s="147">
        <v>1</v>
      </c>
      <c r="Q2115" s="51">
        <f t="shared" si="48"/>
        <v>5000</v>
      </c>
      <c r="R2115" s="31">
        <v>202310</v>
      </c>
      <c r="S2115" s="54" t="s">
        <v>2757</v>
      </c>
      <c r="T2115" s="33"/>
      <c r="U2115" s="32"/>
      <c r="V2115" s="54"/>
      <c r="W2115" s="52"/>
      <c r="X2115" s="52"/>
      <c r="Y2115" s="36"/>
      <c r="Z2115" s="36"/>
      <c r="AA2115" s="36"/>
      <c r="AB2115" s="36"/>
      <c r="AC2115" s="36"/>
      <c r="AD2115" s="36"/>
      <c r="AE2115" s="36"/>
      <c r="AF2115" s="53" t="s">
        <v>484</v>
      </c>
      <c r="AG2115" s="42"/>
      <c r="AH2115" s="43"/>
      <c r="AI2115" s="43"/>
      <c r="AJ2115" s="43"/>
      <c r="AK2115" s="43"/>
      <c r="AL2115" s="43"/>
      <c r="AM2115" s="43"/>
      <c r="AN2115" s="42"/>
      <c r="AO2115" s="42"/>
      <c r="AP2115" s="42"/>
      <c r="AQ2115" s="43"/>
      <c r="AR2115" s="42"/>
      <c r="AS2115" s="42"/>
    </row>
    <row r="2116" spans="1:45" ht="15" customHeight="1">
      <c r="A2116" s="21" t="s">
        <v>45</v>
      </c>
      <c r="B2116" s="22" t="s">
        <v>46</v>
      </c>
      <c r="C2116" s="21" t="s">
        <v>887</v>
      </c>
      <c r="D2116" s="21" t="s">
        <v>888</v>
      </c>
      <c r="E2116" s="80" t="s">
        <v>2741</v>
      </c>
      <c r="F2116" s="21" t="s">
        <v>2742</v>
      </c>
      <c r="G2116" s="101" t="s">
        <v>77</v>
      </c>
      <c r="H2116" s="25" t="s">
        <v>2743</v>
      </c>
      <c r="I2116" s="65" t="s">
        <v>479</v>
      </c>
      <c r="J2116" s="65" t="s">
        <v>2069</v>
      </c>
      <c r="K2116" s="26" t="s">
        <v>2754</v>
      </c>
      <c r="L2116" s="48" t="s">
        <v>2746</v>
      </c>
      <c r="M2116" s="27">
        <v>44729</v>
      </c>
      <c r="N2116" s="105" t="s">
        <v>90</v>
      </c>
      <c r="O2116" s="147">
        <v>5000</v>
      </c>
      <c r="P2116" s="147">
        <v>-2</v>
      </c>
      <c r="Q2116" s="51">
        <f t="shared" si="48"/>
        <v>-10000</v>
      </c>
      <c r="R2116" s="31">
        <v>202310</v>
      </c>
      <c r="S2116" s="54" t="s">
        <v>2758</v>
      </c>
      <c r="T2116" s="33"/>
      <c r="U2116" s="32"/>
      <c r="V2116" s="54"/>
      <c r="W2116" s="52"/>
      <c r="X2116" s="52"/>
      <c r="Y2116" s="36"/>
      <c r="Z2116" s="36"/>
      <c r="AA2116" s="36"/>
      <c r="AB2116" s="36"/>
      <c r="AC2116" s="36"/>
      <c r="AD2116" s="36"/>
      <c r="AE2116" s="36"/>
      <c r="AF2116" s="53" t="s">
        <v>503</v>
      </c>
      <c r="AG2116" s="42"/>
      <c r="AH2116" s="43"/>
      <c r="AI2116" s="43"/>
      <c r="AJ2116" s="43"/>
      <c r="AK2116" s="43"/>
      <c r="AL2116" s="43"/>
      <c r="AM2116" s="43"/>
      <c r="AN2116" s="42"/>
      <c r="AO2116" s="42"/>
      <c r="AP2116" s="42"/>
      <c r="AQ2116" s="43"/>
      <c r="AR2116" s="42"/>
      <c r="AS2116" s="42"/>
    </row>
    <row r="2117" spans="1:45" ht="15" customHeight="1">
      <c r="A2117" s="21" t="s">
        <v>45</v>
      </c>
      <c r="B2117" s="22" t="s">
        <v>46</v>
      </c>
      <c r="C2117" s="21" t="s">
        <v>887</v>
      </c>
      <c r="D2117" s="21" t="s">
        <v>888</v>
      </c>
      <c r="E2117" s="80" t="s">
        <v>2741</v>
      </c>
      <c r="F2117" s="21" t="s">
        <v>2742</v>
      </c>
      <c r="G2117" s="101" t="s">
        <v>165</v>
      </c>
      <c r="H2117" s="25" t="s">
        <v>2743</v>
      </c>
      <c r="I2117" s="65" t="s">
        <v>491</v>
      </c>
      <c r="J2117" s="65" t="s">
        <v>2069</v>
      </c>
      <c r="K2117" s="104" t="s">
        <v>2742</v>
      </c>
      <c r="L2117" s="48" t="s">
        <v>2746</v>
      </c>
      <c r="M2117" s="27" t="s">
        <v>851</v>
      </c>
      <c r="N2117" s="105" t="s">
        <v>168</v>
      </c>
      <c r="O2117" s="147">
        <v>0</v>
      </c>
      <c r="P2117" s="147">
        <v>544</v>
      </c>
      <c r="Q2117" s="51">
        <f t="shared" si="48"/>
        <v>0</v>
      </c>
      <c r="R2117" s="31">
        <v>202310</v>
      </c>
      <c r="S2117" s="54" t="s">
        <v>2759</v>
      </c>
      <c r="T2117" s="33"/>
      <c r="U2117" s="32"/>
      <c r="V2117" s="54"/>
      <c r="W2117" s="52"/>
      <c r="X2117" s="52"/>
      <c r="Y2117" s="36"/>
      <c r="Z2117" s="36"/>
      <c r="AA2117" s="36"/>
      <c r="AB2117" s="36"/>
      <c r="AC2117" s="36"/>
      <c r="AD2117" s="36"/>
      <c r="AE2117" s="36"/>
      <c r="AF2117" s="53" t="s">
        <v>503</v>
      </c>
      <c r="AG2117" s="42"/>
      <c r="AH2117" s="43"/>
      <c r="AI2117" s="43"/>
      <c r="AJ2117" s="43"/>
      <c r="AK2117" s="43"/>
      <c r="AL2117" s="43"/>
      <c r="AM2117" s="43"/>
      <c r="AN2117" s="42"/>
      <c r="AO2117" s="42"/>
      <c r="AP2117" s="42"/>
      <c r="AQ2117" s="43"/>
      <c r="AR2117" s="42"/>
      <c r="AS2117" s="42"/>
    </row>
    <row r="2118" spans="1:45" ht="15" customHeight="1">
      <c r="A2118" s="21" t="s">
        <v>45</v>
      </c>
      <c r="B2118" s="22" t="s">
        <v>46</v>
      </c>
      <c r="C2118" s="21" t="s">
        <v>887</v>
      </c>
      <c r="D2118" s="21" t="s">
        <v>888</v>
      </c>
      <c r="E2118" s="80" t="s">
        <v>2741</v>
      </c>
      <c r="F2118" s="21" t="s">
        <v>2742</v>
      </c>
      <c r="G2118" s="101" t="s">
        <v>165</v>
      </c>
      <c r="H2118" s="25" t="s">
        <v>2743</v>
      </c>
      <c r="I2118" s="65" t="s">
        <v>491</v>
      </c>
      <c r="J2118" s="65" t="s">
        <v>2069</v>
      </c>
      <c r="K2118" s="104" t="s">
        <v>2742</v>
      </c>
      <c r="L2118" s="48" t="s">
        <v>2746</v>
      </c>
      <c r="M2118" s="27">
        <v>44773</v>
      </c>
      <c r="N2118" s="105" t="s">
        <v>168</v>
      </c>
      <c r="O2118" s="147">
        <v>0</v>
      </c>
      <c r="P2118" s="147">
        <v>-544</v>
      </c>
      <c r="Q2118" s="51">
        <f t="shared" si="48"/>
        <v>0</v>
      </c>
      <c r="R2118" s="31">
        <v>202310</v>
      </c>
      <c r="S2118" s="54" t="s">
        <v>2760</v>
      </c>
      <c r="T2118" s="33"/>
      <c r="U2118" s="32"/>
      <c r="V2118" s="54"/>
      <c r="W2118" s="52"/>
      <c r="X2118" s="52"/>
      <c r="Y2118" s="36"/>
      <c r="Z2118" s="36"/>
      <c r="AA2118" s="36"/>
      <c r="AB2118" s="36"/>
      <c r="AC2118" s="36"/>
      <c r="AD2118" s="36"/>
      <c r="AE2118" s="36"/>
      <c r="AF2118" s="53" t="s">
        <v>503</v>
      </c>
      <c r="AG2118" s="42"/>
      <c r="AH2118" s="43"/>
      <c r="AI2118" s="43"/>
      <c r="AJ2118" s="43"/>
      <c r="AK2118" s="43"/>
      <c r="AL2118" s="43"/>
      <c r="AM2118" s="43"/>
      <c r="AN2118" s="42"/>
      <c r="AO2118" s="42"/>
      <c r="AP2118" s="42"/>
      <c r="AQ2118" s="43"/>
      <c r="AR2118" s="42"/>
      <c r="AS2118" s="42"/>
    </row>
    <row r="2119" spans="1:45" ht="15" customHeight="1">
      <c r="A2119" s="21" t="s">
        <v>45</v>
      </c>
      <c r="B2119" s="22" t="s">
        <v>46</v>
      </c>
      <c r="C2119" s="21" t="s">
        <v>887</v>
      </c>
      <c r="D2119" s="21" t="s">
        <v>888</v>
      </c>
      <c r="E2119" s="80" t="s">
        <v>2741</v>
      </c>
      <c r="F2119" s="21" t="s">
        <v>2742</v>
      </c>
      <c r="G2119" s="101" t="s">
        <v>165</v>
      </c>
      <c r="H2119" s="25" t="s">
        <v>2743</v>
      </c>
      <c r="I2119" s="65" t="s">
        <v>491</v>
      </c>
      <c r="J2119" s="65" t="s">
        <v>2069</v>
      </c>
      <c r="K2119" s="104" t="s">
        <v>2754</v>
      </c>
      <c r="L2119" s="48" t="s">
        <v>2746</v>
      </c>
      <c r="M2119" s="27" t="s">
        <v>851</v>
      </c>
      <c r="N2119" s="105" t="s">
        <v>168</v>
      </c>
      <c r="O2119" s="147">
        <v>0</v>
      </c>
      <c r="P2119" s="147">
        <v>384</v>
      </c>
      <c r="Q2119" s="51">
        <f t="shared" si="48"/>
        <v>0</v>
      </c>
      <c r="R2119" s="31">
        <v>202310</v>
      </c>
      <c r="S2119" s="54" t="s">
        <v>2761</v>
      </c>
      <c r="T2119" s="33"/>
      <c r="U2119" s="32"/>
      <c r="V2119" s="54"/>
      <c r="W2119" s="52"/>
      <c r="X2119" s="52"/>
      <c r="Y2119" s="36"/>
      <c r="Z2119" s="36"/>
      <c r="AA2119" s="36"/>
      <c r="AB2119" s="36"/>
      <c r="AC2119" s="36"/>
      <c r="AD2119" s="36"/>
      <c r="AE2119" s="36"/>
      <c r="AF2119" s="53" t="s">
        <v>1589</v>
      </c>
      <c r="AG2119" s="42"/>
      <c r="AH2119" s="43"/>
      <c r="AI2119" s="43"/>
      <c r="AJ2119" s="43"/>
      <c r="AK2119" s="43"/>
      <c r="AL2119" s="43"/>
      <c r="AM2119" s="43"/>
      <c r="AN2119" s="42"/>
      <c r="AO2119" s="42"/>
      <c r="AP2119" s="42"/>
      <c r="AQ2119" s="43"/>
      <c r="AR2119" s="42"/>
      <c r="AS2119" s="42"/>
    </row>
    <row r="2120" spans="1:45" ht="15" customHeight="1">
      <c r="A2120" s="21" t="s">
        <v>45</v>
      </c>
      <c r="B2120" s="22" t="s">
        <v>46</v>
      </c>
      <c r="C2120" s="21" t="s">
        <v>887</v>
      </c>
      <c r="D2120" s="21" t="s">
        <v>888</v>
      </c>
      <c r="E2120" s="80" t="s">
        <v>2741</v>
      </c>
      <c r="F2120" s="21" t="s">
        <v>2742</v>
      </c>
      <c r="G2120" s="101" t="s">
        <v>165</v>
      </c>
      <c r="H2120" s="25" t="s">
        <v>2743</v>
      </c>
      <c r="I2120" s="65" t="s">
        <v>491</v>
      </c>
      <c r="J2120" s="65" t="s">
        <v>2069</v>
      </c>
      <c r="K2120" s="104" t="s">
        <v>2754</v>
      </c>
      <c r="L2120" s="48" t="s">
        <v>2746</v>
      </c>
      <c r="M2120" s="27" t="s">
        <v>851</v>
      </c>
      <c r="N2120" s="105" t="s">
        <v>168</v>
      </c>
      <c r="O2120" s="147">
        <v>0</v>
      </c>
      <c r="P2120" s="147">
        <v>288</v>
      </c>
      <c r="Q2120" s="51">
        <f t="shared" si="48"/>
        <v>0</v>
      </c>
      <c r="R2120" s="31">
        <v>202310</v>
      </c>
      <c r="S2120" s="54" t="s">
        <v>2762</v>
      </c>
      <c r="T2120" s="33"/>
      <c r="U2120" s="32"/>
      <c r="V2120" s="54"/>
      <c r="W2120" s="52"/>
      <c r="X2120" s="52"/>
      <c r="Y2120" s="36"/>
      <c r="Z2120" s="36"/>
      <c r="AA2120" s="36"/>
      <c r="AB2120" s="36"/>
      <c r="AC2120" s="36"/>
      <c r="AD2120" s="36"/>
      <c r="AE2120" s="36"/>
      <c r="AF2120" s="53" t="s">
        <v>1589</v>
      </c>
      <c r="AG2120" s="42"/>
      <c r="AH2120" s="43"/>
      <c r="AI2120" s="43"/>
      <c r="AJ2120" s="43"/>
      <c r="AK2120" s="43"/>
      <c r="AL2120" s="43"/>
      <c r="AM2120" s="43"/>
      <c r="AN2120" s="42"/>
      <c r="AO2120" s="42"/>
      <c r="AP2120" s="42"/>
      <c r="AQ2120" s="43"/>
      <c r="AR2120" s="42"/>
      <c r="AS2120" s="42"/>
    </row>
    <row r="2121" spans="1:45" ht="15" customHeight="1">
      <c r="A2121" s="21" t="s">
        <v>45</v>
      </c>
      <c r="B2121" s="22" t="s">
        <v>46</v>
      </c>
      <c r="C2121" s="21" t="s">
        <v>887</v>
      </c>
      <c r="D2121" s="21" t="s">
        <v>888</v>
      </c>
      <c r="E2121" s="80" t="s">
        <v>2741</v>
      </c>
      <c r="F2121" s="21" t="s">
        <v>2742</v>
      </c>
      <c r="G2121" s="101" t="s">
        <v>165</v>
      </c>
      <c r="H2121" s="25" t="s">
        <v>2743</v>
      </c>
      <c r="I2121" s="65" t="s">
        <v>491</v>
      </c>
      <c r="J2121" s="65" t="s">
        <v>2069</v>
      </c>
      <c r="K2121" s="26" t="s">
        <v>2754</v>
      </c>
      <c r="L2121" s="48" t="s">
        <v>2746</v>
      </c>
      <c r="M2121" s="27" t="s">
        <v>851</v>
      </c>
      <c r="N2121" s="105" t="s">
        <v>656</v>
      </c>
      <c r="O2121" s="147">
        <v>0</v>
      </c>
      <c r="P2121" s="147">
        <v>0</v>
      </c>
      <c r="Q2121" s="51">
        <f t="shared" si="48"/>
        <v>0</v>
      </c>
      <c r="R2121" s="31">
        <v>202310</v>
      </c>
      <c r="S2121" s="54" t="s">
        <v>2763</v>
      </c>
      <c r="T2121" s="33"/>
      <c r="U2121" s="32"/>
      <c r="V2121" s="54"/>
      <c r="W2121" s="52"/>
      <c r="X2121" s="52"/>
      <c r="Y2121" s="36"/>
      <c r="Z2121" s="36"/>
      <c r="AA2121" s="36"/>
      <c r="AB2121" s="36"/>
      <c r="AC2121" s="36"/>
      <c r="AD2121" s="36"/>
      <c r="AE2121" s="36"/>
      <c r="AF2121" s="53" t="s">
        <v>484</v>
      </c>
      <c r="AG2121" s="42"/>
      <c r="AH2121" s="43"/>
      <c r="AI2121" s="43"/>
      <c r="AJ2121" s="43"/>
      <c r="AK2121" s="43"/>
      <c r="AL2121" s="43"/>
      <c r="AM2121" s="43"/>
      <c r="AN2121" s="42"/>
      <c r="AO2121" s="42"/>
      <c r="AP2121" s="42"/>
      <c r="AQ2121" s="43"/>
      <c r="AR2121" s="42"/>
      <c r="AS2121" s="42"/>
    </row>
    <row r="2122" spans="1:45" ht="15" customHeight="1">
      <c r="A2122" s="21" t="s">
        <v>45</v>
      </c>
      <c r="B2122" s="22" t="s">
        <v>46</v>
      </c>
      <c r="C2122" s="21" t="s">
        <v>887</v>
      </c>
      <c r="D2122" s="21" t="s">
        <v>888</v>
      </c>
      <c r="E2122" s="80" t="s">
        <v>2741</v>
      </c>
      <c r="F2122" s="21" t="s">
        <v>2742</v>
      </c>
      <c r="G2122" s="101" t="s">
        <v>165</v>
      </c>
      <c r="H2122" s="25" t="s">
        <v>2743</v>
      </c>
      <c r="I2122" s="65" t="s">
        <v>491</v>
      </c>
      <c r="J2122" s="65" t="s">
        <v>2069</v>
      </c>
      <c r="K2122" s="26" t="s">
        <v>2752</v>
      </c>
      <c r="L2122" s="48" t="s">
        <v>2746</v>
      </c>
      <c r="M2122" s="27" t="s">
        <v>851</v>
      </c>
      <c r="N2122" s="105" t="s">
        <v>168</v>
      </c>
      <c r="O2122" s="147">
        <v>0</v>
      </c>
      <c r="P2122" s="147">
        <v>544</v>
      </c>
      <c r="Q2122" s="51">
        <f t="shared" si="48"/>
        <v>0</v>
      </c>
      <c r="R2122" s="31">
        <v>202310</v>
      </c>
      <c r="S2122" s="54" t="s">
        <v>2764</v>
      </c>
      <c r="T2122" s="33"/>
      <c r="U2122" s="32"/>
      <c r="V2122" s="54"/>
      <c r="W2122" s="52"/>
      <c r="X2122" s="52"/>
      <c r="Y2122" s="36"/>
      <c r="Z2122" s="36"/>
      <c r="AA2122" s="36"/>
      <c r="AB2122" s="36"/>
      <c r="AC2122" s="36"/>
      <c r="AD2122" s="36"/>
      <c r="AE2122" s="36"/>
      <c r="AF2122" s="53" t="s">
        <v>503</v>
      </c>
      <c r="AG2122" s="42"/>
      <c r="AH2122" s="43"/>
      <c r="AI2122" s="43"/>
      <c r="AJ2122" s="43"/>
      <c r="AK2122" s="43"/>
      <c r="AL2122" s="43"/>
      <c r="AM2122" s="43"/>
      <c r="AN2122" s="42"/>
      <c r="AO2122" s="42"/>
      <c r="AP2122" s="42"/>
      <c r="AQ2122" s="43"/>
      <c r="AR2122" s="42"/>
      <c r="AS2122" s="42"/>
    </row>
    <row r="2123" spans="1:45" ht="15" customHeight="1">
      <c r="A2123" s="21" t="s">
        <v>45</v>
      </c>
      <c r="B2123" s="22" t="s">
        <v>46</v>
      </c>
      <c r="C2123" s="21" t="s">
        <v>887</v>
      </c>
      <c r="D2123" s="21" t="s">
        <v>888</v>
      </c>
      <c r="E2123" s="80" t="s">
        <v>2741</v>
      </c>
      <c r="F2123" s="21" t="s">
        <v>2742</v>
      </c>
      <c r="G2123" s="101" t="s">
        <v>165</v>
      </c>
      <c r="H2123" s="25" t="s">
        <v>2743</v>
      </c>
      <c r="I2123" s="65" t="s">
        <v>491</v>
      </c>
      <c r="J2123" s="65" t="s">
        <v>2069</v>
      </c>
      <c r="K2123" s="26" t="s">
        <v>2765</v>
      </c>
      <c r="L2123" s="48" t="s">
        <v>2766</v>
      </c>
      <c r="M2123" s="27">
        <v>44839</v>
      </c>
      <c r="N2123" s="105" t="s">
        <v>168</v>
      </c>
      <c r="O2123" s="147">
        <v>0</v>
      </c>
      <c r="P2123" s="147">
        <v>224</v>
      </c>
      <c r="Q2123" s="51">
        <f t="shared" si="48"/>
        <v>0</v>
      </c>
      <c r="R2123" s="31">
        <v>202310</v>
      </c>
      <c r="S2123" s="54" t="s">
        <v>2767</v>
      </c>
      <c r="T2123" s="33"/>
      <c r="U2123" s="32"/>
      <c r="V2123" s="54"/>
      <c r="W2123" s="52"/>
      <c r="X2123" s="52"/>
      <c r="Y2123" s="36"/>
      <c r="Z2123" s="36"/>
      <c r="AA2123" s="36"/>
      <c r="AB2123" s="36"/>
      <c r="AC2123" s="36"/>
      <c r="AD2123" s="36"/>
      <c r="AE2123" s="36"/>
      <c r="AF2123" s="148" t="s">
        <v>484</v>
      </c>
      <c r="AG2123" s="148"/>
      <c r="AH2123" s="148"/>
      <c r="AI2123" s="43"/>
      <c r="AJ2123" s="43"/>
      <c r="AK2123" s="43"/>
      <c r="AL2123" s="43"/>
      <c r="AM2123" s="43"/>
      <c r="AN2123" s="42"/>
      <c r="AO2123" s="42"/>
      <c r="AP2123" s="42"/>
      <c r="AQ2123" s="43"/>
      <c r="AR2123" s="42"/>
      <c r="AS2123" s="42"/>
    </row>
    <row r="2124" spans="1:45" ht="15" customHeight="1">
      <c r="A2124" s="21" t="s">
        <v>45</v>
      </c>
      <c r="B2124" s="22" t="s">
        <v>46</v>
      </c>
      <c r="C2124" s="21" t="s">
        <v>887</v>
      </c>
      <c r="D2124" s="21" t="s">
        <v>888</v>
      </c>
      <c r="E2124" s="80" t="s">
        <v>2741</v>
      </c>
      <c r="F2124" s="21" t="s">
        <v>2742</v>
      </c>
      <c r="G2124" s="101" t="s">
        <v>77</v>
      </c>
      <c r="H2124" s="25" t="s">
        <v>2743</v>
      </c>
      <c r="I2124" s="65" t="s">
        <v>479</v>
      </c>
      <c r="J2124" s="65" t="s">
        <v>2069</v>
      </c>
      <c r="K2124" s="26" t="s">
        <v>2765</v>
      </c>
      <c r="L2124" s="48" t="s">
        <v>2766</v>
      </c>
      <c r="M2124" s="27">
        <v>44835</v>
      </c>
      <c r="N2124" s="105" t="s">
        <v>2768</v>
      </c>
      <c r="O2124" s="147">
        <v>5000</v>
      </c>
      <c r="P2124" s="147">
        <v>1</v>
      </c>
      <c r="Q2124" s="51">
        <f t="shared" si="48"/>
        <v>5000</v>
      </c>
      <c r="R2124" s="31">
        <v>202310</v>
      </c>
      <c r="S2124" s="54" t="s">
        <v>2769</v>
      </c>
      <c r="T2124" s="33"/>
      <c r="U2124" s="32"/>
      <c r="V2124" s="54"/>
      <c r="W2124" s="52"/>
      <c r="X2124" s="52"/>
      <c r="Y2124" s="36"/>
      <c r="Z2124" s="36"/>
      <c r="AA2124" s="36"/>
      <c r="AB2124" s="36"/>
      <c r="AC2124" s="36"/>
      <c r="AD2124" s="36"/>
      <c r="AE2124" s="36"/>
      <c r="AF2124" s="53" t="s">
        <v>484</v>
      </c>
      <c r="AG2124" s="42"/>
      <c r="AH2124" s="43"/>
      <c r="AI2124" s="43"/>
      <c r="AJ2124" s="43"/>
      <c r="AK2124" s="43"/>
      <c r="AL2124" s="43"/>
      <c r="AM2124" s="43"/>
      <c r="AN2124" s="42"/>
      <c r="AO2124" s="42"/>
      <c r="AP2124" s="42"/>
      <c r="AQ2124" s="43"/>
      <c r="AR2124" s="42"/>
      <c r="AS2124" s="42"/>
    </row>
    <row r="2125" spans="1:45" ht="15" customHeight="1">
      <c r="A2125" s="21" t="s">
        <v>45</v>
      </c>
      <c r="B2125" s="22" t="s">
        <v>46</v>
      </c>
      <c r="C2125" s="21" t="s">
        <v>887</v>
      </c>
      <c r="D2125" s="21" t="s">
        <v>888</v>
      </c>
      <c r="E2125" s="80" t="s">
        <v>2741</v>
      </c>
      <c r="F2125" s="21" t="s">
        <v>2742</v>
      </c>
      <c r="G2125" s="101" t="s">
        <v>62</v>
      </c>
      <c r="H2125" s="25" t="s">
        <v>2770</v>
      </c>
      <c r="I2125" s="65" t="s">
        <v>64</v>
      </c>
      <c r="J2125" s="65" t="s">
        <v>2771</v>
      </c>
      <c r="K2125" s="104"/>
      <c r="L2125" s="48"/>
      <c r="M2125" s="27">
        <v>43556</v>
      </c>
      <c r="N2125" s="105"/>
      <c r="O2125" s="147">
        <v>350</v>
      </c>
      <c r="P2125" s="147">
        <v>85</v>
      </c>
      <c r="Q2125" s="51">
        <f t="shared" si="48"/>
        <v>29750</v>
      </c>
      <c r="R2125" s="31">
        <v>202310</v>
      </c>
      <c r="S2125" s="54" t="s">
        <v>2772</v>
      </c>
      <c r="T2125" s="33"/>
      <c r="U2125" s="54"/>
      <c r="V2125" s="54"/>
      <c r="W2125" s="52"/>
      <c r="X2125" s="52"/>
      <c r="Y2125" s="36">
        <v>45017</v>
      </c>
      <c r="Z2125" s="36">
        <v>45382</v>
      </c>
      <c r="AA2125" s="36"/>
      <c r="AB2125" s="36"/>
      <c r="AC2125" s="36"/>
      <c r="AD2125" s="36"/>
      <c r="AE2125" s="36"/>
      <c r="AF2125" s="53" t="s">
        <v>68</v>
      </c>
      <c r="AG2125" s="42"/>
      <c r="AH2125" s="43"/>
      <c r="AI2125" s="43"/>
      <c r="AJ2125" s="43"/>
      <c r="AK2125" s="43"/>
      <c r="AL2125" s="43"/>
      <c r="AM2125" s="43"/>
      <c r="AN2125" s="42"/>
      <c r="AO2125" s="42"/>
      <c r="AP2125" s="42"/>
      <c r="AQ2125" s="43"/>
      <c r="AR2125" s="42"/>
      <c r="AS2125" s="42"/>
    </row>
    <row r="2126" spans="1:45" ht="15" customHeight="1">
      <c r="A2126" s="21" t="s">
        <v>45</v>
      </c>
      <c r="B2126" s="22" t="s">
        <v>46</v>
      </c>
      <c r="C2126" s="21" t="s">
        <v>887</v>
      </c>
      <c r="D2126" s="21" t="s">
        <v>888</v>
      </c>
      <c r="E2126" s="80" t="s">
        <v>2741</v>
      </c>
      <c r="F2126" s="21" t="s">
        <v>2742</v>
      </c>
      <c r="G2126" s="101" t="s">
        <v>77</v>
      </c>
      <c r="H2126" s="25" t="s">
        <v>2770</v>
      </c>
      <c r="I2126" s="65" t="s">
        <v>479</v>
      </c>
      <c r="J2126" s="65" t="s">
        <v>2069</v>
      </c>
      <c r="K2126" s="26" t="s">
        <v>2752</v>
      </c>
      <c r="L2126" s="48" t="s">
        <v>2746</v>
      </c>
      <c r="M2126" s="27">
        <v>43556</v>
      </c>
      <c r="N2126" s="105" t="s">
        <v>90</v>
      </c>
      <c r="O2126" s="147">
        <v>5000</v>
      </c>
      <c r="P2126" s="147">
        <v>1</v>
      </c>
      <c r="Q2126" s="51">
        <f t="shared" si="48"/>
        <v>5000</v>
      </c>
      <c r="R2126" s="31">
        <v>202310</v>
      </c>
      <c r="S2126" s="54" t="s">
        <v>2773</v>
      </c>
      <c r="T2126" s="33"/>
      <c r="U2126" s="54"/>
      <c r="V2126" s="54"/>
      <c r="W2126" s="52"/>
      <c r="X2126" s="52"/>
      <c r="Y2126" s="36">
        <v>45017</v>
      </c>
      <c r="Z2126" s="36">
        <v>45382</v>
      </c>
      <c r="AA2126" s="36"/>
      <c r="AB2126" s="36"/>
      <c r="AC2126" s="36"/>
      <c r="AD2126" s="36"/>
      <c r="AE2126" s="36"/>
      <c r="AF2126" s="53" t="s">
        <v>503</v>
      </c>
      <c r="AG2126" s="42"/>
      <c r="AH2126" s="43"/>
      <c r="AI2126" s="43"/>
      <c r="AJ2126" s="43"/>
      <c r="AK2126" s="43"/>
      <c r="AL2126" s="43"/>
      <c r="AM2126" s="43"/>
      <c r="AN2126" s="42"/>
      <c r="AO2126" s="42"/>
      <c r="AP2126" s="42"/>
      <c r="AQ2126" s="43"/>
      <c r="AR2126" s="42"/>
      <c r="AS2126" s="42"/>
    </row>
    <row r="2127" spans="1:45" ht="15" customHeight="1">
      <c r="A2127" s="21" t="s">
        <v>45</v>
      </c>
      <c r="B2127" s="22" t="s">
        <v>46</v>
      </c>
      <c r="C2127" s="21" t="s">
        <v>887</v>
      </c>
      <c r="D2127" s="21" t="s">
        <v>888</v>
      </c>
      <c r="E2127" s="80" t="s">
        <v>2774</v>
      </c>
      <c r="F2127" s="21" t="s">
        <v>2775</v>
      </c>
      <c r="G2127" s="101" t="s">
        <v>77</v>
      </c>
      <c r="H2127" s="25" t="s">
        <v>2776</v>
      </c>
      <c r="I2127" s="65" t="s">
        <v>479</v>
      </c>
      <c r="J2127" s="65" t="s">
        <v>2777</v>
      </c>
      <c r="K2127" s="26" t="s">
        <v>2777</v>
      </c>
      <c r="L2127" s="48" t="s">
        <v>2778</v>
      </c>
      <c r="M2127" s="27">
        <v>43849</v>
      </c>
      <c r="N2127" s="105" t="s">
        <v>1310</v>
      </c>
      <c r="O2127" s="147">
        <v>5000</v>
      </c>
      <c r="P2127" s="147">
        <v>8</v>
      </c>
      <c r="Q2127" s="51">
        <f t="shared" si="48"/>
        <v>40000</v>
      </c>
      <c r="R2127" s="31">
        <v>202310</v>
      </c>
      <c r="S2127" s="54" t="s">
        <v>2779</v>
      </c>
      <c r="T2127" s="33"/>
      <c r="U2127" s="32"/>
      <c r="V2127" s="54"/>
      <c r="W2127" s="52"/>
      <c r="X2127" s="52"/>
      <c r="Y2127" s="36"/>
      <c r="Z2127" s="36"/>
      <c r="AA2127" s="36"/>
      <c r="AB2127" s="36"/>
      <c r="AC2127" s="36"/>
      <c r="AD2127" s="36"/>
      <c r="AE2127" s="36"/>
      <c r="AF2127" s="53" t="s">
        <v>503</v>
      </c>
      <c r="AG2127" s="42"/>
      <c r="AH2127" s="43"/>
      <c r="AI2127" s="43"/>
      <c r="AJ2127" s="43"/>
      <c r="AK2127" s="43"/>
      <c r="AL2127" s="43"/>
      <c r="AM2127" s="43"/>
      <c r="AN2127" s="42"/>
      <c r="AO2127" s="42"/>
      <c r="AP2127" s="42"/>
      <c r="AQ2127" s="43"/>
      <c r="AR2127" s="42"/>
      <c r="AS2127" s="42"/>
    </row>
    <row r="2128" spans="1:45" ht="15" customHeight="1">
      <c r="A2128" s="21" t="s">
        <v>45</v>
      </c>
      <c r="B2128" s="22" t="s">
        <v>46</v>
      </c>
      <c r="C2128" s="21" t="s">
        <v>887</v>
      </c>
      <c r="D2128" s="21" t="s">
        <v>888</v>
      </c>
      <c r="E2128" s="80" t="s">
        <v>2774</v>
      </c>
      <c r="F2128" s="21" t="s">
        <v>2775</v>
      </c>
      <c r="G2128" s="101" t="s">
        <v>77</v>
      </c>
      <c r="H2128" s="25" t="s">
        <v>2776</v>
      </c>
      <c r="I2128" s="65" t="s">
        <v>479</v>
      </c>
      <c r="J2128" s="65" t="s">
        <v>2777</v>
      </c>
      <c r="K2128" s="26" t="s">
        <v>2777</v>
      </c>
      <c r="L2128" s="48" t="s">
        <v>2778</v>
      </c>
      <c r="M2128" s="27">
        <v>44408</v>
      </c>
      <c r="N2128" s="105" t="s">
        <v>1310</v>
      </c>
      <c r="O2128" s="147">
        <v>5000</v>
      </c>
      <c r="P2128" s="147">
        <v>-2</v>
      </c>
      <c r="Q2128" s="51">
        <f t="shared" si="48"/>
        <v>-10000</v>
      </c>
      <c r="R2128" s="31">
        <v>202310</v>
      </c>
      <c r="S2128" s="54" t="s">
        <v>2780</v>
      </c>
      <c r="T2128" s="33"/>
      <c r="U2128" s="32"/>
      <c r="V2128" s="54"/>
      <c r="W2128" s="52"/>
      <c r="X2128" s="52"/>
      <c r="Y2128" s="36"/>
      <c r="Z2128" s="36"/>
      <c r="AA2128" s="36"/>
      <c r="AB2128" s="36"/>
      <c r="AC2128" s="36"/>
      <c r="AD2128" s="36"/>
      <c r="AE2128" s="36"/>
      <c r="AF2128" s="53" t="s">
        <v>503</v>
      </c>
      <c r="AG2128" s="42"/>
      <c r="AH2128" s="43"/>
      <c r="AI2128" s="43"/>
      <c r="AJ2128" s="43"/>
      <c r="AK2128" s="43"/>
      <c r="AL2128" s="43"/>
      <c r="AM2128" s="43"/>
      <c r="AN2128" s="42"/>
      <c r="AO2128" s="42"/>
      <c r="AP2128" s="42"/>
      <c r="AQ2128" s="43"/>
      <c r="AR2128" s="42"/>
      <c r="AS2128" s="42"/>
    </row>
    <row r="2129" spans="1:45" ht="15" customHeight="1">
      <c r="A2129" s="21" t="s">
        <v>45</v>
      </c>
      <c r="B2129" s="22" t="s">
        <v>46</v>
      </c>
      <c r="C2129" s="21" t="s">
        <v>887</v>
      </c>
      <c r="D2129" s="21" t="s">
        <v>888</v>
      </c>
      <c r="E2129" s="80" t="s">
        <v>2774</v>
      </c>
      <c r="F2129" s="21" t="s">
        <v>2775</v>
      </c>
      <c r="G2129" s="101" t="s">
        <v>77</v>
      </c>
      <c r="H2129" s="25" t="s">
        <v>2776</v>
      </c>
      <c r="I2129" s="65" t="s">
        <v>479</v>
      </c>
      <c r="J2129" s="65" t="s">
        <v>2777</v>
      </c>
      <c r="K2129" s="26" t="s">
        <v>2777</v>
      </c>
      <c r="L2129" s="48" t="s">
        <v>2778</v>
      </c>
      <c r="M2129" s="27">
        <v>44773</v>
      </c>
      <c r="N2129" s="105" t="s">
        <v>1310</v>
      </c>
      <c r="O2129" s="147">
        <v>5000</v>
      </c>
      <c r="P2129" s="147">
        <v>-1</v>
      </c>
      <c r="Q2129" s="51">
        <f t="shared" si="48"/>
        <v>-5000</v>
      </c>
      <c r="R2129" s="31">
        <v>202310</v>
      </c>
      <c r="S2129" s="54" t="s">
        <v>2781</v>
      </c>
      <c r="T2129" s="33"/>
      <c r="U2129" s="32"/>
      <c r="V2129" s="54"/>
      <c r="W2129" s="52"/>
      <c r="X2129" s="52"/>
      <c r="Y2129" s="36"/>
      <c r="Z2129" s="36"/>
      <c r="AA2129" s="36"/>
      <c r="AB2129" s="36"/>
      <c r="AC2129" s="36"/>
      <c r="AD2129" s="36"/>
      <c r="AE2129" s="36"/>
      <c r="AF2129" s="53" t="s">
        <v>503</v>
      </c>
      <c r="AG2129" s="42"/>
      <c r="AH2129" s="43"/>
      <c r="AI2129" s="43"/>
      <c r="AJ2129" s="43"/>
      <c r="AK2129" s="43"/>
      <c r="AL2129" s="43"/>
      <c r="AM2129" s="43"/>
      <c r="AN2129" s="42"/>
      <c r="AO2129" s="42"/>
      <c r="AP2129" s="42"/>
      <c r="AQ2129" s="43"/>
      <c r="AR2129" s="42"/>
      <c r="AS2129" s="42"/>
    </row>
    <row r="2130" spans="1:45" ht="15" customHeight="1">
      <c r="A2130" s="21" t="s">
        <v>45</v>
      </c>
      <c r="B2130" s="22" t="s">
        <v>46</v>
      </c>
      <c r="C2130" s="21" t="s">
        <v>887</v>
      </c>
      <c r="D2130" s="21" t="s">
        <v>888</v>
      </c>
      <c r="E2130" s="80" t="s">
        <v>2774</v>
      </c>
      <c r="F2130" s="21" t="s">
        <v>2775</v>
      </c>
      <c r="G2130" s="101" t="s">
        <v>77</v>
      </c>
      <c r="H2130" s="25" t="s">
        <v>2776</v>
      </c>
      <c r="I2130" s="65" t="s">
        <v>479</v>
      </c>
      <c r="J2130" s="65" t="s">
        <v>2777</v>
      </c>
      <c r="K2130" s="26" t="s">
        <v>2777</v>
      </c>
      <c r="L2130" s="48" t="s">
        <v>2778</v>
      </c>
      <c r="M2130" s="27">
        <v>45120</v>
      </c>
      <c r="N2130" s="105" t="s">
        <v>1310</v>
      </c>
      <c r="O2130" s="147">
        <v>5000</v>
      </c>
      <c r="P2130" s="147">
        <v>-2</v>
      </c>
      <c r="Q2130" s="51">
        <f>ROUND(O2130*P2130,2)</f>
        <v>-10000</v>
      </c>
      <c r="R2130" s="31">
        <v>202310</v>
      </c>
      <c r="S2130" s="54" t="s">
        <v>2782</v>
      </c>
      <c r="T2130" s="33"/>
      <c r="U2130" s="32"/>
      <c r="V2130" s="54"/>
      <c r="W2130" s="52"/>
      <c r="X2130" s="52"/>
      <c r="Y2130" s="36"/>
      <c r="Z2130" s="36"/>
      <c r="AA2130" s="36"/>
      <c r="AB2130" s="36"/>
      <c r="AC2130" s="36"/>
      <c r="AD2130" s="36"/>
      <c r="AE2130" s="36"/>
      <c r="AF2130" s="53" t="s">
        <v>503</v>
      </c>
      <c r="AG2130" s="42"/>
      <c r="AH2130" s="43"/>
      <c r="AI2130" s="43"/>
      <c r="AJ2130" s="43"/>
      <c r="AK2130" s="43"/>
      <c r="AL2130" s="43"/>
      <c r="AM2130" s="43"/>
      <c r="AN2130" s="42"/>
      <c r="AO2130" s="42"/>
      <c r="AP2130" s="42"/>
      <c r="AQ2130" s="43"/>
      <c r="AR2130" s="42"/>
      <c r="AS2130" s="42"/>
    </row>
    <row r="2131" spans="1:45" ht="15" customHeight="1">
      <c r="A2131" s="21" t="s">
        <v>45</v>
      </c>
      <c r="B2131" s="22" t="s">
        <v>46</v>
      </c>
      <c r="C2131" s="21" t="s">
        <v>887</v>
      </c>
      <c r="D2131" s="21" t="s">
        <v>888</v>
      </c>
      <c r="E2131" s="80" t="s">
        <v>2774</v>
      </c>
      <c r="F2131" s="21" t="s">
        <v>2775</v>
      </c>
      <c r="G2131" s="101" t="s">
        <v>77</v>
      </c>
      <c r="H2131" s="25" t="s">
        <v>2776</v>
      </c>
      <c r="I2131" s="65" t="s">
        <v>479</v>
      </c>
      <c r="J2131" s="65" t="s">
        <v>2777</v>
      </c>
      <c r="K2131" s="26" t="s">
        <v>2777</v>
      </c>
      <c r="L2131" s="48" t="s">
        <v>2778</v>
      </c>
      <c r="M2131" s="27">
        <v>45120</v>
      </c>
      <c r="N2131" s="105" t="s">
        <v>1310</v>
      </c>
      <c r="O2131" s="147">
        <v>5000</v>
      </c>
      <c r="P2131" s="147">
        <v>-3</v>
      </c>
      <c r="Q2131" s="51">
        <f t="shared" ref="Q2131:Q2134" si="49">ROUND(O2131*P2131,2)</f>
        <v>-15000</v>
      </c>
      <c r="R2131" s="31">
        <v>202310</v>
      </c>
      <c r="S2131" s="54" t="s">
        <v>2783</v>
      </c>
      <c r="T2131" s="33"/>
      <c r="U2131" s="32"/>
      <c r="V2131" s="54"/>
      <c r="W2131" s="52"/>
      <c r="X2131" s="52"/>
      <c r="Y2131" s="36"/>
      <c r="Z2131" s="36"/>
      <c r="AA2131" s="36"/>
      <c r="AB2131" s="36"/>
      <c r="AC2131" s="36"/>
      <c r="AD2131" s="36"/>
      <c r="AE2131" s="36"/>
      <c r="AF2131" s="53" t="s">
        <v>503</v>
      </c>
      <c r="AG2131" s="42"/>
      <c r="AH2131" s="43"/>
      <c r="AI2131" s="43"/>
      <c r="AJ2131" s="43"/>
      <c r="AK2131" s="43"/>
      <c r="AL2131" s="43"/>
      <c r="AM2131" s="43"/>
      <c r="AN2131" s="42"/>
      <c r="AO2131" s="42"/>
      <c r="AP2131" s="42"/>
      <c r="AQ2131" s="43"/>
      <c r="AR2131" s="42"/>
      <c r="AS2131" s="42"/>
    </row>
    <row r="2132" spans="1:45" ht="15" customHeight="1">
      <c r="A2132" s="21" t="s">
        <v>45</v>
      </c>
      <c r="B2132" s="22" t="s">
        <v>46</v>
      </c>
      <c r="C2132" s="21" t="s">
        <v>887</v>
      </c>
      <c r="D2132" s="21" t="s">
        <v>888</v>
      </c>
      <c r="E2132" s="80" t="s">
        <v>2774</v>
      </c>
      <c r="F2132" s="21" t="s">
        <v>2775</v>
      </c>
      <c r="G2132" s="101" t="s">
        <v>77</v>
      </c>
      <c r="H2132" s="25" t="s">
        <v>2776</v>
      </c>
      <c r="I2132" s="65" t="s">
        <v>479</v>
      </c>
      <c r="J2132" s="65" t="s">
        <v>2777</v>
      </c>
      <c r="K2132" s="26" t="s">
        <v>2777</v>
      </c>
      <c r="L2132" s="48" t="s">
        <v>2778</v>
      </c>
      <c r="M2132" s="27">
        <v>45121</v>
      </c>
      <c r="N2132" s="105" t="s">
        <v>1310</v>
      </c>
      <c r="O2132" s="147">
        <v>5000</v>
      </c>
      <c r="P2132" s="147">
        <v>3</v>
      </c>
      <c r="Q2132" s="51">
        <f t="shared" si="49"/>
        <v>15000</v>
      </c>
      <c r="R2132" s="31">
        <v>202310</v>
      </c>
      <c r="S2132" s="54" t="s">
        <v>2783</v>
      </c>
      <c r="T2132" s="33"/>
      <c r="U2132" s="32"/>
      <c r="V2132" s="54"/>
      <c r="W2132" s="52"/>
      <c r="X2132" s="52"/>
      <c r="Y2132" s="36"/>
      <c r="Z2132" s="36"/>
      <c r="AA2132" s="36"/>
      <c r="AB2132" s="36"/>
      <c r="AC2132" s="36"/>
      <c r="AD2132" s="36"/>
      <c r="AE2132" s="36"/>
      <c r="AF2132" s="53" t="s">
        <v>503</v>
      </c>
      <c r="AG2132" s="42"/>
      <c r="AH2132" s="43"/>
      <c r="AI2132" s="43"/>
      <c r="AJ2132" s="43"/>
      <c r="AK2132" s="43"/>
      <c r="AL2132" s="43"/>
      <c r="AM2132" s="43"/>
      <c r="AN2132" s="42"/>
      <c r="AO2132" s="42"/>
      <c r="AP2132" s="42"/>
      <c r="AQ2132" s="43"/>
      <c r="AR2132" s="42"/>
      <c r="AS2132" s="42"/>
    </row>
    <row r="2133" spans="1:45" ht="15" customHeight="1">
      <c r="A2133" s="21" t="s">
        <v>45</v>
      </c>
      <c r="B2133" s="22" t="s">
        <v>46</v>
      </c>
      <c r="C2133" s="21" t="s">
        <v>887</v>
      </c>
      <c r="D2133" s="21" t="s">
        <v>888</v>
      </c>
      <c r="E2133" s="80" t="s">
        <v>2774</v>
      </c>
      <c r="F2133" s="21" t="s">
        <v>2775</v>
      </c>
      <c r="G2133" s="101" t="s">
        <v>77</v>
      </c>
      <c r="H2133" s="25" t="s">
        <v>2784</v>
      </c>
      <c r="I2133" s="65" t="s">
        <v>479</v>
      </c>
      <c r="J2133" s="65" t="s">
        <v>2785</v>
      </c>
      <c r="K2133" s="65" t="s">
        <v>2785</v>
      </c>
      <c r="L2133" s="48" t="s">
        <v>2778</v>
      </c>
      <c r="M2133" s="27">
        <v>45121</v>
      </c>
      <c r="N2133" s="105" t="s">
        <v>1310</v>
      </c>
      <c r="O2133" s="147">
        <v>5000</v>
      </c>
      <c r="P2133" s="147">
        <v>2</v>
      </c>
      <c r="Q2133" s="51">
        <f t="shared" si="49"/>
        <v>10000</v>
      </c>
      <c r="R2133" s="31">
        <v>202310</v>
      </c>
      <c r="S2133" s="54" t="s">
        <v>2786</v>
      </c>
      <c r="T2133" s="33"/>
      <c r="U2133" s="32"/>
      <c r="V2133" s="54"/>
      <c r="W2133" s="52"/>
      <c r="X2133" s="52"/>
      <c r="Y2133" s="36"/>
      <c r="Z2133" s="36"/>
      <c r="AA2133" s="36"/>
      <c r="AB2133" s="36"/>
      <c r="AC2133" s="36"/>
      <c r="AD2133" s="36"/>
      <c r="AE2133" s="36"/>
      <c r="AF2133" s="53" t="s">
        <v>503</v>
      </c>
      <c r="AG2133" s="42"/>
      <c r="AH2133" s="43"/>
      <c r="AI2133" s="43"/>
      <c r="AJ2133" s="43"/>
      <c r="AK2133" s="43"/>
      <c r="AL2133" s="43"/>
      <c r="AM2133" s="43"/>
      <c r="AN2133" s="42"/>
      <c r="AO2133" s="42"/>
      <c r="AP2133" s="42"/>
      <c r="AQ2133" s="43"/>
      <c r="AR2133" s="42"/>
      <c r="AS2133" s="42"/>
    </row>
    <row r="2134" spans="1:45" ht="15" customHeight="1">
      <c r="A2134" s="21" t="s">
        <v>45</v>
      </c>
      <c r="B2134" s="22" t="s">
        <v>46</v>
      </c>
      <c r="C2134" s="21" t="s">
        <v>887</v>
      </c>
      <c r="D2134" s="21" t="s">
        <v>888</v>
      </c>
      <c r="E2134" s="80" t="s">
        <v>2774</v>
      </c>
      <c r="F2134" s="21" t="s">
        <v>2775</v>
      </c>
      <c r="G2134" s="101" t="s">
        <v>77</v>
      </c>
      <c r="H2134" s="25" t="s">
        <v>2784</v>
      </c>
      <c r="I2134" s="65" t="s">
        <v>479</v>
      </c>
      <c r="J2134" s="65" t="s">
        <v>2785</v>
      </c>
      <c r="K2134" s="65" t="s">
        <v>2785</v>
      </c>
      <c r="L2134" s="48" t="s">
        <v>2778</v>
      </c>
      <c r="M2134" s="27">
        <v>45117</v>
      </c>
      <c r="N2134" s="105" t="s">
        <v>1310</v>
      </c>
      <c r="O2134" s="147">
        <v>5000</v>
      </c>
      <c r="P2134" s="147">
        <v>1</v>
      </c>
      <c r="Q2134" s="51">
        <f t="shared" si="49"/>
        <v>5000</v>
      </c>
      <c r="R2134" s="31">
        <v>202310</v>
      </c>
      <c r="S2134" s="54" t="s">
        <v>2787</v>
      </c>
      <c r="T2134" s="33"/>
      <c r="U2134" s="32"/>
      <c r="V2134" s="54"/>
      <c r="W2134" s="52"/>
      <c r="X2134" s="52"/>
      <c r="Y2134" s="36"/>
      <c r="Z2134" s="36"/>
      <c r="AA2134" s="36"/>
      <c r="AB2134" s="36"/>
      <c r="AC2134" s="36"/>
      <c r="AD2134" s="36"/>
      <c r="AE2134" s="36"/>
      <c r="AF2134" s="53" t="s">
        <v>503</v>
      </c>
      <c r="AG2134" s="42"/>
      <c r="AH2134" s="43"/>
      <c r="AI2134" s="43"/>
      <c r="AJ2134" s="43"/>
      <c r="AK2134" s="43"/>
      <c r="AL2134" s="43"/>
      <c r="AM2134" s="43"/>
      <c r="AN2134" s="42"/>
      <c r="AO2134" s="42"/>
      <c r="AP2134" s="42"/>
      <c r="AQ2134" s="43"/>
      <c r="AR2134" s="42"/>
      <c r="AS2134" s="42"/>
    </row>
    <row r="2135" spans="1:45" ht="15" customHeight="1">
      <c r="A2135" s="21" t="s">
        <v>45</v>
      </c>
      <c r="B2135" s="22" t="s">
        <v>46</v>
      </c>
      <c r="C2135" s="21" t="s">
        <v>887</v>
      </c>
      <c r="D2135" s="21" t="s">
        <v>888</v>
      </c>
      <c r="E2135" s="80" t="s">
        <v>2774</v>
      </c>
      <c r="F2135" s="21" t="s">
        <v>2775</v>
      </c>
      <c r="G2135" s="101" t="s">
        <v>77</v>
      </c>
      <c r="H2135" s="25" t="s">
        <v>2776</v>
      </c>
      <c r="I2135" s="65" t="s">
        <v>479</v>
      </c>
      <c r="J2135" s="65" t="s">
        <v>2788</v>
      </c>
      <c r="K2135" s="26" t="s">
        <v>2789</v>
      </c>
      <c r="L2135" s="48" t="s">
        <v>2790</v>
      </c>
      <c r="M2135" s="27">
        <v>44197</v>
      </c>
      <c r="N2135" s="105" t="s">
        <v>1310</v>
      </c>
      <c r="O2135" s="147">
        <v>5000</v>
      </c>
      <c r="P2135" s="147">
        <v>4</v>
      </c>
      <c r="Q2135" s="51">
        <f t="shared" si="48"/>
        <v>20000</v>
      </c>
      <c r="R2135" s="31">
        <v>202310</v>
      </c>
      <c r="S2135" s="54" t="s">
        <v>2791</v>
      </c>
      <c r="T2135" s="33"/>
      <c r="U2135" s="32"/>
      <c r="V2135" s="54"/>
      <c r="W2135" s="52"/>
      <c r="X2135" s="52"/>
      <c r="Y2135" s="36"/>
      <c r="Z2135" s="36"/>
      <c r="AA2135" s="36"/>
      <c r="AB2135" s="36"/>
      <c r="AC2135" s="36"/>
      <c r="AD2135" s="36"/>
      <c r="AE2135" s="36"/>
      <c r="AF2135" s="53" t="s">
        <v>503</v>
      </c>
      <c r="AG2135" s="42"/>
      <c r="AH2135" s="43"/>
      <c r="AI2135" s="43"/>
      <c r="AJ2135" s="43"/>
      <c r="AK2135" s="43"/>
      <c r="AL2135" s="43"/>
      <c r="AM2135" s="43"/>
      <c r="AN2135" s="42"/>
      <c r="AO2135" s="42"/>
      <c r="AP2135" s="42"/>
      <c r="AQ2135" s="43"/>
      <c r="AR2135" s="42"/>
      <c r="AS2135" s="42"/>
    </row>
    <row r="2136" spans="1:45" ht="15" customHeight="1">
      <c r="A2136" s="21" t="s">
        <v>45</v>
      </c>
      <c r="B2136" s="22" t="s">
        <v>46</v>
      </c>
      <c r="C2136" s="21" t="s">
        <v>887</v>
      </c>
      <c r="D2136" s="21" t="s">
        <v>888</v>
      </c>
      <c r="E2136" s="80" t="s">
        <v>2774</v>
      </c>
      <c r="F2136" s="21" t="s">
        <v>2775</v>
      </c>
      <c r="G2136" s="101" t="s">
        <v>165</v>
      </c>
      <c r="H2136" s="25" t="s">
        <v>2776</v>
      </c>
      <c r="I2136" s="65" t="s">
        <v>491</v>
      </c>
      <c r="J2136" s="65" t="s">
        <v>2777</v>
      </c>
      <c r="K2136" s="26" t="s">
        <v>2777</v>
      </c>
      <c r="L2136" s="48" t="s">
        <v>2778</v>
      </c>
      <c r="M2136" s="27" t="s">
        <v>851</v>
      </c>
      <c r="N2136" s="105"/>
      <c r="O2136" s="147">
        <v>0</v>
      </c>
      <c r="P2136" s="147">
        <v>544</v>
      </c>
      <c r="Q2136" s="51">
        <f t="shared" si="48"/>
        <v>0</v>
      </c>
      <c r="R2136" s="31">
        <v>202310</v>
      </c>
      <c r="S2136" s="54" t="s">
        <v>2792</v>
      </c>
      <c r="T2136" s="33"/>
      <c r="U2136" s="32"/>
      <c r="V2136" s="54"/>
      <c r="W2136" s="52"/>
      <c r="X2136" s="52"/>
      <c r="Y2136" s="36"/>
      <c r="Z2136" s="36"/>
      <c r="AA2136" s="36"/>
      <c r="AB2136" s="36"/>
      <c r="AC2136" s="36"/>
      <c r="AD2136" s="36"/>
      <c r="AE2136" s="36"/>
      <c r="AF2136" s="53" t="s">
        <v>503</v>
      </c>
      <c r="AG2136" s="42"/>
      <c r="AH2136" s="43"/>
      <c r="AI2136" s="43"/>
      <c r="AJ2136" s="43"/>
      <c r="AK2136" s="43"/>
      <c r="AL2136" s="43"/>
      <c r="AM2136" s="43"/>
      <c r="AN2136" s="42"/>
      <c r="AO2136" s="42"/>
      <c r="AP2136" s="42"/>
      <c r="AQ2136" s="43"/>
      <c r="AR2136" s="42"/>
      <c r="AS2136" s="42"/>
    </row>
    <row r="2137" spans="1:45" ht="15" customHeight="1">
      <c r="A2137" s="21" t="s">
        <v>45</v>
      </c>
      <c r="B2137" s="22" t="s">
        <v>46</v>
      </c>
      <c r="C2137" s="21" t="s">
        <v>887</v>
      </c>
      <c r="D2137" s="21" t="s">
        <v>888</v>
      </c>
      <c r="E2137" s="80" t="s">
        <v>2774</v>
      </c>
      <c r="F2137" s="21" t="s">
        <v>2775</v>
      </c>
      <c r="G2137" s="101" t="s">
        <v>165</v>
      </c>
      <c r="H2137" s="25" t="s">
        <v>2776</v>
      </c>
      <c r="I2137" s="65" t="s">
        <v>491</v>
      </c>
      <c r="J2137" s="65" t="s">
        <v>2777</v>
      </c>
      <c r="K2137" s="26" t="s">
        <v>2777</v>
      </c>
      <c r="L2137" s="48" t="s">
        <v>2778</v>
      </c>
      <c r="M2137" s="27">
        <v>44773</v>
      </c>
      <c r="N2137" s="105"/>
      <c r="O2137" s="147">
        <v>0</v>
      </c>
      <c r="P2137" s="147">
        <v>-256</v>
      </c>
      <c r="Q2137" s="51">
        <f t="shared" si="48"/>
        <v>0</v>
      </c>
      <c r="R2137" s="31">
        <v>202310</v>
      </c>
      <c r="S2137" s="54" t="s">
        <v>2793</v>
      </c>
      <c r="T2137" s="33"/>
      <c r="U2137" s="32"/>
      <c r="V2137" s="54"/>
      <c r="W2137" s="52"/>
      <c r="X2137" s="52"/>
      <c r="Y2137" s="36"/>
      <c r="Z2137" s="36"/>
      <c r="AA2137" s="36"/>
      <c r="AB2137" s="36"/>
      <c r="AC2137" s="36"/>
      <c r="AD2137" s="36"/>
      <c r="AE2137" s="36"/>
      <c r="AF2137" s="53" t="s">
        <v>503</v>
      </c>
      <c r="AG2137" s="42"/>
      <c r="AH2137" s="43"/>
      <c r="AI2137" s="43"/>
      <c r="AJ2137" s="43"/>
      <c r="AK2137" s="43"/>
      <c r="AL2137" s="43"/>
      <c r="AM2137" s="43"/>
      <c r="AN2137" s="42"/>
      <c r="AO2137" s="42"/>
      <c r="AP2137" s="42"/>
      <c r="AQ2137" s="43"/>
      <c r="AR2137" s="42"/>
      <c r="AS2137" s="42"/>
    </row>
    <row r="2138" spans="1:45" ht="15" customHeight="1">
      <c r="A2138" s="21" t="s">
        <v>45</v>
      </c>
      <c r="B2138" s="22" t="s">
        <v>46</v>
      </c>
      <c r="C2138" s="21" t="s">
        <v>887</v>
      </c>
      <c r="D2138" s="21" t="s">
        <v>888</v>
      </c>
      <c r="E2138" s="80" t="s">
        <v>2774</v>
      </c>
      <c r="F2138" s="21" t="s">
        <v>2775</v>
      </c>
      <c r="G2138" s="101" t="s">
        <v>165</v>
      </c>
      <c r="H2138" s="25" t="s">
        <v>2776</v>
      </c>
      <c r="I2138" s="65" t="s">
        <v>491</v>
      </c>
      <c r="J2138" s="65" t="s">
        <v>2777</v>
      </c>
      <c r="K2138" s="26" t="s">
        <v>2777</v>
      </c>
      <c r="L2138" s="48" t="s">
        <v>2778</v>
      </c>
      <c r="M2138" s="27">
        <v>45138</v>
      </c>
      <c r="N2138" s="105"/>
      <c r="O2138" s="147">
        <v>0</v>
      </c>
      <c r="P2138" s="147">
        <v>-128</v>
      </c>
      <c r="Q2138" s="30">
        <f t="shared" si="48"/>
        <v>0</v>
      </c>
      <c r="R2138" s="31">
        <v>202310</v>
      </c>
      <c r="S2138" s="54" t="s">
        <v>2794</v>
      </c>
      <c r="T2138" s="33"/>
      <c r="U2138" s="32"/>
      <c r="V2138" s="54"/>
      <c r="W2138" s="52"/>
      <c r="X2138" s="52"/>
      <c r="Y2138" s="36"/>
      <c r="Z2138" s="36"/>
      <c r="AA2138" s="36"/>
      <c r="AB2138" s="36"/>
      <c r="AC2138" s="36"/>
      <c r="AD2138" s="36"/>
      <c r="AE2138" s="36"/>
      <c r="AF2138" s="53" t="s">
        <v>503</v>
      </c>
      <c r="AG2138" s="42"/>
      <c r="AH2138" s="43"/>
      <c r="AI2138" s="43"/>
      <c r="AJ2138" s="43"/>
      <c r="AK2138" s="43"/>
      <c r="AL2138" s="43"/>
      <c r="AM2138" s="43"/>
      <c r="AN2138" s="42"/>
      <c r="AO2138" s="42"/>
      <c r="AP2138" s="42"/>
      <c r="AQ2138" s="43"/>
      <c r="AR2138" s="42"/>
      <c r="AS2138" s="42"/>
    </row>
    <row r="2139" spans="1:45" ht="15" customHeight="1">
      <c r="A2139" s="21" t="s">
        <v>45</v>
      </c>
      <c r="B2139" s="22" t="s">
        <v>46</v>
      </c>
      <c r="C2139" s="21" t="s">
        <v>887</v>
      </c>
      <c r="D2139" s="21" t="s">
        <v>888</v>
      </c>
      <c r="E2139" s="80" t="s">
        <v>2774</v>
      </c>
      <c r="F2139" s="21" t="s">
        <v>2775</v>
      </c>
      <c r="G2139" s="101" t="s">
        <v>165</v>
      </c>
      <c r="H2139" s="25" t="s">
        <v>2784</v>
      </c>
      <c r="I2139" s="65" t="s">
        <v>491</v>
      </c>
      <c r="J2139" s="65" t="s">
        <v>2785</v>
      </c>
      <c r="K2139" s="65" t="s">
        <v>2785</v>
      </c>
      <c r="L2139" s="48" t="s">
        <v>2778</v>
      </c>
      <c r="M2139" s="27">
        <v>45121</v>
      </c>
      <c r="N2139" s="105"/>
      <c r="O2139" s="147">
        <v>0</v>
      </c>
      <c r="P2139" s="147">
        <v>160</v>
      </c>
      <c r="Q2139" s="51">
        <f t="shared" si="48"/>
        <v>0</v>
      </c>
      <c r="R2139" s="31">
        <v>202310</v>
      </c>
      <c r="S2139" s="54" t="s">
        <v>2795</v>
      </c>
      <c r="T2139" s="33"/>
      <c r="U2139" s="32"/>
      <c r="V2139" s="54"/>
      <c r="W2139" s="52"/>
      <c r="X2139" s="52"/>
      <c r="Y2139" s="36"/>
      <c r="Z2139" s="36"/>
      <c r="AA2139" s="36"/>
      <c r="AB2139" s="36"/>
      <c r="AC2139" s="36"/>
      <c r="AD2139" s="36"/>
      <c r="AE2139" s="36"/>
      <c r="AF2139" s="53" t="s">
        <v>503</v>
      </c>
      <c r="AG2139" s="42"/>
      <c r="AH2139" s="43"/>
      <c r="AI2139" s="43"/>
      <c r="AJ2139" s="43"/>
      <c r="AK2139" s="43"/>
      <c r="AL2139" s="43"/>
      <c r="AM2139" s="43"/>
      <c r="AN2139" s="42"/>
      <c r="AO2139" s="42"/>
      <c r="AP2139" s="42"/>
      <c r="AQ2139" s="43"/>
      <c r="AR2139" s="42"/>
      <c r="AS2139" s="42"/>
    </row>
    <row r="2140" spans="1:45" ht="15" customHeight="1">
      <c r="A2140" s="21" t="s">
        <v>45</v>
      </c>
      <c r="B2140" s="22" t="s">
        <v>46</v>
      </c>
      <c r="C2140" s="21" t="s">
        <v>887</v>
      </c>
      <c r="D2140" s="21" t="s">
        <v>888</v>
      </c>
      <c r="E2140" s="80" t="s">
        <v>2774</v>
      </c>
      <c r="F2140" s="21" t="s">
        <v>2775</v>
      </c>
      <c r="G2140" s="101" t="s">
        <v>165</v>
      </c>
      <c r="H2140" s="25" t="s">
        <v>2784</v>
      </c>
      <c r="I2140" s="65" t="s">
        <v>491</v>
      </c>
      <c r="J2140" s="65" t="s">
        <v>2785</v>
      </c>
      <c r="K2140" s="65" t="s">
        <v>2785</v>
      </c>
      <c r="L2140" s="48" t="s">
        <v>2778</v>
      </c>
      <c r="M2140" s="27">
        <v>45121</v>
      </c>
      <c r="N2140" s="105" t="s">
        <v>646</v>
      </c>
      <c r="O2140" s="147">
        <v>0</v>
      </c>
      <c r="P2140" s="147">
        <v>0</v>
      </c>
      <c r="Q2140" s="51">
        <f t="shared" si="48"/>
        <v>0</v>
      </c>
      <c r="R2140" s="31">
        <v>202310</v>
      </c>
      <c r="S2140" s="54" t="s">
        <v>2796</v>
      </c>
      <c r="T2140" s="33"/>
      <c r="U2140" s="32"/>
      <c r="V2140" s="54"/>
      <c r="W2140" s="52"/>
      <c r="X2140" s="52"/>
      <c r="Y2140" s="36"/>
      <c r="Z2140" s="36"/>
      <c r="AA2140" s="36"/>
      <c r="AB2140" s="36"/>
      <c r="AC2140" s="36"/>
      <c r="AD2140" s="36"/>
      <c r="AE2140" s="36"/>
      <c r="AF2140" s="53" t="s">
        <v>503</v>
      </c>
      <c r="AG2140" s="42"/>
      <c r="AH2140" s="43"/>
      <c r="AI2140" s="43"/>
      <c r="AJ2140" s="43"/>
      <c r="AK2140" s="43"/>
      <c r="AL2140" s="43"/>
      <c r="AM2140" s="43"/>
      <c r="AN2140" s="42"/>
      <c r="AO2140" s="42"/>
      <c r="AP2140" s="42"/>
      <c r="AQ2140" s="43"/>
      <c r="AR2140" s="42"/>
      <c r="AS2140" s="42"/>
    </row>
    <row r="2141" spans="1:45" ht="15" customHeight="1">
      <c r="A2141" s="21" t="s">
        <v>45</v>
      </c>
      <c r="B2141" s="22" t="s">
        <v>46</v>
      </c>
      <c r="C2141" s="21" t="s">
        <v>887</v>
      </c>
      <c r="D2141" s="21" t="s">
        <v>888</v>
      </c>
      <c r="E2141" s="80" t="s">
        <v>2774</v>
      </c>
      <c r="F2141" s="21" t="s">
        <v>2775</v>
      </c>
      <c r="G2141" s="101" t="s">
        <v>165</v>
      </c>
      <c r="H2141" s="25" t="s">
        <v>2776</v>
      </c>
      <c r="I2141" s="65" t="s">
        <v>491</v>
      </c>
      <c r="J2141" s="65" t="s">
        <v>2788</v>
      </c>
      <c r="K2141" s="26" t="s">
        <v>2797</v>
      </c>
      <c r="L2141" s="48" t="s">
        <v>2778</v>
      </c>
      <c r="M2141" s="27">
        <v>44228</v>
      </c>
      <c r="N2141" s="105"/>
      <c r="O2141" s="147">
        <v>0</v>
      </c>
      <c r="P2141" s="147">
        <v>288</v>
      </c>
      <c r="Q2141" s="51">
        <v>0</v>
      </c>
      <c r="R2141" s="31">
        <v>202310</v>
      </c>
      <c r="S2141" s="54" t="s">
        <v>2798</v>
      </c>
      <c r="T2141" s="33"/>
      <c r="U2141" s="32"/>
      <c r="V2141" s="42"/>
      <c r="W2141" s="43"/>
      <c r="X2141" s="43"/>
      <c r="Y2141" s="36"/>
      <c r="Z2141" s="36"/>
      <c r="AA2141" s="36"/>
      <c r="AB2141" s="36"/>
      <c r="AC2141" s="36"/>
      <c r="AD2141" s="36"/>
      <c r="AE2141" s="36"/>
      <c r="AF2141" s="53" t="s">
        <v>503</v>
      </c>
      <c r="AG2141" s="42"/>
      <c r="AH2141" s="43"/>
      <c r="AI2141" s="43"/>
      <c r="AJ2141" s="43"/>
      <c r="AK2141" s="43"/>
      <c r="AL2141" s="43"/>
      <c r="AM2141" s="43"/>
      <c r="AN2141" s="42"/>
      <c r="AO2141" s="42"/>
      <c r="AP2141" s="42"/>
      <c r="AQ2141" s="43"/>
      <c r="AR2141" s="42"/>
      <c r="AS2141" s="42"/>
    </row>
    <row r="2142" spans="1:45" ht="15" customHeight="1">
      <c r="A2142" s="21" t="s">
        <v>45</v>
      </c>
      <c r="B2142" s="22" t="s">
        <v>46</v>
      </c>
      <c r="C2142" s="21" t="s">
        <v>887</v>
      </c>
      <c r="D2142" s="21" t="s">
        <v>888</v>
      </c>
      <c r="E2142" s="80" t="s">
        <v>2774</v>
      </c>
      <c r="F2142" s="21" t="s">
        <v>2775</v>
      </c>
      <c r="G2142" s="101" t="s">
        <v>165</v>
      </c>
      <c r="H2142" s="25" t="s">
        <v>2799</v>
      </c>
      <c r="I2142" s="65" t="s">
        <v>491</v>
      </c>
      <c r="J2142" s="65" t="s">
        <v>2800</v>
      </c>
      <c r="K2142" s="65" t="s">
        <v>2800</v>
      </c>
      <c r="L2142" s="48" t="s">
        <v>1570</v>
      </c>
      <c r="M2142" s="27" t="s">
        <v>851</v>
      </c>
      <c r="N2142" s="105" t="s">
        <v>168</v>
      </c>
      <c r="O2142" s="147"/>
      <c r="P2142" s="147">
        <v>256</v>
      </c>
      <c r="Q2142" s="51">
        <f t="shared" ref="Q2142:Q2149" si="50">ROUND(O2142*P2142,2)</f>
        <v>0</v>
      </c>
      <c r="R2142" s="31">
        <v>202310</v>
      </c>
      <c r="S2142" s="110" t="s">
        <v>2801</v>
      </c>
      <c r="T2142" s="33"/>
      <c r="U2142" s="54"/>
      <c r="V2142" s="54"/>
      <c r="W2142" s="52"/>
      <c r="X2142" s="52"/>
      <c r="Y2142" s="36"/>
      <c r="Z2142" s="36"/>
      <c r="AA2142" s="36"/>
      <c r="AB2142" s="36"/>
      <c r="AC2142" s="36"/>
      <c r="AD2142" s="36"/>
      <c r="AE2142" s="36"/>
      <c r="AF2142" s="53" t="s">
        <v>484</v>
      </c>
      <c r="AG2142" s="42"/>
      <c r="AH2142" s="43"/>
      <c r="AI2142" s="43"/>
      <c r="AJ2142" s="43"/>
      <c r="AK2142" s="43"/>
      <c r="AL2142" s="43"/>
      <c r="AM2142" s="43"/>
      <c r="AN2142" s="42"/>
      <c r="AO2142" s="42"/>
      <c r="AP2142" s="42"/>
      <c r="AQ2142" s="43"/>
      <c r="AR2142" s="42"/>
      <c r="AS2142" s="42"/>
    </row>
    <row r="2143" spans="1:45" ht="15" customHeight="1">
      <c r="A2143" s="20" t="s">
        <v>45</v>
      </c>
      <c r="B2143" s="21" t="s">
        <v>46</v>
      </c>
      <c r="C2143" s="22" t="s">
        <v>887</v>
      </c>
      <c r="D2143" s="21" t="s">
        <v>888</v>
      </c>
      <c r="E2143" s="23" t="s">
        <v>2802</v>
      </c>
      <c r="F2143" s="20" t="s">
        <v>2803</v>
      </c>
      <c r="G2143" s="20" t="s">
        <v>165</v>
      </c>
      <c r="H2143" s="25" t="s">
        <v>2804</v>
      </c>
      <c r="I2143" s="24" t="s">
        <v>491</v>
      </c>
      <c r="J2143" s="20" t="s">
        <v>2805</v>
      </c>
      <c r="K2143" s="26" t="s">
        <v>2806</v>
      </c>
      <c r="L2143" s="20" t="s">
        <v>2807</v>
      </c>
      <c r="M2143" s="156">
        <v>44967</v>
      </c>
      <c r="N2143" s="20" t="s">
        <v>653</v>
      </c>
      <c r="O2143" s="28">
        <v>0</v>
      </c>
      <c r="P2143" s="29">
        <v>1536</v>
      </c>
      <c r="Q2143" s="30">
        <f t="shared" si="50"/>
        <v>0</v>
      </c>
      <c r="R2143" s="31">
        <v>202310</v>
      </c>
      <c r="S2143" s="32" t="s">
        <v>2808</v>
      </c>
      <c r="T2143" s="33"/>
      <c r="U2143" s="32"/>
      <c r="V2143" s="32"/>
      <c r="W2143" s="35"/>
      <c r="X2143" s="35"/>
      <c r="Y2143" s="36"/>
      <c r="Z2143" s="36"/>
      <c r="AA2143" s="36"/>
      <c r="AB2143" s="36"/>
      <c r="AC2143" s="36"/>
      <c r="AD2143" s="36"/>
      <c r="AE2143" s="36"/>
      <c r="AF2143" s="40" t="s">
        <v>484</v>
      </c>
      <c r="AG2143" s="42"/>
      <c r="AH2143" s="42"/>
      <c r="AI2143" s="43"/>
      <c r="AJ2143" s="43"/>
      <c r="AK2143" s="43"/>
      <c r="AL2143" s="43"/>
      <c r="AM2143" s="43"/>
      <c r="AN2143" s="42"/>
      <c r="AO2143" s="42"/>
      <c r="AP2143" s="42"/>
      <c r="AQ2143" s="42"/>
      <c r="AR2143" s="42"/>
      <c r="AS2143" s="42"/>
    </row>
    <row r="2144" spans="1:45" ht="15" customHeight="1">
      <c r="A2144" s="20" t="s">
        <v>45</v>
      </c>
      <c r="B2144" s="21" t="s">
        <v>46</v>
      </c>
      <c r="C2144" s="22" t="s">
        <v>887</v>
      </c>
      <c r="D2144" s="21" t="s">
        <v>888</v>
      </c>
      <c r="E2144" s="23" t="s">
        <v>2802</v>
      </c>
      <c r="F2144" s="20" t="s">
        <v>2803</v>
      </c>
      <c r="G2144" s="20" t="s">
        <v>165</v>
      </c>
      <c r="H2144" s="25" t="s">
        <v>2804</v>
      </c>
      <c r="I2144" s="24" t="s">
        <v>491</v>
      </c>
      <c r="J2144" s="20" t="s">
        <v>2805</v>
      </c>
      <c r="K2144" s="26" t="s">
        <v>2806</v>
      </c>
      <c r="L2144" s="20" t="s">
        <v>2807</v>
      </c>
      <c r="M2144" s="156">
        <v>45073</v>
      </c>
      <c r="N2144" s="20" t="s">
        <v>653</v>
      </c>
      <c r="O2144" s="28">
        <v>0</v>
      </c>
      <c r="P2144" s="29">
        <v>-512</v>
      </c>
      <c r="Q2144" s="30">
        <f t="shared" si="50"/>
        <v>0</v>
      </c>
      <c r="R2144" s="31">
        <v>202310</v>
      </c>
      <c r="S2144" s="32" t="s">
        <v>2809</v>
      </c>
      <c r="T2144" s="33"/>
      <c r="U2144" s="32"/>
      <c r="V2144" s="32"/>
      <c r="W2144" s="35"/>
      <c r="X2144" s="35"/>
      <c r="Y2144" s="36"/>
      <c r="Z2144" s="36"/>
      <c r="AA2144" s="36"/>
      <c r="AB2144" s="36"/>
      <c r="AC2144" s="36"/>
      <c r="AD2144" s="36"/>
      <c r="AE2144" s="36"/>
      <c r="AF2144" s="40" t="s">
        <v>484</v>
      </c>
      <c r="AG2144" s="42"/>
      <c r="AH2144" s="42"/>
      <c r="AI2144" s="43"/>
      <c r="AJ2144" s="43"/>
      <c r="AK2144" s="43"/>
      <c r="AL2144" s="43"/>
      <c r="AM2144" s="43"/>
      <c r="AN2144" s="42"/>
      <c r="AO2144" s="42"/>
      <c r="AP2144" s="42"/>
      <c r="AQ2144" s="42"/>
      <c r="AR2144" s="42"/>
      <c r="AS2144" s="42"/>
    </row>
    <row r="2145" spans="1:45" ht="15" customHeight="1">
      <c r="A2145" s="20" t="s">
        <v>45</v>
      </c>
      <c r="B2145" s="21" t="s">
        <v>46</v>
      </c>
      <c r="C2145" s="22" t="s">
        <v>887</v>
      </c>
      <c r="D2145" s="21" t="s">
        <v>888</v>
      </c>
      <c r="E2145" s="23" t="s">
        <v>2802</v>
      </c>
      <c r="F2145" s="20" t="s">
        <v>2803</v>
      </c>
      <c r="G2145" s="20" t="s">
        <v>165</v>
      </c>
      <c r="H2145" s="25" t="s">
        <v>2804</v>
      </c>
      <c r="I2145" s="24" t="s">
        <v>491</v>
      </c>
      <c r="J2145" s="20" t="s">
        <v>2805</v>
      </c>
      <c r="K2145" s="26" t="s">
        <v>2806</v>
      </c>
      <c r="L2145" s="20" t="s">
        <v>2807</v>
      </c>
      <c r="M2145" s="156">
        <v>44967</v>
      </c>
      <c r="N2145" s="20" t="s">
        <v>656</v>
      </c>
      <c r="O2145" s="28">
        <v>0</v>
      </c>
      <c r="P2145" s="29">
        <v>0</v>
      </c>
      <c r="Q2145" s="30">
        <f t="shared" si="50"/>
        <v>0</v>
      </c>
      <c r="R2145" s="31">
        <v>202310</v>
      </c>
      <c r="S2145" s="32" t="s">
        <v>2810</v>
      </c>
      <c r="T2145" s="33"/>
      <c r="U2145" s="32"/>
      <c r="V2145" s="32"/>
      <c r="W2145" s="35"/>
      <c r="X2145" s="35"/>
      <c r="Y2145" s="36"/>
      <c r="Z2145" s="36"/>
      <c r="AA2145" s="36"/>
      <c r="AB2145" s="36"/>
      <c r="AC2145" s="36"/>
      <c r="AD2145" s="36"/>
      <c r="AE2145" s="36"/>
      <c r="AF2145" s="40" t="s">
        <v>484</v>
      </c>
      <c r="AG2145" s="42"/>
      <c r="AH2145" s="42"/>
      <c r="AI2145" s="43"/>
      <c r="AJ2145" s="43"/>
      <c r="AK2145" s="43"/>
      <c r="AL2145" s="43"/>
      <c r="AM2145" s="43"/>
      <c r="AN2145" s="42"/>
      <c r="AO2145" s="42"/>
      <c r="AP2145" s="42"/>
      <c r="AQ2145" s="42"/>
      <c r="AR2145" s="42"/>
      <c r="AS2145" s="42"/>
    </row>
    <row r="2146" spans="1:45" ht="15" customHeight="1">
      <c r="A2146" s="20" t="s">
        <v>45</v>
      </c>
      <c r="B2146" s="21" t="s">
        <v>46</v>
      </c>
      <c r="C2146" s="22" t="s">
        <v>887</v>
      </c>
      <c r="D2146" s="21" t="s">
        <v>888</v>
      </c>
      <c r="E2146" s="23" t="s">
        <v>2802</v>
      </c>
      <c r="F2146" s="20" t="s">
        <v>2803</v>
      </c>
      <c r="G2146" s="20" t="s">
        <v>77</v>
      </c>
      <c r="H2146" s="25" t="s">
        <v>2811</v>
      </c>
      <c r="I2146" s="24" t="s">
        <v>2812</v>
      </c>
      <c r="J2146" s="20" t="s">
        <v>2805</v>
      </c>
      <c r="K2146" s="26" t="s">
        <v>2806</v>
      </c>
      <c r="L2146" s="20" t="s">
        <v>2807</v>
      </c>
      <c r="M2146" s="156">
        <v>44967</v>
      </c>
      <c r="N2146" s="20" t="s">
        <v>2768</v>
      </c>
      <c r="O2146" s="28">
        <v>5900</v>
      </c>
      <c r="P2146" s="29">
        <v>3</v>
      </c>
      <c r="Q2146" s="51">
        <f t="shared" si="50"/>
        <v>17700</v>
      </c>
      <c r="R2146" s="31">
        <v>202310</v>
      </c>
      <c r="S2146" s="32" t="s">
        <v>2813</v>
      </c>
      <c r="T2146" s="33"/>
      <c r="U2146" s="32"/>
      <c r="V2146" s="32"/>
      <c r="W2146" s="35"/>
      <c r="X2146" s="35"/>
      <c r="Y2146" s="36"/>
      <c r="Z2146" s="36"/>
      <c r="AA2146" s="36"/>
      <c r="AB2146" s="36"/>
      <c r="AC2146" s="36"/>
      <c r="AD2146" s="36"/>
      <c r="AE2146" s="36"/>
      <c r="AF2146" s="40" t="s">
        <v>484</v>
      </c>
      <c r="AG2146" s="42"/>
      <c r="AH2146" s="42"/>
      <c r="AI2146" s="43"/>
      <c r="AJ2146" s="43"/>
      <c r="AK2146" s="43"/>
      <c r="AL2146" s="43"/>
      <c r="AM2146" s="43"/>
      <c r="AN2146" s="42"/>
      <c r="AO2146" s="42"/>
      <c r="AP2146" s="42"/>
      <c r="AQ2146" s="42"/>
      <c r="AR2146" s="42"/>
      <c r="AS2146" s="42"/>
    </row>
    <row r="2147" spans="1:45" ht="15" customHeight="1">
      <c r="A2147" s="20" t="s">
        <v>45</v>
      </c>
      <c r="B2147" s="21" t="s">
        <v>46</v>
      </c>
      <c r="C2147" s="22" t="s">
        <v>887</v>
      </c>
      <c r="D2147" s="21" t="s">
        <v>888</v>
      </c>
      <c r="E2147" s="23" t="s">
        <v>2802</v>
      </c>
      <c r="F2147" s="20" t="s">
        <v>2803</v>
      </c>
      <c r="G2147" s="20" t="s">
        <v>77</v>
      </c>
      <c r="H2147" s="25" t="s">
        <v>2804</v>
      </c>
      <c r="I2147" s="24" t="s">
        <v>2812</v>
      </c>
      <c r="J2147" s="20" t="s">
        <v>2805</v>
      </c>
      <c r="K2147" s="26" t="s">
        <v>2806</v>
      </c>
      <c r="L2147" s="20" t="s">
        <v>2807</v>
      </c>
      <c r="M2147" s="156">
        <v>45016</v>
      </c>
      <c r="N2147" s="20" t="s">
        <v>2768</v>
      </c>
      <c r="O2147" s="28">
        <v>5900</v>
      </c>
      <c r="P2147" s="29">
        <v>-1</v>
      </c>
      <c r="Q2147" s="51">
        <f t="shared" si="50"/>
        <v>-5900</v>
      </c>
      <c r="R2147" s="31">
        <v>202310</v>
      </c>
      <c r="S2147" s="32" t="s">
        <v>2814</v>
      </c>
      <c r="T2147" s="33"/>
      <c r="U2147" s="32"/>
      <c r="V2147" s="32"/>
      <c r="W2147" s="35"/>
      <c r="X2147" s="35"/>
      <c r="Y2147" s="36"/>
      <c r="Z2147" s="36"/>
      <c r="AA2147" s="36"/>
      <c r="AB2147" s="36"/>
      <c r="AC2147" s="36"/>
      <c r="AD2147" s="36"/>
      <c r="AE2147" s="36"/>
      <c r="AF2147" s="40" t="s">
        <v>484</v>
      </c>
      <c r="AG2147" s="42"/>
      <c r="AH2147" s="42"/>
      <c r="AI2147" s="43"/>
      <c r="AJ2147" s="43"/>
      <c r="AK2147" s="43"/>
      <c r="AL2147" s="43"/>
      <c r="AM2147" s="43"/>
      <c r="AN2147" s="42"/>
      <c r="AO2147" s="42"/>
      <c r="AP2147" s="42"/>
      <c r="AQ2147" s="42"/>
      <c r="AR2147" s="42"/>
      <c r="AS2147" s="42"/>
    </row>
    <row r="2148" spans="1:45" ht="15" customHeight="1">
      <c r="A2148" s="20" t="s">
        <v>45</v>
      </c>
      <c r="B2148" s="21" t="s">
        <v>46</v>
      </c>
      <c r="C2148" s="22" t="s">
        <v>887</v>
      </c>
      <c r="D2148" s="21" t="s">
        <v>888</v>
      </c>
      <c r="E2148" s="23" t="s">
        <v>2802</v>
      </c>
      <c r="F2148" s="20" t="s">
        <v>2803</v>
      </c>
      <c r="G2148" s="20" t="s">
        <v>165</v>
      </c>
      <c r="H2148" s="25" t="s">
        <v>2815</v>
      </c>
      <c r="I2148" s="24" t="s">
        <v>491</v>
      </c>
      <c r="J2148" s="20" t="s">
        <v>2805</v>
      </c>
      <c r="K2148" s="26" t="s">
        <v>2816</v>
      </c>
      <c r="L2148" s="20" t="s">
        <v>2807</v>
      </c>
      <c r="M2148" s="156">
        <v>45057</v>
      </c>
      <c r="N2148" s="20"/>
      <c r="O2148" s="28">
        <v>0</v>
      </c>
      <c r="P2148" s="29">
        <v>512</v>
      </c>
      <c r="Q2148" s="30">
        <f t="shared" si="50"/>
        <v>0</v>
      </c>
      <c r="R2148" s="31">
        <v>202310</v>
      </c>
      <c r="S2148" s="32" t="s">
        <v>2817</v>
      </c>
      <c r="T2148" s="33"/>
      <c r="U2148" s="32"/>
      <c r="V2148" s="32"/>
      <c r="W2148" s="35"/>
      <c r="X2148" s="35"/>
      <c r="Y2148" s="36"/>
      <c r="Z2148" s="36"/>
      <c r="AA2148" s="36"/>
      <c r="AB2148" s="36"/>
      <c r="AC2148" s="36"/>
      <c r="AD2148" s="36"/>
      <c r="AE2148" s="36"/>
      <c r="AF2148" s="40" t="s">
        <v>484</v>
      </c>
      <c r="AG2148" s="42"/>
      <c r="AH2148" s="42"/>
      <c r="AI2148" s="43"/>
      <c r="AJ2148" s="43"/>
      <c r="AK2148" s="43"/>
      <c r="AL2148" s="43"/>
      <c r="AM2148" s="43"/>
      <c r="AN2148" s="42"/>
      <c r="AO2148" s="42"/>
      <c r="AP2148" s="42"/>
      <c r="AQ2148" s="42"/>
      <c r="AR2148" s="42"/>
      <c r="AS2148" s="42"/>
    </row>
    <row r="2149" spans="1:45" ht="15" customHeight="1">
      <c r="A2149" s="21" t="s">
        <v>45</v>
      </c>
      <c r="B2149" s="22" t="s">
        <v>46</v>
      </c>
      <c r="C2149" s="21" t="s">
        <v>887</v>
      </c>
      <c r="D2149" s="21" t="s">
        <v>888</v>
      </c>
      <c r="E2149" s="80" t="s">
        <v>2818</v>
      </c>
      <c r="F2149" s="21" t="s">
        <v>2819</v>
      </c>
      <c r="G2149" s="101" t="s">
        <v>77</v>
      </c>
      <c r="H2149" s="25" t="s">
        <v>2820</v>
      </c>
      <c r="I2149" s="65" t="s">
        <v>479</v>
      </c>
      <c r="J2149" s="65" t="s">
        <v>2821</v>
      </c>
      <c r="K2149" s="26" t="s">
        <v>2822</v>
      </c>
      <c r="L2149" s="48" t="s">
        <v>2823</v>
      </c>
      <c r="M2149" s="27">
        <v>45022</v>
      </c>
      <c r="N2149" s="105" t="s">
        <v>2824</v>
      </c>
      <c r="O2149" s="147">
        <v>5900</v>
      </c>
      <c r="P2149" s="147">
        <v>1</v>
      </c>
      <c r="Q2149" s="51">
        <f t="shared" si="50"/>
        <v>5900</v>
      </c>
      <c r="R2149" s="31">
        <v>202310</v>
      </c>
      <c r="S2149" s="54" t="s">
        <v>2825</v>
      </c>
      <c r="T2149" s="33"/>
      <c r="U2149" s="54"/>
      <c r="V2149" s="54"/>
      <c r="W2149" s="52"/>
      <c r="X2149" s="52"/>
      <c r="Y2149" s="36"/>
      <c r="Z2149" s="36"/>
      <c r="AA2149" s="36"/>
      <c r="AB2149" s="36"/>
      <c r="AC2149" s="36"/>
      <c r="AD2149" s="36"/>
      <c r="AE2149" s="36"/>
      <c r="AF2149" s="53" t="s">
        <v>503</v>
      </c>
      <c r="AG2149" s="42"/>
      <c r="AH2149" s="43"/>
      <c r="AI2149" s="43"/>
      <c r="AJ2149" s="43"/>
      <c r="AK2149" s="43"/>
      <c r="AL2149" s="43"/>
      <c r="AM2149" s="43"/>
      <c r="AN2149" s="42"/>
      <c r="AO2149" s="42"/>
      <c r="AP2149" s="42"/>
      <c r="AQ2149" s="43"/>
      <c r="AR2149" s="42"/>
      <c r="AS2149" s="42"/>
    </row>
    <row r="2150" spans="1:45" ht="15" customHeight="1">
      <c r="A2150" s="21" t="s">
        <v>45</v>
      </c>
      <c r="B2150" s="22" t="s">
        <v>46</v>
      </c>
      <c r="C2150" s="21" t="s">
        <v>887</v>
      </c>
      <c r="D2150" s="21" t="s">
        <v>888</v>
      </c>
      <c r="E2150" s="80" t="s">
        <v>2818</v>
      </c>
      <c r="F2150" s="21" t="s">
        <v>2819</v>
      </c>
      <c r="G2150" s="101" t="s">
        <v>165</v>
      </c>
      <c r="H2150" s="25" t="s">
        <v>2820</v>
      </c>
      <c r="I2150" s="65" t="s">
        <v>491</v>
      </c>
      <c r="J2150" s="65" t="s">
        <v>2821</v>
      </c>
      <c r="K2150" s="26" t="s">
        <v>2822</v>
      </c>
      <c r="L2150" s="48" t="s">
        <v>2823</v>
      </c>
      <c r="M2150" s="27">
        <v>45022</v>
      </c>
      <c r="N2150" s="105"/>
      <c r="O2150" s="147">
        <v>0</v>
      </c>
      <c r="P2150" s="147">
        <v>512</v>
      </c>
      <c r="Q2150" s="51">
        <f>ROUND(O2150*P2150*25/30,2)</f>
        <v>0</v>
      </c>
      <c r="R2150" s="31">
        <v>202310</v>
      </c>
      <c r="S2150" s="54" t="s">
        <v>2826</v>
      </c>
      <c r="T2150" s="33"/>
      <c r="U2150" s="54"/>
      <c r="V2150" s="54"/>
      <c r="W2150" s="52"/>
      <c r="X2150" s="52"/>
      <c r="Y2150" s="36"/>
      <c r="Z2150" s="36"/>
      <c r="AA2150" s="36"/>
      <c r="AB2150" s="36"/>
      <c r="AC2150" s="36"/>
      <c r="AD2150" s="36"/>
      <c r="AE2150" s="36"/>
      <c r="AF2150" s="53" t="s">
        <v>503</v>
      </c>
      <c r="AG2150" s="42"/>
      <c r="AH2150" s="43"/>
      <c r="AI2150" s="43"/>
      <c r="AJ2150" s="43"/>
      <c r="AK2150" s="43"/>
      <c r="AL2150" s="43"/>
      <c r="AM2150" s="43"/>
      <c r="AN2150" s="42"/>
      <c r="AO2150" s="42"/>
      <c r="AP2150" s="42"/>
      <c r="AQ2150" s="43"/>
      <c r="AR2150" s="42"/>
      <c r="AS2150" s="42"/>
    </row>
    <row r="2151" spans="1:45" ht="15" customHeight="1">
      <c r="A2151" s="22" t="s">
        <v>45</v>
      </c>
      <c r="B2151" s="21" t="s">
        <v>46</v>
      </c>
      <c r="C2151" s="22" t="s">
        <v>47</v>
      </c>
      <c r="D2151" s="22" t="s">
        <v>48</v>
      </c>
      <c r="E2151" s="175" t="s">
        <v>49</v>
      </c>
      <c r="F2151" s="20" t="s">
        <v>50</v>
      </c>
      <c r="G2151" s="101" t="s">
        <v>77</v>
      </c>
      <c r="H2151" s="25" t="s">
        <v>2827</v>
      </c>
      <c r="I2151" s="20" t="s">
        <v>479</v>
      </c>
      <c r="J2151" s="20" t="s">
        <v>47</v>
      </c>
      <c r="K2151" s="26" t="s">
        <v>2828</v>
      </c>
      <c r="L2151" s="48" t="s">
        <v>2829</v>
      </c>
      <c r="M2151" s="27">
        <v>44011</v>
      </c>
      <c r="N2151" s="105" t="s">
        <v>177</v>
      </c>
      <c r="O2151" s="28">
        <v>6000</v>
      </c>
      <c r="P2151" s="29">
        <v>3</v>
      </c>
      <c r="Q2151" s="51">
        <f t="shared" ref="Q2151:Q2214" si="51">ROUND(O2151*P2151,2)</f>
        <v>18000</v>
      </c>
      <c r="R2151" s="31">
        <v>202310</v>
      </c>
      <c r="S2151" s="54" t="s">
        <v>2830</v>
      </c>
      <c r="T2151" s="33"/>
      <c r="U2151" s="110"/>
      <c r="V2151" s="54"/>
      <c r="W2151" s="52"/>
      <c r="X2151" s="52"/>
      <c r="Y2151" s="36"/>
      <c r="Z2151" s="36"/>
      <c r="AA2151" s="36"/>
      <c r="AB2151" s="36"/>
      <c r="AC2151" s="36"/>
      <c r="AD2151" s="36"/>
      <c r="AE2151" s="36"/>
      <c r="AF2151" s="40" t="s">
        <v>503</v>
      </c>
      <c r="AG2151" s="42"/>
      <c r="AH2151" s="42"/>
      <c r="AI2151" s="43"/>
      <c r="AJ2151" s="43"/>
      <c r="AK2151" s="43"/>
      <c r="AL2151" s="43"/>
      <c r="AM2151" s="43"/>
      <c r="AN2151" s="42"/>
      <c r="AO2151" s="42"/>
      <c r="AP2151" s="42"/>
      <c r="AQ2151" s="43"/>
      <c r="AR2151" s="42"/>
      <c r="AS2151" s="42" t="s">
        <v>2831</v>
      </c>
    </row>
    <row r="2152" spans="1:45" ht="15" customHeight="1">
      <c r="A2152" s="22" t="s">
        <v>45</v>
      </c>
      <c r="B2152" s="21" t="s">
        <v>46</v>
      </c>
      <c r="C2152" s="22" t="s">
        <v>47</v>
      </c>
      <c r="D2152" s="22" t="s">
        <v>48</v>
      </c>
      <c r="E2152" s="175" t="s">
        <v>49</v>
      </c>
      <c r="F2152" s="20" t="s">
        <v>50</v>
      </c>
      <c r="G2152" s="101" t="s">
        <v>77</v>
      </c>
      <c r="H2152" s="25" t="s">
        <v>2827</v>
      </c>
      <c r="I2152" s="20" t="s">
        <v>479</v>
      </c>
      <c r="J2152" s="20" t="s">
        <v>47</v>
      </c>
      <c r="K2152" s="26" t="s">
        <v>2828</v>
      </c>
      <c r="L2152" s="48" t="s">
        <v>2829</v>
      </c>
      <c r="M2152" s="27">
        <v>44792</v>
      </c>
      <c r="N2152" s="105" t="s">
        <v>177</v>
      </c>
      <c r="O2152" s="28">
        <v>6000</v>
      </c>
      <c r="P2152" s="29">
        <v>-2</v>
      </c>
      <c r="Q2152" s="51">
        <f t="shared" si="51"/>
        <v>-12000</v>
      </c>
      <c r="R2152" s="31">
        <v>202310</v>
      </c>
      <c r="S2152" s="54" t="s">
        <v>2832</v>
      </c>
      <c r="T2152" s="33"/>
      <c r="U2152" s="54"/>
      <c r="V2152" s="54"/>
      <c r="W2152" s="52"/>
      <c r="X2152" s="52"/>
      <c r="Y2152" s="36"/>
      <c r="Z2152" s="36"/>
      <c r="AA2152" s="36"/>
      <c r="AB2152" s="36"/>
      <c r="AC2152" s="36"/>
      <c r="AD2152" s="36"/>
      <c r="AE2152" s="36"/>
      <c r="AF2152" s="40" t="s">
        <v>503</v>
      </c>
      <c r="AG2152" s="42"/>
      <c r="AH2152" s="42"/>
      <c r="AI2152" s="43"/>
      <c r="AJ2152" s="43"/>
      <c r="AK2152" s="43"/>
      <c r="AL2152" s="43"/>
      <c r="AM2152" s="43"/>
      <c r="AN2152" s="42"/>
      <c r="AO2152" s="42"/>
      <c r="AP2152" s="42"/>
      <c r="AQ2152" s="43"/>
      <c r="AR2152" s="42"/>
      <c r="AS2152" s="42" t="s">
        <v>2831</v>
      </c>
    </row>
    <row r="2153" spans="1:45" ht="15" customHeight="1">
      <c r="A2153" s="22" t="s">
        <v>45</v>
      </c>
      <c r="B2153" s="21" t="s">
        <v>46</v>
      </c>
      <c r="C2153" s="22" t="s">
        <v>47</v>
      </c>
      <c r="D2153" s="22" t="s">
        <v>48</v>
      </c>
      <c r="E2153" s="175" t="s">
        <v>49</v>
      </c>
      <c r="F2153" s="20" t="s">
        <v>50</v>
      </c>
      <c r="G2153" s="101" t="s">
        <v>165</v>
      </c>
      <c r="H2153" s="25" t="s">
        <v>2827</v>
      </c>
      <c r="I2153" s="20" t="s">
        <v>491</v>
      </c>
      <c r="J2153" s="20" t="s">
        <v>47</v>
      </c>
      <c r="K2153" s="26" t="s">
        <v>2828</v>
      </c>
      <c r="L2153" s="48" t="s">
        <v>2829</v>
      </c>
      <c r="M2153" s="27">
        <v>44011</v>
      </c>
      <c r="N2153" s="105"/>
      <c r="O2153" s="28">
        <v>0</v>
      </c>
      <c r="P2153" s="29">
        <v>48</v>
      </c>
      <c r="Q2153" s="51">
        <f t="shared" si="51"/>
        <v>0</v>
      </c>
      <c r="R2153" s="31">
        <v>202310</v>
      </c>
      <c r="S2153" s="54" t="s">
        <v>2833</v>
      </c>
      <c r="T2153" s="33"/>
      <c r="U2153" s="110"/>
      <c r="V2153" s="54"/>
      <c r="W2153" s="52"/>
      <c r="X2153" s="52"/>
      <c r="Y2153" s="36"/>
      <c r="Z2153" s="36"/>
      <c r="AA2153" s="36"/>
      <c r="AB2153" s="36"/>
      <c r="AC2153" s="36"/>
      <c r="AD2153" s="36"/>
      <c r="AE2153" s="36"/>
      <c r="AF2153" s="40" t="s">
        <v>503</v>
      </c>
      <c r="AG2153" s="42"/>
      <c r="AH2153" s="42"/>
      <c r="AI2153" s="43"/>
      <c r="AJ2153" s="43"/>
      <c r="AK2153" s="43"/>
      <c r="AL2153" s="43"/>
      <c r="AM2153" s="43"/>
      <c r="AN2153" s="42"/>
      <c r="AO2153" s="42"/>
      <c r="AP2153" s="42"/>
      <c r="AQ2153" s="43"/>
      <c r="AR2153" s="42"/>
      <c r="AS2153" s="42" t="s">
        <v>2831</v>
      </c>
    </row>
    <row r="2154" spans="1:45" ht="15" customHeight="1">
      <c r="A2154" s="22" t="s">
        <v>45</v>
      </c>
      <c r="B2154" s="21" t="s">
        <v>46</v>
      </c>
      <c r="C2154" s="22" t="s">
        <v>47</v>
      </c>
      <c r="D2154" s="22" t="s">
        <v>48</v>
      </c>
      <c r="E2154" s="175" t="s">
        <v>49</v>
      </c>
      <c r="F2154" s="20" t="s">
        <v>50</v>
      </c>
      <c r="G2154" s="101" t="s">
        <v>165</v>
      </c>
      <c r="H2154" s="25" t="s">
        <v>2827</v>
      </c>
      <c r="I2154" s="20" t="s">
        <v>491</v>
      </c>
      <c r="J2154" s="20" t="s">
        <v>47</v>
      </c>
      <c r="K2154" s="26" t="s">
        <v>2828</v>
      </c>
      <c r="L2154" s="48" t="s">
        <v>2829</v>
      </c>
      <c r="M2154" s="27">
        <v>44011</v>
      </c>
      <c r="N2154" s="105"/>
      <c r="O2154" s="28">
        <v>0</v>
      </c>
      <c r="P2154" s="29">
        <v>240</v>
      </c>
      <c r="Q2154" s="51">
        <f t="shared" si="51"/>
        <v>0</v>
      </c>
      <c r="R2154" s="31">
        <v>202310</v>
      </c>
      <c r="S2154" s="54" t="s">
        <v>2833</v>
      </c>
      <c r="T2154" s="33"/>
      <c r="U2154" s="54"/>
      <c r="V2154" s="54"/>
      <c r="W2154" s="52"/>
      <c r="X2154" s="52"/>
      <c r="Y2154" s="36"/>
      <c r="Z2154" s="36"/>
      <c r="AA2154" s="36"/>
      <c r="AB2154" s="36"/>
      <c r="AC2154" s="36"/>
      <c r="AD2154" s="36"/>
      <c r="AE2154" s="36"/>
      <c r="AF2154" s="40" t="s">
        <v>503</v>
      </c>
      <c r="AG2154" s="42"/>
      <c r="AH2154" s="42"/>
      <c r="AI2154" s="43"/>
      <c r="AJ2154" s="43"/>
      <c r="AK2154" s="43"/>
      <c r="AL2154" s="43"/>
      <c r="AM2154" s="43"/>
      <c r="AN2154" s="42"/>
      <c r="AO2154" s="42"/>
      <c r="AP2154" s="42"/>
      <c r="AQ2154" s="43"/>
      <c r="AR2154" s="42"/>
      <c r="AS2154" s="42" t="s">
        <v>2831</v>
      </c>
    </row>
    <row r="2155" spans="1:45" ht="15" customHeight="1">
      <c r="A2155" s="22" t="s">
        <v>45</v>
      </c>
      <c r="B2155" s="21" t="s">
        <v>46</v>
      </c>
      <c r="C2155" s="22" t="s">
        <v>47</v>
      </c>
      <c r="D2155" s="22" t="s">
        <v>48</v>
      </c>
      <c r="E2155" s="175" t="s">
        <v>49</v>
      </c>
      <c r="F2155" s="20" t="s">
        <v>50</v>
      </c>
      <c r="G2155" s="101" t="s">
        <v>165</v>
      </c>
      <c r="H2155" s="25" t="s">
        <v>2827</v>
      </c>
      <c r="I2155" s="20" t="s">
        <v>491</v>
      </c>
      <c r="J2155" s="20" t="s">
        <v>47</v>
      </c>
      <c r="K2155" s="26" t="s">
        <v>2828</v>
      </c>
      <c r="L2155" s="48" t="s">
        <v>2829</v>
      </c>
      <c r="M2155" s="27">
        <v>44804</v>
      </c>
      <c r="N2155" s="105"/>
      <c r="O2155" s="28">
        <v>0</v>
      </c>
      <c r="P2155" s="29">
        <v>-32</v>
      </c>
      <c r="Q2155" s="51">
        <f t="shared" si="51"/>
        <v>0</v>
      </c>
      <c r="R2155" s="31">
        <v>202310</v>
      </c>
      <c r="S2155" s="54" t="s">
        <v>2834</v>
      </c>
      <c r="T2155" s="33"/>
      <c r="U2155" s="54"/>
      <c r="V2155" s="54"/>
      <c r="W2155" s="52"/>
      <c r="X2155" s="52"/>
      <c r="Y2155" s="36"/>
      <c r="Z2155" s="36"/>
      <c r="AA2155" s="36"/>
      <c r="AB2155" s="36"/>
      <c r="AC2155" s="36"/>
      <c r="AD2155" s="36"/>
      <c r="AE2155" s="36"/>
      <c r="AF2155" s="40" t="s">
        <v>503</v>
      </c>
      <c r="AG2155" s="42"/>
      <c r="AH2155" s="42"/>
      <c r="AI2155" s="43"/>
      <c r="AJ2155" s="43"/>
      <c r="AK2155" s="43"/>
      <c r="AL2155" s="43"/>
      <c r="AM2155" s="43"/>
      <c r="AN2155" s="42"/>
      <c r="AO2155" s="42"/>
      <c r="AP2155" s="42"/>
      <c r="AQ2155" s="43"/>
      <c r="AR2155" s="42"/>
      <c r="AS2155" s="42" t="s">
        <v>2831</v>
      </c>
    </row>
    <row r="2156" spans="1:45" ht="15" customHeight="1">
      <c r="A2156" s="22" t="s">
        <v>45</v>
      </c>
      <c r="B2156" s="21" t="s">
        <v>46</v>
      </c>
      <c r="C2156" s="22" t="s">
        <v>47</v>
      </c>
      <c r="D2156" s="22" t="s">
        <v>48</v>
      </c>
      <c r="E2156" s="175" t="s">
        <v>49</v>
      </c>
      <c r="F2156" s="20" t="s">
        <v>50</v>
      </c>
      <c r="G2156" s="101" t="s">
        <v>165</v>
      </c>
      <c r="H2156" s="25" t="s">
        <v>2827</v>
      </c>
      <c r="I2156" s="20" t="s">
        <v>491</v>
      </c>
      <c r="J2156" s="20" t="s">
        <v>47</v>
      </c>
      <c r="K2156" s="26" t="s">
        <v>2828</v>
      </c>
      <c r="L2156" s="48" t="s">
        <v>2829</v>
      </c>
      <c r="M2156" s="27">
        <v>44804</v>
      </c>
      <c r="N2156" s="105"/>
      <c r="O2156" s="28">
        <v>0</v>
      </c>
      <c r="P2156" s="29">
        <v>-96</v>
      </c>
      <c r="Q2156" s="51">
        <f t="shared" si="51"/>
        <v>0</v>
      </c>
      <c r="R2156" s="31">
        <v>202310</v>
      </c>
      <c r="S2156" s="54" t="s">
        <v>2835</v>
      </c>
      <c r="T2156" s="33"/>
      <c r="U2156" s="54"/>
      <c r="V2156" s="54"/>
      <c r="W2156" s="52"/>
      <c r="X2156" s="52"/>
      <c r="Y2156" s="36"/>
      <c r="Z2156" s="36"/>
      <c r="AA2156" s="36"/>
      <c r="AB2156" s="36"/>
      <c r="AC2156" s="36"/>
      <c r="AD2156" s="36"/>
      <c r="AE2156" s="36"/>
      <c r="AF2156" s="40" t="s">
        <v>503</v>
      </c>
      <c r="AG2156" s="42"/>
      <c r="AH2156" s="42"/>
      <c r="AI2156" s="43"/>
      <c r="AJ2156" s="43"/>
      <c r="AK2156" s="43"/>
      <c r="AL2156" s="43"/>
      <c r="AM2156" s="43"/>
      <c r="AN2156" s="42"/>
      <c r="AO2156" s="42"/>
      <c r="AP2156" s="42"/>
      <c r="AQ2156" s="43"/>
      <c r="AR2156" s="42"/>
      <c r="AS2156" s="42" t="s">
        <v>2831</v>
      </c>
    </row>
    <row r="2157" spans="1:45" ht="15" customHeight="1">
      <c r="A2157" s="56" t="s">
        <v>45</v>
      </c>
      <c r="B2157" s="21" t="s">
        <v>46</v>
      </c>
      <c r="C2157" s="57" t="s">
        <v>814</v>
      </c>
      <c r="D2157" s="22" t="s">
        <v>48</v>
      </c>
      <c r="E2157" s="58" t="s">
        <v>2836</v>
      </c>
      <c r="F2157" s="56" t="s">
        <v>2837</v>
      </c>
      <c r="G2157" s="26" t="s">
        <v>165</v>
      </c>
      <c r="H2157" s="25" t="s">
        <v>2838</v>
      </c>
      <c r="I2157" s="26" t="s">
        <v>491</v>
      </c>
      <c r="J2157" s="59" t="s">
        <v>2837</v>
      </c>
      <c r="K2157" s="59" t="s">
        <v>2837</v>
      </c>
      <c r="L2157" s="48" t="s">
        <v>2839</v>
      </c>
      <c r="M2157" s="49">
        <v>42736</v>
      </c>
      <c r="N2157" s="49" t="s">
        <v>168</v>
      </c>
      <c r="O2157" s="60">
        <v>0</v>
      </c>
      <c r="P2157" s="61">
        <v>128</v>
      </c>
      <c r="Q2157" s="51">
        <f t="shared" si="51"/>
        <v>0</v>
      </c>
      <c r="R2157" s="31">
        <v>202310</v>
      </c>
      <c r="S2157" s="62" t="s">
        <v>2840</v>
      </c>
      <c r="T2157" s="33"/>
      <c r="U2157" s="58"/>
      <c r="V2157" s="58"/>
      <c r="W2157" s="63"/>
      <c r="X2157" s="63"/>
      <c r="Y2157" s="36"/>
      <c r="Z2157" s="36"/>
      <c r="AA2157" s="36"/>
      <c r="AB2157" s="36"/>
      <c r="AC2157" s="36"/>
      <c r="AD2157" s="36"/>
      <c r="AE2157" s="36"/>
      <c r="AF2157" s="40" t="s">
        <v>1589</v>
      </c>
      <c r="AG2157" s="42"/>
      <c r="AH2157" s="42"/>
      <c r="AI2157" s="43"/>
      <c r="AJ2157" s="43"/>
      <c r="AK2157" s="43"/>
      <c r="AL2157" s="43"/>
      <c r="AM2157" s="43"/>
      <c r="AN2157" s="42"/>
      <c r="AO2157" s="42"/>
      <c r="AP2157" s="42"/>
      <c r="AQ2157" s="43"/>
      <c r="AR2157" s="42"/>
      <c r="AS2157" s="42"/>
    </row>
    <row r="2158" spans="1:45" ht="15" customHeight="1">
      <c r="A2158" s="56" t="s">
        <v>45</v>
      </c>
      <c r="B2158" s="21" t="s">
        <v>46</v>
      </c>
      <c r="C2158" s="57" t="s">
        <v>814</v>
      </c>
      <c r="D2158" s="22" t="s">
        <v>48</v>
      </c>
      <c r="E2158" s="58" t="s">
        <v>2841</v>
      </c>
      <c r="F2158" s="56" t="s">
        <v>2837</v>
      </c>
      <c r="G2158" s="26" t="s">
        <v>165</v>
      </c>
      <c r="H2158" s="25" t="s">
        <v>2838</v>
      </c>
      <c r="I2158" s="26" t="s">
        <v>491</v>
      </c>
      <c r="J2158" s="59" t="s">
        <v>2837</v>
      </c>
      <c r="K2158" s="59" t="s">
        <v>2837</v>
      </c>
      <c r="L2158" s="48" t="s">
        <v>2839</v>
      </c>
      <c r="M2158" s="49">
        <v>42736</v>
      </c>
      <c r="N2158" s="49" t="s">
        <v>168</v>
      </c>
      <c r="O2158" s="60">
        <v>0</v>
      </c>
      <c r="P2158" s="61">
        <v>128</v>
      </c>
      <c r="Q2158" s="51">
        <f t="shared" si="51"/>
        <v>0</v>
      </c>
      <c r="R2158" s="31">
        <v>202310</v>
      </c>
      <c r="S2158" s="62" t="s">
        <v>2842</v>
      </c>
      <c r="T2158" s="33"/>
      <c r="U2158" s="58"/>
      <c r="V2158" s="58"/>
      <c r="W2158" s="63"/>
      <c r="X2158" s="63"/>
      <c r="Y2158" s="36"/>
      <c r="Z2158" s="36"/>
      <c r="AA2158" s="36"/>
      <c r="AB2158" s="36"/>
      <c r="AC2158" s="36"/>
      <c r="AD2158" s="36"/>
      <c r="AE2158" s="36"/>
      <c r="AF2158" s="40" t="s">
        <v>1589</v>
      </c>
      <c r="AG2158" s="42"/>
      <c r="AH2158" s="42"/>
      <c r="AI2158" s="43"/>
      <c r="AJ2158" s="43"/>
      <c r="AK2158" s="43"/>
      <c r="AL2158" s="43"/>
      <c r="AM2158" s="43"/>
      <c r="AN2158" s="42"/>
      <c r="AO2158" s="42"/>
      <c r="AP2158" s="42"/>
      <c r="AQ2158" s="43"/>
      <c r="AR2158" s="42"/>
      <c r="AS2158" s="42"/>
    </row>
    <row r="2159" spans="1:45" ht="15" customHeight="1">
      <c r="A2159" s="56" t="s">
        <v>45</v>
      </c>
      <c r="B2159" s="21" t="s">
        <v>46</v>
      </c>
      <c r="C2159" s="57" t="s">
        <v>814</v>
      </c>
      <c r="D2159" s="22" t="s">
        <v>48</v>
      </c>
      <c r="E2159" s="58" t="s">
        <v>2841</v>
      </c>
      <c r="F2159" s="56" t="s">
        <v>2837</v>
      </c>
      <c r="G2159" s="26" t="s">
        <v>165</v>
      </c>
      <c r="H2159" s="25" t="s">
        <v>2838</v>
      </c>
      <c r="I2159" s="26" t="s">
        <v>491</v>
      </c>
      <c r="J2159" s="59" t="s">
        <v>2837</v>
      </c>
      <c r="K2159" s="59" t="s">
        <v>2837</v>
      </c>
      <c r="L2159" s="48" t="s">
        <v>2839</v>
      </c>
      <c r="M2159" s="49">
        <v>42736</v>
      </c>
      <c r="N2159" s="49" t="s">
        <v>168</v>
      </c>
      <c r="O2159" s="60">
        <v>0</v>
      </c>
      <c r="P2159" s="61">
        <f>128-32</f>
        <v>96</v>
      </c>
      <c r="Q2159" s="51">
        <f t="shared" si="51"/>
        <v>0</v>
      </c>
      <c r="R2159" s="31">
        <v>202310</v>
      </c>
      <c r="S2159" s="62" t="s">
        <v>2843</v>
      </c>
      <c r="T2159" s="33"/>
      <c r="U2159" s="58"/>
      <c r="V2159" s="58"/>
      <c r="W2159" s="63"/>
      <c r="X2159" s="63"/>
      <c r="Y2159" s="36"/>
      <c r="Z2159" s="36"/>
      <c r="AA2159" s="36"/>
      <c r="AB2159" s="36"/>
      <c r="AC2159" s="36"/>
      <c r="AD2159" s="36"/>
      <c r="AE2159" s="36"/>
      <c r="AF2159" s="40" t="s">
        <v>2344</v>
      </c>
      <c r="AG2159" s="42"/>
      <c r="AH2159" s="42"/>
      <c r="AI2159" s="43"/>
      <c r="AJ2159" s="43"/>
      <c r="AK2159" s="43"/>
      <c r="AL2159" s="43"/>
      <c r="AM2159" s="43"/>
      <c r="AN2159" s="42"/>
      <c r="AO2159" s="42"/>
      <c r="AP2159" s="42"/>
      <c r="AQ2159" s="43"/>
      <c r="AR2159" s="42"/>
      <c r="AS2159" s="42"/>
    </row>
    <row r="2160" spans="1:45" ht="15" customHeight="1">
      <c r="A2160" s="56" t="s">
        <v>45</v>
      </c>
      <c r="B2160" s="21" t="s">
        <v>46</v>
      </c>
      <c r="C2160" s="57" t="s">
        <v>814</v>
      </c>
      <c r="D2160" s="22" t="s">
        <v>48</v>
      </c>
      <c r="E2160" s="58" t="s">
        <v>2841</v>
      </c>
      <c r="F2160" s="56" t="s">
        <v>2837</v>
      </c>
      <c r="G2160" s="26" t="s">
        <v>165</v>
      </c>
      <c r="H2160" s="25" t="s">
        <v>2838</v>
      </c>
      <c r="I2160" s="26" t="s">
        <v>491</v>
      </c>
      <c r="J2160" s="59" t="s">
        <v>2837</v>
      </c>
      <c r="K2160" s="59" t="s">
        <v>2837</v>
      </c>
      <c r="L2160" s="48" t="s">
        <v>2839</v>
      </c>
      <c r="M2160" s="49">
        <v>42736</v>
      </c>
      <c r="N2160" s="49" t="s">
        <v>168</v>
      </c>
      <c r="O2160" s="60">
        <v>50</v>
      </c>
      <c r="P2160" s="61">
        <f>384-352</f>
        <v>32</v>
      </c>
      <c r="Q2160" s="51">
        <f t="shared" si="51"/>
        <v>1600</v>
      </c>
      <c r="R2160" s="31">
        <v>202310</v>
      </c>
      <c r="S2160" s="62" t="s">
        <v>2843</v>
      </c>
      <c r="T2160" s="33"/>
      <c r="U2160" s="58"/>
      <c r="V2160" s="58"/>
      <c r="W2160" s="63"/>
      <c r="X2160" s="63"/>
      <c r="Y2160" s="36"/>
      <c r="Z2160" s="36"/>
      <c r="AA2160" s="36"/>
      <c r="AB2160" s="36"/>
      <c r="AC2160" s="36"/>
      <c r="AD2160" s="36"/>
      <c r="AE2160" s="36"/>
      <c r="AF2160" s="40" t="s">
        <v>2344</v>
      </c>
      <c r="AG2160" s="42"/>
      <c r="AH2160" s="42"/>
      <c r="AI2160" s="43"/>
      <c r="AJ2160" s="43"/>
      <c r="AK2160" s="43"/>
      <c r="AL2160" s="43"/>
      <c r="AM2160" s="43"/>
      <c r="AN2160" s="42"/>
      <c r="AO2160" s="42"/>
      <c r="AP2160" s="42"/>
      <c r="AQ2160" s="43"/>
      <c r="AR2160" s="42"/>
      <c r="AS2160" s="42"/>
    </row>
    <row r="2161" spans="1:45" ht="15" customHeight="1">
      <c r="A2161" s="56" t="s">
        <v>45</v>
      </c>
      <c r="B2161" s="21" t="s">
        <v>46</v>
      </c>
      <c r="C2161" s="57" t="s">
        <v>814</v>
      </c>
      <c r="D2161" s="22" t="s">
        <v>48</v>
      </c>
      <c r="E2161" s="58" t="s">
        <v>2841</v>
      </c>
      <c r="F2161" s="56" t="s">
        <v>2837</v>
      </c>
      <c r="G2161" s="26" t="s">
        <v>165</v>
      </c>
      <c r="H2161" s="25" t="s">
        <v>2838</v>
      </c>
      <c r="I2161" s="26" t="s">
        <v>491</v>
      </c>
      <c r="J2161" s="56" t="s">
        <v>2837</v>
      </c>
      <c r="K2161" s="59" t="s">
        <v>2837</v>
      </c>
      <c r="L2161" s="48" t="s">
        <v>2839</v>
      </c>
      <c r="M2161" s="49">
        <v>44317</v>
      </c>
      <c r="N2161" s="49" t="s">
        <v>168</v>
      </c>
      <c r="O2161" s="60">
        <v>50</v>
      </c>
      <c r="P2161" s="61">
        <v>128</v>
      </c>
      <c r="Q2161" s="51">
        <f t="shared" si="51"/>
        <v>6400</v>
      </c>
      <c r="R2161" s="31">
        <v>202310</v>
      </c>
      <c r="S2161" s="62" t="s">
        <v>2844</v>
      </c>
      <c r="T2161" s="33"/>
      <c r="U2161" s="58"/>
      <c r="V2161" s="58"/>
      <c r="W2161" s="63"/>
      <c r="X2161" s="63"/>
      <c r="Y2161" s="36"/>
      <c r="Z2161" s="36"/>
      <c r="AA2161" s="36"/>
      <c r="AB2161" s="36"/>
      <c r="AC2161" s="36"/>
      <c r="AD2161" s="36"/>
      <c r="AE2161" s="36"/>
      <c r="AF2161" s="40" t="s">
        <v>2344</v>
      </c>
      <c r="AG2161" s="42"/>
      <c r="AH2161" s="42"/>
      <c r="AI2161" s="43"/>
      <c r="AJ2161" s="43"/>
      <c r="AK2161" s="43"/>
      <c r="AL2161" s="43"/>
      <c r="AM2161" s="43"/>
      <c r="AN2161" s="42"/>
      <c r="AO2161" s="42"/>
      <c r="AP2161" s="42"/>
      <c r="AQ2161" s="43"/>
      <c r="AR2161" s="42"/>
      <c r="AS2161" s="42"/>
    </row>
    <row r="2162" spans="1:45" ht="15" customHeight="1">
      <c r="A2162" s="56" t="s">
        <v>45</v>
      </c>
      <c r="B2162" s="21" t="s">
        <v>46</v>
      </c>
      <c r="C2162" s="57" t="s">
        <v>814</v>
      </c>
      <c r="D2162" s="22" t="s">
        <v>48</v>
      </c>
      <c r="E2162" s="58" t="s">
        <v>2841</v>
      </c>
      <c r="F2162" s="56" t="s">
        <v>2837</v>
      </c>
      <c r="G2162" s="26" t="s">
        <v>165</v>
      </c>
      <c r="H2162" s="25" t="s">
        <v>2838</v>
      </c>
      <c r="I2162" s="26" t="s">
        <v>491</v>
      </c>
      <c r="J2162" s="56" t="s">
        <v>2837</v>
      </c>
      <c r="K2162" s="59" t="s">
        <v>2837</v>
      </c>
      <c r="L2162" s="48" t="s">
        <v>2839</v>
      </c>
      <c r="M2162" s="49">
        <v>44440</v>
      </c>
      <c r="N2162" s="49" t="s">
        <v>168</v>
      </c>
      <c r="O2162" s="60">
        <v>50</v>
      </c>
      <c r="P2162" s="61">
        <v>128</v>
      </c>
      <c r="Q2162" s="51">
        <f t="shared" si="51"/>
        <v>6400</v>
      </c>
      <c r="R2162" s="31">
        <v>202310</v>
      </c>
      <c r="S2162" s="62" t="s">
        <v>2845</v>
      </c>
      <c r="T2162" s="33"/>
      <c r="U2162" s="58"/>
      <c r="V2162" s="58"/>
      <c r="W2162" s="63"/>
      <c r="X2162" s="63"/>
      <c r="Y2162" s="36"/>
      <c r="Z2162" s="36"/>
      <c r="AA2162" s="36"/>
      <c r="AB2162" s="36"/>
      <c r="AC2162" s="36"/>
      <c r="AD2162" s="36"/>
      <c r="AE2162" s="36"/>
      <c r="AF2162" s="40" t="s">
        <v>2344</v>
      </c>
      <c r="AG2162" s="42"/>
      <c r="AH2162" s="42"/>
      <c r="AI2162" s="43"/>
      <c r="AJ2162" s="43"/>
      <c r="AK2162" s="43"/>
      <c r="AL2162" s="43"/>
      <c r="AM2162" s="43"/>
      <c r="AN2162" s="42"/>
      <c r="AO2162" s="42"/>
      <c r="AP2162" s="42"/>
      <c r="AQ2162" s="43"/>
      <c r="AR2162" s="42"/>
      <c r="AS2162" s="42"/>
    </row>
    <row r="2163" spans="1:45" ht="15" customHeight="1">
      <c r="A2163" s="56" t="s">
        <v>45</v>
      </c>
      <c r="B2163" s="21" t="s">
        <v>46</v>
      </c>
      <c r="C2163" s="57" t="s">
        <v>814</v>
      </c>
      <c r="D2163" s="22" t="s">
        <v>48</v>
      </c>
      <c r="E2163" s="58" t="s">
        <v>2841</v>
      </c>
      <c r="F2163" s="56" t="s">
        <v>2837</v>
      </c>
      <c r="G2163" s="26" t="s">
        <v>165</v>
      </c>
      <c r="H2163" s="25" t="s">
        <v>2838</v>
      </c>
      <c r="I2163" s="26" t="s">
        <v>491</v>
      </c>
      <c r="J2163" s="56" t="s">
        <v>2837</v>
      </c>
      <c r="K2163" s="59" t="s">
        <v>2837</v>
      </c>
      <c r="L2163" s="48" t="s">
        <v>2839</v>
      </c>
      <c r="M2163" s="49">
        <v>45199</v>
      </c>
      <c r="N2163" s="49" t="s">
        <v>168</v>
      </c>
      <c r="O2163" s="60">
        <v>50</v>
      </c>
      <c r="P2163" s="61">
        <v>-288</v>
      </c>
      <c r="Q2163" s="51">
        <f t="shared" si="51"/>
        <v>-14400</v>
      </c>
      <c r="R2163" s="31">
        <v>202310</v>
      </c>
      <c r="S2163" s="62" t="s">
        <v>2846</v>
      </c>
      <c r="T2163" s="33"/>
      <c r="U2163" s="58"/>
      <c r="V2163" s="58"/>
      <c r="W2163" s="63"/>
      <c r="X2163" s="63"/>
      <c r="Y2163" s="36"/>
      <c r="Z2163" s="36"/>
      <c r="AA2163" s="36"/>
      <c r="AB2163" s="36"/>
      <c r="AC2163" s="36"/>
      <c r="AD2163" s="36"/>
      <c r="AE2163" s="36"/>
      <c r="AF2163" s="40" t="s">
        <v>2344</v>
      </c>
      <c r="AG2163" s="42"/>
      <c r="AH2163" s="42"/>
      <c r="AI2163" s="43"/>
      <c r="AJ2163" s="43"/>
      <c r="AK2163" s="43"/>
      <c r="AL2163" s="43"/>
      <c r="AM2163" s="43"/>
      <c r="AN2163" s="42"/>
      <c r="AO2163" s="42"/>
      <c r="AP2163" s="42"/>
      <c r="AQ2163" s="43"/>
      <c r="AR2163" s="42"/>
      <c r="AS2163" s="42"/>
    </row>
    <row r="2164" spans="1:45" ht="15" customHeight="1">
      <c r="A2164" s="56" t="s">
        <v>45</v>
      </c>
      <c r="B2164" s="21" t="s">
        <v>46</v>
      </c>
      <c r="C2164" s="57" t="s">
        <v>814</v>
      </c>
      <c r="D2164" s="22" t="s">
        <v>48</v>
      </c>
      <c r="E2164" s="58" t="s">
        <v>2841</v>
      </c>
      <c r="F2164" s="56" t="s">
        <v>2837</v>
      </c>
      <c r="G2164" s="26" t="s">
        <v>165</v>
      </c>
      <c r="H2164" s="25" t="s">
        <v>2838</v>
      </c>
      <c r="I2164" s="26" t="s">
        <v>491</v>
      </c>
      <c r="J2164" s="56" t="s">
        <v>2837</v>
      </c>
      <c r="K2164" s="59" t="s">
        <v>2837</v>
      </c>
      <c r="L2164" s="48" t="s">
        <v>2839</v>
      </c>
      <c r="M2164" s="49">
        <v>45199</v>
      </c>
      <c r="N2164" s="49" t="s">
        <v>168</v>
      </c>
      <c r="O2164" s="60">
        <v>0</v>
      </c>
      <c r="P2164" s="61">
        <v>-96</v>
      </c>
      <c r="Q2164" s="51">
        <f t="shared" si="51"/>
        <v>0</v>
      </c>
      <c r="R2164" s="31">
        <v>202310</v>
      </c>
      <c r="S2164" s="62" t="s">
        <v>2846</v>
      </c>
      <c r="T2164" s="33"/>
      <c r="U2164" s="58"/>
      <c r="V2164" s="58"/>
      <c r="W2164" s="63"/>
      <c r="X2164" s="63"/>
      <c r="Y2164" s="36"/>
      <c r="Z2164" s="36"/>
      <c r="AA2164" s="36"/>
      <c r="AB2164" s="36"/>
      <c r="AC2164" s="36"/>
      <c r="AD2164" s="36"/>
      <c r="AE2164" s="36"/>
      <c r="AF2164" s="40" t="s">
        <v>2344</v>
      </c>
      <c r="AG2164" s="42"/>
      <c r="AH2164" s="42"/>
      <c r="AI2164" s="43"/>
      <c r="AJ2164" s="43"/>
      <c r="AK2164" s="43"/>
      <c r="AL2164" s="43"/>
      <c r="AM2164" s="43"/>
      <c r="AN2164" s="42"/>
      <c r="AO2164" s="42"/>
      <c r="AP2164" s="42"/>
      <c r="AQ2164" s="43"/>
      <c r="AR2164" s="42"/>
      <c r="AS2164" s="42"/>
    </row>
    <row r="2165" spans="1:45" ht="15" customHeight="1">
      <c r="A2165" s="56" t="s">
        <v>45</v>
      </c>
      <c r="B2165" s="21" t="s">
        <v>46</v>
      </c>
      <c r="C2165" s="57" t="s">
        <v>814</v>
      </c>
      <c r="D2165" s="22" t="s">
        <v>48</v>
      </c>
      <c r="E2165" s="58" t="s">
        <v>2841</v>
      </c>
      <c r="F2165" s="56" t="s">
        <v>2837</v>
      </c>
      <c r="G2165" s="26" t="s">
        <v>165</v>
      </c>
      <c r="H2165" s="25" t="s">
        <v>2838</v>
      </c>
      <c r="I2165" s="26" t="s">
        <v>491</v>
      </c>
      <c r="J2165" s="56" t="s">
        <v>2837</v>
      </c>
      <c r="K2165" s="59" t="s">
        <v>2837</v>
      </c>
      <c r="L2165" s="48" t="s">
        <v>2839</v>
      </c>
      <c r="M2165" s="49"/>
      <c r="N2165" s="49" t="s">
        <v>656</v>
      </c>
      <c r="O2165" s="60">
        <v>0</v>
      </c>
      <c r="P2165" s="61">
        <v>0</v>
      </c>
      <c r="Q2165" s="51">
        <f t="shared" si="51"/>
        <v>0</v>
      </c>
      <c r="R2165" s="31">
        <v>202310</v>
      </c>
      <c r="S2165" s="62" t="s">
        <v>2847</v>
      </c>
      <c r="T2165" s="33"/>
      <c r="U2165" s="58"/>
      <c r="V2165" s="58"/>
      <c r="W2165" s="63"/>
      <c r="X2165" s="63"/>
      <c r="Y2165" s="36"/>
      <c r="Z2165" s="36"/>
      <c r="AA2165" s="36"/>
      <c r="AB2165" s="36"/>
      <c r="AC2165" s="36"/>
      <c r="AD2165" s="36"/>
      <c r="AE2165" s="36"/>
      <c r="AF2165" s="40" t="s">
        <v>2344</v>
      </c>
      <c r="AG2165" s="42"/>
      <c r="AH2165" s="42"/>
      <c r="AI2165" s="43"/>
      <c r="AJ2165" s="43"/>
      <c r="AK2165" s="43"/>
      <c r="AL2165" s="43"/>
      <c r="AM2165" s="43"/>
      <c r="AN2165" s="42"/>
      <c r="AO2165" s="42"/>
      <c r="AP2165" s="42"/>
      <c r="AQ2165" s="43"/>
      <c r="AR2165" s="42"/>
      <c r="AS2165" s="42"/>
    </row>
    <row r="2166" spans="1:45" ht="15" customHeight="1">
      <c r="A2166" s="56" t="s">
        <v>45</v>
      </c>
      <c r="B2166" s="21" t="s">
        <v>46</v>
      </c>
      <c r="C2166" s="57" t="s">
        <v>814</v>
      </c>
      <c r="D2166" s="22" t="s">
        <v>48</v>
      </c>
      <c r="E2166" s="58" t="s">
        <v>2841</v>
      </c>
      <c r="F2166" s="56" t="s">
        <v>2837</v>
      </c>
      <c r="G2166" s="26" t="s">
        <v>165</v>
      </c>
      <c r="H2166" s="25" t="s">
        <v>2838</v>
      </c>
      <c r="I2166" s="26" t="s">
        <v>491</v>
      </c>
      <c r="J2166" s="56" t="s">
        <v>2837</v>
      </c>
      <c r="K2166" s="59" t="s">
        <v>2837</v>
      </c>
      <c r="L2166" s="48" t="s">
        <v>2839</v>
      </c>
      <c r="M2166" s="49">
        <v>45199</v>
      </c>
      <c r="N2166" s="49" t="s">
        <v>656</v>
      </c>
      <c r="O2166" s="60">
        <v>0</v>
      </c>
      <c r="P2166" s="61">
        <v>0</v>
      </c>
      <c r="Q2166" s="51">
        <f t="shared" si="51"/>
        <v>0</v>
      </c>
      <c r="R2166" s="31">
        <v>202310</v>
      </c>
      <c r="S2166" s="62" t="s">
        <v>2848</v>
      </c>
      <c r="T2166" s="33"/>
      <c r="U2166" s="58"/>
      <c r="V2166" s="58"/>
      <c r="W2166" s="63"/>
      <c r="X2166" s="63"/>
      <c r="Y2166" s="36"/>
      <c r="Z2166" s="36"/>
      <c r="AA2166" s="36"/>
      <c r="AB2166" s="36"/>
      <c r="AC2166" s="36"/>
      <c r="AD2166" s="36"/>
      <c r="AE2166" s="36"/>
      <c r="AF2166" s="40" t="s">
        <v>2344</v>
      </c>
      <c r="AG2166" s="42"/>
      <c r="AH2166" s="42"/>
      <c r="AI2166" s="43"/>
      <c r="AJ2166" s="43"/>
      <c r="AK2166" s="43"/>
      <c r="AL2166" s="43"/>
      <c r="AM2166" s="43"/>
      <c r="AN2166" s="42"/>
      <c r="AO2166" s="42"/>
      <c r="AP2166" s="42"/>
      <c r="AQ2166" s="43"/>
      <c r="AR2166" s="42"/>
      <c r="AS2166" s="42"/>
    </row>
    <row r="2167" spans="1:45" ht="15" customHeight="1">
      <c r="A2167" s="56" t="s">
        <v>45</v>
      </c>
      <c r="B2167" s="21" t="s">
        <v>46</v>
      </c>
      <c r="C2167" s="57" t="s">
        <v>814</v>
      </c>
      <c r="D2167" s="22" t="s">
        <v>48</v>
      </c>
      <c r="E2167" s="58" t="s">
        <v>2841</v>
      </c>
      <c r="F2167" s="56" t="s">
        <v>2837</v>
      </c>
      <c r="G2167" s="26" t="s">
        <v>77</v>
      </c>
      <c r="H2167" s="25" t="s">
        <v>2849</v>
      </c>
      <c r="I2167" s="26" t="s">
        <v>479</v>
      </c>
      <c r="J2167" s="56" t="s">
        <v>2837</v>
      </c>
      <c r="K2167" s="59" t="s">
        <v>2837</v>
      </c>
      <c r="L2167" s="48" t="s">
        <v>2839</v>
      </c>
      <c r="M2167" s="49">
        <v>42736</v>
      </c>
      <c r="N2167" s="49" t="s">
        <v>90</v>
      </c>
      <c r="O2167" s="60">
        <v>4300</v>
      </c>
      <c r="P2167" s="61">
        <v>4</v>
      </c>
      <c r="Q2167" s="51">
        <f t="shared" si="51"/>
        <v>17200</v>
      </c>
      <c r="R2167" s="31">
        <v>202310</v>
      </c>
      <c r="S2167" s="62" t="s">
        <v>2850</v>
      </c>
      <c r="T2167" s="33"/>
      <c r="U2167" s="58"/>
      <c r="V2167" s="58"/>
      <c r="W2167" s="63"/>
      <c r="X2167" s="63"/>
      <c r="Y2167" s="36"/>
      <c r="Z2167" s="36"/>
      <c r="AA2167" s="36"/>
      <c r="AB2167" s="36"/>
      <c r="AC2167" s="36"/>
      <c r="AD2167" s="36"/>
      <c r="AE2167" s="36"/>
      <c r="AF2167" s="40" t="s">
        <v>503</v>
      </c>
      <c r="AG2167" s="42"/>
      <c r="AH2167" s="42"/>
      <c r="AI2167" s="43"/>
      <c r="AJ2167" s="43"/>
      <c r="AK2167" s="43"/>
      <c r="AL2167" s="43"/>
      <c r="AM2167" s="43"/>
      <c r="AN2167" s="42"/>
      <c r="AO2167" s="42"/>
      <c r="AP2167" s="42"/>
      <c r="AQ2167" s="43"/>
      <c r="AR2167" s="42"/>
      <c r="AS2167" s="42"/>
    </row>
    <row r="2168" spans="1:45" ht="15" customHeight="1">
      <c r="A2168" s="56" t="s">
        <v>45</v>
      </c>
      <c r="B2168" s="21" t="s">
        <v>46</v>
      </c>
      <c r="C2168" s="57" t="s">
        <v>814</v>
      </c>
      <c r="D2168" s="22" t="s">
        <v>48</v>
      </c>
      <c r="E2168" s="58" t="s">
        <v>2841</v>
      </c>
      <c r="F2168" s="56" t="s">
        <v>2837</v>
      </c>
      <c r="G2168" s="26" t="s">
        <v>77</v>
      </c>
      <c r="H2168" s="25" t="s">
        <v>2849</v>
      </c>
      <c r="I2168" s="26" t="s">
        <v>479</v>
      </c>
      <c r="J2168" s="56" t="s">
        <v>2837</v>
      </c>
      <c r="K2168" s="59" t="s">
        <v>2837</v>
      </c>
      <c r="L2168" s="48" t="s">
        <v>2839</v>
      </c>
      <c r="M2168" s="49">
        <v>43809</v>
      </c>
      <c r="N2168" s="49" t="s">
        <v>90</v>
      </c>
      <c r="O2168" s="60">
        <v>4300</v>
      </c>
      <c r="P2168" s="61">
        <v>2</v>
      </c>
      <c r="Q2168" s="51">
        <f t="shared" si="51"/>
        <v>8600</v>
      </c>
      <c r="R2168" s="31">
        <v>202310</v>
      </c>
      <c r="S2168" s="62" t="s">
        <v>2851</v>
      </c>
      <c r="T2168" s="33"/>
      <c r="U2168" s="58"/>
      <c r="V2168" s="58"/>
      <c r="W2168" s="63"/>
      <c r="X2168" s="63"/>
      <c r="Y2168" s="36"/>
      <c r="Z2168" s="36"/>
      <c r="AA2168" s="36"/>
      <c r="AB2168" s="36"/>
      <c r="AC2168" s="36"/>
      <c r="AD2168" s="36"/>
      <c r="AE2168" s="36"/>
      <c r="AF2168" s="40" t="s">
        <v>2344</v>
      </c>
      <c r="AG2168" s="42"/>
      <c r="AH2168" s="42"/>
      <c r="AI2168" s="43"/>
      <c r="AJ2168" s="43"/>
      <c r="AK2168" s="43"/>
      <c r="AL2168" s="43"/>
      <c r="AM2168" s="43"/>
      <c r="AN2168" s="42"/>
      <c r="AO2168" s="42"/>
      <c r="AP2168" s="42"/>
      <c r="AQ2168" s="43"/>
      <c r="AR2168" s="42"/>
      <c r="AS2168" s="42"/>
    </row>
    <row r="2169" spans="1:45" ht="15" customHeight="1">
      <c r="A2169" s="56" t="s">
        <v>45</v>
      </c>
      <c r="B2169" s="21" t="s">
        <v>46</v>
      </c>
      <c r="C2169" s="57" t="s">
        <v>814</v>
      </c>
      <c r="D2169" s="22" t="s">
        <v>48</v>
      </c>
      <c r="E2169" s="58" t="s">
        <v>2841</v>
      </c>
      <c r="F2169" s="56" t="s">
        <v>2837</v>
      </c>
      <c r="G2169" s="26" t="s">
        <v>77</v>
      </c>
      <c r="H2169" s="25" t="s">
        <v>2849</v>
      </c>
      <c r="I2169" s="26" t="s">
        <v>479</v>
      </c>
      <c r="J2169" s="56" t="s">
        <v>2837</v>
      </c>
      <c r="K2169" s="59" t="s">
        <v>2837</v>
      </c>
      <c r="L2169" s="48" t="s">
        <v>2839</v>
      </c>
      <c r="M2169" s="49">
        <v>44317</v>
      </c>
      <c r="N2169" s="49" t="s">
        <v>90</v>
      </c>
      <c r="O2169" s="60">
        <v>4300</v>
      </c>
      <c r="P2169" s="61">
        <v>1</v>
      </c>
      <c r="Q2169" s="51">
        <f t="shared" si="51"/>
        <v>4300</v>
      </c>
      <c r="R2169" s="31">
        <v>202310</v>
      </c>
      <c r="S2169" s="62" t="s">
        <v>2852</v>
      </c>
      <c r="T2169" s="33"/>
      <c r="U2169" s="58"/>
      <c r="V2169" s="58"/>
      <c r="W2169" s="63"/>
      <c r="X2169" s="63"/>
      <c r="Y2169" s="36"/>
      <c r="Z2169" s="36"/>
      <c r="AA2169" s="36"/>
      <c r="AB2169" s="36"/>
      <c r="AC2169" s="36"/>
      <c r="AD2169" s="36"/>
      <c r="AE2169" s="36"/>
      <c r="AF2169" s="40" t="s">
        <v>2344</v>
      </c>
      <c r="AG2169" s="42"/>
      <c r="AH2169" s="42"/>
      <c r="AI2169" s="43"/>
      <c r="AJ2169" s="43"/>
      <c r="AK2169" s="43"/>
      <c r="AL2169" s="43"/>
      <c r="AM2169" s="43"/>
      <c r="AN2169" s="42"/>
      <c r="AO2169" s="42"/>
      <c r="AP2169" s="42"/>
      <c r="AQ2169" s="43"/>
      <c r="AR2169" s="42"/>
      <c r="AS2169" s="42"/>
    </row>
    <row r="2170" spans="1:45" ht="15" customHeight="1">
      <c r="A2170" s="56" t="s">
        <v>45</v>
      </c>
      <c r="B2170" s="21" t="s">
        <v>46</v>
      </c>
      <c r="C2170" s="57" t="s">
        <v>814</v>
      </c>
      <c r="D2170" s="22" t="s">
        <v>48</v>
      </c>
      <c r="E2170" s="58" t="s">
        <v>2841</v>
      </c>
      <c r="F2170" s="56" t="s">
        <v>2837</v>
      </c>
      <c r="G2170" s="26" t="s">
        <v>77</v>
      </c>
      <c r="H2170" s="25" t="s">
        <v>2849</v>
      </c>
      <c r="I2170" s="26" t="s">
        <v>479</v>
      </c>
      <c r="J2170" s="56" t="s">
        <v>2837</v>
      </c>
      <c r="K2170" s="59" t="s">
        <v>2837</v>
      </c>
      <c r="L2170" s="48" t="s">
        <v>2839</v>
      </c>
      <c r="M2170" s="49">
        <v>44440</v>
      </c>
      <c r="N2170" s="49" t="s">
        <v>90</v>
      </c>
      <c r="O2170" s="60">
        <v>4300</v>
      </c>
      <c r="P2170" s="61">
        <v>2</v>
      </c>
      <c r="Q2170" s="51">
        <f t="shared" si="51"/>
        <v>8600</v>
      </c>
      <c r="R2170" s="31">
        <v>202310</v>
      </c>
      <c r="S2170" s="62" t="s">
        <v>2853</v>
      </c>
      <c r="T2170" s="33"/>
      <c r="U2170" s="58"/>
      <c r="V2170" s="58"/>
      <c r="W2170" s="63"/>
      <c r="X2170" s="63"/>
      <c r="Y2170" s="36"/>
      <c r="Z2170" s="36"/>
      <c r="AA2170" s="36"/>
      <c r="AB2170" s="36"/>
      <c r="AC2170" s="36"/>
      <c r="AD2170" s="36"/>
      <c r="AE2170" s="36"/>
      <c r="AF2170" s="40" t="s">
        <v>2344</v>
      </c>
      <c r="AG2170" s="42"/>
      <c r="AH2170" s="42"/>
      <c r="AI2170" s="43"/>
      <c r="AJ2170" s="43"/>
      <c r="AK2170" s="43"/>
      <c r="AL2170" s="43"/>
      <c r="AM2170" s="43"/>
      <c r="AN2170" s="42"/>
      <c r="AO2170" s="42"/>
      <c r="AP2170" s="42"/>
      <c r="AQ2170" s="43"/>
      <c r="AR2170" s="42"/>
      <c r="AS2170" s="42"/>
    </row>
    <row r="2171" spans="1:45" ht="15" customHeight="1">
      <c r="A2171" s="56" t="s">
        <v>45</v>
      </c>
      <c r="B2171" s="21" t="s">
        <v>46</v>
      </c>
      <c r="C2171" s="57" t="s">
        <v>814</v>
      </c>
      <c r="D2171" s="22" t="s">
        <v>48</v>
      </c>
      <c r="E2171" s="58" t="s">
        <v>2841</v>
      </c>
      <c r="F2171" s="56" t="s">
        <v>2837</v>
      </c>
      <c r="G2171" s="26" t="s">
        <v>77</v>
      </c>
      <c r="H2171" s="25" t="s">
        <v>2849</v>
      </c>
      <c r="I2171" s="26" t="s">
        <v>479</v>
      </c>
      <c r="J2171" s="56" t="s">
        <v>2837</v>
      </c>
      <c r="K2171" s="59" t="s">
        <v>2837</v>
      </c>
      <c r="L2171" s="48" t="s">
        <v>2839</v>
      </c>
      <c r="M2171" s="49">
        <v>45199</v>
      </c>
      <c r="N2171" s="49" t="s">
        <v>90</v>
      </c>
      <c r="O2171" s="60">
        <v>4300</v>
      </c>
      <c r="P2171" s="61">
        <v>-5</v>
      </c>
      <c r="Q2171" s="51">
        <f t="shared" si="51"/>
        <v>-21500</v>
      </c>
      <c r="R2171" s="31">
        <v>202310</v>
      </c>
      <c r="S2171" s="62" t="s">
        <v>2854</v>
      </c>
      <c r="T2171" s="33"/>
      <c r="U2171" s="58"/>
      <c r="V2171" s="58"/>
      <c r="W2171" s="63"/>
      <c r="X2171" s="63"/>
      <c r="Y2171" s="36"/>
      <c r="Z2171" s="36"/>
      <c r="AA2171" s="36"/>
      <c r="AB2171" s="36"/>
      <c r="AC2171" s="36"/>
      <c r="AD2171" s="36"/>
      <c r="AE2171" s="36"/>
      <c r="AF2171" s="40" t="s">
        <v>2344</v>
      </c>
      <c r="AG2171" s="42"/>
      <c r="AH2171" s="42"/>
      <c r="AI2171" s="43"/>
      <c r="AJ2171" s="43"/>
      <c r="AK2171" s="43"/>
      <c r="AL2171" s="43"/>
      <c r="AM2171" s="43"/>
      <c r="AN2171" s="42"/>
      <c r="AO2171" s="42"/>
      <c r="AP2171" s="42"/>
      <c r="AQ2171" s="43"/>
      <c r="AR2171" s="42"/>
      <c r="AS2171" s="42"/>
    </row>
    <row r="2172" spans="1:45" ht="15" customHeight="1">
      <c r="A2172" s="56" t="s">
        <v>45</v>
      </c>
      <c r="B2172" s="21" t="s">
        <v>46</v>
      </c>
      <c r="C2172" s="57" t="s">
        <v>814</v>
      </c>
      <c r="D2172" s="22" t="s">
        <v>48</v>
      </c>
      <c r="E2172" s="58" t="s">
        <v>2841</v>
      </c>
      <c r="F2172" s="56" t="s">
        <v>2837</v>
      </c>
      <c r="G2172" s="26" t="s">
        <v>165</v>
      </c>
      <c r="H2172" s="25" t="s">
        <v>2838</v>
      </c>
      <c r="I2172" s="26" t="s">
        <v>491</v>
      </c>
      <c r="J2172" s="59" t="s">
        <v>2855</v>
      </c>
      <c r="K2172" s="59" t="s">
        <v>2855</v>
      </c>
      <c r="L2172" s="48" t="s">
        <v>2856</v>
      </c>
      <c r="M2172" s="49">
        <v>44868</v>
      </c>
      <c r="N2172" s="49" t="s">
        <v>168</v>
      </c>
      <c r="O2172" s="60">
        <v>0</v>
      </c>
      <c r="P2172" s="61">
        <v>544</v>
      </c>
      <c r="Q2172" s="51">
        <f t="shared" si="51"/>
        <v>0</v>
      </c>
      <c r="R2172" s="31">
        <v>202310</v>
      </c>
      <c r="S2172" s="62" t="s">
        <v>2857</v>
      </c>
      <c r="T2172" s="33"/>
      <c r="U2172" s="58"/>
      <c r="V2172" s="58"/>
      <c r="W2172" s="63"/>
      <c r="X2172" s="63"/>
      <c r="Y2172" s="36"/>
      <c r="Z2172" s="36"/>
      <c r="AA2172" s="36"/>
      <c r="AB2172" s="36"/>
      <c r="AC2172" s="36"/>
      <c r="AD2172" s="36"/>
      <c r="AE2172" s="36"/>
      <c r="AF2172" s="40" t="s">
        <v>484</v>
      </c>
      <c r="AG2172" s="42"/>
      <c r="AH2172" s="42"/>
      <c r="AI2172" s="43"/>
      <c r="AJ2172" s="43"/>
      <c r="AK2172" s="43"/>
      <c r="AL2172" s="43"/>
      <c r="AM2172" s="43"/>
      <c r="AN2172" s="42"/>
      <c r="AO2172" s="42"/>
      <c r="AP2172" s="42"/>
      <c r="AQ2172" s="43"/>
      <c r="AR2172" s="42"/>
      <c r="AS2172" s="42"/>
    </row>
    <row r="2173" spans="1:45" ht="15" customHeight="1">
      <c r="A2173" s="56" t="s">
        <v>45</v>
      </c>
      <c r="B2173" s="21" t="s">
        <v>46</v>
      </c>
      <c r="C2173" s="57" t="s">
        <v>814</v>
      </c>
      <c r="D2173" s="22" t="s">
        <v>48</v>
      </c>
      <c r="E2173" s="58" t="s">
        <v>2841</v>
      </c>
      <c r="F2173" s="56" t="s">
        <v>2837</v>
      </c>
      <c r="G2173" s="26" t="s">
        <v>165</v>
      </c>
      <c r="H2173" s="25" t="s">
        <v>2838</v>
      </c>
      <c r="I2173" s="26" t="s">
        <v>491</v>
      </c>
      <c r="J2173" s="59" t="s">
        <v>2855</v>
      </c>
      <c r="K2173" s="59" t="s">
        <v>2855</v>
      </c>
      <c r="L2173" s="48" t="s">
        <v>2856</v>
      </c>
      <c r="M2173" s="49">
        <v>45085</v>
      </c>
      <c r="N2173" s="49" t="s">
        <v>168</v>
      </c>
      <c r="O2173" s="60">
        <v>0</v>
      </c>
      <c r="P2173" s="61">
        <v>960</v>
      </c>
      <c r="Q2173" s="51">
        <f t="shared" si="51"/>
        <v>0</v>
      </c>
      <c r="R2173" s="31">
        <v>202310</v>
      </c>
      <c r="S2173" s="62" t="s">
        <v>2858</v>
      </c>
      <c r="T2173" s="33"/>
      <c r="U2173" s="58"/>
      <c r="V2173" s="58"/>
      <c r="W2173" s="63"/>
      <c r="X2173" s="63"/>
      <c r="Y2173" s="36"/>
      <c r="Z2173" s="36"/>
      <c r="AA2173" s="36"/>
      <c r="AB2173" s="36"/>
      <c r="AC2173" s="36"/>
      <c r="AD2173" s="36"/>
      <c r="AE2173" s="36"/>
      <c r="AF2173" s="40" t="s">
        <v>484</v>
      </c>
      <c r="AG2173" s="42"/>
      <c r="AH2173" s="42"/>
      <c r="AI2173" s="43"/>
      <c r="AJ2173" s="43"/>
      <c r="AK2173" s="43"/>
      <c r="AL2173" s="43"/>
      <c r="AM2173" s="43"/>
      <c r="AN2173" s="42"/>
      <c r="AO2173" s="42"/>
      <c r="AP2173" s="42"/>
      <c r="AQ2173" s="43"/>
      <c r="AR2173" s="42"/>
      <c r="AS2173" s="42"/>
    </row>
    <row r="2174" spans="1:45" ht="15" customHeight="1">
      <c r="A2174" s="56" t="s">
        <v>45</v>
      </c>
      <c r="B2174" s="21" t="s">
        <v>46</v>
      </c>
      <c r="C2174" s="57" t="s">
        <v>814</v>
      </c>
      <c r="D2174" s="22" t="s">
        <v>48</v>
      </c>
      <c r="E2174" s="58" t="s">
        <v>2841</v>
      </c>
      <c r="F2174" s="56" t="s">
        <v>2837</v>
      </c>
      <c r="G2174" s="26" t="s">
        <v>165</v>
      </c>
      <c r="H2174" s="25" t="s">
        <v>2838</v>
      </c>
      <c r="I2174" s="26" t="s">
        <v>491</v>
      </c>
      <c r="J2174" s="59" t="s">
        <v>2855</v>
      </c>
      <c r="K2174" s="59" t="s">
        <v>2855</v>
      </c>
      <c r="L2174" s="48" t="s">
        <v>2856</v>
      </c>
      <c r="M2174" s="49">
        <v>44868</v>
      </c>
      <c r="N2174" s="49" t="s">
        <v>646</v>
      </c>
      <c r="O2174" s="60">
        <v>0</v>
      </c>
      <c r="P2174" s="61">
        <v>0</v>
      </c>
      <c r="Q2174" s="51">
        <f t="shared" si="51"/>
        <v>0</v>
      </c>
      <c r="R2174" s="31">
        <v>202310</v>
      </c>
      <c r="S2174" s="62" t="s">
        <v>2859</v>
      </c>
      <c r="T2174" s="33"/>
      <c r="U2174" s="58"/>
      <c r="V2174" s="58"/>
      <c r="W2174" s="63"/>
      <c r="X2174" s="63"/>
      <c r="Y2174" s="36"/>
      <c r="Z2174" s="36"/>
      <c r="AA2174" s="36"/>
      <c r="AB2174" s="36"/>
      <c r="AC2174" s="36"/>
      <c r="AD2174" s="36"/>
      <c r="AE2174" s="36"/>
      <c r="AF2174" s="40" t="s">
        <v>484</v>
      </c>
      <c r="AG2174" s="42"/>
      <c r="AH2174" s="42"/>
      <c r="AI2174" s="43"/>
      <c r="AJ2174" s="43"/>
      <c r="AK2174" s="43"/>
      <c r="AL2174" s="43"/>
      <c r="AM2174" s="43"/>
      <c r="AN2174" s="42"/>
      <c r="AO2174" s="42"/>
      <c r="AP2174" s="42"/>
      <c r="AQ2174" s="43"/>
      <c r="AR2174" s="42"/>
      <c r="AS2174" s="42"/>
    </row>
    <row r="2175" spans="1:45" ht="15" customHeight="1">
      <c r="A2175" s="56" t="s">
        <v>45</v>
      </c>
      <c r="B2175" s="21" t="s">
        <v>46</v>
      </c>
      <c r="C2175" s="57" t="s">
        <v>814</v>
      </c>
      <c r="D2175" s="22" t="s">
        <v>48</v>
      </c>
      <c r="E2175" s="58" t="s">
        <v>2841</v>
      </c>
      <c r="F2175" s="56" t="s">
        <v>2837</v>
      </c>
      <c r="G2175" s="26" t="s">
        <v>165</v>
      </c>
      <c r="H2175" s="25" t="s">
        <v>2838</v>
      </c>
      <c r="I2175" s="26" t="s">
        <v>491</v>
      </c>
      <c r="J2175" s="59" t="s">
        <v>2855</v>
      </c>
      <c r="K2175" s="59" t="s">
        <v>2855</v>
      </c>
      <c r="L2175" s="48" t="s">
        <v>2856</v>
      </c>
      <c r="M2175" s="49">
        <v>45085</v>
      </c>
      <c r="N2175" s="49" t="s">
        <v>646</v>
      </c>
      <c r="O2175" s="60">
        <v>0</v>
      </c>
      <c r="P2175" s="61">
        <v>0</v>
      </c>
      <c r="Q2175" s="51">
        <f t="shared" si="51"/>
        <v>0</v>
      </c>
      <c r="R2175" s="31">
        <v>202310</v>
      </c>
      <c r="S2175" s="62" t="s">
        <v>2860</v>
      </c>
      <c r="T2175" s="33"/>
      <c r="U2175" s="58"/>
      <c r="V2175" s="58"/>
      <c r="W2175" s="63"/>
      <c r="X2175" s="63"/>
      <c r="Y2175" s="36"/>
      <c r="Z2175" s="36"/>
      <c r="AA2175" s="36"/>
      <c r="AB2175" s="36"/>
      <c r="AC2175" s="36"/>
      <c r="AD2175" s="36"/>
      <c r="AE2175" s="36"/>
      <c r="AF2175" s="40" t="s">
        <v>484</v>
      </c>
      <c r="AG2175" s="42"/>
      <c r="AH2175" s="42"/>
      <c r="AI2175" s="43"/>
      <c r="AJ2175" s="43"/>
      <c r="AK2175" s="43"/>
      <c r="AL2175" s="43"/>
      <c r="AM2175" s="43"/>
      <c r="AN2175" s="42"/>
      <c r="AO2175" s="42"/>
      <c r="AP2175" s="42"/>
      <c r="AQ2175" s="43"/>
      <c r="AR2175" s="42"/>
      <c r="AS2175" s="42"/>
    </row>
    <row r="2176" spans="1:45" ht="15" customHeight="1">
      <c r="A2176" s="56" t="s">
        <v>45</v>
      </c>
      <c r="B2176" s="21" t="s">
        <v>46</v>
      </c>
      <c r="C2176" s="57" t="s">
        <v>814</v>
      </c>
      <c r="D2176" s="22" t="s">
        <v>48</v>
      </c>
      <c r="E2176" s="58" t="s">
        <v>2841</v>
      </c>
      <c r="F2176" s="56" t="s">
        <v>2837</v>
      </c>
      <c r="G2176" s="26" t="s">
        <v>77</v>
      </c>
      <c r="H2176" s="25" t="s">
        <v>2849</v>
      </c>
      <c r="I2176" s="26" t="s">
        <v>479</v>
      </c>
      <c r="J2176" s="59" t="s">
        <v>2855</v>
      </c>
      <c r="K2176" s="59" t="s">
        <v>2855</v>
      </c>
      <c r="L2176" s="48" t="s">
        <v>2856</v>
      </c>
      <c r="M2176" s="49">
        <v>44866</v>
      </c>
      <c r="N2176" s="49" t="s">
        <v>90</v>
      </c>
      <c r="O2176" s="60">
        <v>4300</v>
      </c>
      <c r="P2176" s="61">
        <v>1</v>
      </c>
      <c r="Q2176" s="51">
        <f t="shared" si="51"/>
        <v>4300</v>
      </c>
      <c r="R2176" s="31">
        <v>202310</v>
      </c>
      <c r="S2176" s="62" t="s">
        <v>2861</v>
      </c>
      <c r="T2176" s="33"/>
      <c r="U2176" s="58"/>
      <c r="V2176" s="58"/>
      <c r="W2176" s="63"/>
      <c r="X2176" s="63"/>
      <c r="Y2176" s="36"/>
      <c r="Z2176" s="36"/>
      <c r="AA2176" s="36"/>
      <c r="AB2176" s="36"/>
      <c r="AC2176" s="36"/>
      <c r="AD2176" s="36"/>
      <c r="AE2176" s="36"/>
      <c r="AF2176" s="40" t="s">
        <v>484</v>
      </c>
      <c r="AG2176" s="42"/>
      <c r="AH2176" s="42"/>
      <c r="AI2176" s="43"/>
      <c r="AJ2176" s="43"/>
      <c r="AK2176" s="43"/>
      <c r="AL2176" s="43"/>
      <c r="AM2176" s="43"/>
      <c r="AN2176" s="42"/>
      <c r="AO2176" s="42"/>
      <c r="AP2176" s="42"/>
      <c r="AQ2176" s="43"/>
      <c r="AR2176" s="42"/>
      <c r="AS2176" s="42"/>
    </row>
    <row r="2177" spans="1:45" ht="15" customHeight="1">
      <c r="A2177" s="56" t="s">
        <v>45</v>
      </c>
      <c r="B2177" s="21" t="s">
        <v>46</v>
      </c>
      <c r="C2177" s="57" t="s">
        <v>814</v>
      </c>
      <c r="D2177" s="22" t="s">
        <v>48</v>
      </c>
      <c r="E2177" s="58" t="s">
        <v>2862</v>
      </c>
      <c r="F2177" s="56" t="s">
        <v>2863</v>
      </c>
      <c r="G2177" s="26" t="s">
        <v>165</v>
      </c>
      <c r="H2177" s="25" t="s">
        <v>2864</v>
      </c>
      <c r="I2177" s="26" t="s">
        <v>491</v>
      </c>
      <c r="J2177" s="56" t="s">
        <v>2865</v>
      </c>
      <c r="K2177" s="59" t="s">
        <v>2863</v>
      </c>
      <c r="L2177" s="48" t="s">
        <v>2866</v>
      </c>
      <c r="M2177" s="49">
        <v>43831</v>
      </c>
      <c r="N2177" s="49" t="s">
        <v>168</v>
      </c>
      <c r="O2177" s="60">
        <v>0</v>
      </c>
      <c r="P2177" s="61">
        <v>256</v>
      </c>
      <c r="Q2177" s="51">
        <f t="shared" si="51"/>
        <v>0</v>
      </c>
      <c r="R2177" s="31">
        <v>202310</v>
      </c>
      <c r="S2177" s="62" t="s">
        <v>2867</v>
      </c>
      <c r="T2177" s="33"/>
      <c r="U2177" s="58"/>
      <c r="V2177" s="58"/>
      <c r="W2177" s="63"/>
      <c r="X2177" s="63"/>
      <c r="Y2177" s="36">
        <v>44197</v>
      </c>
      <c r="Z2177" s="36">
        <v>44926</v>
      </c>
      <c r="AA2177" s="36"/>
      <c r="AB2177" s="36"/>
      <c r="AC2177" s="36"/>
      <c r="AD2177" s="36"/>
      <c r="AE2177" s="36"/>
      <c r="AF2177" s="40" t="s">
        <v>503</v>
      </c>
      <c r="AG2177" s="42"/>
      <c r="AH2177" s="42"/>
      <c r="AI2177" s="43"/>
      <c r="AJ2177" s="43"/>
      <c r="AK2177" s="43"/>
      <c r="AL2177" s="43"/>
      <c r="AM2177" s="43"/>
      <c r="AN2177" s="42"/>
      <c r="AO2177" s="42"/>
      <c r="AP2177" s="42"/>
      <c r="AQ2177" s="43"/>
      <c r="AR2177" s="42"/>
      <c r="AS2177" s="42"/>
    </row>
    <row r="2178" spans="1:45" ht="15" customHeight="1">
      <c r="A2178" s="56" t="s">
        <v>45</v>
      </c>
      <c r="B2178" s="21" t="s">
        <v>46</v>
      </c>
      <c r="C2178" s="57" t="s">
        <v>814</v>
      </c>
      <c r="D2178" s="22" t="s">
        <v>48</v>
      </c>
      <c r="E2178" s="58" t="s">
        <v>2862</v>
      </c>
      <c r="F2178" s="56" t="s">
        <v>2863</v>
      </c>
      <c r="G2178" s="26" t="s">
        <v>165</v>
      </c>
      <c r="H2178" s="25" t="s">
        <v>2864</v>
      </c>
      <c r="I2178" s="26" t="s">
        <v>491</v>
      </c>
      <c r="J2178" s="56" t="s">
        <v>2865</v>
      </c>
      <c r="K2178" s="59" t="s">
        <v>2863</v>
      </c>
      <c r="L2178" s="48" t="s">
        <v>2866</v>
      </c>
      <c r="M2178" s="49">
        <v>43831</v>
      </c>
      <c r="N2178" s="49" t="s">
        <v>168</v>
      </c>
      <c r="O2178" s="60">
        <v>50</v>
      </c>
      <c r="P2178" s="61">
        <v>128</v>
      </c>
      <c r="Q2178" s="51">
        <f t="shared" si="51"/>
        <v>6400</v>
      </c>
      <c r="R2178" s="31">
        <v>202310</v>
      </c>
      <c r="S2178" s="62" t="s">
        <v>2867</v>
      </c>
      <c r="T2178" s="33"/>
      <c r="U2178" s="58"/>
      <c r="V2178" s="58"/>
      <c r="W2178" s="63"/>
      <c r="X2178" s="63"/>
      <c r="Y2178" s="36">
        <v>44197</v>
      </c>
      <c r="Z2178" s="36">
        <v>44926</v>
      </c>
      <c r="AA2178" s="36"/>
      <c r="AB2178" s="36"/>
      <c r="AC2178" s="36"/>
      <c r="AD2178" s="36"/>
      <c r="AE2178" s="36"/>
      <c r="AF2178" s="40" t="s">
        <v>503</v>
      </c>
      <c r="AG2178" s="42"/>
      <c r="AH2178" s="42"/>
      <c r="AI2178" s="43"/>
      <c r="AJ2178" s="43"/>
      <c r="AK2178" s="43"/>
      <c r="AL2178" s="43"/>
      <c r="AM2178" s="43"/>
      <c r="AN2178" s="42"/>
      <c r="AO2178" s="42"/>
      <c r="AP2178" s="42"/>
      <c r="AQ2178" s="43"/>
      <c r="AR2178" s="42"/>
      <c r="AS2178" s="42"/>
    </row>
    <row r="2179" spans="1:45" ht="15" customHeight="1">
      <c r="A2179" s="56" t="s">
        <v>45</v>
      </c>
      <c r="B2179" s="21" t="s">
        <v>46</v>
      </c>
      <c r="C2179" s="57" t="s">
        <v>814</v>
      </c>
      <c r="D2179" s="22" t="s">
        <v>48</v>
      </c>
      <c r="E2179" s="58" t="s">
        <v>2862</v>
      </c>
      <c r="F2179" s="56" t="s">
        <v>2863</v>
      </c>
      <c r="G2179" s="26" t="s">
        <v>165</v>
      </c>
      <c r="H2179" s="25" t="s">
        <v>2864</v>
      </c>
      <c r="I2179" s="26" t="s">
        <v>491</v>
      </c>
      <c r="J2179" s="56" t="s">
        <v>2865</v>
      </c>
      <c r="K2179" s="59" t="s">
        <v>2863</v>
      </c>
      <c r="L2179" s="48" t="s">
        <v>2866</v>
      </c>
      <c r="M2179" s="49">
        <v>44712</v>
      </c>
      <c r="N2179" s="49" t="s">
        <v>168</v>
      </c>
      <c r="O2179" s="60">
        <v>0</v>
      </c>
      <c r="P2179" s="61">
        <v>-256</v>
      </c>
      <c r="Q2179" s="51">
        <f t="shared" si="51"/>
        <v>0</v>
      </c>
      <c r="R2179" s="31">
        <v>202310</v>
      </c>
      <c r="S2179" s="62" t="s">
        <v>2868</v>
      </c>
      <c r="T2179" s="33"/>
      <c r="U2179" s="58"/>
      <c r="V2179" s="58"/>
      <c r="W2179" s="63"/>
      <c r="X2179" s="63"/>
      <c r="Y2179" s="36">
        <v>44197</v>
      </c>
      <c r="Z2179" s="36">
        <v>44926</v>
      </c>
      <c r="AA2179" s="36"/>
      <c r="AB2179" s="36"/>
      <c r="AC2179" s="36"/>
      <c r="AD2179" s="36"/>
      <c r="AE2179" s="36"/>
      <c r="AF2179" s="40" t="s">
        <v>503</v>
      </c>
      <c r="AG2179" s="42"/>
      <c r="AH2179" s="42"/>
      <c r="AI2179" s="43"/>
      <c r="AJ2179" s="43"/>
      <c r="AK2179" s="43"/>
      <c r="AL2179" s="43"/>
      <c r="AM2179" s="43"/>
      <c r="AN2179" s="42"/>
      <c r="AO2179" s="42"/>
      <c r="AP2179" s="42"/>
      <c r="AQ2179" s="43"/>
      <c r="AR2179" s="42"/>
      <c r="AS2179" s="42"/>
    </row>
    <row r="2180" spans="1:45" ht="15" customHeight="1">
      <c r="A2180" s="56" t="s">
        <v>45</v>
      </c>
      <c r="B2180" s="21" t="s">
        <v>46</v>
      </c>
      <c r="C2180" s="57" t="s">
        <v>814</v>
      </c>
      <c r="D2180" s="22" t="s">
        <v>48</v>
      </c>
      <c r="E2180" s="58" t="s">
        <v>2862</v>
      </c>
      <c r="F2180" s="56" t="s">
        <v>2863</v>
      </c>
      <c r="G2180" s="26" t="s">
        <v>165</v>
      </c>
      <c r="H2180" s="25" t="s">
        <v>2864</v>
      </c>
      <c r="I2180" s="26" t="s">
        <v>491</v>
      </c>
      <c r="J2180" s="56" t="s">
        <v>2865</v>
      </c>
      <c r="K2180" s="59" t="s">
        <v>2863</v>
      </c>
      <c r="L2180" s="48" t="s">
        <v>2866</v>
      </c>
      <c r="M2180" s="49">
        <v>44712</v>
      </c>
      <c r="N2180" s="49" t="s">
        <v>168</v>
      </c>
      <c r="O2180" s="60">
        <v>50</v>
      </c>
      <c r="P2180" s="61">
        <v>-128</v>
      </c>
      <c r="Q2180" s="51">
        <f t="shared" si="51"/>
        <v>-6400</v>
      </c>
      <c r="R2180" s="31">
        <v>202310</v>
      </c>
      <c r="S2180" s="62" t="s">
        <v>2868</v>
      </c>
      <c r="T2180" s="33"/>
      <c r="U2180" s="58"/>
      <c r="V2180" s="58"/>
      <c r="W2180" s="63"/>
      <c r="X2180" s="63"/>
      <c r="Y2180" s="36">
        <v>44197</v>
      </c>
      <c r="Z2180" s="36">
        <v>44926</v>
      </c>
      <c r="AA2180" s="36"/>
      <c r="AB2180" s="36"/>
      <c r="AC2180" s="36"/>
      <c r="AD2180" s="36"/>
      <c r="AE2180" s="36"/>
      <c r="AF2180" s="40" t="s">
        <v>503</v>
      </c>
      <c r="AG2180" s="42"/>
      <c r="AH2180" s="42"/>
      <c r="AI2180" s="43"/>
      <c r="AJ2180" s="43"/>
      <c r="AK2180" s="43"/>
      <c r="AL2180" s="43"/>
      <c r="AM2180" s="43"/>
      <c r="AN2180" s="42"/>
      <c r="AO2180" s="42"/>
      <c r="AP2180" s="42"/>
      <c r="AQ2180" s="43"/>
      <c r="AR2180" s="42"/>
      <c r="AS2180" s="42"/>
    </row>
    <row r="2181" spans="1:45" ht="15" customHeight="1">
      <c r="A2181" s="56" t="s">
        <v>45</v>
      </c>
      <c r="B2181" s="21" t="s">
        <v>46</v>
      </c>
      <c r="C2181" s="57" t="s">
        <v>814</v>
      </c>
      <c r="D2181" s="22" t="s">
        <v>48</v>
      </c>
      <c r="E2181" s="58" t="s">
        <v>2862</v>
      </c>
      <c r="F2181" s="56" t="s">
        <v>2863</v>
      </c>
      <c r="G2181" s="26" t="s">
        <v>77</v>
      </c>
      <c r="H2181" s="25" t="s">
        <v>2864</v>
      </c>
      <c r="I2181" s="26" t="s">
        <v>479</v>
      </c>
      <c r="J2181" s="56" t="s">
        <v>2869</v>
      </c>
      <c r="K2181" s="59" t="s">
        <v>2863</v>
      </c>
      <c r="L2181" s="48" t="s">
        <v>2866</v>
      </c>
      <c r="M2181" s="49">
        <v>43831</v>
      </c>
      <c r="N2181" s="49" t="s">
        <v>90</v>
      </c>
      <c r="O2181" s="60">
        <v>4300</v>
      </c>
      <c r="P2181" s="61">
        <v>4</v>
      </c>
      <c r="Q2181" s="51">
        <f t="shared" si="51"/>
        <v>17200</v>
      </c>
      <c r="R2181" s="31">
        <v>202310</v>
      </c>
      <c r="S2181" s="62" t="s">
        <v>2870</v>
      </c>
      <c r="T2181" s="33"/>
      <c r="U2181" s="58"/>
      <c r="V2181" s="58"/>
      <c r="W2181" s="63"/>
      <c r="X2181" s="63"/>
      <c r="Y2181" s="36">
        <v>44197</v>
      </c>
      <c r="Z2181" s="36">
        <v>44926</v>
      </c>
      <c r="AA2181" s="36"/>
      <c r="AB2181" s="36"/>
      <c r="AC2181" s="36"/>
      <c r="AD2181" s="36"/>
      <c r="AE2181" s="36"/>
      <c r="AF2181" s="40" t="s">
        <v>503</v>
      </c>
      <c r="AG2181" s="42"/>
      <c r="AH2181" s="42"/>
      <c r="AI2181" s="43"/>
      <c r="AJ2181" s="43"/>
      <c r="AK2181" s="43"/>
      <c r="AL2181" s="43"/>
      <c r="AM2181" s="43"/>
      <c r="AN2181" s="42"/>
      <c r="AO2181" s="42"/>
      <c r="AP2181" s="42"/>
      <c r="AQ2181" s="43"/>
      <c r="AR2181" s="42"/>
      <c r="AS2181" s="42"/>
    </row>
    <row r="2182" spans="1:45" ht="15" customHeight="1">
      <c r="A2182" s="56" t="s">
        <v>45</v>
      </c>
      <c r="B2182" s="21" t="s">
        <v>46</v>
      </c>
      <c r="C2182" s="57" t="s">
        <v>814</v>
      </c>
      <c r="D2182" s="22" t="s">
        <v>48</v>
      </c>
      <c r="E2182" s="58" t="s">
        <v>2862</v>
      </c>
      <c r="F2182" s="56" t="s">
        <v>2863</v>
      </c>
      <c r="G2182" s="26" t="s">
        <v>77</v>
      </c>
      <c r="H2182" s="25" t="s">
        <v>2864</v>
      </c>
      <c r="I2182" s="26" t="s">
        <v>479</v>
      </c>
      <c r="J2182" s="56" t="s">
        <v>2869</v>
      </c>
      <c r="K2182" s="59" t="s">
        <v>2863</v>
      </c>
      <c r="L2182" s="48" t="s">
        <v>2866</v>
      </c>
      <c r="M2182" s="49">
        <v>44712</v>
      </c>
      <c r="N2182" s="49" t="s">
        <v>90</v>
      </c>
      <c r="O2182" s="60">
        <v>4300</v>
      </c>
      <c r="P2182" s="61">
        <v>-4</v>
      </c>
      <c r="Q2182" s="51">
        <f t="shared" si="51"/>
        <v>-17200</v>
      </c>
      <c r="R2182" s="31">
        <v>202310</v>
      </c>
      <c r="S2182" s="62" t="s">
        <v>2871</v>
      </c>
      <c r="T2182" s="33"/>
      <c r="U2182" s="58"/>
      <c r="V2182" s="58"/>
      <c r="W2182" s="63"/>
      <c r="X2182" s="63"/>
      <c r="Y2182" s="36">
        <v>44197</v>
      </c>
      <c r="Z2182" s="36">
        <v>44926</v>
      </c>
      <c r="AA2182" s="36"/>
      <c r="AB2182" s="36"/>
      <c r="AC2182" s="36"/>
      <c r="AD2182" s="36"/>
      <c r="AE2182" s="36"/>
      <c r="AF2182" s="40" t="s">
        <v>503</v>
      </c>
      <c r="AG2182" s="42"/>
      <c r="AH2182" s="42"/>
      <c r="AI2182" s="43"/>
      <c r="AJ2182" s="43"/>
      <c r="AK2182" s="43"/>
      <c r="AL2182" s="43"/>
      <c r="AM2182" s="43"/>
      <c r="AN2182" s="42"/>
      <c r="AO2182" s="42"/>
      <c r="AP2182" s="42"/>
      <c r="AQ2182" s="43"/>
      <c r="AR2182" s="42"/>
      <c r="AS2182" s="42"/>
    </row>
    <row r="2183" spans="1:45" ht="15" customHeight="1">
      <c r="A2183" s="56" t="s">
        <v>45</v>
      </c>
      <c r="B2183" s="21" t="s">
        <v>46</v>
      </c>
      <c r="C2183" s="57" t="s">
        <v>814</v>
      </c>
      <c r="D2183" s="22" t="s">
        <v>48</v>
      </c>
      <c r="E2183" s="58" t="s">
        <v>2872</v>
      </c>
      <c r="F2183" s="56" t="s">
        <v>2873</v>
      </c>
      <c r="G2183" s="26" t="s">
        <v>165</v>
      </c>
      <c r="H2183" s="25" t="s">
        <v>2874</v>
      </c>
      <c r="I2183" s="26" t="s">
        <v>491</v>
      </c>
      <c r="J2183" s="56" t="s">
        <v>2875</v>
      </c>
      <c r="K2183" s="59" t="s">
        <v>2873</v>
      </c>
      <c r="L2183" s="48" t="s">
        <v>2876</v>
      </c>
      <c r="M2183" s="49">
        <v>42978</v>
      </c>
      <c r="N2183" s="49" t="s">
        <v>168</v>
      </c>
      <c r="O2183" s="60">
        <v>0</v>
      </c>
      <c r="P2183" s="61">
        <v>288</v>
      </c>
      <c r="Q2183" s="51">
        <f t="shared" si="51"/>
        <v>0</v>
      </c>
      <c r="R2183" s="31">
        <v>202310</v>
      </c>
      <c r="S2183" s="62" t="s">
        <v>2877</v>
      </c>
      <c r="T2183" s="33"/>
      <c r="U2183" s="58"/>
      <c r="V2183" s="58"/>
      <c r="W2183" s="63"/>
      <c r="X2183" s="63"/>
      <c r="Y2183" s="36">
        <v>45108</v>
      </c>
      <c r="Z2183" s="36">
        <v>45473</v>
      </c>
      <c r="AA2183" s="36"/>
      <c r="AB2183" s="36"/>
      <c r="AC2183" s="36"/>
      <c r="AD2183" s="36"/>
      <c r="AE2183" s="36"/>
      <c r="AF2183" s="40" t="s">
        <v>503</v>
      </c>
      <c r="AG2183" s="42"/>
      <c r="AH2183" s="42"/>
      <c r="AI2183" s="43"/>
      <c r="AJ2183" s="43"/>
      <c r="AK2183" s="43"/>
      <c r="AL2183" s="43"/>
      <c r="AM2183" s="43"/>
      <c r="AN2183" s="42"/>
      <c r="AO2183" s="42"/>
      <c r="AP2183" s="42"/>
      <c r="AQ2183" s="43"/>
      <c r="AR2183" s="42"/>
      <c r="AS2183" s="42"/>
    </row>
    <row r="2184" spans="1:45" ht="15" customHeight="1">
      <c r="A2184" s="56" t="s">
        <v>45</v>
      </c>
      <c r="B2184" s="21" t="s">
        <v>46</v>
      </c>
      <c r="C2184" s="57" t="s">
        <v>814</v>
      </c>
      <c r="D2184" s="22" t="s">
        <v>48</v>
      </c>
      <c r="E2184" s="58" t="s">
        <v>2872</v>
      </c>
      <c r="F2184" s="56" t="s">
        <v>2873</v>
      </c>
      <c r="G2184" s="26" t="s">
        <v>165</v>
      </c>
      <c r="H2184" s="25" t="s">
        <v>2874</v>
      </c>
      <c r="I2184" s="26" t="s">
        <v>491</v>
      </c>
      <c r="J2184" s="56" t="s">
        <v>2875</v>
      </c>
      <c r="K2184" s="59" t="s">
        <v>2873</v>
      </c>
      <c r="L2184" s="48" t="s">
        <v>2876</v>
      </c>
      <c r="M2184" s="49">
        <v>44712</v>
      </c>
      <c r="N2184" s="49" t="s">
        <v>168</v>
      </c>
      <c r="O2184" s="60">
        <v>0</v>
      </c>
      <c r="P2184" s="61">
        <v>-288</v>
      </c>
      <c r="Q2184" s="51">
        <f t="shared" si="51"/>
        <v>0</v>
      </c>
      <c r="R2184" s="31">
        <v>202310</v>
      </c>
      <c r="S2184" s="62" t="s">
        <v>2878</v>
      </c>
      <c r="T2184" s="33"/>
      <c r="U2184" s="58"/>
      <c r="V2184" s="58"/>
      <c r="W2184" s="63"/>
      <c r="X2184" s="63"/>
      <c r="Y2184" s="36">
        <v>45108</v>
      </c>
      <c r="Z2184" s="36">
        <v>45473</v>
      </c>
      <c r="AA2184" s="36"/>
      <c r="AB2184" s="36"/>
      <c r="AC2184" s="36"/>
      <c r="AD2184" s="36"/>
      <c r="AE2184" s="36"/>
      <c r="AF2184" s="40" t="s">
        <v>503</v>
      </c>
      <c r="AG2184" s="42"/>
      <c r="AH2184" s="42"/>
      <c r="AI2184" s="43"/>
      <c r="AJ2184" s="43"/>
      <c r="AK2184" s="43"/>
      <c r="AL2184" s="43"/>
      <c r="AM2184" s="43"/>
      <c r="AN2184" s="42"/>
      <c r="AO2184" s="42"/>
      <c r="AP2184" s="42"/>
      <c r="AQ2184" s="43"/>
      <c r="AR2184" s="42"/>
      <c r="AS2184" s="42"/>
    </row>
    <row r="2185" spans="1:45" ht="15" customHeight="1">
      <c r="A2185" s="56" t="s">
        <v>45</v>
      </c>
      <c r="B2185" s="21" t="s">
        <v>46</v>
      </c>
      <c r="C2185" s="57" t="s">
        <v>814</v>
      </c>
      <c r="D2185" s="22" t="s">
        <v>48</v>
      </c>
      <c r="E2185" s="58" t="s">
        <v>2872</v>
      </c>
      <c r="F2185" s="56" t="s">
        <v>2873</v>
      </c>
      <c r="G2185" s="26" t="s">
        <v>165</v>
      </c>
      <c r="H2185" s="25" t="s">
        <v>2874</v>
      </c>
      <c r="I2185" s="26" t="s">
        <v>491</v>
      </c>
      <c r="J2185" s="56" t="s">
        <v>2875</v>
      </c>
      <c r="K2185" s="59" t="s">
        <v>2879</v>
      </c>
      <c r="L2185" s="48" t="s">
        <v>2880</v>
      </c>
      <c r="M2185" s="49">
        <v>43970</v>
      </c>
      <c r="N2185" s="49" t="s">
        <v>168</v>
      </c>
      <c r="O2185" s="60">
        <v>0</v>
      </c>
      <c r="P2185" s="61">
        <v>288</v>
      </c>
      <c r="Q2185" s="51">
        <f t="shared" si="51"/>
        <v>0</v>
      </c>
      <c r="R2185" s="31">
        <v>202310</v>
      </c>
      <c r="S2185" s="62" t="s">
        <v>2881</v>
      </c>
      <c r="T2185" s="33"/>
      <c r="U2185" s="58"/>
      <c r="V2185" s="58"/>
      <c r="W2185" s="63"/>
      <c r="X2185" s="63"/>
      <c r="Y2185" s="36">
        <v>45108</v>
      </c>
      <c r="Z2185" s="36">
        <v>45473</v>
      </c>
      <c r="AA2185" s="36"/>
      <c r="AB2185" s="36"/>
      <c r="AC2185" s="36"/>
      <c r="AD2185" s="36"/>
      <c r="AE2185" s="36"/>
      <c r="AF2185" s="40" t="s">
        <v>503</v>
      </c>
      <c r="AG2185" s="42"/>
      <c r="AH2185" s="42"/>
      <c r="AI2185" s="43"/>
      <c r="AJ2185" s="43"/>
      <c r="AK2185" s="43"/>
      <c r="AL2185" s="43"/>
      <c r="AM2185" s="43"/>
      <c r="AN2185" s="42"/>
      <c r="AO2185" s="42"/>
      <c r="AP2185" s="42"/>
      <c r="AQ2185" s="43"/>
      <c r="AR2185" s="42"/>
      <c r="AS2185" s="42"/>
    </row>
    <row r="2186" spans="1:45" ht="15" customHeight="1">
      <c r="A2186" s="56" t="s">
        <v>45</v>
      </c>
      <c r="B2186" s="21" t="s">
        <v>46</v>
      </c>
      <c r="C2186" s="57" t="s">
        <v>814</v>
      </c>
      <c r="D2186" s="22" t="s">
        <v>48</v>
      </c>
      <c r="E2186" s="58" t="s">
        <v>2872</v>
      </c>
      <c r="F2186" s="56" t="s">
        <v>2873</v>
      </c>
      <c r="G2186" s="26" t="s">
        <v>165</v>
      </c>
      <c r="H2186" s="25" t="s">
        <v>2874</v>
      </c>
      <c r="I2186" s="26" t="s">
        <v>491</v>
      </c>
      <c r="J2186" s="56" t="s">
        <v>2875</v>
      </c>
      <c r="K2186" s="59" t="s">
        <v>2879</v>
      </c>
      <c r="L2186" s="48" t="s">
        <v>2880</v>
      </c>
      <c r="M2186" s="49">
        <v>44824</v>
      </c>
      <c r="N2186" s="49" t="s">
        <v>168</v>
      </c>
      <c r="O2186" s="60">
        <v>0</v>
      </c>
      <c r="P2186" s="61">
        <v>-128</v>
      </c>
      <c r="Q2186" s="51">
        <f t="shared" si="51"/>
        <v>0</v>
      </c>
      <c r="R2186" s="31">
        <v>202310</v>
      </c>
      <c r="S2186" s="62" t="s">
        <v>2881</v>
      </c>
      <c r="T2186" s="33"/>
      <c r="U2186" s="58"/>
      <c r="V2186" s="58"/>
      <c r="W2186" s="63"/>
      <c r="X2186" s="63"/>
      <c r="Y2186" s="36">
        <v>45108</v>
      </c>
      <c r="Z2186" s="36">
        <v>45473</v>
      </c>
      <c r="AA2186" s="36"/>
      <c r="AB2186" s="36"/>
      <c r="AC2186" s="36"/>
      <c r="AD2186" s="36"/>
      <c r="AE2186" s="36"/>
      <c r="AF2186" s="40" t="s">
        <v>503</v>
      </c>
      <c r="AG2186" s="42"/>
      <c r="AH2186" s="42"/>
      <c r="AI2186" s="43"/>
      <c r="AJ2186" s="43"/>
      <c r="AK2186" s="43"/>
      <c r="AL2186" s="43"/>
      <c r="AM2186" s="43"/>
      <c r="AN2186" s="42"/>
      <c r="AO2186" s="42"/>
      <c r="AP2186" s="42"/>
      <c r="AQ2186" s="43"/>
      <c r="AR2186" s="42"/>
      <c r="AS2186" s="42"/>
    </row>
    <row r="2187" spans="1:45" ht="15" customHeight="1">
      <c r="A2187" s="56" t="s">
        <v>45</v>
      </c>
      <c r="B2187" s="21" t="s">
        <v>46</v>
      </c>
      <c r="C2187" s="57" t="s">
        <v>814</v>
      </c>
      <c r="D2187" s="22" t="s">
        <v>48</v>
      </c>
      <c r="E2187" s="58" t="s">
        <v>2872</v>
      </c>
      <c r="F2187" s="56" t="s">
        <v>2873</v>
      </c>
      <c r="G2187" s="26" t="s">
        <v>165</v>
      </c>
      <c r="H2187" s="25" t="s">
        <v>2874</v>
      </c>
      <c r="I2187" s="26" t="s">
        <v>859</v>
      </c>
      <c r="J2187" s="56" t="s">
        <v>2875</v>
      </c>
      <c r="K2187" s="59" t="s">
        <v>2882</v>
      </c>
      <c r="L2187" s="48" t="s">
        <v>2883</v>
      </c>
      <c r="M2187" s="49"/>
      <c r="N2187" s="49" t="s">
        <v>168</v>
      </c>
      <c r="O2187" s="60">
        <v>0</v>
      </c>
      <c r="P2187" s="61">
        <f>512-P2188</f>
        <v>128</v>
      </c>
      <c r="Q2187" s="51">
        <f t="shared" si="51"/>
        <v>0</v>
      </c>
      <c r="R2187" s="31">
        <v>202310</v>
      </c>
      <c r="S2187" s="62" t="s">
        <v>2884</v>
      </c>
      <c r="T2187" s="33"/>
      <c r="U2187" s="58"/>
      <c r="V2187" s="58"/>
      <c r="W2187" s="63"/>
      <c r="X2187" s="63"/>
      <c r="Y2187" s="36">
        <v>45108</v>
      </c>
      <c r="Z2187" s="36">
        <v>45473</v>
      </c>
      <c r="AA2187" s="36"/>
      <c r="AB2187" s="36"/>
      <c r="AC2187" s="36"/>
      <c r="AD2187" s="36"/>
      <c r="AE2187" s="36"/>
      <c r="AF2187" s="40" t="s">
        <v>853</v>
      </c>
      <c r="AG2187" s="42"/>
      <c r="AH2187" s="42"/>
      <c r="AI2187" s="43"/>
      <c r="AJ2187" s="43"/>
      <c r="AK2187" s="43"/>
      <c r="AL2187" s="43"/>
      <c r="AM2187" s="43"/>
      <c r="AN2187" s="42"/>
      <c r="AO2187" s="42"/>
      <c r="AP2187" s="42"/>
      <c r="AQ2187" s="43"/>
      <c r="AR2187" s="42"/>
      <c r="AS2187" s="42"/>
    </row>
    <row r="2188" spans="1:45" ht="15" customHeight="1">
      <c r="A2188" s="56" t="s">
        <v>45</v>
      </c>
      <c r="B2188" s="21" t="s">
        <v>46</v>
      </c>
      <c r="C2188" s="57" t="s">
        <v>814</v>
      </c>
      <c r="D2188" s="22" t="s">
        <v>48</v>
      </c>
      <c r="E2188" s="58" t="s">
        <v>2872</v>
      </c>
      <c r="F2188" s="56" t="s">
        <v>2873</v>
      </c>
      <c r="G2188" s="26" t="s">
        <v>165</v>
      </c>
      <c r="H2188" s="25" t="s">
        <v>2874</v>
      </c>
      <c r="I2188" s="26" t="s">
        <v>859</v>
      </c>
      <c r="J2188" s="56" t="s">
        <v>2875</v>
      </c>
      <c r="K2188" s="59" t="s">
        <v>2882</v>
      </c>
      <c r="L2188" s="48" t="s">
        <v>2883</v>
      </c>
      <c r="M2188" s="49"/>
      <c r="N2188" s="49" t="s">
        <v>168</v>
      </c>
      <c r="O2188" s="60">
        <v>50</v>
      </c>
      <c r="P2188" s="61">
        <v>384</v>
      </c>
      <c r="Q2188" s="51">
        <f t="shared" si="51"/>
        <v>19200</v>
      </c>
      <c r="R2188" s="31">
        <v>202310</v>
      </c>
      <c r="S2188" s="62" t="s">
        <v>2885</v>
      </c>
      <c r="T2188" s="33"/>
      <c r="U2188" s="58"/>
      <c r="V2188" s="58"/>
      <c r="W2188" s="63"/>
      <c r="X2188" s="63"/>
      <c r="Y2188" s="36">
        <v>45108</v>
      </c>
      <c r="Z2188" s="36">
        <v>45473</v>
      </c>
      <c r="AA2188" s="36"/>
      <c r="AB2188" s="36"/>
      <c r="AC2188" s="36"/>
      <c r="AD2188" s="36"/>
      <c r="AE2188" s="36"/>
      <c r="AF2188" s="40" t="s">
        <v>853</v>
      </c>
      <c r="AG2188" s="42"/>
      <c r="AH2188" s="42"/>
      <c r="AI2188" s="43"/>
      <c r="AJ2188" s="43"/>
      <c r="AK2188" s="43"/>
      <c r="AL2188" s="43"/>
      <c r="AM2188" s="43"/>
      <c r="AN2188" s="42"/>
      <c r="AO2188" s="42"/>
      <c r="AP2188" s="42"/>
      <c r="AQ2188" s="43"/>
      <c r="AR2188" s="42"/>
      <c r="AS2188" s="42"/>
    </row>
    <row r="2189" spans="1:45" ht="15" customHeight="1">
      <c r="A2189" s="56" t="s">
        <v>45</v>
      </c>
      <c r="B2189" s="21" t="s">
        <v>46</v>
      </c>
      <c r="C2189" s="57" t="s">
        <v>814</v>
      </c>
      <c r="D2189" s="22" t="s">
        <v>48</v>
      </c>
      <c r="E2189" s="58" t="s">
        <v>2872</v>
      </c>
      <c r="F2189" s="56" t="s">
        <v>2873</v>
      </c>
      <c r="G2189" s="26" t="s">
        <v>165</v>
      </c>
      <c r="H2189" s="25" t="s">
        <v>2874</v>
      </c>
      <c r="I2189" s="26" t="s">
        <v>859</v>
      </c>
      <c r="J2189" s="56" t="s">
        <v>2875</v>
      </c>
      <c r="K2189" s="59" t="s">
        <v>2882</v>
      </c>
      <c r="L2189" s="48" t="s">
        <v>2883</v>
      </c>
      <c r="M2189" s="49">
        <v>44895</v>
      </c>
      <c r="N2189" s="49" t="s">
        <v>168</v>
      </c>
      <c r="O2189" s="60">
        <v>0</v>
      </c>
      <c r="P2189" s="61">
        <v>-128</v>
      </c>
      <c r="Q2189" s="51">
        <f t="shared" si="51"/>
        <v>0</v>
      </c>
      <c r="R2189" s="31">
        <v>202310</v>
      </c>
      <c r="S2189" s="62" t="s">
        <v>2886</v>
      </c>
      <c r="T2189" s="33"/>
      <c r="U2189" s="58"/>
      <c r="V2189" s="58"/>
      <c r="W2189" s="63"/>
      <c r="X2189" s="63"/>
      <c r="Y2189" s="36">
        <v>45108</v>
      </c>
      <c r="Z2189" s="36">
        <v>45473</v>
      </c>
      <c r="AA2189" s="36"/>
      <c r="AB2189" s="36"/>
      <c r="AC2189" s="36"/>
      <c r="AD2189" s="36"/>
      <c r="AE2189" s="36"/>
      <c r="AF2189" s="40" t="s">
        <v>853</v>
      </c>
      <c r="AG2189" s="42"/>
      <c r="AH2189" s="42"/>
      <c r="AI2189" s="43"/>
      <c r="AJ2189" s="43"/>
      <c r="AK2189" s="43"/>
      <c r="AL2189" s="43"/>
      <c r="AM2189" s="43"/>
      <c r="AN2189" s="42"/>
      <c r="AO2189" s="42"/>
      <c r="AP2189" s="42"/>
      <c r="AQ2189" s="43"/>
      <c r="AR2189" s="42"/>
      <c r="AS2189" s="42"/>
    </row>
    <row r="2190" spans="1:45" ht="15" customHeight="1">
      <c r="A2190" s="56" t="s">
        <v>45</v>
      </c>
      <c r="B2190" s="21" t="s">
        <v>46</v>
      </c>
      <c r="C2190" s="57" t="s">
        <v>814</v>
      </c>
      <c r="D2190" s="22" t="s">
        <v>48</v>
      </c>
      <c r="E2190" s="58" t="s">
        <v>2872</v>
      </c>
      <c r="F2190" s="56" t="s">
        <v>2873</v>
      </c>
      <c r="G2190" s="26" t="s">
        <v>165</v>
      </c>
      <c r="H2190" s="25" t="s">
        <v>2874</v>
      </c>
      <c r="I2190" s="26" t="s">
        <v>859</v>
      </c>
      <c r="J2190" s="56" t="s">
        <v>2875</v>
      </c>
      <c r="K2190" s="59" t="s">
        <v>2882</v>
      </c>
      <c r="L2190" s="48" t="s">
        <v>2883</v>
      </c>
      <c r="M2190" s="49">
        <v>44895</v>
      </c>
      <c r="N2190" s="49" t="s">
        <v>168</v>
      </c>
      <c r="O2190" s="60">
        <v>50</v>
      </c>
      <c r="P2190" s="61">
        <v>-384</v>
      </c>
      <c r="Q2190" s="51">
        <f t="shared" si="51"/>
        <v>-19200</v>
      </c>
      <c r="R2190" s="31">
        <v>202310</v>
      </c>
      <c r="S2190" s="62" t="s">
        <v>2887</v>
      </c>
      <c r="T2190" s="33"/>
      <c r="U2190" s="58"/>
      <c r="V2190" s="58"/>
      <c r="W2190" s="63"/>
      <c r="X2190" s="63"/>
      <c r="Y2190" s="36">
        <v>45108</v>
      </c>
      <c r="Z2190" s="36">
        <v>45473</v>
      </c>
      <c r="AA2190" s="36"/>
      <c r="AB2190" s="36"/>
      <c r="AC2190" s="36"/>
      <c r="AD2190" s="36"/>
      <c r="AE2190" s="36"/>
      <c r="AF2190" s="40" t="s">
        <v>853</v>
      </c>
      <c r="AG2190" s="42"/>
      <c r="AH2190" s="42"/>
      <c r="AI2190" s="43"/>
      <c r="AJ2190" s="43"/>
      <c r="AK2190" s="43"/>
      <c r="AL2190" s="43"/>
      <c r="AM2190" s="43"/>
      <c r="AN2190" s="42"/>
      <c r="AO2190" s="42"/>
      <c r="AP2190" s="42"/>
      <c r="AQ2190" s="43"/>
      <c r="AR2190" s="42"/>
      <c r="AS2190" s="42"/>
    </row>
    <row r="2191" spans="1:45" ht="15" customHeight="1">
      <c r="A2191" s="56" t="s">
        <v>45</v>
      </c>
      <c r="B2191" s="21" t="s">
        <v>46</v>
      </c>
      <c r="C2191" s="57" t="s">
        <v>814</v>
      </c>
      <c r="D2191" s="22" t="s">
        <v>48</v>
      </c>
      <c r="E2191" s="58" t="s">
        <v>2872</v>
      </c>
      <c r="F2191" s="56" t="s">
        <v>2873</v>
      </c>
      <c r="G2191" s="26" t="s">
        <v>77</v>
      </c>
      <c r="H2191" s="25" t="s">
        <v>2874</v>
      </c>
      <c r="I2191" s="26" t="s">
        <v>479</v>
      </c>
      <c r="J2191" s="56" t="s">
        <v>2875</v>
      </c>
      <c r="K2191" s="59" t="s">
        <v>2873</v>
      </c>
      <c r="L2191" s="48" t="s">
        <v>2876</v>
      </c>
      <c r="M2191" s="49">
        <v>42978</v>
      </c>
      <c r="N2191" s="49" t="s">
        <v>90</v>
      </c>
      <c r="O2191" s="60">
        <v>4300</v>
      </c>
      <c r="P2191" s="61">
        <v>7</v>
      </c>
      <c r="Q2191" s="51">
        <f t="shared" si="51"/>
        <v>30100</v>
      </c>
      <c r="R2191" s="31">
        <v>202310</v>
      </c>
      <c r="S2191" s="62" t="s">
        <v>2888</v>
      </c>
      <c r="T2191" s="33"/>
      <c r="U2191" s="58"/>
      <c r="V2191" s="58"/>
      <c r="W2191" s="63"/>
      <c r="X2191" s="63"/>
      <c r="Y2191" s="36">
        <v>45108</v>
      </c>
      <c r="Z2191" s="36">
        <v>45473</v>
      </c>
      <c r="AA2191" s="36"/>
      <c r="AB2191" s="36"/>
      <c r="AC2191" s="36"/>
      <c r="AD2191" s="36"/>
      <c r="AE2191" s="36"/>
      <c r="AF2191" s="40" t="s">
        <v>503</v>
      </c>
      <c r="AG2191" s="42"/>
      <c r="AH2191" s="42"/>
      <c r="AI2191" s="43"/>
      <c r="AJ2191" s="43"/>
      <c r="AK2191" s="43"/>
      <c r="AL2191" s="43"/>
      <c r="AM2191" s="43"/>
      <c r="AN2191" s="42"/>
      <c r="AO2191" s="42"/>
      <c r="AP2191" s="42"/>
      <c r="AQ2191" s="43"/>
      <c r="AR2191" s="42"/>
      <c r="AS2191" s="42"/>
    </row>
    <row r="2192" spans="1:45" ht="15" customHeight="1">
      <c r="A2192" s="56" t="s">
        <v>45</v>
      </c>
      <c r="B2192" s="21" t="s">
        <v>46</v>
      </c>
      <c r="C2192" s="57" t="s">
        <v>814</v>
      </c>
      <c r="D2192" s="22" t="s">
        <v>48</v>
      </c>
      <c r="E2192" s="58" t="s">
        <v>2872</v>
      </c>
      <c r="F2192" s="56" t="s">
        <v>2873</v>
      </c>
      <c r="G2192" s="26" t="s">
        <v>77</v>
      </c>
      <c r="H2192" s="25" t="s">
        <v>2874</v>
      </c>
      <c r="I2192" s="26" t="s">
        <v>479</v>
      </c>
      <c r="J2192" s="56" t="s">
        <v>2875</v>
      </c>
      <c r="K2192" s="59" t="s">
        <v>2873</v>
      </c>
      <c r="L2192" s="48" t="s">
        <v>2876</v>
      </c>
      <c r="M2192" s="49">
        <v>44712</v>
      </c>
      <c r="N2192" s="49" t="s">
        <v>90</v>
      </c>
      <c r="O2192" s="60">
        <v>4300</v>
      </c>
      <c r="P2192" s="61">
        <v>-7</v>
      </c>
      <c r="Q2192" s="51">
        <f t="shared" si="51"/>
        <v>-30100</v>
      </c>
      <c r="R2192" s="31">
        <v>202310</v>
      </c>
      <c r="S2192" s="62" t="s">
        <v>2889</v>
      </c>
      <c r="T2192" s="33"/>
      <c r="U2192" s="58"/>
      <c r="V2192" s="58"/>
      <c r="W2192" s="63"/>
      <c r="X2192" s="63"/>
      <c r="Y2192" s="36">
        <v>45108</v>
      </c>
      <c r="Z2192" s="36">
        <v>45473</v>
      </c>
      <c r="AA2192" s="36"/>
      <c r="AB2192" s="36"/>
      <c r="AC2192" s="36"/>
      <c r="AD2192" s="36"/>
      <c r="AE2192" s="36"/>
      <c r="AF2192" s="40" t="s">
        <v>503</v>
      </c>
      <c r="AG2192" s="42"/>
      <c r="AH2192" s="42"/>
      <c r="AI2192" s="43"/>
      <c r="AJ2192" s="43"/>
      <c r="AK2192" s="43"/>
      <c r="AL2192" s="43"/>
      <c r="AM2192" s="43"/>
      <c r="AN2192" s="42"/>
      <c r="AO2192" s="42"/>
      <c r="AP2192" s="42"/>
      <c r="AQ2192" s="43"/>
      <c r="AR2192" s="42"/>
      <c r="AS2192" s="42"/>
    </row>
    <row r="2193" spans="1:45" ht="15" customHeight="1">
      <c r="A2193" s="56" t="s">
        <v>45</v>
      </c>
      <c r="B2193" s="21" t="s">
        <v>46</v>
      </c>
      <c r="C2193" s="57" t="s">
        <v>814</v>
      </c>
      <c r="D2193" s="22" t="s">
        <v>48</v>
      </c>
      <c r="E2193" s="58" t="s">
        <v>2872</v>
      </c>
      <c r="F2193" s="56" t="s">
        <v>2873</v>
      </c>
      <c r="G2193" s="26" t="s">
        <v>77</v>
      </c>
      <c r="H2193" s="25" t="s">
        <v>2874</v>
      </c>
      <c r="I2193" s="26" t="s">
        <v>479</v>
      </c>
      <c r="J2193" s="56" t="s">
        <v>2875</v>
      </c>
      <c r="K2193" s="59" t="s">
        <v>2879</v>
      </c>
      <c r="L2193" s="48" t="s">
        <v>2880</v>
      </c>
      <c r="M2193" s="49">
        <v>43970</v>
      </c>
      <c r="N2193" s="49" t="s">
        <v>2890</v>
      </c>
      <c r="O2193" s="60">
        <v>4300</v>
      </c>
      <c r="P2193" s="61">
        <v>6</v>
      </c>
      <c r="Q2193" s="51">
        <f t="shared" si="51"/>
        <v>25800</v>
      </c>
      <c r="R2193" s="31">
        <v>202310</v>
      </c>
      <c r="S2193" s="62" t="s">
        <v>2891</v>
      </c>
      <c r="T2193" s="33"/>
      <c r="U2193" s="58"/>
      <c r="V2193" s="58"/>
      <c r="W2193" s="63"/>
      <c r="X2193" s="63"/>
      <c r="Y2193" s="36">
        <v>45108</v>
      </c>
      <c r="Z2193" s="36">
        <v>45473</v>
      </c>
      <c r="AA2193" s="36"/>
      <c r="AB2193" s="36"/>
      <c r="AC2193" s="36"/>
      <c r="AD2193" s="36"/>
      <c r="AE2193" s="36"/>
      <c r="AF2193" s="40" t="s">
        <v>503</v>
      </c>
      <c r="AG2193" s="42"/>
      <c r="AH2193" s="42"/>
      <c r="AI2193" s="43"/>
      <c r="AJ2193" s="43"/>
      <c r="AK2193" s="43"/>
      <c r="AL2193" s="43"/>
      <c r="AM2193" s="43"/>
      <c r="AN2193" s="42"/>
      <c r="AO2193" s="42"/>
      <c r="AP2193" s="42"/>
      <c r="AQ2193" s="43"/>
      <c r="AR2193" s="42"/>
      <c r="AS2193" s="42"/>
    </row>
    <row r="2194" spans="1:45" ht="15" customHeight="1">
      <c r="A2194" s="56" t="s">
        <v>45</v>
      </c>
      <c r="B2194" s="21" t="s">
        <v>46</v>
      </c>
      <c r="C2194" s="57" t="s">
        <v>814</v>
      </c>
      <c r="D2194" s="22" t="s">
        <v>48</v>
      </c>
      <c r="E2194" s="58" t="s">
        <v>2872</v>
      </c>
      <c r="F2194" s="56" t="s">
        <v>2873</v>
      </c>
      <c r="G2194" s="26" t="s">
        <v>77</v>
      </c>
      <c r="H2194" s="25" t="s">
        <v>2874</v>
      </c>
      <c r="I2194" s="26" t="s">
        <v>479</v>
      </c>
      <c r="J2194" s="56" t="s">
        <v>2875</v>
      </c>
      <c r="K2194" s="59" t="s">
        <v>2879</v>
      </c>
      <c r="L2194" s="48" t="s">
        <v>2880</v>
      </c>
      <c r="M2194" s="49">
        <v>44824</v>
      </c>
      <c r="N2194" s="49" t="s">
        <v>90</v>
      </c>
      <c r="O2194" s="60">
        <v>4300</v>
      </c>
      <c r="P2194" s="61">
        <v>-3</v>
      </c>
      <c r="Q2194" s="51">
        <f t="shared" si="51"/>
        <v>-12900</v>
      </c>
      <c r="R2194" s="31">
        <v>202310</v>
      </c>
      <c r="S2194" s="62" t="s">
        <v>2892</v>
      </c>
      <c r="T2194" s="33"/>
      <c r="U2194" s="58"/>
      <c r="V2194" s="58"/>
      <c r="W2194" s="63"/>
      <c r="X2194" s="63"/>
      <c r="Y2194" s="36">
        <v>45108</v>
      </c>
      <c r="Z2194" s="36">
        <v>45473</v>
      </c>
      <c r="AA2194" s="36"/>
      <c r="AB2194" s="36"/>
      <c r="AC2194" s="36"/>
      <c r="AD2194" s="36"/>
      <c r="AE2194" s="36"/>
      <c r="AF2194" s="40" t="s">
        <v>503</v>
      </c>
      <c r="AG2194" s="42"/>
      <c r="AH2194" s="42"/>
      <c r="AI2194" s="43"/>
      <c r="AJ2194" s="43"/>
      <c r="AK2194" s="43"/>
      <c r="AL2194" s="43"/>
      <c r="AM2194" s="43"/>
      <c r="AN2194" s="42"/>
      <c r="AO2194" s="42"/>
      <c r="AP2194" s="42"/>
      <c r="AQ2194" s="43"/>
      <c r="AR2194" s="42"/>
      <c r="AS2194" s="42"/>
    </row>
    <row r="2195" spans="1:45" ht="15" customHeight="1">
      <c r="A2195" s="56" t="s">
        <v>45</v>
      </c>
      <c r="B2195" s="21" t="s">
        <v>46</v>
      </c>
      <c r="C2195" s="57" t="s">
        <v>814</v>
      </c>
      <c r="D2195" s="22" t="s">
        <v>48</v>
      </c>
      <c r="E2195" s="58" t="s">
        <v>2872</v>
      </c>
      <c r="F2195" s="56" t="s">
        <v>2873</v>
      </c>
      <c r="G2195" s="26" t="s">
        <v>77</v>
      </c>
      <c r="H2195" s="25" t="s">
        <v>2874</v>
      </c>
      <c r="I2195" s="26" t="s">
        <v>849</v>
      </c>
      <c r="J2195" s="56" t="s">
        <v>2875</v>
      </c>
      <c r="K2195" s="59" t="s">
        <v>2882</v>
      </c>
      <c r="L2195" s="48" t="s">
        <v>2883</v>
      </c>
      <c r="M2195" s="49">
        <v>44030</v>
      </c>
      <c r="N2195" s="49" t="s">
        <v>90</v>
      </c>
      <c r="O2195" s="60">
        <v>4300</v>
      </c>
      <c r="P2195" s="61">
        <v>2</v>
      </c>
      <c r="Q2195" s="51">
        <f t="shared" si="51"/>
        <v>8600</v>
      </c>
      <c r="R2195" s="31">
        <v>202310</v>
      </c>
      <c r="S2195" s="62" t="s">
        <v>2893</v>
      </c>
      <c r="T2195" s="33"/>
      <c r="U2195" s="58"/>
      <c r="V2195" s="58"/>
      <c r="W2195" s="63"/>
      <c r="X2195" s="63"/>
      <c r="Y2195" s="36">
        <v>45108</v>
      </c>
      <c r="Z2195" s="36">
        <v>45473</v>
      </c>
      <c r="AA2195" s="36"/>
      <c r="AB2195" s="36"/>
      <c r="AC2195" s="36"/>
      <c r="AD2195" s="36"/>
      <c r="AE2195" s="36"/>
      <c r="AF2195" s="40" t="s">
        <v>853</v>
      </c>
      <c r="AG2195" s="42"/>
      <c r="AH2195" s="42"/>
      <c r="AI2195" s="43"/>
      <c r="AJ2195" s="43"/>
      <c r="AK2195" s="43"/>
      <c r="AL2195" s="43"/>
      <c r="AM2195" s="43"/>
      <c r="AN2195" s="42"/>
      <c r="AO2195" s="42"/>
      <c r="AP2195" s="42"/>
      <c r="AQ2195" s="43"/>
      <c r="AR2195" s="42"/>
      <c r="AS2195" s="42"/>
    </row>
    <row r="2196" spans="1:45" ht="15" customHeight="1">
      <c r="A2196" s="56" t="s">
        <v>45</v>
      </c>
      <c r="B2196" s="21" t="s">
        <v>46</v>
      </c>
      <c r="C2196" s="57" t="s">
        <v>814</v>
      </c>
      <c r="D2196" s="22" t="s">
        <v>48</v>
      </c>
      <c r="E2196" s="58" t="s">
        <v>2872</v>
      </c>
      <c r="F2196" s="56" t="s">
        <v>2873</v>
      </c>
      <c r="G2196" s="26" t="s">
        <v>77</v>
      </c>
      <c r="H2196" s="25" t="s">
        <v>2874</v>
      </c>
      <c r="I2196" s="26" t="s">
        <v>849</v>
      </c>
      <c r="J2196" s="56" t="s">
        <v>2875</v>
      </c>
      <c r="K2196" s="59" t="s">
        <v>2882</v>
      </c>
      <c r="L2196" s="48" t="s">
        <v>2883</v>
      </c>
      <c r="M2196" s="49">
        <v>44165</v>
      </c>
      <c r="N2196" s="49" t="s">
        <v>90</v>
      </c>
      <c r="O2196" s="60">
        <v>4300</v>
      </c>
      <c r="P2196" s="61">
        <v>1</v>
      </c>
      <c r="Q2196" s="51">
        <f t="shared" si="51"/>
        <v>4300</v>
      </c>
      <c r="R2196" s="31">
        <v>202310</v>
      </c>
      <c r="S2196" s="62" t="s">
        <v>2893</v>
      </c>
      <c r="T2196" s="33"/>
      <c r="U2196" s="58"/>
      <c r="V2196" s="58"/>
      <c r="W2196" s="63"/>
      <c r="X2196" s="63"/>
      <c r="Y2196" s="36">
        <v>45108</v>
      </c>
      <c r="Z2196" s="36">
        <v>45473</v>
      </c>
      <c r="AA2196" s="36"/>
      <c r="AB2196" s="36"/>
      <c r="AC2196" s="36"/>
      <c r="AD2196" s="36"/>
      <c r="AE2196" s="36"/>
      <c r="AF2196" s="40" t="s">
        <v>853</v>
      </c>
      <c r="AG2196" s="42"/>
      <c r="AH2196" s="42"/>
      <c r="AI2196" s="43"/>
      <c r="AJ2196" s="43"/>
      <c r="AK2196" s="43"/>
      <c r="AL2196" s="43"/>
      <c r="AM2196" s="43"/>
      <c r="AN2196" s="42"/>
      <c r="AO2196" s="42"/>
      <c r="AP2196" s="42"/>
      <c r="AQ2196" s="43"/>
      <c r="AR2196" s="42"/>
      <c r="AS2196" s="42"/>
    </row>
    <row r="2197" spans="1:45" ht="15" customHeight="1">
      <c r="A2197" s="56" t="s">
        <v>45</v>
      </c>
      <c r="B2197" s="21" t="s">
        <v>46</v>
      </c>
      <c r="C2197" s="57" t="s">
        <v>814</v>
      </c>
      <c r="D2197" s="22" t="s">
        <v>48</v>
      </c>
      <c r="E2197" s="58" t="s">
        <v>2872</v>
      </c>
      <c r="F2197" s="56" t="s">
        <v>2873</v>
      </c>
      <c r="G2197" s="26" t="s">
        <v>77</v>
      </c>
      <c r="H2197" s="25" t="s">
        <v>2874</v>
      </c>
      <c r="I2197" s="26" t="s">
        <v>849</v>
      </c>
      <c r="J2197" s="56" t="s">
        <v>2875</v>
      </c>
      <c r="K2197" s="59" t="s">
        <v>2882</v>
      </c>
      <c r="L2197" s="48" t="s">
        <v>2883</v>
      </c>
      <c r="M2197" s="49">
        <v>44895</v>
      </c>
      <c r="N2197" s="49" t="s">
        <v>90</v>
      </c>
      <c r="O2197" s="60">
        <v>4300</v>
      </c>
      <c r="P2197" s="61">
        <v>-1</v>
      </c>
      <c r="Q2197" s="51">
        <f t="shared" si="51"/>
        <v>-4300</v>
      </c>
      <c r="R2197" s="31">
        <v>202310</v>
      </c>
      <c r="S2197" s="62" t="s">
        <v>2894</v>
      </c>
      <c r="T2197" s="33"/>
      <c r="U2197" s="58"/>
      <c r="V2197" s="58"/>
      <c r="W2197" s="63"/>
      <c r="X2197" s="63"/>
      <c r="Y2197" s="36">
        <v>45108</v>
      </c>
      <c r="Z2197" s="36">
        <v>45473</v>
      </c>
      <c r="AA2197" s="36"/>
      <c r="AB2197" s="36"/>
      <c r="AC2197" s="36"/>
      <c r="AD2197" s="36"/>
      <c r="AE2197" s="36"/>
      <c r="AF2197" s="40" t="s">
        <v>853</v>
      </c>
      <c r="AG2197" s="42"/>
      <c r="AH2197" s="42"/>
      <c r="AI2197" s="43"/>
      <c r="AJ2197" s="43"/>
      <c r="AK2197" s="43"/>
      <c r="AL2197" s="43"/>
      <c r="AM2197" s="43"/>
      <c r="AN2197" s="42"/>
      <c r="AO2197" s="42"/>
      <c r="AP2197" s="42"/>
      <c r="AQ2197" s="43"/>
      <c r="AR2197" s="42"/>
      <c r="AS2197" s="42"/>
    </row>
    <row r="2198" spans="1:45" ht="15" customHeight="1">
      <c r="A2198" s="56" t="s">
        <v>45</v>
      </c>
      <c r="B2198" s="21" t="s">
        <v>46</v>
      </c>
      <c r="C2198" s="57" t="s">
        <v>814</v>
      </c>
      <c r="D2198" s="22" t="s">
        <v>48</v>
      </c>
      <c r="E2198" s="58" t="s">
        <v>2872</v>
      </c>
      <c r="F2198" s="56" t="s">
        <v>2873</v>
      </c>
      <c r="G2198" s="26" t="s">
        <v>77</v>
      </c>
      <c r="H2198" s="25" t="s">
        <v>2874</v>
      </c>
      <c r="I2198" s="26" t="s">
        <v>849</v>
      </c>
      <c r="J2198" s="56" t="s">
        <v>2875</v>
      </c>
      <c r="K2198" s="59" t="s">
        <v>2882</v>
      </c>
      <c r="L2198" s="48" t="s">
        <v>2883</v>
      </c>
      <c r="M2198" s="49">
        <v>44895</v>
      </c>
      <c r="N2198" s="49" t="s">
        <v>90</v>
      </c>
      <c r="O2198" s="60">
        <v>4300</v>
      </c>
      <c r="P2198" s="61">
        <v>-2</v>
      </c>
      <c r="Q2198" s="51">
        <f t="shared" si="51"/>
        <v>-8600</v>
      </c>
      <c r="R2198" s="31">
        <v>202310</v>
      </c>
      <c r="S2198" s="62" t="s">
        <v>2895</v>
      </c>
      <c r="T2198" s="33"/>
      <c r="U2198" s="58"/>
      <c r="V2198" s="58"/>
      <c r="W2198" s="63"/>
      <c r="X2198" s="63"/>
      <c r="Y2198" s="36">
        <v>45108</v>
      </c>
      <c r="Z2198" s="36">
        <v>45473</v>
      </c>
      <c r="AA2198" s="36"/>
      <c r="AB2198" s="36"/>
      <c r="AC2198" s="36"/>
      <c r="AD2198" s="36"/>
      <c r="AE2198" s="36"/>
      <c r="AF2198" s="40" t="s">
        <v>853</v>
      </c>
      <c r="AG2198" s="42"/>
      <c r="AH2198" s="42"/>
      <c r="AI2198" s="43"/>
      <c r="AJ2198" s="43"/>
      <c r="AK2198" s="43"/>
      <c r="AL2198" s="43"/>
      <c r="AM2198" s="43"/>
      <c r="AN2198" s="42"/>
      <c r="AO2198" s="42"/>
      <c r="AP2198" s="42"/>
      <c r="AQ2198" s="43"/>
      <c r="AR2198" s="42"/>
      <c r="AS2198" s="42"/>
    </row>
    <row r="2199" spans="1:45" ht="15" customHeight="1">
      <c r="A2199" s="56" t="s">
        <v>45</v>
      </c>
      <c r="B2199" s="21" t="s">
        <v>46</v>
      </c>
      <c r="C2199" s="57" t="s">
        <v>814</v>
      </c>
      <c r="D2199" s="22" t="s">
        <v>48</v>
      </c>
      <c r="E2199" s="58" t="s">
        <v>2896</v>
      </c>
      <c r="F2199" s="56" t="s">
        <v>2897</v>
      </c>
      <c r="G2199" s="26" t="s">
        <v>165</v>
      </c>
      <c r="H2199" s="25" t="s">
        <v>2898</v>
      </c>
      <c r="I2199" s="26" t="s">
        <v>491</v>
      </c>
      <c r="J2199" s="56" t="s">
        <v>2899</v>
      </c>
      <c r="K2199" s="59" t="s">
        <v>2899</v>
      </c>
      <c r="L2199" s="48" t="s">
        <v>2900</v>
      </c>
      <c r="M2199" s="49">
        <v>43775</v>
      </c>
      <c r="N2199" s="49" t="s">
        <v>168</v>
      </c>
      <c r="O2199" s="60">
        <v>0</v>
      </c>
      <c r="P2199" s="61">
        <v>192</v>
      </c>
      <c r="Q2199" s="51">
        <f t="shared" si="51"/>
        <v>0</v>
      </c>
      <c r="R2199" s="31">
        <v>202310</v>
      </c>
      <c r="S2199" s="62" t="s">
        <v>2901</v>
      </c>
      <c r="T2199" s="33"/>
      <c r="U2199" s="58"/>
      <c r="V2199" s="58"/>
      <c r="W2199" s="63"/>
      <c r="X2199" s="63"/>
      <c r="Y2199" s="36">
        <v>44197</v>
      </c>
      <c r="Z2199" s="36">
        <v>44926</v>
      </c>
      <c r="AA2199" s="36"/>
      <c r="AB2199" s="36"/>
      <c r="AC2199" s="36"/>
      <c r="AD2199" s="36"/>
      <c r="AE2199" s="36"/>
      <c r="AF2199" s="40" t="s">
        <v>503</v>
      </c>
      <c r="AG2199" s="42"/>
      <c r="AH2199" s="42"/>
      <c r="AI2199" s="43"/>
      <c r="AJ2199" s="43"/>
      <c r="AK2199" s="43"/>
      <c r="AL2199" s="43"/>
      <c r="AM2199" s="43"/>
      <c r="AN2199" s="42"/>
      <c r="AO2199" s="42"/>
      <c r="AP2199" s="42"/>
      <c r="AQ2199" s="43"/>
      <c r="AR2199" s="42"/>
      <c r="AS2199" s="42"/>
    </row>
    <row r="2200" spans="1:45" ht="15" customHeight="1">
      <c r="A2200" s="56" t="s">
        <v>45</v>
      </c>
      <c r="B2200" s="21" t="s">
        <v>46</v>
      </c>
      <c r="C2200" s="57" t="s">
        <v>814</v>
      </c>
      <c r="D2200" s="22" t="s">
        <v>48</v>
      </c>
      <c r="E2200" s="58" t="s">
        <v>2896</v>
      </c>
      <c r="F2200" s="56" t="s">
        <v>2897</v>
      </c>
      <c r="G2200" s="26" t="s">
        <v>165</v>
      </c>
      <c r="H2200" s="25" t="s">
        <v>2898</v>
      </c>
      <c r="I2200" s="26" t="s">
        <v>491</v>
      </c>
      <c r="J2200" s="56" t="s">
        <v>2899</v>
      </c>
      <c r="K2200" s="59" t="s">
        <v>2899</v>
      </c>
      <c r="L2200" s="48" t="s">
        <v>2900</v>
      </c>
      <c r="M2200" s="49">
        <v>43775</v>
      </c>
      <c r="N2200" s="49" t="s">
        <v>168</v>
      </c>
      <c r="O2200" s="60">
        <v>50</v>
      </c>
      <c r="P2200" s="61">
        <v>96</v>
      </c>
      <c r="Q2200" s="51">
        <f t="shared" si="51"/>
        <v>4800</v>
      </c>
      <c r="R2200" s="31">
        <v>202310</v>
      </c>
      <c r="S2200" s="62" t="s">
        <v>2901</v>
      </c>
      <c r="T2200" s="33"/>
      <c r="U2200" s="58"/>
      <c r="V2200" s="58"/>
      <c r="W2200" s="63"/>
      <c r="X2200" s="63"/>
      <c r="Y2200" s="36">
        <v>44197</v>
      </c>
      <c r="Z2200" s="36">
        <v>44926</v>
      </c>
      <c r="AA2200" s="36"/>
      <c r="AB2200" s="36"/>
      <c r="AC2200" s="36"/>
      <c r="AD2200" s="36"/>
      <c r="AE2200" s="36"/>
      <c r="AF2200" s="40" t="s">
        <v>503</v>
      </c>
      <c r="AG2200" s="42"/>
      <c r="AH2200" s="42"/>
      <c r="AI2200" s="43"/>
      <c r="AJ2200" s="43"/>
      <c r="AK2200" s="43"/>
      <c r="AL2200" s="43"/>
      <c r="AM2200" s="43"/>
      <c r="AN2200" s="42"/>
      <c r="AO2200" s="42"/>
      <c r="AP2200" s="42"/>
      <c r="AQ2200" s="43"/>
      <c r="AR2200" s="42"/>
      <c r="AS2200" s="42"/>
    </row>
    <row r="2201" spans="1:45" ht="15" customHeight="1">
      <c r="A2201" s="56" t="s">
        <v>45</v>
      </c>
      <c r="B2201" s="21" t="s">
        <v>46</v>
      </c>
      <c r="C2201" s="57" t="s">
        <v>814</v>
      </c>
      <c r="D2201" s="22" t="s">
        <v>48</v>
      </c>
      <c r="E2201" s="58" t="s">
        <v>2896</v>
      </c>
      <c r="F2201" s="56" t="s">
        <v>2897</v>
      </c>
      <c r="G2201" s="26" t="s">
        <v>165</v>
      </c>
      <c r="H2201" s="25" t="s">
        <v>2898</v>
      </c>
      <c r="I2201" s="26" t="s">
        <v>491</v>
      </c>
      <c r="J2201" s="56" t="s">
        <v>2899</v>
      </c>
      <c r="K2201" s="59" t="s">
        <v>2899</v>
      </c>
      <c r="L2201" s="48" t="s">
        <v>2900</v>
      </c>
      <c r="M2201" s="49">
        <v>44773</v>
      </c>
      <c r="N2201" s="49" t="s">
        <v>168</v>
      </c>
      <c r="O2201" s="60">
        <v>0</v>
      </c>
      <c r="P2201" s="61">
        <v>-192</v>
      </c>
      <c r="Q2201" s="51">
        <f t="shared" si="51"/>
        <v>0</v>
      </c>
      <c r="R2201" s="31">
        <v>202310</v>
      </c>
      <c r="S2201" s="62" t="s">
        <v>2902</v>
      </c>
      <c r="T2201" s="33"/>
      <c r="U2201" s="58"/>
      <c r="V2201" s="58"/>
      <c r="W2201" s="63"/>
      <c r="X2201" s="63"/>
      <c r="Y2201" s="36">
        <v>44197</v>
      </c>
      <c r="Z2201" s="36">
        <v>44926</v>
      </c>
      <c r="AA2201" s="36"/>
      <c r="AB2201" s="36"/>
      <c r="AC2201" s="36"/>
      <c r="AD2201" s="36"/>
      <c r="AE2201" s="36"/>
      <c r="AF2201" s="40" t="s">
        <v>503</v>
      </c>
      <c r="AG2201" s="42"/>
      <c r="AH2201" s="42"/>
      <c r="AI2201" s="43"/>
      <c r="AJ2201" s="43"/>
      <c r="AK2201" s="43"/>
      <c r="AL2201" s="43"/>
      <c r="AM2201" s="43"/>
      <c r="AN2201" s="42"/>
      <c r="AO2201" s="42"/>
      <c r="AP2201" s="42"/>
      <c r="AQ2201" s="43"/>
      <c r="AR2201" s="42"/>
      <c r="AS2201" s="42"/>
    </row>
    <row r="2202" spans="1:45" ht="15" customHeight="1">
      <c r="A2202" s="56" t="s">
        <v>45</v>
      </c>
      <c r="B2202" s="21" t="s">
        <v>46</v>
      </c>
      <c r="C2202" s="57" t="s">
        <v>814</v>
      </c>
      <c r="D2202" s="22" t="s">
        <v>48</v>
      </c>
      <c r="E2202" s="58" t="s">
        <v>2896</v>
      </c>
      <c r="F2202" s="56" t="s">
        <v>2897</v>
      </c>
      <c r="G2202" s="26" t="s">
        <v>165</v>
      </c>
      <c r="H2202" s="25" t="s">
        <v>2898</v>
      </c>
      <c r="I2202" s="26" t="s">
        <v>491</v>
      </c>
      <c r="J2202" s="56" t="s">
        <v>2899</v>
      </c>
      <c r="K2202" s="59" t="s">
        <v>2899</v>
      </c>
      <c r="L2202" s="48" t="s">
        <v>2900</v>
      </c>
      <c r="M2202" s="49">
        <v>44773</v>
      </c>
      <c r="N2202" s="49" t="s">
        <v>168</v>
      </c>
      <c r="O2202" s="60">
        <v>50</v>
      </c>
      <c r="P2202" s="61">
        <v>-96</v>
      </c>
      <c r="Q2202" s="51">
        <f t="shared" si="51"/>
        <v>-4800</v>
      </c>
      <c r="R2202" s="31">
        <v>202310</v>
      </c>
      <c r="S2202" s="62" t="s">
        <v>2902</v>
      </c>
      <c r="T2202" s="33"/>
      <c r="U2202" s="58"/>
      <c r="V2202" s="58"/>
      <c r="W2202" s="63"/>
      <c r="X2202" s="63"/>
      <c r="Y2202" s="36">
        <v>44197</v>
      </c>
      <c r="Z2202" s="36">
        <v>44926</v>
      </c>
      <c r="AA2202" s="36"/>
      <c r="AB2202" s="36"/>
      <c r="AC2202" s="36"/>
      <c r="AD2202" s="36"/>
      <c r="AE2202" s="36"/>
      <c r="AF2202" s="40" t="s">
        <v>503</v>
      </c>
      <c r="AG2202" s="42"/>
      <c r="AH2202" s="42"/>
      <c r="AI2202" s="43"/>
      <c r="AJ2202" s="43"/>
      <c r="AK2202" s="43"/>
      <c r="AL2202" s="43"/>
      <c r="AM2202" s="43"/>
      <c r="AN2202" s="42"/>
      <c r="AO2202" s="42"/>
      <c r="AP2202" s="42"/>
      <c r="AQ2202" s="43"/>
      <c r="AR2202" s="42"/>
      <c r="AS2202" s="42"/>
    </row>
    <row r="2203" spans="1:45" ht="15" customHeight="1">
      <c r="A2203" s="56" t="s">
        <v>45</v>
      </c>
      <c r="B2203" s="21" t="s">
        <v>46</v>
      </c>
      <c r="C2203" s="57" t="s">
        <v>814</v>
      </c>
      <c r="D2203" s="22" t="s">
        <v>48</v>
      </c>
      <c r="E2203" s="58" t="s">
        <v>2896</v>
      </c>
      <c r="F2203" s="56" t="s">
        <v>2897</v>
      </c>
      <c r="G2203" s="26" t="s">
        <v>77</v>
      </c>
      <c r="H2203" s="25" t="s">
        <v>2898</v>
      </c>
      <c r="I2203" s="26" t="s">
        <v>479</v>
      </c>
      <c r="J2203" s="56" t="s">
        <v>2899</v>
      </c>
      <c r="K2203" s="59" t="s">
        <v>2899</v>
      </c>
      <c r="L2203" s="48" t="s">
        <v>2900</v>
      </c>
      <c r="M2203" s="49">
        <v>43775</v>
      </c>
      <c r="N2203" s="49" t="s">
        <v>90</v>
      </c>
      <c r="O2203" s="60">
        <v>4300</v>
      </c>
      <c r="P2203" s="61">
        <v>3</v>
      </c>
      <c r="Q2203" s="51">
        <f t="shared" si="51"/>
        <v>12900</v>
      </c>
      <c r="R2203" s="31">
        <v>202310</v>
      </c>
      <c r="S2203" s="62" t="s">
        <v>2903</v>
      </c>
      <c r="T2203" s="33"/>
      <c r="U2203" s="58"/>
      <c r="V2203" s="58"/>
      <c r="W2203" s="63"/>
      <c r="X2203" s="63"/>
      <c r="Y2203" s="36">
        <v>44197</v>
      </c>
      <c r="Z2203" s="36">
        <v>44926</v>
      </c>
      <c r="AA2203" s="36"/>
      <c r="AB2203" s="36"/>
      <c r="AC2203" s="36"/>
      <c r="AD2203" s="36"/>
      <c r="AE2203" s="36"/>
      <c r="AF2203" s="40" t="s">
        <v>503</v>
      </c>
      <c r="AG2203" s="42"/>
      <c r="AH2203" s="42"/>
      <c r="AI2203" s="43"/>
      <c r="AJ2203" s="43"/>
      <c r="AK2203" s="43"/>
      <c r="AL2203" s="43"/>
      <c r="AM2203" s="43"/>
      <c r="AN2203" s="42"/>
      <c r="AO2203" s="42"/>
      <c r="AP2203" s="42"/>
      <c r="AQ2203" s="43"/>
      <c r="AR2203" s="42"/>
      <c r="AS2203" s="42"/>
    </row>
    <row r="2204" spans="1:45" ht="15" customHeight="1">
      <c r="A2204" s="56" t="s">
        <v>45</v>
      </c>
      <c r="B2204" s="21" t="s">
        <v>46</v>
      </c>
      <c r="C2204" s="57" t="s">
        <v>814</v>
      </c>
      <c r="D2204" s="22" t="s">
        <v>48</v>
      </c>
      <c r="E2204" s="58" t="s">
        <v>2896</v>
      </c>
      <c r="F2204" s="56" t="s">
        <v>2897</v>
      </c>
      <c r="G2204" s="26" t="s">
        <v>77</v>
      </c>
      <c r="H2204" s="25" t="s">
        <v>2898</v>
      </c>
      <c r="I2204" s="26" t="s">
        <v>479</v>
      </c>
      <c r="J2204" s="56" t="s">
        <v>2899</v>
      </c>
      <c r="K2204" s="59" t="s">
        <v>2899</v>
      </c>
      <c r="L2204" s="48" t="s">
        <v>2900</v>
      </c>
      <c r="M2204" s="49">
        <v>43966</v>
      </c>
      <c r="N2204" s="49" t="s">
        <v>90</v>
      </c>
      <c r="O2204" s="60">
        <v>4300</v>
      </c>
      <c r="P2204" s="61">
        <v>2</v>
      </c>
      <c r="Q2204" s="51">
        <f t="shared" si="51"/>
        <v>8600</v>
      </c>
      <c r="R2204" s="31">
        <v>202310</v>
      </c>
      <c r="S2204" s="62" t="s">
        <v>2904</v>
      </c>
      <c r="T2204" s="33"/>
      <c r="U2204" s="58"/>
      <c r="V2204" s="58"/>
      <c r="W2204" s="63"/>
      <c r="X2204" s="63"/>
      <c r="Y2204" s="36">
        <v>44197</v>
      </c>
      <c r="Z2204" s="36">
        <v>44926</v>
      </c>
      <c r="AA2204" s="36"/>
      <c r="AB2204" s="36"/>
      <c r="AC2204" s="36"/>
      <c r="AD2204" s="36"/>
      <c r="AE2204" s="36"/>
      <c r="AF2204" s="40" t="s">
        <v>503</v>
      </c>
      <c r="AG2204" s="42"/>
      <c r="AH2204" s="42"/>
      <c r="AI2204" s="43"/>
      <c r="AJ2204" s="43"/>
      <c r="AK2204" s="43"/>
      <c r="AL2204" s="43"/>
      <c r="AM2204" s="43"/>
      <c r="AN2204" s="42"/>
      <c r="AO2204" s="42"/>
      <c r="AP2204" s="42"/>
      <c r="AQ2204" s="43"/>
      <c r="AR2204" s="42"/>
      <c r="AS2204" s="42"/>
    </row>
    <row r="2205" spans="1:45" ht="15" customHeight="1">
      <c r="A2205" s="56" t="s">
        <v>45</v>
      </c>
      <c r="B2205" s="21" t="s">
        <v>46</v>
      </c>
      <c r="C2205" s="57" t="s">
        <v>814</v>
      </c>
      <c r="D2205" s="22" t="s">
        <v>48</v>
      </c>
      <c r="E2205" s="58" t="s">
        <v>2896</v>
      </c>
      <c r="F2205" s="56" t="s">
        <v>2897</v>
      </c>
      <c r="G2205" s="26" t="s">
        <v>77</v>
      </c>
      <c r="H2205" s="25" t="s">
        <v>2898</v>
      </c>
      <c r="I2205" s="26" t="s">
        <v>479</v>
      </c>
      <c r="J2205" s="56" t="s">
        <v>2899</v>
      </c>
      <c r="K2205" s="59" t="s">
        <v>2899</v>
      </c>
      <c r="L2205" s="48" t="s">
        <v>2900</v>
      </c>
      <c r="M2205" s="49">
        <v>44773</v>
      </c>
      <c r="N2205" s="49" t="s">
        <v>90</v>
      </c>
      <c r="O2205" s="60">
        <v>4300</v>
      </c>
      <c r="P2205" s="61">
        <v>-5</v>
      </c>
      <c r="Q2205" s="51">
        <f t="shared" si="51"/>
        <v>-21500</v>
      </c>
      <c r="R2205" s="31">
        <v>202310</v>
      </c>
      <c r="S2205" s="62" t="s">
        <v>2905</v>
      </c>
      <c r="T2205" s="33"/>
      <c r="U2205" s="58"/>
      <c r="V2205" s="58"/>
      <c r="W2205" s="63"/>
      <c r="X2205" s="63"/>
      <c r="Y2205" s="36">
        <v>44197</v>
      </c>
      <c r="Z2205" s="36">
        <v>44926</v>
      </c>
      <c r="AA2205" s="36"/>
      <c r="AB2205" s="36"/>
      <c r="AC2205" s="36"/>
      <c r="AD2205" s="36"/>
      <c r="AE2205" s="36"/>
      <c r="AF2205" s="40" t="s">
        <v>503</v>
      </c>
      <c r="AG2205" s="42"/>
      <c r="AH2205" s="42"/>
      <c r="AI2205" s="43"/>
      <c r="AJ2205" s="43"/>
      <c r="AK2205" s="43"/>
      <c r="AL2205" s="43"/>
      <c r="AM2205" s="43"/>
      <c r="AN2205" s="42"/>
      <c r="AO2205" s="42"/>
      <c r="AP2205" s="42"/>
      <c r="AQ2205" s="43"/>
      <c r="AR2205" s="42"/>
      <c r="AS2205" s="42"/>
    </row>
    <row r="2206" spans="1:45" ht="15" customHeight="1">
      <c r="A2206" s="56" t="s">
        <v>45</v>
      </c>
      <c r="B2206" s="21" t="s">
        <v>46</v>
      </c>
      <c r="C2206" s="57" t="s">
        <v>814</v>
      </c>
      <c r="D2206" s="22" t="s">
        <v>48</v>
      </c>
      <c r="E2206" s="58" t="s">
        <v>2906</v>
      </c>
      <c r="F2206" s="56" t="s">
        <v>2907</v>
      </c>
      <c r="G2206" s="26" t="s">
        <v>165</v>
      </c>
      <c r="H2206" s="25" t="s">
        <v>2908</v>
      </c>
      <c r="I2206" s="26" t="s">
        <v>491</v>
      </c>
      <c r="J2206" s="56" t="s">
        <v>2909</v>
      </c>
      <c r="K2206" s="59" t="s">
        <v>2907</v>
      </c>
      <c r="L2206" s="48" t="s">
        <v>2910</v>
      </c>
      <c r="M2206" s="49">
        <v>42823</v>
      </c>
      <c r="N2206" s="49" t="s">
        <v>168</v>
      </c>
      <c r="O2206" s="60">
        <v>0</v>
      </c>
      <c r="P2206" s="61">
        <v>256</v>
      </c>
      <c r="Q2206" s="51">
        <f t="shared" si="51"/>
        <v>0</v>
      </c>
      <c r="R2206" s="31">
        <v>202310</v>
      </c>
      <c r="S2206" s="62" t="s">
        <v>2911</v>
      </c>
      <c r="T2206" s="33"/>
      <c r="U2206" s="58"/>
      <c r="V2206" s="58"/>
      <c r="W2206" s="63"/>
      <c r="X2206" s="63"/>
      <c r="Y2206" s="36">
        <v>44197</v>
      </c>
      <c r="Z2206" s="36">
        <v>44926</v>
      </c>
      <c r="AA2206" s="36"/>
      <c r="AB2206" s="36"/>
      <c r="AC2206" s="36"/>
      <c r="AD2206" s="36"/>
      <c r="AE2206" s="36"/>
      <c r="AF2206" s="40" t="s">
        <v>503</v>
      </c>
      <c r="AG2206" s="42"/>
      <c r="AH2206" s="42"/>
      <c r="AI2206" s="43"/>
      <c r="AJ2206" s="43"/>
      <c r="AK2206" s="43"/>
      <c r="AL2206" s="43"/>
      <c r="AM2206" s="43"/>
      <c r="AN2206" s="42"/>
      <c r="AO2206" s="42"/>
      <c r="AP2206" s="42"/>
      <c r="AQ2206" s="43"/>
      <c r="AR2206" s="42"/>
      <c r="AS2206" s="42"/>
    </row>
    <row r="2207" spans="1:45" ht="15" customHeight="1">
      <c r="A2207" s="56" t="s">
        <v>45</v>
      </c>
      <c r="B2207" s="21" t="s">
        <v>46</v>
      </c>
      <c r="C2207" s="57" t="s">
        <v>814</v>
      </c>
      <c r="D2207" s="22" t="s">
        <v>48</v>
      </c>
      <c r="E2207" s="58" t="s">
        <v>2906</v>
      </c>
      <c r="F2207" s="56" t="s">
        <v>2907</v>
      </c>
      <c r="G2207" s="26" t="s">
        <v>165</v>
      </c>
      <c r="H2207" s="25" t="s">
        <v>2908</v>
      </c>
      <c r="I2207" s="26" t="s">
        <v>491</v>
      </c>
      <c r="J2207" s="56" t="s">
        <v>2909</v>
      </c>
      <c r="K2207" s="59" t="s">
        <v>2907</v>
      </c>
      <c r="L2207" s="48" t="s">
        <v>2910</v>
      </c>
      <c r="M2207" s="49">
        <v>42823</v>
      </c>
      <c r="N2207" s="49" t="s">
        <v>168</v>
      </c>
      <c r="O2207" s="60">
        <v>50</v>
      </c>
      <c r="P2207" s="61">
        <v>32</v>
      </c>
      <c r="Q2207" s="51">
        <f t="shared" si="51"/>
        <v>1600</v>
      </c>
      <c r="R2207" s="31">
        <v>202310</v>
      </c>
      <c r="S2207" s="62" t="s">
        <v>2912</v>
      </c>
      <c r="T2207" s="33"/>
      <c r="U2207" s="58"/>
      <c r="V2207" s="58"/>
      <c r="W2207" s="63"/>
      <c r="X2207" s="63"/>
      <c r="Y2207" s="36">
        <v>44197</v>
      </c>
      <c r="Z2207" s="36">
        <v>44926</v>
      </c>
      <c r="AA2207" s="36"/>
      <c r="AB2207" s="36"/>
      <c r="AC2207" s="36"/>
      <c r="AD2207" s="36"/>
      <c r="AE2207" s="36"/>
      <c r="AF2207" s="40" t="s">
        <v>503</v>
      </c>
      <c r="AG2207" s="42"/>
      <c r="AH2207" s="42"/>
      <c r="AI2207" s="43"/>
      <c r="AJ2207" s="43"/>
      <c r="AK2207" s="43"/>
      <c r="AL2207" s="43"/>
      <c r="AM2207" s="43"/>
      <c r="AN2207" s="42"/>
      <c r="AO2207" s="42"/>
      <c r="AP2207" s="42"/>
      <c r="AQ2207" s="43"/>
      <c r="AR2207" s="42"/>
      <c r="AS2207" s="42"/>
    </row>
    <row r="2208" spans="1:45" ht="15" customHeight="1">
      <c r="A2208" s="56" t="s">
        <v>45</v>
      </c>
      <c r="B2208" s="21" t="s">
        <v>46</v>
      </c>
      <c r="C2208" s="57" t="s">
        <v>814</v>
      </c>
      <c r="D2208" s="22" t="s">
        <v>48</v>
      </c>
      <c r="E2208" s="58" t="s">
        <v>2906</v>
      </c>
      <c r="F2208" s="56" t="s">
        <v>2907</v>
      </c>
      <c r="G2208" s="26" t="s">
        <v>165</v>
      </c>
      <c r="H2208" s="25" t="s">
        <v>2908</v>
      </c>
      <c r="I2208" s="26" t="s">
        <v>491</v>
      </c>
      <c r="J2208" s="56" t="s">
        <v>2909</v>
      </c>
      <c r="K2208" s="59" t="s">
        <v>2907</v>
      </c>
      <c r="L2208" s="48" t="s">
        <v>2910</v>
      </c>
      <c r="M2208" s="49">
        <v>44773</v>
      </c>
      <c r="N2208" s="49" t="s">
        <v>168</v>
      </c>
      <c r="O2208" s="60">
        <v>0</v>
      </c>
      <c r="P2208" s="61">
        <v>-256</v>
      </c>
      <c r="Q2208" s="51">
        <f t="shared" si="51"/>
        <v>0</v>
      </c>
      <c r="R2208" s="31">
        <v>202310</v>
      </c>
      <c r="S2208" s="62" t="s">
        <v>2913</v>
      </c>
      <c r="T2208" s="33"/>
      <c r="U2208" s="58"/>
      <c r="V2208" s="58"/>
      <c r="W2208" s="63"/>
      <c r="X2208" s="63"/>
      <c r="Y2208" s="36">
        <v>44197</v>
      </c>
      <c r="Z2208" s="36">
        <v>44926</v>
      </c>
      <c r="AA2208" s="36"/>
      <c r="AB2208" s="36"/>
      <c r="AC2208" s="36"/>
      <c r="AD2208" s="36"/>
      <c r="AE2208" s="36"/>
      <c r="AF2208" s="40" t="s">
        <v>503</v>
      </c>
      <c r="AG2208" s="42"/>
      <c r="AH2208" s="42"/>
      <c r="AI2208" s="43"/>
      <c r="AJ2208" s="43"/>
      <c r="AK2208" s="43"/>
      <c r="AL2208" s="43"/>
      <c r="AM2208" s="43"/>
      <c r="AN2208" s="42"/>
      <c r="AO2208" s="42"/>
      <c r="AP2208" s="42"/>
      <c r="AQ2208" s="43"/>
      <c r="AR2208" s="42"/>
      <c r="AS2208" s="42"/>
    </row>
    <row r="2209" spans="1:45" ht="15" customHeight="1">
      <c r="A2209" s="56" t="s">
        <v>45</v>
      </c>
      <c r="B2209" s="21" t="s">
        <v>46</v>
      </c>
      <c r="C2209" s="57" t="s">
        <v>814</v>
      </c>
      <c r="D2209" s="22" t="s">
        <v>48</v>
      </c>
      <c r="E2209" s="58" t="s">
        <v>2906</v>
      </c>
      <c r="F2209" s="56" t="s">
        <v>2907</v>
      </c>
      <c r="G2209" s="26" t="s">
        <v>165</v>
      </c>
      <c r="H2209" s="25" t="s">
        <v>2908</v>
      </c>
      <c r="I2209" s="26" t="s">
        <v>491</v>
      </c>
      <c r="J2209" s="56" t="s">
        <v>2909</v>
      </c>
      <c r="K2209" s="59" t="s">
        <v>2907</v>
      </c>
      <c r="L2209" s="48" t="s">
        <v>2910</v>
      </c>
      <c r="M2209" s="49">
        <v>44773</v>
      </c>
      <c r="N2209" s="49" t="s">
        <v>168</v>
      </c>
      <c r="O2209" s="60">
        <v>50</v>
      </c>
      <c r="P2209" s="61">
        <v>-32</v>
      </c>
      <c r="Q2209" s="51">
        <f t="shared" si="51"/>
        <v>-1600</v>
      </c>
      <c r="R2209" s="31">
        <v>202310</v>
      </c>
      <c r="S2209" s="62" t="s">
        <v>2913</v>
      </c>
      <c r="T2209" s="33"/>
      <c r="U2209" s="58"/>
      <c r="V2209" s="58"/>
      <c r="W2209" s="63"/>
      <c r="X2209" s="63"/>
      <c r="Y2209" s="36">
        <v>44197</v>
      </c>
      <c r="Z2209" s="36">
        <v>44926</v>
      </c>
      <c r="AA2209" s="36"/>
      <c r="AB2209" s="36"/>
      <c r="AC2209" s="36"/>
      <c r="AD2209" s="36"/>
      <c r="AE2209" s="36"/>
      <c r="AF2209" s="40" t="s">
        <v>503</v>
      </c>
      <c r="AG2209" s="42"/>
      <c r="AH2209" s="42"/>
      <c r="AI2209" s="43"/>
      <c r="AJ2209" s="43"/>
      <c r="AK2209" s="43"/>
      <c r="AL2209" s="43"/>
      <c r="AM2209" s="43"/>
      <c r="AN2209" s="42"/>
      <c r="AO2209" s="42"/>
      <c r="AP2209" s="42"/>
      <c r="AQ2209" s="43"/>
      <c r="AR2209" s="42"/>
      <c r="AS2209" s="42"/>
    </row>
    <row r="2210" spans="1:45" ht="15" customHeight="1">
      <c r="A2210" s="56" t="s">
        <v>45</v>
      </c>
      <c r="B2210" s="21" t="s">
        <v>46</v>
      </c>
      <c r="C2210" s="57" t="s">
        <v>814</v>
      </c>
      <c r="D2210" s="22" t="s">
        <v>48</v>
      </c>
      <c r="E2210" s="58" t="s">
        <v>2906</v>
      </c>
      <c r="F2210" s="56" t="s">
        <v>2907</v>
      </c>
      <c r="G2210" s="26" t="s">
        <v>165</v>
      </c>
      <c r="H2210" s="25" t="s">
        <v>2908</v>
      </c>
      <c r="I2210" s="26" t="s">
        <v>491</v>
      </c>
      <c r="J2210" s="56" t="s">
        <v>2914</v>
      </c>
      <c r="K2210" s="59" t="s">
        <v>2915</v>
      </c>
      <c r="L2210" s="48" t="s">
        <v>2916</v>
      </c>
      <c r="M2210" s="49">
        <v>43329</v>
      </c>
      <c r="N2210" s="49" t="s">
        <v>168</v>
      </c>
      <c r="O2210" s="60">
        <v>0</v>
      </c>
      <c r="P2210" s="61">
        <v>288</v>
      </c>
      <c r="Q2210" s="51">
        <f t="shared" si="51"/>
        <v>0</v>
      </c>
      <c r="R2210" s="31">
        <v>202310</v>
      </c>
      <c r="S2210" s="62" t="s">
        <v>2917</v>
      </c>
      <c r="T2210" s="33"/>
      <c r="U2210" s="58"/>
      <c r="V2210" s="58"/>
      <c r="W2210" s="63"/>
      <c r="X2210" s="63"/>
      <c r="Y2210" s="36">
        <v>44197</v>
      </c>
      <c r="Z2210" s="36">
        <v>44926</v>
      </c>
      <c r="AA2210" s="36"/>
      <c r="AB2210" s="36"/>
      <c r="AC2210" s="36"/>
      <c r="AD2210" s="36"/>
      <c r="AE2210" s="36"/>
      <c r="AF2210" s="40" t="s">
        <v>503</v>
      </c>
      <c r="AG2210" s="42"/>
      <c r="AH2210" s="42"/>
      <c r="AI2210" s="43"/>
      <c r="AJ2210" s="43"/>
      <c r="AK2210" s="43"/>
      <c r="AL2210" s="43"/>
      <c r="AM2210" s="43"/>
      <c r="AN2210" s="42"/>
      <c r="AO2210" s="42"/>
      <c r="AP2210" s="42"/>
      <c r="AQ2210" s="43"/>
      <c r="AR2210" s="42"/>
      <c r="AS2210" s="42"/>
    </row>
    <row r="2211" spans="1:45" ht="15" customHeight="1">
      <c r="A2211" s="56" t="s">
        <v>45</v>
      </c>
      <c r="B2211" s="21" t="s">
        <v>46</v>
      </c>
      <c r="C2211" s="57" t="s">
        <v>814</v>
      </c>
      <c r="D2211" s="22" t="s">
        <v>48</v>
      </c>
      <c r="E2211" s="58" t="s">
        <v>2906</v>
      </c>
      <c r="F2211" s="56" t="s">
        <v>2907</v>
      </c>
      <c r="G2211" s="26" t="s">
        <v>165</v>
      </c>
      <c r="H2211" s="25" t="s">
        <v>2908</v>
      </c>
      <c r="I2211" s="26" t="s">
        <v>491</v>
      </c>
      <c r="J2211" s="56" t="s">
        <v>2914</v>
      </c>
      <c r="K2211" s="59" t="s">
        <v>2915</v>
      </c>
      <c r="L2211" s="48" t="s">
        <v>2916</v>
      </c>
      <c r="M2211" s="49">
        <v>44681</v>
      </c>
      <c r="N2211" s="49" t="s">
        <v>168</v>
      </c>
      <c r="O2211" s="60">
        <v>0</v>
      </c>
      <c r="P2211" s="61">
        <v>-288</v>
      </c>
      <c r="Q2211" s="51">
        <f t="shared" si="51"/>
        <v>0</v>
      </c>
      <c r="R2211" s="31">
        <v>202310</v>
      </c>
      <c r="S2211" s="62" t="s">
        <v>2918</v>
      </c>
      <c r="T2211" s="33"/>
      <c r="U2211" s="58"/>
      <c r="V2211" s="58"/>
      <c r="W2211" s="63"/>
      <c r="X2211" s="63"/>
      <c r="Y2211" s="36">
        <v>44197</v>
      </c>
      <c r="Z2211" s="36">
        <v>44926</v>
      </c>
      <c r="AA2211" s="36"/>
      <c r="AB2211" s="36"/>
      <c r="AC2211" s="36"/>
      <c r="AD2211" s="36"/>
      <c r="AE2211" s="36"/>
      <c r="AF2211" s="40" t="s">
        <v>503</v>
      </c>
      <c r="AG2211" s="42"/>
      <c r="AH2211" s="42"/>
      <c r="AI2211" s="43"/>
      <c r="AJ2211" s="43"/>
      <c r="AK2211" s="43"/>
      <c r="AL2211" s="43"/>
      <c r="AM2211" s="43"/>
      <c r="AN2211" s="42"/>
      <c r="AO2211" s="42"/>
      <c r="AP2211" s="42"/>
      <c r="AQ2211" s="43"/>
      <c r="AR2211" s="42"/>
      <c r="AS2211" s="42"/>
    </row>
    <row r="2212" spans="1:45" ht="15" customHeight="1">
      <c r="A2212" s="56" t="s">
        <v>45</v>
      </c>
      <c r="B2212" s="21" t="s">
        <v>46</v>
      </c>
      <c r="C2212" s="57" t="s">
        <v>814</v>
      </c>
      <c r="D2212" s="22" t="s">
        <v>48</v>
      </c>
      <c r="E2212" s="58" t="s">
        <v>2906</v>
      </c>
      <c r="F2212" s="56" t="s">
        <v>2907</v>
      </c>
      <c r="G2212" s="26" t="s">
        <v>77</v>
      </c>
      <c r="H2212" s="25" t="s">
        <v>2908</v>
      </c>
      <c r="I2212" s="26" t="s">
        <v>479</v>
      </c>
      <c r="J2212" s="56" t="s">
        <v>2909</v>
      </c>
      <c r="K2212" s="59" t="s">
        <v>2907</v>
      </c>
      <c r="L2212" s="48" t="s">
        <v>2910</v>
      </c>
      <c r="M2212" s="49">
        <v>42823</v>
      </c>
      <c r="N2212" s="49" t="s">
        <v>90</v>
      </c>
      <c r="O2212" s="60">
        <v>4300</v>
      </c>
      <c r="P2212" s="61">
        <v>8</v>
      </c>
      <c r="Q2212" s="51">
        <f t="shared" si="51"/>
        <v>34400</v>
      </c>
      <c r="R2212" s="31">
        <v>202310</v>
      </c>
      <c r="S2212" s="62" t="s">
        <v>2919</v>
      </c>
      <c r="T2212" s="33"/>
      <c r="U2212" s="58"/>
      <c r="V2212" s="58"/>
      <c r="W2212" s="63"/>
      <c r="X2212" s="63"/>
      <c r="Y2212" s="36">
        <v>44197</v>
      </c>
      <c r="Z2212" s="36">
        <v>44926</v>
      </c>
      <c r="AA2212" s="36"/>
      <c r="AB2212" s="36"/>
      <c r="AC2212" s="36"/>
      <c r="AD2212" s="36"/>
      <c r="AE2212" s="36"/>
      <c r="AF2212" s="40" t="s">
        <v>503</v>
      </c>
      <c r="AG2212" s="42"/>
      <c r="AH2212" s="42"/>
      <c r="AI2212" s="43"/>
      <c r="AJ2212" s="43"/>
      <c r="AK2212" s="43"/>
      <c r="AL2212" s="43"/>
      <c r="AM2212" s="43"/>
      <c r="AN2212" s="42"/>
      <c r="AO2212" s="42"/>
      <c r="AP2212" s="42"/>
      <c r="AQ2212" s="43"/>
      <c r="AR2212" s="42"/>
      <c r="AS2212" s="42"/>
    </row>
    <row r="2213" spans="1:45" ht="15" customHeight="1">
      <c r="A2213" s="56" t="s">
        <v>45</v>
      </c>
      <c r="B2213" s="21" t="s">
        <v>46</v>
      </c>
      <c r="C2213" s="57" t="s">
        <v>814</v>
      </c>
      <c r="D2213" s="22" t="s">
        <v>48</v>
      </c>
      <c r="E2213" s="58" t="s">
        <v>2906</v>
      </c>
      <c r="F2213" s="56" t="s">
        <v>2907</v>
      </c>
      <c r="G2213" s="26" t="s">
        <v>77</v>
      </c>
      <c r="H2213" s="25" t="s">
        <v>2908</v>
      </c>
      <c r="I2213" s="26" t="s">
        <v>479</v>
      </c>
      <c r="J2213" s="56" t="s">
        <v>2909</v>
      </c>
      <c r="K2213" s="59" t="s">
        <v>2907</v>
      </c>
      <c r="L2213" s="48" t="s">
        <v>2910</v>
      </c>
      <c r="M2213" s="49">
        <v>44773</v>
      </c>
      <c r="N2213" s="49" t="s">
        <v>90</v>
      </c>
      <c r="O2213" s="60">
        <v>4300</v>
      </c>
      <c r="P2213" s="61">
        <v>-8</v>
      </c>
      <c r="Q2213" s="51">
        <f t="shared" si="51"/>
        <v>-34400</v>
      </c>
      <c r="R2213" s="31">
        <v>202310</v>
      </c>
      <c r="S2213" s="62" t="s">
        <v>2920</v>
      </c>
      <c r="T2213" s="33"/>
      <c r="U2213" s="58"/>
      <c r="V2213" s="58"/>
      <c r="W2213" s="63"/>
      <c r="X2213" s="63"/>
      <c r="Y2213" s="36">
        <v>44197</v>
      </c>
      <c r="Z2213" s="36">
        <v>44926</v>
      </c>
      <c r="AA2213" s="36"/>
      <c r="AB2213" s="36"/>
      <c r="AC2213" s="36"/>
      <c r="AD2213" s="36"/>
      <c r="AE2213" s="36"/>
      <c r="AF2213" s="40" t="s">
        <v>503</v>
      </c>
      <c r="AG2213" s="42"/>
      <c r="AH2213" s="42"/>
      <c r="AI2213" s="43"/>
      <c r="AJ2213" s="43"/>
      <c r="AK2213" s="43"/>
      <c r="AL2213" s="43"/>
      <c r="AM2213" s="43"/>
      <c r="AN2213" s="42"/>
      <c r="AO2213" s="42"/>
      <c r="AP2213" s="42"/>
      <c r="AQ2213" s="43"/>
      <c r="AR2213" s="42"/>
      <c r="AS2213" s="42"/>
    </row>
    <row r="2214" spans="1:45" ht="15" customHeight="1">
      <c r="A2214" s="56" t="s">
        <v>45</v>
      </c>
      <c r="B2214" s="21" t="s">
        <v>46</v>
      </c>
      <c r="C2214" s="57" t="s">
        <v>814</v>
      </c>
      <c r="D2214" s="22" t="s">
        <v>48</v>
      </c>
      <c r="E2214" s="58" t="s">
        <v>2906</v>
      </c>
      <c r="F2214" s="56" t="s">
        <v>2907</v>
      </c>
      <c r="G2214" s="26" t="s">
        <v>77</v>
      </c>
      <c r="H2214" s="25" t="s">
        <v>2908</v>
      </c>
      <c r="I2214" s="26" t="s">
        <v>479</v>
      </c>
      <c r="J2214" s="56" t="s">
        <v>2914</v>
      </c>
      <c r="K2214" s="59" t="s">
        <v>2915</v>
      </c>
      <c r="L2214" s="48" t="s">
        <v>2916</v>
      </c>
      <c r="M2214" s="49">
        <v>43329</v>
      </c>
      <c r="N2214" s="49" t="s">
        <v>90</v>
      </c>
      <c r="O2214" s="60">
        <v>4300</v>
      </c>
      <c r="P2214" s="61">
        <v>4</v>
      </c>
      <c r="Q2214" s="51">
        <f t="shared" si="51"/>
        <v>17200</v>
      </c>
      <c r="R2214" s="31">
        <v>202310</v>
      </c>
      <c r="S2214" s="62" t="s">
        <v>2921</v>
      </c>
      <c r="T2214" s="33"/>
      <c r="U2214" s="58"/>
      <c r="V2214" s="58"/>
      <c r="W2214" s="63"/>
      <c r="X2214" s="63"/>
      <c r="Y2214" s="36">
        <v>44197</v>
      </c>
      <c r="Z2214" s="36">
        <v>44926</v>
      </c>
      <c r="AA2214" s="36"/>
      <c r="AB2214" s="36"/>
      <c r="AC2214" s="36"/>
      <c r="AD2214" s="36"/>
      <c r="AE2214" s="36"/>
      <c r="AF2214" s="40" t="s">
        <v>503</v>
      </c>
      <c r="AG2214" s="42"/>
      <c r="AH2214" s="42"/>
      <c r="AI2214" s="43"/>
      <c r="AJ2214" s="43"/>
      <c r="AK2214" s="43"/>
      <c r="AL2214" s="43"/>
      <c r="AM2214" s="43"/>
      <c r="AN2214" s="42"/>
      <c r="AO2214" s="42"/>
      <c r="AP2214" s="42"/>
      <c r="AQ2214" s="43"/>
      <c r="AR2214" s="42"/>
      <c r="AS2214" s="42"/>
    </row>
    <row r="2215" spans="1:45" ht="15" customHeight="1">
      <c r="A2215" s="56" t="s">
        <v>45</v>
      </c>
      <c r="B2215" s="21" t="s">
        <v>46</v>
      </c>
      <c r="C2215" s="57" t="s">
        <v>814</v>
      </c>
      <c r="D2215" s="22" t="s">
        <v>48</v>
      </c>
      <c r="E2215" s="58" t="s">
        <v>2906</v>
      </c>
      <c r="F2215" s="56" t="s">
        <v>2907</v>
      </c>
      <c r="G2215" s="26" t="s">
        <v>77</v>
      </c>
      <c r="H2215" s="25" t="s">
        <v>2908</v>
      </c>
      <c r="I2215" s="26" t="s">
        <v>479</v>
      </c>
      <c r="J2215" s="56" t="s">
        <v>2914</v>
      </c>
      <c r="K2215" s="59" t="s">
        <v>2915</v>
      </c>
      <c r="L2215" s="48" t="s">
        <v>2916</v>
      </c>
      <c r="M2215" s="49">
        <v>44681</v>
      </c>
      <c r="N2215" s="49" t="s">
        <v>90</v>
      </c>
      <c r="O2215" s="60">
        <v>4300</v>
      </c>
      <c r="P2215" s="61">
        <v>-4</v>
      </c>
      <c r="Q2215" s="51">
        <f t="shared" ref="Q2215:Q2247" si="52">ROUND(O2215*P2215,2)</f>
        <v>-17200</v>
      </c>
      <c r="R2215" s="31">
        <v>202310</v>
      </c>
      <c r="S2215" s="62" t="s">
        <v>2922</v>
      </c>
      <c r="T2215" s="33"/>
      <c r="U2215" s="58"/>
      <c r="V2215" s="58"/>
      <c r="W2215" s="63"/>
      <c r="X2215" s="63"/>
      <c r="Y2215" s="36">
        <v>44197</v>
      </c>
      <c r="Z2215" s="36">
        <v>44926</v>
      </c>
      <c r="AA2215" s="36"/>
      <c r="AB2215" s="36"/>
      <c r="AC2215" s="36"/>
      <c r="AD2215" s="36"/>
      <c r="AE2215" s="36"/>
      <c r="AF2215" s="40" t="s">
        <v>503</v>
      </c>
      <c r="AG2215" s="42"/>
      <c r="AH2215" s="42"/>
      <c r="AI2215" s="43"/>
      <c r="AJ2215" s="43"/>
      <c r="AK2215" s="43"/>
      <c r="AL2215" s="43"/>
      <c r="AM2215" s="43"/>
      <c r="AN2215" s="42"/>
      <c r="AO2215" s="42"/>
      <c r="AP2215" s="42"/>
      <c r="AQ2215" s="43"/>
      <c r="AR2215" s="42"/>
      <c r="AS2215" s="42"/>
    </row>
    <row r="2216" spans="1:45" ht="15" customHeight="1">
      <c r="A2216" s="56" t="s">
        <v>45</v>
      </c>
      <c r="B2216" s="21" t="s">
        <v>46</v>
      </c>
      <c r="C2216" s="57" t="s">
        <v>814</v>
      </c>
      <c r="D2216" s="22" t="s">
        <v>48</v>
      </c>
      <c r="E2216" s="58" t="s">
        <v>2923</v>
      </c>
      <c r="F2216" s="56" t="s">
        <v>2924</v>
      </c>
      <c r="G2216" s="26" t="s">
        <v>165</v>
      </c>
      <c r="H2216" s="25" t="s">
        <v>2925</v>
      </c>
      <c r="I2216" s="26" t="s">
        <v>491</v>
      </c>
      <c r="J2216" s="56" t="s">
        <v>2926</v>
      </c>
      <c r="K2216" s="59" t="s">
        <v>2924</v>
      </c>
      <c r="L2216" s="48" t="s">
        <v>2927</v>
      </c>
      <c r="M2216" s="49">
        <v>45017</v>
      </c>
      <c r="N2216" s="49" t="s">
        <v>168</v>
      </c>
      <c r="O2216" s="60">
        <v>0</v>
      </c>
      <c r="P2216" s="61">
        <v>700</v>
      </c>
      <c r="Q2216" s="51">
        <f t="shared" si="52"/>
        <v>0</v>
      </c>
      <c r="R2216" s="31">
        <v>202310</v>
      </c>
      <c r="S2216" s="62" t="s">
        <v>2928</v>
      </c>
      <c r="T2216" s="33"/>
      <c r="U2216" s="58"/>
      <c r="V2216" s="58"/>
      <c r="W2216" s="63"/>
      <c r="X2216" s="63"/>
      <c r="Y2216" s="36">
        <v>45108</v>
      </c>
      <c r="Z2216" s="36">
        <v>45382</v>
      </c>
      <c r="AA2216" s="36"/>
      <c r="AB2216" s="36"/>
      <c r="AC2216" s="36"/>
      <c r="AD2216" s="36"/>
      <c r="AE2216" s="36"/>
      <c r="AF2216" s="40" t="s">
        <v>484</v>
      </c>
      <c r="AG2216" s="42"/>
      <c r="AH2216" s="42"/>
      <c r="AI2216" s="43"/>
      <c r="AJ2216" s="43"/>
      <c r="AK2216" s="43"/>
      <c r="AL2216" s="43"/>
      <c r="AM2216" s="43"/>
      <c r="AN2216" s="42"/>
      <c r="AO2216" s="42"/>
      <c r="AP2216" s="42"/>
      <c r="AQ2216" s="43"/>
      <c r="AR2216" s="42"/>
      <c r="AS2216" s="42" t="s">
        <v>2929</v>
      </c>
    </row>
    <row r="2217" spans="1:45" ht="15" customHeight="1">
      <c r="A2217" s="56" t="s">
        <v>45</v>
      </c>
      <c r="B2217" s="21" t="s">
        <v>46</v>
      </c>
      <c r="C2217" s="57" t="s">
        <v>814</v>
      </c>
      <c r="D2217" s="22" t="s">
        <v>48</v>
      </c>
      <c r="E2217" s="58" t="s">
        <v>2923</v>
      </c>
      <c r="F2217" s="56" t="s">
        <v>2924</v>
      </c>
      <c r="G2217" s="26" t="s">
        <v>165</v>
      </c>
      <c r="H2217" s="25" t="s">
        <v>2925</v>
      </c>
      <c r="I2217" s="26" t="s">
        <v>491</v>
      </c>
      <c r="J2217" s="56" t="s">
        <v>2926</v>
      </c>
      <c r="K2217" s="59" t="s">
        <v>2924</v>
      </c>
      <c r="L2217" s="48" t="s">
        <v>2927</v>
      </c>
      <c r="M2217" s="49">
        <v>45017</v>
      </c>
      <c r="N2217" s="49" t="s">
        <v>646</v>
      </c>
      <c r="O2217" s="60">
        <v>0</v>
      </c>
      <c r="P2217" s="61">
        <v>0</v>
      </c>
      <c r="Q2217" s="51">
        <f t="shared" si="52"/>
        <v>0</v>
      </c>
      <c r="R2217" s="31">
        <v>202310</v>
      </c>
      <c r="S2217" s="62" t="s">
        <v>2930</v>
      </c>
      <c r="T2217" s="33"/>
      <c r="U2217" s="58"/>
      <c r="V2217" s="58"/>
      <c r="W2217" s="63"/>
      <c r="X2217" s="63"/>
      <c r="Y2217" s="36">
        <v>45108</v>
      </c>
      <c r="Z2217" s="36">
        <v>45382</v>
      </c>
      <c r="AA2217" s="36"/>
      <c r="AB2217" s="36"/>
      <c r="AC2217" s="36"/>
      <c r="AD2217" s="36"/>
      <c r="AE2217" s="36"/>
      <c r="AF2217" s="40" t="s">
        <v>484</v>
      </c>
      <c r="AG2217" s="42"/>
      <c r="AH2217" s="42"/>
      <c r="AI2217" s="43"/>
      <c r="AJ2217" s="43"/>
      <c r="AK2217" s="43"/>
      <c r="AL2217" s="43"/>
      <c r="AM2217" s="43"/>
      <c r="AN2217" s="42"/>
      <c r="AO2217" s="42"/>
      <c r="AP2217" s="42"/>
      <c r="AQ2217" s="43"/>
      <c r="AR2217" s="42"/>
      <c r="AS2217" s="42" t="s">
        <v>2929</v>
      </c>
    </row>
    <row r="2218" spans="1:45" s="100" customFormat="1" ht="15" customHeight="1">
      <c r="A2218" s="165" t="s">
        <v>45</v>
      </c>
      <c r="B2218" s="123" t="s">
        <v>46</v>
      </c>
      <c r="C2218" s="166" t="s">
        <v>814</v>
      </c>
      <c r="D2218" s="83" t="s">
        <v>48</v>
      </c>
      <c r="E2218" s="167" t="s">
        <v>2923</v>
      </c>
      <c r="F2218" s="165" t="s">
        <v>2924</v>
      </c>
      <c r="G2218" s="85" t="s">
        <v>77</v>
      </c>
      <c r="H2218" s="127" t="s">
        <v>2931</v>
      </c>
      <c r="I2218" s="85" t="s">
        <v>479</v>
      </c>
      <c r="J2218" s="165" t="s">
        <v>2926</v>
      </c>
      <c r="K2218" s="169" t="s">
        <v>2924</v>
      </c>
      <c r="L2218" s="89" t="s">
        <v>2927</v>
      </c>
      <c r="M2218" s="90">
        <v>45017</v>
      </c>
      <c r="N2218" s="90" t="s">
        <v>90</v>
      </c>
      <c r="O2218" s="170">
        <v>4300</v>
      </c>
      <c r="P2218" s="113">
        <v>1</v>
      </c>
      <c r="Q2218" s="92">
        <f t="shared" si="52"/>
        <v>4300</v>
      </c>
      <c r="R2218" s="93">
        <v>202310</v>
      </c>
      <c r="S2218" s="171" t="s">
        <v>2932</v>
      </c>
      <c r="T2218" s="172"/>
      <c r="U2218" s="167" t="s">
        <v>2933</v>
      </c>
      <c r="V2218" s="167"/>
      <c r="W2218" s="173"/>
      <c r="X2218" s="173"/>
      <c r="Y2218" s="97"/>
      <c r="Z2218" s="97"/>
      <c r="AA2218" s="97"/>
      <c r="AB2218" s="97"/>
      <c r="AC2218" s="97"/>
      <c r="AD2218" s="97"/>
      <c r="AE2218" s="97"/>
      <c r="AF2218" s="174" t="s">
        <v>484</v>
      </c>
      <c r="AG2218" s="96"/>
      <c r="AH2218" s="96"/>
      <c r="AI2218" s="99"/>
      <c r="AJ2218" s="99"/>
      <c r="AK2218" s="99"/>
      <c r="AL2218" s="99"/>
      <c r="AM2218" s="99"/>
      <c r="AN2218" s="96"/>
      <c r="AO2218" s="96"/>
      <c r="AP2218" s="96"/>
      <c r="AQ2218" s="99"/>
      <c r="AR2218" s="96"/>
      <c r="AS2218" s="96" t="s">
        <v>2929</v>
      </c>
    </row>
    <row r="2219" spans="1:45" ht="15" customHeight="1">
      <c r="A2219" s="56" t="s">
        <v>45</v>
      </c>
      <c r="B2219" s="21" t="s">
        <v>46</v>
      </c>
      <c r="C2219" s="57" t="s">
        <v>814</v>
      </c>
      <c r="D2219" s="22" t="s">
        <v>48</v>
      </c>
      <c r="E2219" s="58" t="s">
        <v>2934</v>
      </c>
      <c r="F2219" s="56" t="s">
        <v>2935</v>
      </c>
      <c r="G2219" s="26" t="s">
        <v>165</v>
      </c>
      <c r="H2219" s="133" t="s">
        <v>2936</v>
      </c>
      <c r="I2219" s="26" t="s">
        <v>491</v>
      </c>
      <c r="J2219" s="56" t="s">
        <v>2937</v>
      </c>
      <c r="K2219" s="59" t="s">
        <v>2938</v>
      </c>
      <c r="L2219" s="48" t="s">
        <v>2939</v>
      </c>
      <c r="M2219" s="49">
        <v>44816</v>
      </c>
      <c r="N2219" s="49" t="s">
        <v>168</v>
      </c>
      <c r="O2219" s="60">
        <v>0</v>
      </c>
      <c r="P2219" s="61">
        <v>384</v>
      </c>
      <c r="Q2219" s="51">
        <f t="shared" si="52"/>
        <v>0</v>
      </c>
      <c r="R2219" s="31">
        <v>202310</v>
      </c>
      <c r="S2219" s="62" t="s">
        <v>2940</v>
      </c>
      <c r="T2219" s="33"/>
      <c r="U2219" s="58"/>
      <c r="V2219" s="58"/>
      <c r="W2219" s="63"/>
      <c r="X2219" s="63"/>
      <c r="Y2219" s="36"/>
      <c r="Z2219" s="36"/>
      <c r="AA2219" s="36"/>
      <c r="AB2219" s="36"/>
      <c r="AC2219" s="36"/>
      <c r="AD2219" s="36"/>
      <c r="AE2219" s="36"/>
      <c r="AF2219" s="40" t="s">
        <v>484</v>
      </c>
      <c r="AG2219" s="42"/>
      <c r="AH2219" s="42"/>
      <c r="AI2219" s="43"/>
      <c r="AJ2219" s="43"/>
      <c r="AK2219" s="43"/>
      <c r="AL2219" s="43"/>
      <c r="AM2219" s="43"/>
      <c r="AN2219" s="42"/>
      <c r="AO2219" s="42"/>
      <c r="AP2219" s="42"/>
      <c r="AQ2219" s="43"/>
      <c r="AR2219" s="42"/>
      <c r="AS2219" s="42" t="s">
        <v>2941</v>
      </c>
    </row>
    <row r="2220" spans="1:45" ht="15" customHeight="1">
      <c r="A2220" s="56" t="s">
        <v>45</v>
      </c>
      <c r="B2220" s="21" t="s">
        <v>46</v>
      </c>
      <c r="C2220" s="57" t="s">
        <v>814</v>
      </c>
      <c r="D2220" s="22" t="s">
        <v>48</v>
      </c>
      <c r="E2220" s="58" t="s">
        <v>2934</v>
      </c>
      <c r="F2220" s="56" t="s">
        <v>2935</v>
      </c>
      <c r="G2220" s="26" t="s">
        <v>165</v>
      </c>
      <c r="H2220" s="133" t="s">
        <v>2936</v>
      </c>
      <c r="I2220" s="26" t="s">
        <v>491</v>
      </c>
      <c r="J2220" s="56" t="s">
        <v>2937</v>
      </c>
      <c r="K2220" s="59" t="s">
        <v>2938</v>
      </c>
      <c r="L2220" s="48" t="s">
        <v>2939</v>
      </c>
      <c r="M2220" s="49"/>
      <c r="N2220" s="49" t="s">
        <v>646</v>
      </c>
      <c r="O2220" s="60">
        <v>0</v>
      </c>
      <c r="P2220" s="61">
        <v>0</v>
      </c>
      <c r="Q2220" s="51">
        <f t="shared" si="52"/>
        <v>0</v>
      </c>
      <c r="R2220" s="31">
        <v>202310</v>
      </c>
      <c r="S2220" s="62" t="s">
        <v>2942</v>
      </c>
      <c r="T2220" s="33"/>
      <c r="U2220" s="58"/>
      <c r="V2220" s="58"/>
      <c r="W2220" s="63"/>
      <c r="X2220" s="63"/>
      <c r="Y2220" s="36"/>
      <c r="Z2220" s="36"/>
      <c r="AA2220" s="36"/>
      <c r="AB2220" s="36"/>
      <c r="AC2220" s="36"/>
      <c r="AD2220" s="36"/>
      <c r="AE2220" s="36"/>
      <c r="AF2220" s="40" t="s">
        <v>484</v>
      </c>
      <c r="AG2220" s="42"/>
      <c r="AH2220" s="42"/>
      <c r="AI2220" s="43"/>
      <c r="AJ2220" s="43"/>
      <c r="AK2220" s="43"/>
      <c r="AL2220" s="43"/>
      <c r="AM2220" s="43"/>
      <c r="AN2220" s="42"/>
      <c r="AO2220" s="42"/>
      <c r="AP2220" s="42"/>
      <c r="AQ2220" s="43"/>
      <c r="AR2220" s="42"/>
      <c r="AS2220" s="42" t="s">
        <v>2941</v>
      </c>
    </row>
    <row r="2221" spans="1:45" ht="15" customHeight="1">
      <c r="A2221" s="56" t="s">
        <v>45</v>
      </c>
      <c r="B2221" s="21" t="s">
        <v>46</v>
      </c>
      <c r="C2221" s="57" t="s">
        <v>814</v>
      </c>
      <c r="D2221" s="22" t="s">
        <v>48</v>
      </c>
      <c r="E2221" s="58" t="s">
        <v>2934</v>
      </c>
      <c r="F2221" s="56" t="s">
        <v>2935</v>
      </c>
      <c r="G2221" s="26" t="s">
        <v>77</v>
      </c>
      <c r="H2221" s="133" t="s">
        <v>2936</v>
      </c>
      <c r="I2221" s="26" t="s">
        <v>479</v>
      </c>
      <c r="J2221" s="56" t="s">
        <v>2937</v>
      </c>
      <c r="K2221" s="59" t="s">
        <v>2938</v>
      </c>
      <c r="L2221" s="48" t="s">
        <v>2939</v>
      </c>
      <c r="M2221" s="49">
        <v>44816</v>
      </c>
      <c r="N2221" s="49" t="s">
        <v>90</v>
      </c>
      <c r="O2221" s="60">
        <v>4300</v>
      </c>
      <c r="P2221" s="61">
        <v>9</v>
      </c>
      <c r="Q2221" s="51">
        <f t="shared" si="52"/>
        <v>38700</v>
      </c>
      <c r="R2221" s="31">
        <v>202310</v>
      </c>
      <c r="S2221" s="62" t="s">
        <v>2943</v>
      </c>
      <c r="T2221" s="33"/>
      <c r="U2221" s="58"/>
      <c r="V2221" s="58"/>
      <c r="W2221" s="63"/>
      <c r="X2221" s="63"/>
      <c r="Y2221" s="36"/>
      <c r="Z2221" s="36"/>
      <c r="AA2221" s="36"/>
      <c r="AB2221" s="36"/>
      <c r="AC2221" s="36"/>
      <c r="AD2221" s="36"/>
      <c r="AE2221" s="36"/>
      <c r="AF2221" s="40" t="s">
        <v>484</v>
      </c>
      <c r="AG2221" s="42"/>
      <c r="AH2221" s="42"/>
      <c r="AI2221" s="43"/>
      <c r="AJ2221" s="43"/>
      <c r="AK2221" s="43"/>
      <c r="AL2221" s="43"/>
      <c r="AM2221" s="43"/>
      <c r="AN2221" s="42"/>
      <c r="AO2221" s="42"/>
      <c r="AP2221" s="42"/>
      <c r="AQ2221" s="43"/>
      <c r="AR2221" s="42"/>
      <c r="AS2221" s="42" t="s">
        <v>2941</v>
      </c>
    </row>
    <row r="2222" spans="1:45" ht="15" customHeight="1">
      <c r="A2222" s="56" t="s">
        <v>45</v>
      </c>
      <c r="B2222" s="21" t="s">
        <v>46</v>
      </c>
      <c r="C2222" s="57" t="s">
        <v>814</v>
      </c>
      <c r="D2222" s="22" t="s">
        <v>48</v>
      </c>
      <c r="E2222" s="58" t="s">
        <v>2944</v>
      </c>
      <c r="F2222" s="56" t="s">
        <v>2945</v>
      </c>
      <c r="G2222" s="26" t="s">
        <v>165</v>
      </c>
      <c r="H2222" s="25" t="s">
        <v>2946</v>
      </c>
      <c r="I2222" s="26" t="s">
        <v>491</v>
      </c>
      <c r="J2222" s="56" t="s">
        <v>2947</v>
      </c>
      <c r="K2222" s="59" t="s">
        <v>2948</v>
      </c>
      <c r="L2222" s="48" t="s">
        <v>2949</v>
      </c>
      <c r="M2222" s="49">
        <v>43965</v>
      </c>
      <c r="N2222" s="49" t="s">
        <v>168</v>
      </c>
      <c r="O2222" s="60">
        <v>0</v>
      </c>
      <c r="P2222" s="61">
        <v>448</v>
      </c>
      <c r="Q2222" s="51">
        <f t="shared" si="52"/>
        <v>0</v>
      </c>
      <c r="R2222" s="31">
        <v>202310</v>
      </c>
      <c r="S2222" s="62" t="s">
        <v>2950</v>
      </c>
      <c r="T2222" s="33"/>
      <c r="U2222" s="58"/>
      <c r="V2222" s="58"/>
      <c r="W2222" s="63"/>
      <c r="X2222" s="63"/>
      <c r="Y2222" s="36">
        <v>45108</v>
      </c>
      <c r="Z2222" s="36">
        <v>45473</v>
      </c>
      <c r="AA2222" s="36"/>
      <c r="AB2222" s="36"/>
      <c r="AC2222" s="36"/>
      <c r="AD2222" s="36"/>
      <c r="AE2222" s="36"/>
      <c r="AF2222" s="40" t="s">
        <v>503</v>
      </c>
      <c r="AG2222" s="42"/>
      <c r="AH2222" s="42"/>
      <c r="AI2222" s="43"/>
      <c r="AJ2222" s="43"/>
      <c r="AK2222" s="43"/>
      <c r="AL2222" s="43"/>
      <c r="AM2222" s="43"/>
      <c r="AN2222" s="42"/>
      <c r="AO2222" s="42"/>
      <c r="AP2222" s="42"/>
      <c r="AQ2222" s="43"/>
      <c r="AR2222" s="42"/>
      <c r="AS2222" s="42"/>
    </row>
    <row r="2223" spans="1:45" ht="15" customHeight="1">
      <c r="A2223" s="56" t="s">
        <v>45</v>
      </c>
      <c r="B2223" s="21" t="s">
        <v>46</v>
      </c>
      <c r="C2223" s="57" t="s">
        <v>814</v>
      </c>
      <c r="D2223" s="22" t="s">
        <v>48</v>
      </c>
      <c r="E2223" s="58" t="s">
        <v>2944</v>
      </c>
      <c r="F2223" s="56" t="s">
        <v>2945</v>
      </c>
      <c r="G2223" s="26" t="s">
        <v>165</v>
      </c>
      <c r="H2223" s="25" t="s">
        <v>2946</v>
      </c>
      <c r="I2223" s="26" t="s">
        <v>491</v>
      </c>
      <c r="J2223" s="56" t="s">
        <v>2947</v>
      </c>
      <c r="K2223" s="59" t="s">
        <v>2948</v>
      </c>
      <c r="L2223" s="48" t="s">
        <v>2949</v>
      </c>
      <c r="M2223" s="49">
        <v>43965</v>
      </c>
      <c r="N2223" s="49" t="s">
        <v>168</v>
      </c>
      <c r="O2223" s="60">
        <v>50</v>
      </c>
      <c r="P2223" s="61">
        <v>96</v>
      </c>
      <c r="Q2223" s="51">
        <f t="shared" si="52"/>
        <v>4800</v>
      </c>
      <c r="R2223" s="31">
        <v>202310</v>
      </c>
      <c r="S2223" s="62" t="s">
        <v>2950</v>
      </c>
      <c r="T2223" s="33"/>
      <c r="U2223" s="58"/>
      <c r="V2223" s="58"/>
      <c r="W2223" s="63"/>
      <c r="X2223" s="63"/>
      <c r="Y2223" s="36">
        <v>45108</v>
      </c>
      <c r="Z2223" s="36">
        <v>45473</v>
      </c>
      <c r="AA2223" s="36"/>
      <c r="AB2223" s="36"/>
      <c r="AC2223" s="36"/>
      <c r="AD2223" s="36"/>
      <c r="AE2223" s="36"/>
      <c r="AF2223" s="40" t="s">
        <v>503</v>
      </c>
      <c r="AG2223" s="42"/>
      <c r="AH2223" s="42"/>
      <c r="AI2223" s="43"/>
      <c r="AJ2223" s="43"/>
      <c r="AK2223" s="43"/>
      <c r="AL2223" s="43"/>
      <c r="AM2223" s="43"/>
      <c r="AN2223" s="42"/>
      <c r="AO2223" s="42"/>
      <c r="AP2223" s="42"/>
      <c r="AQ2223" s="43"/>
      <c r="AR2223" s="42"/>
      <c r="AS2223" s="42"/>
    </row>
    <row r="2224" spans="1:45" ht="15" customHeight="1">
      <c r="A2224" s="56" t="s">
        <v>45</v>
      </c>
      <c r="B2224" s="21" t="s">
        <v>46</v>
      </c>
      <c r="C2224" s="57" t="s">
        <v>814</v>
      </c>
      <c r="D2224" s="22" t="s">
        <v>48</v>
      </c>
      <c r="E2224" s="58" t="s">
        <v>2944</v>
      </c>
      <c r="F2224" s="56" t="s">
        <v>2945</v>
      </c>
      <c r="G2224" s="26" t="s">
        <v>165</v>
      </c>
      <c r="H2224" s="25" t="s">
        <v>2946</v>
      </c>
      <c r="I2224" s="26" t="s">
        <v>491</v>
      </c>
      <c r="J2224" s="56" t="s">
        <v>2947</v>
      </c>
      <c r="K2224" s="59" t="s">
        <v>2948</v>
      </c>
      <c r="L2224" s="48" t="s">
        <v>2949</v>
      </c>
      <c r="M2224" s="49">
        <v>44773</v>
      </c>
      <c r="N2224" s="49" t="s">
        <v>168</v>
      </c>
      <c r="O2224" s="60">
        <v>50</v>
      </c>
      <c r="P2224" s="61">
        <v>-96</v>
      </c>
      <c r="Q2224" s="51">
        <f t="shared" si="52"/>
        <v>-4800</v>
      </c>
      <c r="R2224" s="31">
        <v>202310</v>
      </c>
      <c r="S2224" s="62" t="s">
        <v>2951</v>
      </c>
      <c r="T2224" s="33"/>
      <c r="U2224" s="58"/>
      <c r="V2224" s="58"/>
      <c r="W2224" s="63"/>
      <c r="X2224" s="63"/>
      <c r="Y2224" s="36">
        <v>45108</v>
      </c>
      <c r="Z2224" s="36">
        <v>45473</v>
      </c>
      <c r="AA2224" s="36"/>
      <c r="AB2224" s="36"/>
      <c r="AC2224" s="36"/>
      <c r="AD2224" s="36"/>
      <c r="AE2224" s="36"/>
      <c r="AF2224" s="40" t="s">
        <v>503</v>
      </c>
      <c r="AG2224" s="42"/>
      <c r="AH2224" s="42"/>
      <c r="AI2224" s="43"/>
      <c r="AJ2224" s="43"/>
      <c r="AK2224" s="43"/>
      <c r="AL2224" s="43"/>
      <c r="AM2224" s="43"/>
      <c r="AN2224" s="42"/>
      <c r="AO2224" s="42"/>
      <c r="AP2224" s="42"/>
      <c r="AQ2224" s="43"/>
      <c r="AR2224" s="42"/>
      <c r="AS2224" s="42"/>
    </row>
    <row r="2225" spans="1:45" ht="15" customHeight="1">
      <c r="A2225" s="56" t="s">
        <v>45</v>
      </c>
      <c r="B2225" s="21" t="s">
        <v>46</v>
      </c>
      <c r="C2225" s="57" t="s">
        <v>814</v>
      </c>
      <c r="D2225" s="22" t="s">
        <v>48</v>
      </c>
      <c r="E2225" s="58" t="s">
        <v>2944</v>
      </c>
      <c r="F2225" s="56" t="s">
        <v>2945</v>
      </c>
      <c r="G2225" s="26" t="s">
        <v>165</v>
      </c>
      <c r="H2225" s="25" t="s">
        <v>2946</v>
      </c>
      <c r="I2225" s="26" t="s">
        <v>491</v>
      </c>
      <c r="J2225" s="56" t="s">
        <v>2947</v>
      </c>
      <c r="K2225" s="59" t="s">
        <v>2948</v>
      </c>
      <c r="L2225" s="48" t="s">
        <v>2949</v>
      </c>
      <c r="M2225" s="49">
        <v>44773</v>
      </c>
      <c r="N2225" s="49" t="s">
        <v>168</v>
      </c>
      <c r="O2225" s="60">
        <v>0</v>
      </c>
      <c r="P2225" s="61">
        <f>-384-P2224</f>
        <v>-288</v>
      </c>
      <c r="Q2225" s="51">
        <f t="shared" si="52"/>
        <v>0</v>
      </c>
      <c r="R2225" s="31">
        <v>202310</v>
      </c>
      <c r="S2225" s="62" t="s">
        <v>2952</v>
      </c>
      <c r="T2225" s="33"/>
      <c r="U2225" s="58"/>
      <c r="V2225" s="58"/>
      <c r="W2225" s="63"/>
      <c r="X2225" s="63"/>
      <c r="Y2225" s="36">
        <v>45108</v>
      </c>
      <c r="Z2225" s="36">
        <v>45473</v>
      </c>
      <c r="AA2225" s="36"/>
      <c r="AB2225" s="36"/>
      <c r="AC2225" s="36"/>
      <c r="AD2225" s="36"/>
      <c r="AE2225" s="36"/>
      <c r="AF2225" s="40" t="s">
        <v>503</v>
      </c>
      <c r="AG2225" s="42"/>
      <c r="AH2225" s="42"/>
      <c r="AI2225" s="43"/>
      <c r="AJ2225" s="43"/>
      <c r="AK2225" s="43"/>
      <c r="AL2225" s="43"/>
      <c r="AM2225" s="43"/>
      <c r="AN2225" s="42"/>
      <c r="AO2225" s="42"/>
      <c r="AP2225" s="42"/>
      <c r="AQ2225" s="43"/>
      <c r="AR2225" s="42"/>
      <c r="AS2225" s="42"/>
    </row>
    <row r="2226" spans="1:45" ht="15" customHeight="1">
      <c r="A2226" s="56" t="s">
        <v>45</v>
      </c>
      <c r="B2226" s="21" t="s">
        <v>46</v>
      </c>
      <c r="C2226" s="57" t="s">
        <v>814</v>
      </c>
      <c r="D2226" s="22" t="s">
        <v>48</v>
      </c>
      <c r="E2226" s="58" t="s">
        <v>2944</v>
      </c>
      <c r="F2226" s="56" t="s">
        <v>2945</v>
      </c>
      <c r="G2226" s="26" t="s">
        <v>77</v>
      </c>
      <c r="H2226" s="25" t="s">
        <v>2946</v>
      </c>
      <c r="I2226" s="26" t="s">
        <v>479</v>
      </c>
      <c r="J2226" s="56" t="s">
        <v>2947</v>
      </c>
      <c r="K2226" s="59" t="s">
        <v>2948</v>
      </c>
      <c r="L2226" s="48" t="s">
        <v>2949</v>
      </c>
      <c r="M2226" s="49">
        <v>43965</v>
      </c>
      <c r="N2226" s="49" t="s">
        <v>90</v>
      </c>
      <c r="O2226" s="60">
        <v>4300</v>
      </c>
      <c r="P2226" s="61">
        <v>10</v>
      </c>
      <c r="Q2226" s="51">
        <f t="shared" si="52"/>
        <v>43000</v>
      </c>
      <c r="R2226" s="31">
        <v>202310</v>
      </c>
      <c r="S2226" s="62" t="s">
        <v>2953</v>
      </c>
      <c r="T2226" s="33"/>
      <c r="U2226" s="58"/>
      <c r="V2226" s="58"/>
      <c r="W2226" s="63"/>
      <c r="X2226" s="63"/>
      <c r="Y2226" s="36">
        <v>45108</v>
      </c>
      <c r="Z2226" s="36">
        <v>45473</v>
      </c>
      <c r="AA2226" s="36"/>
      <c r="AB2226" s="36"/>
      <c r="AC2226" s="36"/>
      <c r="AD2226" s="36"/>
      <c r="AE2226" s="36"/>
      <c r="AF2226" s="40" t="s">
        <v>503</v>
      </c>
      <c r="AG2226" s="42"/>
      <c r="AH2226" s="42"/>
      <c r="AI2226" s="43"/>
      <c r="AJ2226" s="43"/>
      <c r="AK2226" s="43"/>
      <c r="AL2226" s="43"/>
      <c r="AM2226" s="43"/>
      <c r="AN2226" s="42"/>
      <c r="AO2226" s="42"/>
      <c r="AP2226" s="42"/>
      <c r="AQ2226" s="43"/>
      <c r="AR2226" s="42"/>
      <c r="AS2226" s="42"/>
    </row>
    <row r="2227" spans="1:45" ht="15" customHeight="1">
      <c r="A2227" s="56" t="s">
        <v>45</v>
      </c>
      <c r="B2227" s="21" t="s">
        <v>46</v>
      </c>
      <c r="C2227" s="57" t="s">
        <v>814</v>
      </c>
      <c r="D2227" s="22" t="s">
        <v>48</v>
      </c>
      <c r="E2227" s="58" t="s">
        <v>2944</v>
      </c>
      <c r="F2227" s="56" t="s">
        <v>2945</v>
      </c>
      <c r="G2227" s="26" t="s">
        <v>77</v>
      </c>
      <c r="H2227" s="25" t="s">
        <v>2946</v>
      </c>
      <c r="I2227" s="26" t="s">
        <v>479</v>
      </c>
      <c r="J2227" s="56" t="s">
        <v>2948</v>
      </c>
      <c r="K2227" s="59" t="s">
        <v>2948</v>
      </c>
      <c r="L2227" s="48" t="s">
        <v>2949</v>
      </c>
      <c r="M2227" s="49">
        <v>44425</v>
      </c>
      <c r="N2227" s="49" t="s">
        <v>90</v>
      </c>
      <c r="O2227" s="60">
        <v>4300</v>
      </c>
      <c r="P2227" s="61">
        <v>1</v>
      </c>
      <c r="Q2227" s="51">
        <f t="shared" si="52"/>
        <v>4300</v>
      </c>
      <c r="R2227" s="31">
        <v>202310</v>
      </c>
      <c r="S2227" s="62" t="s">
        <v>2954</v>
      </c>
      <c r="T2227" s="33"/>
      <c r="U2227" s="58"/>
      <c r="V2227" s="58"/>
      <c r="W2227" s="63"/>
      <c r="X2227" s="63"/>
      <c r="Y2227" s="36">
        <v>45108</v>
      </c>
      <c r="Z2227" s="36">
        <v>45473</v>
      </c>
      <c r="AA2227" s="36"/>
      <c r="AB2227" s="36"/>
      <c r="AC2227" s="36"/>
      <c r="AD2227" s="36"/>
      <c r="AE2227" s="36"/>
      <c r="AF2227" s="40" t="s">
        <v>503</v>
      </c>
      <c r="AG2227" s="42"/>
      <c r="AH2227" s="42"/>
      <c r="AI2227" s="43"/>
      <c r="AJ2227" s="43"/>
      <c r="AK2227" s="43"/>
      <c r="AL2227" s="43"/>
      <c r="AM2227" s="43"/>
      <c r="AN2227" s="42"/>
      <c r="AO2227" s="42"/>
      <c r="AP2227" s="42"/>
      <c r="AQ2227" s="43"/>
      <c r="AR2227" s="42"/>
      <c r="AS2227" s="42"/>
    </row>
    <row r="2228" spans="1:45" ht="15" customHeight="1">
      <c r="A2228" s="56" t="s">
        <v>45</v>
      </c>
      <c r="B2228" s="21" t="s">
        <v>46</v>
      </c>
      <c r="C2228" s="57" t="s">
        <v>814</v>
      </c>
      <c r="D2228" s="22" t="s">
        <v>48</v>
      </c>
      <c r="E2228" s="58" t="s">
        <v>2944</v>
      </c>
      <c r="F2228" s="56" t="s">
        <v>2945</v>
      </c>
      <c r="G2228" s="26" t="s">
        <v>77</v>
      </c>
      <c r="H2228" s="25" t="s">
        <v>2946</v>
      </c>
      <c r="I2228" s="26" t="s">
        <v>479</v>
      </c>
      <c r="J2228" s="56" t="s">
        <v>2948</v>
      </c>
      <c r="K2228" s="59" t="s">
        <v>2948</v>
      </c>
      <c r="L2228" s="48" t="s">
        <v>2949</v>
      </c>
      <c r="M2228" s="49">
        <v>44617</v>
      </c>
      <c r="N2228" s="49" t="s">
        <v>90</v>
      </c>
      <c r="O2228" s="60">
        <v>4300</v>
      </c>
      <c r="P2228" s="61">
        <v>-6</v>
      </c>
      <c r="Q2228" s="51">
        <f t="shared" si="52"/>
        <v>-25800</v>
      </c>
      <c r="R2228" s="31">
        <v>202310</v>
      </c>
      <c r="S2228" s="62" t="s">
        <v>2955</v>
      </c>
      <c r="T2228" s="33"/>
      <c r="U2228" s="58"/>
      <c r="V2228" s="58"/>
      <c r="W2228" s="63"/>
      <c r="X2228" s="63"/>
      <c r="Y2228" s="36">
        <v>45108</v>
      </c>
      <c r="Z2228" s="36">
        <v>45473</v>
      </c>
      <c r="AA2228" s="36"/>
      <c r="AB2228" s="36"/>
      <c r="AC2228" s="36"/>
      <c r="AD2228" s="36"/>
      <c r="AE2228" s="36"/>
      <c r="AF2228" s="40" t="s">
        <v>503</v>
      </c>
      <c r="AG2228" s="42"/>
      <c r="AH2228" s="42"/>
      <c r="AI2228" s="43"/>
      <c r="AJ2228" s="43"/>
      <c r="AK2228" s="43"/>
      <c r="AL2228" s="43"/>
      <c r="AM2228" s="43"/>
      <c r="AN2228" s="42"/>
      <c r="AO2228" s="42"/>
      <c r="AP2228" s="42"/>
      <c r="AQ2228" s="43"/>
      <c r="AR2228" s="42"/>
      <c r="AS2228" s="42"/>
    </row>
    <row r="2229" spans="1:45" ht="15" customHeight="1">
      <c r="A2229" s="56" t="s">
        <v>45</v>
      </c>
      <c r="B2229" s="21" t="s">
        <v>46</v>
      </c>
      <c r="C2229" s="57" t="s">
        <v>814</v>
      </c>
      <c r="D2229" s="22" t="s">
        <v>48</v>
      </c>
      <c r="E2229" s="58" t="s">
        <v>2944</v>
      </c>
      <c r="F2229" s="56" t="s">
        <v>2945</v>
      </c>
      <c r="G2229" s="26" t="s">
        <v>77</v>
      </c>
      <c r="H2229" s="25" t="s">
        <v>2946</v>
      </c>
      <c r="I2229" s="26" t="s">
        <v>479</v>
      </c>
      <c r="J2229" s="56" t="s">
        <v>2948</v>
      </c>
      <c r="K2229" s="59" t="s">
        <v>2948</v>
      </c>
      <c r="L2229" s="48" t="s">
        <v>2949</v>
      </c>
      <c r="M2229" s="49">
        <v>44773</v>
      </c>
      <c r="N2229" s="49" t="s">
        <v>90</v>
      </c>
      <c r="O2229" s="60">
        <v>4300</v>
      </c>
      <c r="P2229" s="61">
        <v>-2</v>
      </c>
      <c r="Q2229" s="51">
        <f t="shared" si="52"/>
        <v>-8600</v>
      </c>
      <c r="R2229" s="31">
        <v>202310</v>
      </c>
      <c r="S2229" s="62" t="s">
        <v>2956</v>
      </c>
      <c r="T2229" s="33"/>
      <c r="U2229" s="58"/>
      <c r="V2229" s="58"/>
      <c r="W2229" s="63"/>
      <c r="X2229" s="63"/>
      <c r="Y2229" s="36">
        <v>45108</v>
      </c>
      <c r="Z2229" s="36">
        <v>45473</v>
      </c>
      <c r="AA2229" s="36"/>
      <c r="AB2229" s="36"/>
      <c r="AC2229" s="36"/>
      <c r="AD2229" s="36"/>
      <c r="AE2229" s="36"/>
      <c r="AF2229" s="40" t="s">
        <v>503</v>
      </c>
      <c r="AG2229" s="42"/>
      <c r="AH2229" s="42"/>
      <c r="AI2229" s="43"/>
      <c r="AJ2229" s="43"/>
      <c r="AK2229" s="43"/>
      <c r="AL2229" s="43"/>
      <c r="AM2229" s="43"/>
      <c r="AN2229" s="42"/>
      <c r="AO2229" s="42"/>
      <c r="AP2229" s="42"/>
      <c r="AQ2229" s="43"/>
      <c r="AR2229" s="42"/>
      <c r="AS2229" s="42"/>
    </row>
    <row r="2230" spans="1:45" ht="15" customHeight="1">
      <c r="A2230" s="56" t="s">
        <v>45</v>
      </c>
      <c r="B2230" s="21" t="s">
        <v>46</v>
      </c>
      <c r="C2230" s="57" t="s">
        <v>814</v>
      </c>
      <c r="D2230" s="22" t="s">
        <v>48</v>
      </c>
      <c r="E2230" s="58" t="s">
        <v>2944</v>
      </c>
      <c r="F2230" s="56" t="s">
        <v>2945</v>
      </c>
      <c r="G2230" s="26" t="s">
        <v>165</v>
      </c>
      <c r="H2230" s="25" t="s">
        <v>2957</v>
      </c>
      <c r="I2230" s="26" t="s">
        <v>491</v>
      </c>
      <c r="J2230" s="56" t="s">
        <v>2947</v>
      </c>
      <c r="K2230" s="59" t="s">
        <v>2958</v>
      </c>
      <c r="L2230" s="48" t="s">
        <v>2949</v>
      </c>
      <c r="M2230" s="49">
        <v>44812</v>
      </c>
      <c r="N2230" s="49" t="s">
        <v>168</v>
      </c>
      <c r="O2230" s="60">
        <v>0</v>
      </c>
      <c r="P2230" s="61">
        <v>832</v>
      </c>
      <c r="Q2230" s="51">
        <f t="shared" si="52"/>
        <v>0</v>
      </c>
      <c r="R2230" s="31">
        <v>202310</v>
      </c>
      <c r="S2230" s="164" t="s">
        <v>2959</v>
      </c>
      <c r="T2230" s="33"/>
      <c r="U2230" s="58"/>
      <c r="V2230" s="58"/>
      <c r="W2230" s="63"/>
      <c r="X2230" s="63"/>
      <c r="Y2230" s="36"/>
      <c r="Z2230" s="36"/>
      <c r="AA2230" s="36"/>
      <c r="AB2230" s="36"/>
      <c r="AC2230" s="36"/>
      <c r="AD2230" s="36"/>
      <c r="AE2230" s="36"/>
      <c r="AF2230" s="40" t="s">
        <v>484</v>
      </c>
      <c r="AG2230" s="42"/>
      <c r="AH2230" s="42"/>
      <c r="AI2230" s="43"/>
      <c r="AJ2230" s="43"/>
      <c r="AK2230" s="43"/>
      <c r="AL2230" s="43"/>
      <c r="AM2230" s="43"/>
      <c r="AN2230" s="42"/>
      <c r="AO2230" s="42"/>
      <c r="AP2230" s="42"/>
      <c r="AQ2230" s="43"/>
      <c r="AR2230" s="42"/>
      <c r="AS2230" s="42"/>
    </row>
    <row r="2231" spans="1:45" ht="15" customHeight="1">
      <c r="A2231" s="56" t="s">
        <v>45</v>
      </c>
      <c r="B2231" s="21" t="s">
        <v>46</v>
      </c>
      <c r="C2231" s="57" t="s">
        <v>814</v>
      </c>
      <c r="D2231" s="22" t="s">
        <v>48</v>
      </c>
      <c r="E2231" s="58" t="s">
        <v>2944</v>
      </c>
      <c r="F2231" s="56" t="s">
        <v>2945</v>
      </c>
      <c r="G2231" s="26" t="s">
        <v>165</v>
      </c>
      <c r="H2231" s="25" t="s">
        <v>2957</v>
      </c>
      <c r="I2231" s="26" t="s">
        <v>491</v>
      </c>
      <c r="J2231" s="56" t="s">
        <v>2947</v>
      </c>
      <c r="K2231" s="59" t="s">
        <v>2958</v>
      </c>
      <c r="L2231" s="48" t="s">
        <v>2949</v>
      </c>
      <c r="M2231" s="49">
        <v>44812</v>
      </c>
      <c r="N2231" s="49" t="s">
        <v>168</v>
      </c>
      <c r="O2231" s="60">
        <v>0</v>
      </c>
      <c r="P2231" s="61">
        <f>1024-P2230</f>
        <v>192</v>
      </c>
      <c r="Q2231" s="51">
        <f t="shared" si="52"/>
        <v>0</v>
      </c>
      <c r="R2231" s="31">
        <v>202310</v>
      </c>
      <c r="S2231" s="164" t="s">
        <v>2959</v>
      </c>
      <c r="T2231" s="33"/>
      <c r="U2231" s="58"/>
      <c r="V2231" s="58"/>
      <c r="W2231" s="63"/>
      <c r="X2231" s="63"/>
      <c r="Y2231" s="36"/>
      <c r="Z2231" s="36"/>
      <c r="AA2231" s="36"/>
      <c r="AB2231" s="36"/>
      <c r="AC2231" s="36"/>
      <c r="AD2231" s="36"/>
      <c r="AE2231" s="36"/>
      <c r="AF2231" s="40" t="s">
        <v>484</v>
      </c>
      <c r="AG2231" s="42"/>
      <c r="AH2231" s="42"/>
      <c r="AI2231" s="43"/>
      <c r="AJ2231" s="43"/>
      <c r="AK2231" s="43"/>
      <c r="AL2231" s="43"/>
      <c r="AM2231" s="43"/>
      <c r="AN2231" s="42"/>
      <c r="AO2231" s="42"/>
      <c r="AP2231" s="42"/>
      <c r="AQ2231" s="43"/>
      <c r="AR2231" s="42"/>
      <c r="AS2231" s="42"/>
    </row>
    <row r="2232" spans="1:45" ht="15" customHeight="1">
      <c r="A2232" s="56" t="s">
        <v>45</v>
      </c>
      <c r="B2232" s="21" t="s">
        <v>46</v>
      </c>
      <c r="C2232" s="57" t="s">
        <v>814</v>
      </c>
      <c r="D2232" s="22" t="s">
        <v>48</v>
      </c>
      <c r="E2232" s="58" t="s">
        <v>2944</v>
      </c>
      <c r="F2232" s="56" t="s">
        <v>2945</v>
      </c>
      <c r="G2232" s="26" t="s">
        <v>77</v>
      </c>
      <c r="H2232" s="25" t="s">
        <v>2957</v>
      </c>
      <c r="I2232" s="26" t="s">
        <v>479</v>
      </c>
      <c r="J2232" s="56" t="s">
        <v>2947</v>
      </c>
      <c r="K2232" s="59" t="s">
        <v>2958</v>
      </c>
      <c r="L2232" s="48" t="s">
        <v>2949</v>
      </c>
      <c r="M2232" s="49">
        <v>44805</v>
      </c>
      <c r="N2232" s="49" t="s">
        <v>90</v>
      </c>
      <c r="O2232" s="60">
        <v>4300</v>
      </c>
      <c r="P2232" s="61">
        <v>1</v>
      </c>
      <c r="Q2232" s="51">
        <f t="shared" si="52"/>
        <v>4300</v>
      </c>
      <c r="R2232" s="31">
        <v>202310</v>
      </c>
      <c r="S2232" s="62" t="s">
        <v>2960</v>
      </c>
      <c r="T2232" s="33"/>
      <c r="U2232" s="58"/>
      <c r="V2232" s="58"/>
      <c r="W2232" s="63"/>
      <c r="X2232" s="63"/>
      <c r="Y2232" s="36"/>
      <c r="Z2232" s="36"/>
      <c r="AA2232" s="36"/>
      <c r="AB2232" s="36"/>
      <c r="AC2232" s="36"/>
      <c r="AD2232" s="36"/>
      <c r="AE2232" s="36"/>
      <c r="AF2232" s="40" t="s">
        <v>484</v>
      </c>
      <c r="AG2232" s="42"/>
      <c r="AH2232" s="42"/>
      <c r="AI2232" s="43"/>
      <c r="AJ2232" s="43"/>
      <c r="AK2232" s="43"/>
      <c r="AL2232" s="43"/>
      <c r="AM2232" s="43"/>
      <c r="AN2232" s="42"/>
      <c r="AO2232" s="42"/>
      <c r="AP2232" s="42"/>
      <c r="AQ2232" s="43"/>
      <c r="AR2232" s="42"/>
      <c r="AS2232" s="42"/>
    </row>
    <row r="2233" spans="1:45" ht="15" customHeight="1">
      <c r="A2233" s="56" t="s">
        <v>45</v>
      </c>
      <c r="B2233" s="21" t="s">
        <v>46</v>
      </c>
      <c r="C2233" s="57" t="s">
        <v>814</v>
      </c>
      <c r="D2233" s="22" t="s">
        <v>48</v>
      </c>
      <c r="E2233" s="58" t="s">
        <v>2944</v>
      </c>
      <c r="F2233" s="56" t="s">
        <v>2945</v>
      </c>
      <c r="G2233" s="26" t="s">
        <v>77</v>
      </c>
      <c r="H2233" s="25" t="s">
        <v>2961</v>
      </c>
      <c r="I2233" s="26" t="s">
        <v>479</v>
      </c>
      <c r="J2233" s="56" t="s">
        <v>2947</v>
      </c>
      <c r="K2233" s="59" t="s">
        <v>2958</v>
      </c>
      <c r="L2233" s="48" t="s">
        <v>2949</v>
      </c>
      <c r="M2233" s="49">
        <v>44805</v>
      </c>
      <c r="N2233" s="49" t="s">
        <v>290</v>
      </c>
      <c r="O2233" s="60">
        <v>0</v>
      </c>
      <c r="P2233" s="61">
        <v>1</v>
      </c>
      <c r="Q2233" s="51">
        <f t="shared" si="52"/>
        <v>0</v>
      </c>
      <c r="R2233" s="31">
        <v>202310</v>
      </c>
      <c r="S2233" s="62" t="s">
        <v>2962</v>
      </c>
      <c r="T2233" s="33"/>
      <c r="U2233" s="58"/>
      <c r="V2233" s="58"/>
      <c r="W2233" s="63"/>
      <c r="X2233" s="63"/>
      <c r="Y2233" s="36"/>
      <c r="Z2233" s="36"/>
      <c r="AA2233" s="36"/>
      <c r="AB2233" s="36"/>
      <c r="AC2233" s="36"/>
      <c r="AD2233" s="36"/>
      <c r="AE2233" s="36"/>
      <c r="AF2233" s="40" t="s">
        <v>484</v>
      </c>
      <c r="AG2233" s="42"/>
      <c r="AH2233" s="42"/>
      <c r="AI2233" s="43"/>
      <c r="AJ2233" s="43"/>
      <c r="AK2233" s="43"/>
      <c r="AL2233" s="43"/>
      <c r="AM2233" s="43"/>
      <c r="AN2233" s="42"/>
      <c r="AO2233" s="42"/>
      <c r="AP2233" s="42"/>
      <c r="AQ2233" s="43"/>
      <c r="AR2233" s="42"/>
      <c r="AS2233" s="42"/>
    </row>
    <row r="2234" spans="1:45" ht="15" customHeight="1">
      <c r="A2234" s="56" t="s">
        <v>45</v>
      </c>
      <c r="B2234" s="21" t="s">
        <v>46</v>
      </c>
      <c r="C2234" s="57" t="s">
        <v>814</v>
      </c>
      <c r="D2234" s="22" t="s">
        <v>48</v>
      </c>
      <c r="E2234" s="58" t="s">
        <v>2944</v>
      </c>
      <c r="F2234" s="56" t="s">
        <v>2945</v>
      </c>
      <c r="G2234" s="26" t="s">
        <v>165</v>
      </c>
      <c r="H2234" s="25" t="s">
        <v>2963</v>
      </c>
      <c r="I2234" s="26" t="s">
        <v>491</v>
      </c>
      <c r="J2234" s="56" t="s">
        <v>2947</v>
      </c>
      <c r="K2234" s="59" t="s">
        <v>2958</v>
      </c>
      <c r="L2234" s="48" t="s">
        <v>2949</v>
      </c>
      <c r="M2234" s="49">
        <v>45042</v>
      </c>
      <c r="N2234" s="49" t="s">
        <v>168</v>
      </c>
      <c r="O2234" s="60">
        <v>50</v>
      </c>
      <c r="P2234" s="61">
        <v>224</v>
      </c>
      <c r="Q2234" s="51">
        <f t="shared" si="52"/>
        <v>11200</v>
      </c>
      <c r="R2234" s="31">
        <v>202310</v>
      </c>
      <c r="S2234" s="62" t="s">
        <v>2964</v>
      </c>
      <c r="T2234" s="33"/>
      <c r="U2234" s="58"/>
      <c r="V2234" s="58"/>
      <c r="W2234" s="63"/>
      <c r="X2234" s="63"/>
      <c r="Y2234" s="36"/>
      <c r="Z2234" s="36"/>
      <c r="AA2234" s="36"/>
      <c r="AB2234" s="36"/>
      <c r="AC2234" s="36"/>
      <c r="AD2234" s="36"/>
      <c r="AE2234" s="36"/>
      <c r="AF2234" s="40" t="s">
        <v>484</v>
      </c>
      <c r="AG2234" s="42"/>
      <c r="AH2234" s="42"/>
      <c r="AI2234" s="43"/>
      <c r="AJ2234" s="43"/>
      <c r="AK2234" s="43"/>
      <c r="AL2234" s="43"/>
      <c r="AM2234" s="43"/>
      <c r="AN2234" s="42"/>
      <c r="AO2234" s="42"/>
      <c r="AP2234" s="42"/>
      <c r="AQ2234" s="43"/>
      <c r="AR2234" s="42"/>
      <c r="AS2234" s="42"/>
    </row>
    <row r="2235" spans="1:45" ht="15" customHeight="1">
      <c r="A2235" s="56" t="s">
        <v>45</v>
      </c>
      <c r="B2235" s="21" t="s">
        <v>46</v>
      </c>
      <c r="C2235" s="57" t="s">
        <v>814</v>
      </c>
      <c r="D2235" s="22" t="s">
        <v>48</v>
      </c>
      <c r="E2235" s="58" t="s">
        <v>2944</v>
      </c>
      <c r="F2235" s="56" t="s">
        <v>2945</v>
      </c>
      <c r="G2235" s="26" t="s">
        <v>165</v>
      </c>
      <c r="H2235" s="25" t="s">
        <v>2963</v>
      </c>
      <c r="I2235" s="26" t="s">
        <v>491</v>
      </c>
      <c r="J2235" s="56" t="s">
        <v>2947</v>
      </c>
      <c r="K2235" s="59" t="s">
        <v>2958</v>
      </c>
      <c r="L2235" s="48" t="s">
        <v>2949</v>
      </c>
      <c r="M2235" s="49">
        <v>45042</v>
      </c>
      <c r="N2235" s="49" t="s">
        <v>168</v>
      </c>
      <c r="O2235" s="60">
        <v>0</v>
      </c>
      <c r="P2235" s="61">
        <v>32</v>
      </c>
      <c r="Q2235" s="51">
        <f t="shared" si="52"/>
        <v>0</v>
      </c>
      <c r="R2235" s="31">
        <v>202310</v>
      </c>
      <c r="S2235" s="62" t="s">
        <v>2964</v>
      </c>
      <c r="T2235" s="33"/>
      <c r="U2235" s="58"/>
      <c r="V2235" s="58"/>
      <c r="W2235" s="63"/>
      <c r="X2235" s="63"/>
      <c r="Y2235" s="36"/>
      <c r="Z2235" s="36"/>
      <c r="AA2235" s="36"/>
      <c r="AB2235" s="36"/>
      <c r="AC2235" s="36"/>
      <c r="AD2235" s="36"/>
      <c r="AE2235" s="36"/>
      <c r="AF2235" s="40" t="s">
        <v>484</v>
      </c>
      <c r="AG2235" s="42"/>
      <c r="AH2235" s="42"/>
      <c r="AI2235" s="43"/>
      <c r="AJ2235" s="43"/>
      <c r="AK2235" s="43"/>
      <c r="AL2235" s="43"/>
      <c r="AM2235" s="43"/>
      <c r="AN2235" s="42"/>
      <c r="AO2235" s="42"/>
      <c r="AP2235" s="42"/>
      <c r="AQ2235" s="43"/>
      <c r="AR2235" s="42"/>
      <c r="AS2235" s="42"/>
    </row>
    <row r="2236" spans="1:45" ht="15" customHeight="1">
      <c r="A2236" s="56" t="s">
        <v>45</v>
      </c>
      <c r="B2236" s="21" t="s">
        <v>46</v>
      </c>
      <c r="C2236" s="57" t="s">
        <v>814</v>
      </c>
      <c r="D2236" s="22" t="s">
        <v>48</v>
      </c>
      <c r="E2236" s="58" t="s">
        <v>2965</v>
      </c>
      <c r="F2236" s="56" t="s">
        <v>2966</v>
      </c>
      <c r="G2236" s="26" t="s">
        <v>165</v>
      </c>
      <c r="H2236" s="25" t="s">
        <v>2967</v>
      </c>
      <c r="I2236" s="26" t="s">
        <v>491</v>
      </c>
      <c r="J2236" s="56" t="s">
        <v>2968</v>
      </c>
      <c r="K2236" s="59" t="s">
        <v>2968</v>
      </c>
      <c r="L2236" s="48" t="s">
        <v>2969</v>
      </c>
      <c r="M2236" s="49">
        <v>43966</v>
      </c>
      <c r="N2236" s="49" t="s">
        <v>168</v>
      </c>
      <c r="O2236" s="60">
        <v>0</v>
      </c>
      <c r="P2236" s="61">
        <v>320</v>
      </c>
      <c r="Q2236" s="51">
        <f t="shared" si="52"/>
        <v>0</v>
      </c>
      <c r="R2236" s="31">
        <v>202310</v>
      </c>
      <c r="S2236" s="62" t="s">
        <v>2970</v>
      </c>
      <c r="T2236" s="33"/>
      <c r="U2236" s="58"/>
      <c r="V2236" s="58"/>
      <c r="W2236" s="63"/>
      <c r="X2236" s="63"/>
      <c r="Y2236" s="36">
        <v>45108</v>
      </c>
      <c r="Z2236" s="36">
        <v>45473</v>
      </c>
      <c r="AA2236" s="36"/>
      <c r="AB2236" s="36"/>
      <c r="AC2236" s="36"/>
      <c r="AD2236" s="36"/>
      <c r="AE2236" s="36"/>
      <c r="AF2236" s="40" t="s">
        <v>503</v>
      </c>
      <c r="AG2236" s="42"/>
      <c r="AH2236" s="42"/>
      <c r="AI2236" s="43"/>
      <c r="AJ2236" s="43"/>
      <c r="AK2236" s="43"/>
      <c r="AL2236" s="43"/>
      <c r="AM2236" s="43"/>
      <c r="AN2236" s="42"/>
      <c r="AO2236" s="42"/>
      <c r="AP2236" s="42"/>
      <c r="AQ2236" s="43"/>
      <c r="AR2236" s="42"/>
      <c r="AS2236" s="42"/>
    </row>
    <row r="2237" spans="1:45" ht="15" customHeight="1">
      <c r="A2237" s="56" t="s">
        <v>45</v>
      </c>
      <c r="B2237" s="21" t="s">
        <v>46</v>
      </c>
      <c r="C2237" s="57" t="s">
        <v>814</v>
      </c>
      <c r="D2237" s="22" t="s">
        <v>48</v>
      </c>
      <c r="E2237" s="58" t="s">
        <v>2965</v>
      </c>
      <c r="F2237" s="56" t="s">
        <v>2966</v>
      </c>
      <c r="G2237" s="26" t="s">
        <v>165</v>
      </c>
      <c r="H2237" s="25" t="s">
        <v>2967</v>
      </c>
      <c r="I2237" s="26" t="s">
        <v>491</v>
      </c>
      <c r="J2237" s="56" t="s">
        <v>2968</v>
      </c>
      <c r="K2237" s="59" t="s">
        <v>2968</v>
      </c>
      <c r="L2237" s="48" t="s">
        <v>2969</v>
      </c>
      <c r="M2237" s="49">
        <v>43966</v>
      </c>
      <c r="N2237" s="49" t="s">
        <v>168</v>
      </c>
      <c r="O2237" s="60">
        <v>50</v>
      </c>
      <c r="P2237" s="61">
        <v>224</v>
      </c>
      <c r="Q2237" s="51">
        <f t="shared" si="52"/>
        <v>11200</v>
      </c>
      <c r="R2237" s="31">
        <v>202310</v>
      </c>
      <c r="S2237" s="62" t="s">
        <v>2971</v>
      </c>
      <c r="T2237" s="33"/>
      <c r="U2237" s="58"/>
      <c r="V2237" s="58"/>
      <c r="W2237" s="63"/>
      <c r="X2237" s="63"/>
      <c r="Y2237" s="36">
        <v>45108</v>
      </c>
      <c r="Z2237" s="36">
        <v>45473</v>
      </c>
      <c r="AA2237" s="36"/>
      <c r="AB2237" s="36"/>
      <c r="AC2237" s="36"/>
      <c r="AD2237" s="36"/>
      <c r="AE2237" s="36"/>
      <c r="AF2237" s="40" t="s">
        <v>503</v>
      </c>
      <c r="AG2237" s="42"/>
      <c r="AH2237" s="42"/>
      <c r="AI2237" s="43"/>
      <c r="AJ2237" s="43"/>
      <c r="AK2237" s="43"/>
      <c r="AL2237" s="43"/>
      <c r="AM2237" s="43"/>
      <c r="AN2237" s="42"/>
      <c r="AO2237" s="42"/>
      <c r="AP2237" s="42"/>
      <c r="AQ2237" s="43"/>
      <c r="AR2237" s="42"/>
      <c r="AS2237" s="42"/>
    </row>
    <row r="2238" spans="1:45" ht="15" customHeight="1">
      <c r="A2238" s="56" t="s">
        <v>45</v>
      </c>
      <c r="B2238" s="21" t="s">
        <v>46</v>
      </c>
      <c r="C2238" s="57" t="s">
        <v>814</v>
      </c>
      <c r="D2238" s="22" t="s">
        <v>48</v>
      </c>
      <c r="E2238" s="58" t="s">
        <v>2965</v>
      </c>
      <c r="F2238" s="56" t="s">
        <v>2966</v>
      </c>
      <c r="G2238" s="26" t="s">
        <v>165</v>
      </c>
      <c r="H2238" s="25" t="s">
        <v>2967</v>
      </c>
      <c r="I2238" s="26" t="s">
        <v>491</v>
      </c>
      <c r="J2238" s="56" t="s">
        <v>2968</v>
      </c>
      <c r="K2238" s="59" t="s">
        <v>2968</v>
      </c>
      <c r="L2238" s="48" t="s">
        <v>2969</v>
      </c>
      <c r="M2238" s="49">
        <v>44773</v>
      </c>
      <c r="N2238" s="49" t="s">
        <v>168</v>
      </c>
      <c r="O2238" s="60">
        <v>50</v>
      </c>
      <c r="P2238" s="61">
        <v>-224</v>
      </c>
      <c r="Q2238" s="51">
        <f t="shared" si="52"/>
        <v>-11200</v>
      </c>
      <c r="R2238" s="31">
        <v>202310</v>
      </c>
      <c r="S2238" s="62" t="s">
        <v>2972</v>
      </c>
      <c r="T2238" s="33"/>
      <c r="U2238" s="58"/>
      <c r="V2238" s="58"/>
      <c r="W2238" s="63"/>
      <c r="X2238" s="63"/>
      <c r="Y2238" s="36">
        <v>45108</v>
      </c>
      <c r="Z2238" s="36">
        <v>45473</v>
      </c>
      <c r="AA2238" s="36"/>
      <c r="AB2238" s="36"/>
      <c r="AC2238" s="36"/>
      <c r="AD2238" s="36"/>
      <c r="AE2238" s="36"/>
      <c r="AF2238" s="40" t="s">
        <v>503</v>
      </c>
      <c r="AG2238" s="42"/>
      <c r="AH2238" s="42"/>
      <c r="AI2238" s="43"/>
      <c r="AJ2238" s="43"/>
      <c r="AK2238" s="43"/>
      <c r="AL2238" s="43"/>
      <c r="AM2238" s="43"/>
      <c r="AN2238" s="42"/>
      <c r="AO2238" s="42"/>
      <c r="AP2238" s="42"/>
      <c r="AQ2238" s="43"/>
      <c r="AR2238" s="42"/>
      <c r="AS2238" s="42"/>
    </row>
    <row r="2239" spans="1:45" ht="15" customHeight="1">
      <c r="A2239" s="56" t="s">
        <v>45</v>
      </c>
      <c r="B2239" s="21" t="s">
        <v>46</v>
      </c>
      <c r="C2239" s="57" t="s">
        <v>814</v>
      </c>
      <c r="D2239" s="22" t="s">
        <v>48</v>
      </c>
      <c r="E2239" s="58" t="s">
        <v>2965</v>
      </c>
      <c r="F2239" s="56" t="s">
        <v>2966</v>
      </c>
      <c r="G2239" s="26" t="s">
        <v>165</v>
      </c>
      <c r="H2239" s="25" t="s">
        <v>2967</v>
      </c>
      <c r="I2239" s="26" t="s">
        <v>491</v>
      </c>
      <c r="J2239" s="56" t="s">
        <v>2968</v>
      </c>
      <c r="K2239" s="59" t="s">
        <v>2968</v>
      </c>
      <c r="L2239" s="48" t="s">
        <v>2969</v>
      </c>
      <c r="M2239" s="49">
        <v>44773</v>
      </c>
      <c r="N2239" s="49" t="s">
        <v>168</v>
      </c>
      <c r="O2239" s="60">
        <v>0</v>
      </c>
      <c r="P2239" s="61">
        <v>-160</v>
      </c>
      <c r="Q2239" s="51">
        <f t="shared" si="52"/>
        <v>0</v>
      </c>
      <c r="R2239" s="31">
        <v>202310</v>
      </c>
      <c r="S2239" s="62" t="s">
        <v>2973</v>
      </c>
      <c r="T2239" s="33"/>
      <c r="U2239" s="58"/>
      <c r="V2239" s="58"/>
      <c r="W2239" s="63"/>
      <c r="X2239" s="63"/>
      <c r="Y2239" s="36">
        <v>45108</v>
      </c>
      <c r="Z2239" s="36">
        <v>45473</v>
      </c>
      <c r="AA2239" s="36"/>
      <c r="AB2239" s="36"/>
      <c r="AC2239" s="36"/>
      <c r="AD2239" s="36"/>
      <c r="AE2239" s="36"/>
      <c r="AF2239" s="40" t="s">
        <v>503</v>
      </c>
      <c r="AG2239" s="42"/>
      <c r="AH2239" s="42"/>
      <c r="AI2239" s="43"/>
      <c r="AJ2239" s="43"/>
      <c r="AK2239" s="43"/>
      <c r="AL2239" s="43"/>
      <c r="AM2239" s="43"/>
      <c r="AN2239" s="42"/>
      <c r="AO2239" s="42"/>
      <c r="AP2239" s="42"/>
      <c r="AQ2239" s="43"/>
      <c r="AR2239" s="42"/>
      <c r="AS2239" s="42"/>
    </row>
    <row r="2240" spans="1:45" ht="15" customHeight="1">
      <c r="A2240" s="56" t="s">
        <v>45</v>
      </c>
      <c r="B2240" s="21" t="s">
        <v>46</v>
      </c>
      <c r="C2240" s="57" t="s">
        <v>814</v>
      </c>
      <c r="D2240" s="22" t="s">
        <v>48</v>
      </c>
      <c r="E2240" s="58" t="s">
        <v>2965</v>
      </c>
      <c r="F2240" s="56" t="s">
        <v>2966</v>
      </c>
      <c r="G2240" s="26" t="s">
        <v>77</v>
      </c>
      <c r="H2240" s="25" t="s">
        <v>2967</v>
      </c>
      <c r="I2240" s="26" t="s">
        <v>479</v>
      </c>
      <c r="J2240" s="56" t="s">
        <v>2968</v>
      </c>
      <c r="K2240" s="59" t="s">
        <v>2968</v>
      </c>
      <c r="L2240" s="48" t="s">
        <v>2969</v>
      </c>
      <c r="M2240" s="49">
        <v>43966</v>
      </c>
      <c r="N2240" s="49" t="s">
        <v>90</v>
      </c>
      <c r="O2240" s="60">
        <v>4300</v>
      </c>
      <c r="P2240" s="61">
        <v>9</v>
      </c>
      <c r="Q2240" s="51">
        <f t="shared" si="52"/>
        <v>38700</v>
      </c>
      <c r="R2240" s="31">
        <v>202310</v>
      </c>
      <c r="S2240" s="62" t="s">
        <v>2974</v>
      </c>
      <c r="T2240" s="33"/>
      <c r="U2240" s="58"/>
      <c r="V2240" s="58"/>
      <c r="W2240" s="63"/>
      <c r="X2240" s="63"/>
      <c r="Y2240" s="36">
        <v>45108</v>
      </c>
      <c r="Z2240" s="36">
        <v>45473</v>
      </c>
      <c r="AA2240" s="36"/>
      <c r="AB2240" s="36"/>
      <c r="AC2240" s="36"/>
      <c r="AD2240" s="36"/>
      <c r="AE2240" s="36"/>
      <c r="AF2240" s="40" t="s">
        <v>503</v>
      </c>
      <c r="AG2240" s="42"/>
      <c r="AH2240" s="42"/>
      <c r="AI2240" s="43"/>
      <c r="AJ2240" s="43"/>
      <c r="AK2240" s="43"/>
      <c r="AL2240" s="43"/>
      <c r="AM2240" s="43"/>
      <c r="AN2240" s="42"/>
      <c r="AO2240" s="42"/>
      <c r="AP2240" s="42"/>
      <c r="AQ2240" s="43"/>
      <c r="AR2240" s="42"/>
      <c r="AS2240" s="42"/>
    </row>
    <row r="2241" spans="1:45" ht="15" customHeight="1">
      <c r="A2241" s="56" t="s">
        <v>45</v>
      </c>
      <c r="B2241" s="21" t="s">
        <v>46</v>
      </c>
      <c r="C2241" s="57" t="s">
        <v>814</v>
      </c>
      <c r="D2241" s="22" t="s">
        <v>48</v>
      </c>
      <c r="E2241" s="58" t="s">
        <v>2965</v>
      </c>
      <c r="F2241" s="56" t="s">
        <v>2966</v>
      </c>
      <c r="G2241" s="26" t="s">
        <v>77</v>
      </c>
      <c r="H2241" s="25" t="s">
        <v>2967</v>
      </c>
      <c r="I2241" s="26" t="s">
        <v>479</v>
      </c>
      <c r="J2241" s="56" t="s">
        <v>2968</v>
      </c>
      <c r="K2241" s="59" t="s">
        <v>2968</v>
      </c>
      <c r="L2241" s="48" t="s">
        <v>2969</v>
      </c>
      <c r="M2241" s="49">
        <v>44586</v>
      </c>
      <c r="N2241" s="49" t="s">
        <v>90</v>
      </c>
      <c r="O2241" s="60">
        <v>4300</v>
      </c>
      <c r="P2241" s="61">
        <v>-5</v>
      </c>
      <c r="Q2241" s="51">
        <f t="shared" si="52"/>
        <v>-21500</v>
      </c>
      <c r="R2241" s="31">
        <v>202310</v>
      </c>
      <c r="S2241" s="62" t="s">
        <v>2975</v>
      </c>
      <c r="T2241" s="33"/>
      <c r="U2241" s="58"/>
      <c r="V2241" s="58"/>
      <c r="W2241" s="63"/>
      <c r="X2241" s="63"/>
      <c r="Y2241" s="36">
        <v>45108</v>
      </c>
      <c r="Z2241" s="36">
        <v>45473</v>
      </c>
      <c r="AA2241" s="36"/>
      <c r="AB2241" s="36"/>
      <c r="AC2241" s="36"/>
      <c r="AD2241" s="36"/>
      <c r="AE2241" s="36"/>
      <c r="AF2241" s="40" t="s">
        <v>503</v>
      </c>
      <c r="AG2241" s="42"/>
      <c r="AH2241" s="42"/>
      <c r="AI2241" s="43"/>
      <c r="AJ2241" s="43"/>
      <c r="AK2241" s="43"/>
      <c r="AL2241" s="43"/>
      <c r="AM2241" s="43"/>
      <c r="AN2241" s="42"/>
      <c r="AO2241" s="42"/>
      <c r="AP2241" s="42"/>
      <c r="AQ2241" s="43"/>
      <c r="AR2241" s="42"/>
      <c r="AS2241" s="42"/>
    </row>
    <row r="2242" spans="1:45" ht="15" customHeight="1">
      <c r="A2242" s="56" t="s">
        <v>45</v>
      </c>
      <c r="B2242" s="21" t="s">
        <v>46</v>
      </c>
      <c r="C2242" s="57" t="s">
        <v>814</v>
      </c>
      <c r="D2242" s="22" t="s">
        <v>48</v>
      </c>
      <c r="E2242" s="58" t="s">
        <v>2965</v>
      </c>
      <c r="F2242" s="56" t="s">
        <v>2966</v>
      </c>
      <c r="G2242" s="26" t="s">
        <v>77</v>
      </c>
      <c r="H2242" s="25" t="s">
        <v>2967</v>
      </c>
      <c r="I2242" s="26" t="s">
        <v>479</v>
      </c>
      <c r="J2242" s="56" t="s">
        <v>2968</v>
      </c>
      <c r="K2242" s="59" t="s">
        <v>2968</v>
      </c>
      <c r="L2242" s="48" t="s">
        <v>2969</v>
      </c>
      <c r="M2242" s="49">
        <v>44773</v>
      </c>
      <c r="N2242" s="49" t="s">
        <v>90</v>
      </c>
      <c r="O2242" s="60">
        <v>4300</v>
      </c>
      <c r="P2242" s="61">
        <v>-2</v>
      </c>
      <c r="Q2242" s="51">
        <f t="shared" si="52"/>
        <v>-8600</v>
      </c>
      <c r="R2242" s="31">
        <v>202310</v>
      </c>
      <c r="S2242" s="62" t="s">
        <v>2976</v>
      </c>
      <c r="T2242" s="33"/>
      <c r="U2242" s="58"/>
      <c r="V2242" s="58"/>
      <c r="W2242" s="63"/>
      <c r="X2242" s="63"/>
      <c r="Y2242" s="36">
        <v>45108</v>
      </c>
      <c r="Z2242" s="36">
        <v>45473</v>
      </c>
      <c r="AA2242" s="36"/>
      <c r="AB2242" s="36"/>
      <c r="AC2242" s="36"/>
      <c r="AD2242" s="36"/>
      <c r="AE2242" s="36"/>
      <c r="AF2242" s="40" t="s">
        <v>503</v>
      </c>
      <c r="AG2242" s="42"/>
      <c r="AH2242" s="42"/>
      <c r="AI2242" s="43"/>
      <c r="AJ2242" s="43"/>
      <c r="AK2242" s="43"/>
      <c r="AL2242" s="43"/>
      <c r="AM2242" s="43"/>
      <c r="AN2242" s="42"/>
      <c r="AO2242" s="42"/>
      <c r="AP2242" s="42"/>
      <c r="AQ2242" s="43"/>
      <c r="AR2242" s="42"/>
      <c r="AS2242" s="42"/>
    </row>
    <row r="2243" spans="1:45" ht="15" customHeight="1">
      <c r="A2243" s="56" t="s">
        <v>45</v>
      </c>
      <c r="B2243" s="21" t="s">
        <v>46</v>
      </c>
      <c r="C2243" s="57" t="s">
        <v>814</v>
      </c>
      <c r="D2243" s="22" t="s">
        <v>48</v>
      </c>
      <c r="E2243" s="58" t="s">
        <v>2977</v>
      </c>
      <c r="F2243" s="56" t="s">
        <v>2978</v>
      </c>
      <c r="G2243" s="26" t="s">
        <v>165</v>
      </c>
      <c r="H2243" s="133" t="s">
        <v>2979</v>
      </c>
      <c r="I2243" s="26" t="s">
        <v>491</v>
      </c>
      <c r="J2243" s="56" t="s">
        <v>2980</v>
      </c>
      <c r="K2243" s="59" t="s">
        <v>2978</v>
      </c>
      <c r="L2243" s="48" t="s">
        <v>2981</v>
      </c>
      <c r="M2243" s="49">
        <v>44738</v>
      </c>
      <c r="N2243" s="49" t="s">
        <v>168</v>
      </c>
      <c r="O2243" s="60">
        <v>0</v>
      </c>
      <c r="P2243" s="61">
        <v>224</v>
      </c>
      <c r="Q2243" s="51">
        <f t="shared" si="52"/>
        <v>0</v>
      </c>
      <c r="R2243" s="31">
        <v>202310</v>
      </c>
      <c r="S2243" s="62" t="s">
        <v>2982</v>
      </c>
      <c r="T2243" s="33"/>
      <c r="U2243" s="58"/>
      <c r="V2243" s="58"/>
      <c r="W2243" s="63"/>
      <c r="X2243" s="63"/>
      <c r="Y2243" s="36"/>
      <c r="Z2243" s="36"/>
      <c r="AA2243" s="36"/>
      <c r="AB2243" s="36"/>
      <c r="AC2243" s="36"/>
      <c r="AD2243" s="36"/>
      <c r="AE2243" s="36"/>
      <c r="AF2243" s="40" t="s">
        <v>484</v>
      </c>
      <c r="AG2243" s="42"/>
      <c r="AH2243" s="42"/>
      <c r="AI2243" s="43"/>
      <c r="AJ2243" s="43"/>
      <c r="AK2243" s="43"/>
      <c r="AL2243" s="43"/>
      <c r="AM2243" s="43"/>
      <c r="AN2243" s="42"/>
      <c r="AO2243" s="42"/>
      <c r="AP2243" s="42"/>
      <c r="AQ2243" s="43"/>
      <c r="AR2243" s="42"/>
      <c r="AS2243" s="42"/>
    </row>
    <row r="2244" spans="1:45" ht="15" customHeight="1">
      <c r="A2244" s="56" t="s">
        <v>45</v>
      </c>
      <c r="B2244" s="21" t="s">
        <v>46</v>
      </c>
      <c r="C2244" s="57" t="s">
        <v>814</v>
      </c>
      <c r="D2244" s="22" t="s">
        <v>48</v>
      </c>
      <c r="E2244" s="58" t="s">
        <v>2977</v>
      </c>
      <c r="F2244" s="56" t="s">
        <v>2978</v>
      </c>
      <c r="G2244" s="26" t="s">
        <v>165</v>
      </c>
      <c r="H2244" s="133" t="s">
        <v>2979</v>
      </c>
      <c r="I2244" s="26" t="s">
        <v>491</v>
      </c>
      <c r="J2244" s="56" t="s">
        <v>2980</v>
      </c>
      <c r="K2244" s="59" t="s">
        <v>2978</v>
      </c>
      <c r="L2244" s="48" t="s">
        <v>2981</v>
      </c>
      <c r="M2244" s="49">
        <v>44738</v>
      </c>
      <c r="N2244" s="49" t="s">
        <v>646</v>
      </c>
      <c r="O2244" s="60">
        <v>0</v>
      </c>
      <c r="P2244" s="61">
        <v>0</v>
      </c>
      <c r="Q2244" s="51">
        <f t="shared" si="52"/>
        <v>0</v>
      </c>
      <c r="R2244" s="31">
        <v>202310</v>
      </c>
      <c r="S2244" s="62" t="s">
        <v>2983</v>
      </c>
      <c r="T2244" s="33"/>
      <c r="U2244" s="58"/>
      <c r="V2244" s="58"/>
      <c r="W2244" s="63"/>
      <c r="X2244" s="63"/>
      <c r="Y2244" s="36"/>
      <c r="Z2244" s="36"/>
      <c r="AA2244" s="36"/>
      <c r="AB2244" s="36"/>
      <c r="AC2244" s="36"/>
      <c r="AD2244" s="36"/>
      <c r="AE2244" s="36"/>
      <c r="AF2244" s="40" t="s">
        <v>484</v>
      </c>
      <c r="AG2244" s="42"/>
      <c r="AH2244" s="42"/>
      <c r="AI2244" s="43"/>
      <c r="AJ2244" s="43"/>
      <c r="AK2244" s="43"/>
      <c r="AL2244" s="43"/>
      <c r="AM2244" s="43"/>
      <c r="AN2244" s="42"/>
      <c r="AO2244" s="42"/>
      <c r="AP2244" s="42"/>
      <c r="AQ2244" s="43"/>
      <c r="AR2244" s="42"/>
      <c r="AS2244" s="42"/>
    </row>
    <row r="2245" spans="1:45" ht="15" customHeight="1">
      <c r="A2245" s="56" t="s">
        <v>45</v>
      </c>
      <c r="B2245" s="21" t="s">
        <v>46</v>
      </c>
      <c r="C2245" s="57" t="s">
        <v>814</v>
      </c>
      <c r="D2245" s="22" t="s">
        <v>48</v>
      </c>
      <c r="E2245" s="58" t="s">
        <v>2977</v>
      </c>
      <c r="F2245" s="56" t="s">
        <v>2978</v>
      </c>
      <c r="G2245" s="26" t="s">
        <v>165</v>
      </c>
      <c r="H2245" s="133" t="s">
        <v>2979</v>
      </c>
      <c r="I2245" s="26" t="s">
        <v>491</v>
      </c>
      <c r="J2245" s="56" t="s">
        <v>2980</v>
      </c>
      <c r="K2245" s="59" t="s">
        <v>2978</v>
      </c>
      <c r="L2245" s="48" t="s">
        <v>2981</v>
      </c>
      <c r="M2245" s="49"/>
      <c r="N2245" s="49" t="s">
        <v>646</v>
      </c>
      <c r="O2245" s="60">
        <v>0</v>
      </c>
      <c r="P2245" s="61">
        <v>0</v>
      </c>
      <c r="Q2245" s="51">
        <f t="shared" si="52"/>
        <v>0</v>
      </c>
      <c r="R2245" s="31">
        <v>202310</v>
      </c>
      <c r="S2245" s="62" t="s">
        <v>2984</v>
      </c>
      <c r="T2245" s="33"/>
      <c r="U2245" s="58"/>
      <c r="V2245" s="58"/>
      <c r="W2245" s="63"/>
      <c r="X2245" s="63"/>
      <c r="Y2245" s="36"/>
      <c r="Z2245" s="36"/>
      <c r="AA2245" s="36"/>
      <c r="AB2245" s="36"/>
      <c r="AC2245" s="36"/>
      <c r="AD2245" s="36"/>
      <c r="AE2245" s="36"/>
      <c r="AF2245" s="40" t="s">
        <v>484</v>
      </c>
      <c r="AG2245" s="42"/>
      <c r="AH2245" s="42"/>
      <c r="AI2245" s="43"/>
      <c r="AJ2245" s="43"/>
      <c r="AK2245" s="43"/>
      <c r="AL2245" s="43"/>
      <c r="AM2245" s="43"/>
      <c r="AN2245" s="42"/>
      <c r="AO2245" s="42"/>
      <c r="AP2245" s="42"/>
      <c r="AQ2245" s="43"/>
      <c r="AR2245" s="42"/>
      <c r="AS2245" s="42"/>
    </row>
    <row r="2246" spans="1:45" ht="15" customHeight="1">
      <c r="A2246" s="56" t="s">
        <v>45</v>
      </c>
      <c r="B2246" s="21" t="s">
        <v>46</v>
      </c>
      <c r="C2246" s="57" t="s">
        <v>814</v>
      </c>
      <c r="D2246" s="22" t="s">
        <v>48</v>
      </c>
      <c r="E2246" s="58" t="s">
        <v>2977</v>
      </c>
      <c r="F2246" s="56" t="s">
        <v>2978</v>
      </c>
      <c r="G2246" s="26" t="s">
        <v>77</v>
      </c>
      <c r="H2246" s="133" t="s">
        <v>2979</v>
      </c>
      <c r="I2246" s="26" t="s">
        <v>479</v>
      </c>
      <c r="J2246" s="56" t="s">
        <v>2980</v>
      </c>
      <c r="K2246" s="59" t="s">
        <v>2978</v>
      </c>
      <c r="L2246" s="48" t="s">
        <v>2981</v>
      </c>
      <c r="M2246" s="49">
        <v>44738</v>
      </c>
      <c r="N2246" s="49" t="s">
        <v>90</v>
      </c>
      <c r="O2246" s="60">
        <v>4300</v>
      </c>
      <c r="P2246" s="61">
        <v>5</v>
      </c>
      <c r="Q2246" s="51">
        <f t="shared" si="52"/>
        <v>21500</v>
      </c>
      <c r="R2246" s="31">
        <v>202310</v>
      </c>
      <c r="S2246" s="62" t="s">
        <v>2985</v>
      </c>
      <c r="T2246" s="33"/>
      <c r="U2246" s="58"/>
      <c r="V2246" s="58"/>
      <c r="W2246" s="63"/>
      <c r="X2246" s="63"/>
      <c r="Y2246" s="36"/>
      <c r="Z2246" s="36"/>
      <c r="AA2246" s="36"/>
      <c r="AB2246" s="36"/>
      <c r="AC2246" s="36"/>
      <c r="AD2246" s="36"/>
      <c r="AE2246" s="36"/>
      <c r="AF2246" s="40" t="s">
        <v>484</v>
      </c>
      <c r="AG2246" s="42"/>
      <c r="AH2246" s="42"/>
      <c r="AI2246" s="43"/>
      <c r="AJ2246" s="43"/>
      <c r="AK2246" s="43"/>
      <c r="AL2246" s="43"/>
      <c r="AM2246" s="43"/>
      <c r="AN2246" s="42"/>
      <c r="AO2246" s="42"/>
      <c r="AP2246" s="42"/>
      <c r="AQ2246" s="43"/>
      <c r="AR2246" s="42"/>
      <c r="AS2246" s="42"/>
    </row>
    <row r="2247" spans="1:45" ht="15" customHeight="1">
      <c r="A2247" s="56" t="s">
        <v>57</v>
      </c>
      <c r="B2247" s="22" t="s">
        <v>83</v>
      </c>
      <c r="C2247" s="57" t="s">
        <v>58</v>
      </c>
      <c r="D2247" s="22" t="s">
        <v>71</v>
      </c>
      <c r="E2247" s="58" t="s">
        <v>2986</v>
      </c>
      <c r="F2247" s="56" t="s">
        <v>2987</v>
      </c>
      <c r="G2247" s="26" t="s">
        <v>114</v>
      </c>
      <c r="H2247" s="25" t="s">
        <v>2988</v>
      </c>
      <c r="I2247" s="26" t="s">
        <v>114</v>
      </c>
      <c r="J2247" s="56" t="s">
        <v>2989</v>
      </c>
      <c r="K2247" s="59"/>
      <c r="L2247" s="48"/>
      <c r="M2247" s="49">
        <v>44105</v>
      </c>
      <c r="N2247" s="49" t="s">
        <v>2990</v>
      </c>
      <c r="O2247" s="60">
        <v>291815.37</v>
      </c>
      <c r="P2247" s="61">
        <v>1</v>
      </c>
      <c r="Q2247" s="51">
        <f t="shared" si="52"/>
        <v>291815.37</v>
      </c>
      <c r="R2247" s="31">
        <v>202310</v>
      </c>
      <c r="S2247" s="220" t="s">
        <v>2991</v>
      </c>
      <c r="T2247" s="33"/>
      <c r="U2247" s="220"/>
      <c r="V2247" s="220"/>
      <c r="W2247" s="63"/>
      <c r="X2247" s="63"/>
      <c r="Y2247" s="36">
        <v>44105</v>
      </c>
      <c r="Z2247" s="36">
        <v>45930</v>
      </c>
      <c r="AA2247" s="36"/>
      <c r="AB2247" s="36"/>
      <c r="AC2247" s="36"/>
      <c r="AD2247" s="36"/>
      <c r="AE2247" s="36"/>
      <c r="AF2247" s="53" t="s">
        <v>68</v>
      </c>
      <c r="AG2247" s="42"/>
      <c r="AH2247" s="42"/>
      <c r="AI2247" s="43"/>
      <c r="AJ2247" s="43"/>
      <c r="AK2247" s="43"/>
      <c r="AL2247" s="43"/>
      <c r="AM2247" s="43"/>
      <c r="AN2247" s="42"/>
      <c r="AO2247" s="42"/>
      <c r="AP2247" s="42"/>
      <c r="AQ2247" s="43"/>
      <c r="AR2247" s="42"/>
      <c r="AS2247" s="42"/>
    </row>
    <row r="2248" spans="1:45" ht="15" customHeight="1">
      <c r="A2248" s="56" t="s">
        <v>57</v>
      </c>
      <c r="B2248" s="22" t="s">
        <v>83</v>
      </c>
      <c r="C2248" s="57" t="s">
        <v>58</v>
      </c>
      <c r="D2248" s="22" t="s">
        <v>71</v>
      </c>
      <c r="E2248" s="58" t="s">
        <v>2986</v>
      </c>
      <c r="F2248" s="56" t="s">
        <v>2987</v>
      </c>
      <c r="G2248" s="26" t="s">
        <v>114</v>
      </c>
      <c r="H2248" s="25" t="s">
        <v>2992</v>
      </c>
      <c r="I2248" s="26" t="s">
        <v>114</v>
      </c>
      <c r="J2248" s="56" t="s">
        <v>2993</v>
      </c>
      <c r="K2248" s="59"/>
      <c r="L2248" s="48"/>
      <c r="M2248" s="49">
        <v>44317</v>
      </c>
      <c r="N2248" s="49" t="s">
        <v>2994</v>
      </c>
      <c r="O2248" s="60">
        <f>423.5*382.3</f>
        <v>161904.05000000002</v>
      </c>
      <c r="P2248" s="61">
        <v>1</v>
      </c>
      <c r="Q2248" s="51">
        <f>ROUND(O2248*P2248,2)+24000</f>
        <v>185904.05</v>
      </c>
      <c r="R2248" s="31">
        <v>202310</v>
      </c>
      <c r="S2248" s="58" t="s">
        <v>2995</v>
      </c>
      <c r="T2248" s="33" t="s">
        <v>2996</v>
      </c>
      <c r="U2248" s="58" t="s">
        <v>2997</v>
      </c>
      <c r="V2248" s="58"/>
      <c r="W2248" s="63"/>
      <c r="X2248" s="63"/>
      <c r="Y2248" s="36">
        <v>44317</v>
      </c>
      <c r="Z2248" s="36">
        <v>45777</v>
      </c>
      <c r="AA2248" s="36"/>
      <c r="AB2248" s="36"/>
      <c r="AC2248" s="36"/>
      <c r="AD2248" s="36"/>
      <c r="AE2248" s="36"/>
      <c r="AF2248" s="53" t="s">
        <v>68</v>
      </c>
      <c r="AG2248" s="42"/>
      <c r="AH2248" s="42"/>
      <c r="AI2248" s="43"/>
      <c r="AJ2248" s="43"/>
      <c r="AK2248" s="43"/>
      <c r="AL2248" s="43"/>
      <c r="AM2248" s="43"/>
      <c r="AN2248" s="42"/>
      <c r="AO2248" s="42"/>
      <c r="AP2248" s="42"/>
      <c r="AQ2248" s="43"/>
      <c r="AR2248" s="42"/>
      <c r="AS2248" s="42"/>
    </row>
    <row r="2249" spans="1:45" ht="15" customHeight="1">
      <c r="A2249" s="56" t="s">
        <v>57</v>
      </c>
      <c r="B2249" s="21" t="s">
        <v>46</v>
      </c>
      <c r="C2249" s="57" t="s">
        <v>58</v>
      </c>
      <c r="D2249" s="22" t="s">
        <v>71</v>
      </c>
      <c r="E2249" s="58" t="s">
        <v>2986</v>
      </c>
      <c r="F2249" s="56" t="s">
        <v>2987</v>
      </c>
      <c r="G2249" s="26" t="s">
        <v>114</v>
      </c>
      <c r="H2249" s="25" t="s">
        <v>2998</v>
      </c>
      <c r="I2249" s="26" t="s">
        <v>114</v>
      </c>
      <c r="J2249" s="56" t="s">
        <v>2999</v>
      </c>
      <c r="K2249" s="59"/>
      <c r="L2249" s="48"/>
      <c r="M2249" s="49">
        <v>44874</v>
      </c>
      <c r="N2249" s="49" t="s">
        <v>3000</v>
      </c>
      <c r="O2249" s="60">
        <v>97670.59</v>
      </c>
      <c r="P2249" s="61">
        <v>1</v>
      </c>
      <c r="Q2249" s="51">
        <f t="shared" ref="Q2249:Q2312" si="53">ROUND(O2249*P2249,2)</f>
        <v>97670.59</v>
      </c>
      <c r="R2249" s="31">
        <v>202310</v>
      </c>
      <c r="S2249" s="58" t="s">
        <v>3001</v>
      </c>
      <c r="T2249" s="33"/>
      <c r="U2249" s="37"/>
      <c r="V2249" s="42"/>
      <c r="W2249" s="42"/>
      <c r="X2249" s="42"/>
      <c r="Y2249" s="36">
        <v>44824</v>
      </c>
      <c r="Z2249" s="36">
        <v>46691</v>
      </c>
      <c r="AA2249" s="36"/>
      <c r="AB2249" s="36"/>
      <c r="AC2249" s="36"/>
      <c r="AD2249" s="36"/>
      <c r="AE2249" s="36"/>
      <c r="AF2249" s="53" t="s">
        <v>68</v>
      </c>
      <c r="AG2249" s="42"/>
      <c r="AH2249" s="42"/>
      <c r="AI2249" s="43"/>
      <c r="AJ2249" s="43"/>
      <c r="AK2249" s="43"/>
      <c r="AL2249" s="43"/>
      <c r="AM2249" s="43"/>
      <c r="AN2249" s="42"/>
      <c r="AO2249" s="42"/>
      <c r="AP2249" s="42"/>
      <c r="AQ2249" s="42"/>
      <c r="AR2249" s="42"/>
      <c r="AS2249" s="42"/>
    </row>
    <row r="2250" spans="1:45" ht="15" customHeight="1">
      <c r="A2250" s="56" t="s">
        <v>57</v>
      </c>
      <c r="B2250" s="21" t="s">
        <v>46</v>
      </c>
      <c r="C2250" s="57" t="s">
        <v>58</v>
      </c>
      <c r="D2250" s="22" t="s">
        <v>71</v>
      </c>
      <c r="E2250" s="58" t="s">
        <v>2986</v>
      </c>
      <c r="F2250" s="56" t="s">
        <v>2987</v>
      </c>
      <c r="G2250" s="26" t="s">
        <v>114</v>
      </c>
      <c r="H2250" s="25" t="s">
        <v>2998</v>
      </c>
      <c r="I2250" s="26" t="s">
        <v>114</v>
      </c>
      <c r="J2250" s="56" t="s">
        <v>3002</v>
      </c>
      <c r="K2250" s="59"/>
      <c r="L2250" s="48"/>
      <c r="M2250" s="49">
        <v>44824</v>
      </c>
      <c r="N2250" s="49" t="s">
        <v>3000</v>
      </c>
      <c r="O2250" s="60">
        <v>62682.35</v>
      </c>
      <c r="P2250" s="61">
        <v>1</v>
      </c>
      <c r="Q2250" s="51">
        <f t="shared" si="53"/>
        <v>62682.35</v>
      </c>
      <c r="R2250" s="31">
        <v>202310</v>
      </c>
      <c r="S2250" s="58" t="s">
        <v>3003</v>
      </c>
      <c r="T2250" s="33"/>
      <c r="U2250" s="37"/>
      <c r="V2250" s="42"/>
      <c r="W2250" s="42"/>
      <c r="X2250" s="42"/>
      <c r="Y2250" s="36">
        <v>44824</v>
      </c>
      <c r="Z2250" s="36">
        <v>46691</v>
      </c>
      <c r="AA2250" s="36"/>
      <c r="AB2250" s="36"/>
      <c r="AC2250" s="36"/>
      <c r="AD2250" s="36"/>
      <c r="AE2250" s="36"/>
      <c r="AF2250" s="53" t="s">
        <v>68</v>
      </c>
      <c r="AG2250" s="42"/>
      <c r="AH2250" s="42"/>
      <c r="AI2250" s="43"/>
      <c r="AJ2250" s="43"/>
      <c r="AK2250" s="43"/>
      <c r="AL2250" s="43"/>
      <c r="AM2250" s="43"/>
      <c r="AN2250" s="42"/>
      <c r="AO2250" s="42"/>
      <c r="AP2250" s="42"/>
      <c r="AQ2250" s="42"/>
      <c r="AR2250" s="42"/>
      <c r="AS2250" s="42"/>
    </row>
    <row r="2251" spans="1:45" ht="15" customHeight="1">
      <c r="A2251" s="65" t="s">
        <v>57</v>
      </c>
      <c r="B2251" s="22" t="s">
        <v>46</v>
      </c>
      <c r="C2251" s="21" t="s">
        <v>188</v>
      </c>
      <c r="D2251" s="22" t="s">
        <v>59</v>
      </c>
      <c r="E2251" s="66" t="s">
        <v>3004</v>
      </c>
      <c r="F2251" s="65" t="s">
        <v>3005</v>
      </c>
      <c r="G2251" s="26" t="s">
        <v>77</v>
      </c>
      <c r="H2251" s="45" t="s">
        <v>3006</v>
      </c>
      <c r="I2251" s="26" t="s">
        <v>78</v>
      </c>
      <c r="J2251" s="46" t="s">
        <v>3007</v>
      </c>
      <c r="K2251" s="47"/>
      <c r="L2251" s="48" t="s">
        <v>3008</v>
      </c>
      <c r="M2251" s="49">
        <v>44454</v>
      </c>
      <c r="N2251" s="47" t="s">
        <v>177</v>
      </c>
      <c r="O2251" s="61">
        <v>1760.0000000000002</v>
      </c>
      <c r="P2251" s="61">
        <v>52</v>
      </c>
      <c r="Q2251" s="51">
        <f t="shared" si="53"/>
        <v>91520</v>
      </c>
      <c r="R2251" s="31">
        <v>202310</v>
      </c>
      <c r="S2251" s="32" t="s">
        <v>3009</v>
      </c>
      <c r="T2251" s="33"/>
      <c r="U2251" s="32"/>
      <c r="V2251" s="33"/>
      <c r="W2251" s="67"/>
      <c r="X2251" s="67"/>
      <c r="Y2251" s="36">
        <v>44423</v>
      </c>
      <c r="Z2251" s="36">
        <v>46279</v>
      </c>
      <c r="AA2251" s="36"/>
      <c r="AB2251" s="36"/>
      <c r="AC2251" s="36"/>
      <c r="AD2251" s="36"/>
      <c r="AE2251" s="36"/>
      <c r="AF2251" s="53" t="s">
        <v>68</v>
      </c>
      <c r="AG2251" s="42"/>
      <c r="AH2251" s="42"/>
      <c r="AI2251" s="43"/>
      <c r="AJ2251" s="43"/>
      <c r="AK2251" s="43"/>
      <c r="AL2251" s="43"/>
      <c r="AM2251" s="43"/>
      <c r="AN2251" s="42"/>
      <c r="AO2251" s="42"/>
      <c r="AP2251" s="42"/>
      <c r="AQ2251" s="43"/>
      <c r="AR2251" s="42"/>
      <c r="AS2251" s="42"/>
    </row>
    <row r="2252" spans="1:45" ht="15" customHeight="1">
      <c r="A2252" s="65" t="s">
        <v>57</v>
      </c>
      <c r="B2252" s="22" t="s">
        <v>46</v>
      </c>
      <c r="C2252" s="21" t="s">
        <v>188</v>
      </c>
      <c r="D2252" s="22" t="s">
        <v>59</v>
      </c>
      <c r="E2252" s="66" t="s">
        <v>3004</v>
      </c>
      <c r="F2252" s="65" t="s">
        <v>3005</v>
      </c>
      <c r="G2252" s="26" t="s">
        <v>77</v>
      </c>
      <c r="H2252" s="45" t="s">
        <v>3006</v>
      </c>
      <c r="I2252" s="26" t="s">
        <v>78</v>
      </c>
      <c r="J2252" s="46" t="s">
        <v>3007</v>
      </c>
      <c r="K2252" s="47"/>
      <c r="L2252" s="48" t="s">
        <v>3008</v>
      </c>
      <c r="M2252" s="49">
        <v>44454</v>
      </c>
      <c r="N2252" s="47" t="s">
        <v>182</v>
      </c>
      <c r="O2252" s="61">
        <v>3520.0000000000005</v>
      </c>
      <c r="P2252" s="61">
        <v>42</v>
      </c>
      <c r="Q2252" s="51">
        <f t="shared" si="53"/>
        <v>147840</v>
      </c>
      <c r="R2252" s="31">
        <v>202310</v>
      </c>
      <c r="S2252" s="32" t="s">
        <v>3010</v>
      </c>
      <c r="T2252" s="33"/>
      <c r="U2252" s="32"/>
      <c r="V2252" s="33"/>
      <c r="W2252" s="67"/>
      <c r="X2252" s="67"/>
      <c r="Y2252" s="36">
        <v>44423</v>
      </c>
      <c r="Z2252" s="36">
        <v>46279</v>
      </c>
      <c r="AA2252" s="36"/>
      <c r="AB2252" s="36"/>
      <c r="AC2252" s="36"/>
      <c r="AD2252" s="36"/>
      <c r="AE2252" s="36"/>
      <c r="AF2252" s="53" t="s">
        <v>68</v>
      </c>
      <c r="AG2252" s="42"/>
      <c r="AH2252" s="42"/>
      <c r="AI2252" s="43"/>
      <c r="AJ2252" s="43"/>
      <c r="AK2252" s="43"/>
      <c r="AL2252" s="43"/>
      <c r="AM2252" s="43"/>
      <c r="AN2252" s="42"/>
      <c r="AO2252" s="42"/>
      <c r="AP2252" s="42"/>
      <c r="AQ2252" s="43"/>
      <c r="AR2252" s="42"/>
      <c r="AS2252" s="42"/>
    </row>
    <row r="2253" spans="1:45" ht="15" customHeight="1">
      <c r="A2253" s="65" t="s">
        <v>57</v>
      </c>
      <c r="B2253" s="22" t="s">
        <v>46</v>
      </c>
      <c r="C2253" s="21" t="s">
        <v>188</v>
      </c>
      <c r="D2253" s="22" t="s">
        <v>59</v>
      </c>
      <c r="E2253" s="66" t="s">
        <v>3004</v>
      </c>
      <c r="F2253" s="65" t="s">
        <v>3005</v>
      </c>
      <c r="G2253" s="26" t="s">
        <v>77</v>
      </c>
      <c r="H2253" s="45" t="s">
        <v>3006</v>
      </c>
      <c r="I2253" s="26" t="s">
        <v>78</v>
      </c>
      <c r="J2253" s="46" t="s">
        <v>3007</v>
      </c>
      <c r="K2253" s="47"/>
      <c r="L2253" s="48" t="s">
        <v>3008</v>
      </c>
      <c r="M2253" s="49">
        <v>44454</v>
      </c>
      <c r="N2253" s="47" t="s">
        <v>388</v>
      </c>
      <c r="O2253" s="61">
        <v>9600</v>
      </c>
      <c r="P2253" s="61">
        <v>42</v>
      </c>
      <c r="Q2253" s="51">
        <f t="shared" si="53"/>
        <v>403200</v>
      </c>
      <c r="R2253" s="31">
        <v>202310</v>
      </c>
      <c r="S2253" s="32" t="s">
        <v>3011</v>
      </c>
      <c r="T2253" s="33"/>
      <c r="U2253" s="32"/>
      <c r="V2253" s="33"/>
      <c r="W2253" s="67"/>
      <c r="X2253" s="67"/>
      <c r="Y2253" s="36">
        <v>44423</v>
      </c>
      <c r="Z2253" s="36">
        <v>46279</v>
      </c>
      <c r="AA2253" s="36"/>
      <c r="AB2253" s="36"/>
      <c r="AC2253" s="36"/>
      <c r="AD2253" s="36"/>
      <c r="AE2253" s="36"/>
      <c r="AF2253" s="53" t="s">
        <v>68</v>
      </c>
      <c r="AG2253" s="42"/>
      <c r="AH2253" s="42"/>
      <c r="AI2253" s="43"/>
      <c r="AJ2253" s="43"/>
      <c r="AK2253" s="43"/>
      <c r="AL2253" s="43"/>
      <c r="AM2253" s="43"/>
      <c r="AN2253" s="42"/>
      <c r="AO2253" s="42"/>
      <c r="AP2253" s="42"/>
      <c r="AQ2253" s="43"/>
      <c r="AR2253" s="42"/>
      <c r="AS2253" s="42"/>
    </row>
    <row r="2254" spans="1:45" ht="15" customHeight="1">
      <c r="A2254" s="65" t="s">
        <v>57</v>
      </c>
      <c r="B2254" s="22" t="s">
        <v>46</v>
      </c>
      <c r="C2254" s="21" t="s">
        <v>188</v>
      </c>
      <c r="D2254" s="22" t="s">
        <v>59</v>
      </c>
      <c r="E2254" s="66" t="s">
        <v>3004</v>
      </c>
      <c r="F2254" s="65" t="s">
        <v>3005</v>
      </c>
      <c r="G2254" s="26" t="s">
        <v>77</v>
      </c>
      <c r="H2254" s="45" t="s">
        <v>3006</v>
      </c>
      <c r="I2254" s="26" t="s">
        <v>78</v>
      </c>
      <c r="J2254" s="46" t="s">
        <v>3007</v>
      </c>
      <c r="K2254" s="47"/>
      <c r="L2254" s="48" t="s">
        <v>3008</v>
      </c>
      <c r="M2254" s="49">
        <v>44463</v>
      </c>
      <c r="N2254" s="47" t="s">
        <v>182</v>
      </c>
      <c r="O2254" s="61">
        <v>3520.0000000000005</v>
      </c>
      <c r="P2254" s="61">
        <v>20</v>
      </c>
      <c r="Q2254" s="51">
        <f t="shared" si="53"/>
        <v>70400</v>
      </c>
      <c r="R2254" s="31">
        <v>202310</v>
      </c>
      <c r="S2254" s="32" t="s">
        <v>3012</v>
      </c>
      <c r="T2254" s="33"/>
      <c r="U2254" s="32"/>
      <c r="V2254" s="33"/>
      <c r="W2254" s="67"/>
      <c r="X2254" s="67"/>
      <c r="Y2254" s="36">
        <v>44423</v>
      </c>
      <c r="Z2254" s="36">
        <v>46279</v>
      </c>
      <c r="AA2254" s="36"/>
      <c r="AB2254" s="36"/>
      <c r="AC2254" s="36"/>
      <c r="AD2254" s="36"/>
      <c r="AE2254" s="36"/>
      <c r="AF2254" s="53" t="s">
        <v>68</v>
      </c>
      <c r="AG2254" s="42"/>
      <c r="AH2254" s="42"/>
      <c r="AI2254" s="43"/>
      <c r="AJ2254" s="43"/>
      <c r="AK2254" s="43"/>
      <c r="AL2254" s="43"/>
      <c r="AM2254" s="43"/>
      <c r="AN2254" s="42"/>
      <c r="AO2254" s="42"/>
      <c r="AP2254" s="42"/>
      <c r="AQ2254" s="43"/>
      <c r="AR2254" s="42"/>
      <c r="AS2254" s="42"/>
    </row>
    <row r="2255" spans="1:45" ht="15" customHeight="1">
      <c r="A2255" s="65" t="s">
        <v>57</v>
      </c>
      <c r="B2255" s="22" t="s">
        <v>46</v>
      </c>
      <c r="C2255" s="21" t="s">
        <v>188</v>
      </c>
      <c r="D2255" s="22" t="s">
        <v>59</v>
      </c>
      <c r="E2255" s="66" t="s">
        <v>3004</v>
      </c>
      <c r="F2255" s="65" t="s">
        <v>3005</v>
      </c>
      <c r="G2255" s="26" t="s">
        <v>77</v>
      </c>
      <c r="H2255" s="45" t="s">
        <v>3006</v>
      </c>
      <c r="I2255" s="26" t="s">
        <v>78</v>
      </c>
      <c r="J2255" s="46" t="s">
        <v>3007</v>
      </c>
      <c r="K2255" s="47"/>
      <c r="L2255" s="48" t="s">
        <v>3008</v>
      </c>
      <c r="M2255" s="49">
        <v>44466</v>
      </c>
      <c r="N2255" s="47" t="s">
        <v>182</v>
      </c>
      <c r="O2255" s="61">
        <v>3520.0000000000005</v>
      </c>
      <c r="P2255" s="61">
        <v>26</v>
      </c>
      <c r="Q2255" s="51">
        <f t="shared" si="53"/>
        <v>91520</v>
      </c>
      <c r="R2255" s="31">
        <v>202310</v>
      </c>
      <c r="S2255" s="32" t="s">
        <v>3013</v>
      </c>
      <c r="T2255" s="33"/>
      <c r="U2255" s="32"/>
      <c r="V2255" s="33"/>
      <c r="W2255" s="67"/>
      <c r="X2255" s="67"/>
      <c r="Y2255" s="36">
        <v>44423</v>
      </c>
      <c r="Z2255" s="36">
        <v>46279</v>
      </c>
      <c r="AA2255" s="36"/>
      <c r="AB2255" s="36"/>
      <c r="AC2255" s="36"/>
      <c r="AD2255" s="36"/>
      <c r="AE2255" s="36"/>
      <c r="AF2255" s="53" t="s">
        <v>68</v>
      </c>
      <c r="AG2255" s="42"/>
      <c r="AH2255" s="42"/>
      <c r="AI2255" s="43"/>
      <c r="AJ2255" s="43"/>
      <c r="AK2255" s="43"/>
      <c r="AL2255" s="43"/>
      <c r="AM2255" s="43"/>
      <c r="AN2255" s="42"/>
      <c r="AO2255" s="42"/>
      <c r="AP2255" s="42"/>
      <c r="AQ2255" s="43"/>
      <c r="AR2255" s="42"/>
      <c r="AS2255" s="42"/>
    </row>
    <row r="2256" spans="1:45" ht="15" customHeight="1">
      <c r="A2256" s="65" t="s">
        <v>57</v>
      </c>
      <c r="B2256" s="22" t="s">
        <v>46</v>
      </c>
      <c r="C2256" s="21" t="s">
        <v>188</v>
      </c>
      <c r="D2256" s="22" t="s">
        <v>59</v>
      </c>
      <c r="E2256" s="66" t="s">
        <v>3004</v>
      </c>
      <c r="F2256" s="65" t="s">
        <v>3005</v>
      </c>
      <c r="G2256" s="26" t="s">
        <v>77</v>
      </c>
      <c r="H2256" s="45" t="s">
        <v>3006</v>
      </c>
      <c r="I2256" s="26" t="s">
        <v>78</v>
      </c>
      <c r="J2256" s="46" t="s">
        <v>3007</v>
      </c>
      <c r="K2256" s="47"/>
      <c r="L2256" s="48" t="s">
        <v>3008</v>
      </c>
      <c r="M2256" s="49">
        <v>44467</v>
      </c>
      <c r="N2256" s="47" t="s">
        <v>177</v>
      </c>
      <c r="O2256" s="61">
        <v>1760.0000000000002</v>
      </c>
      <c r="P2256" s="61">
        <v>4</v>
      </c>
      <c r="Q2256" s="51">
        <f t="shared" si="53"/>
        <v>7040</v>
      </c>
      <c r="R2256" s="31">
        <v>202310</v>
      </c>
      <c r="S2256" s="32" t="s">
        <v>3014</v>
      </c>
      <c r="T2256" s="33"/>
      <c r="U2256" s="32"/>
      <c r="V2256" s="33"/>
      <c r="W2256" s="67"/>
      <c r="X2256" s="67"/>
      <c r="Y2256" s="36">
        <v>44423</v>
      </c>
      <c r="Z2256" s="36">
        <v>46279</v>
      </c>
      <c r="AA2256" s="36"/>
      <c r="AB2256" s="36"/>
      <c r="AC2256" s="36"/>
      <c r="AD2256" s="36"/>
      <c r="AE2256" s="36"/>
      <c r="AF2256" s="53" t="s">
        <v>68</v>
      </c>
      <c r="AG2256" s="42"/>
      <c r="AH2256" s="42"/>
      <c r="AI2256" s="43"/>
      <c r="AJ2256" s="43"/>
      <c r="AK2256" s="43"/>
      <c r="AL2256" s="43"/>
      <c r="AM2256" s="43"/>
      <c r="AN2256" s="42"/>
      <c r="AO2256" s="42"/>
      <c r="AP2256" s="42"/>
      <c r="AQ2256" s="43"/>
      <c r="AR2256" s="42"/>
      <c r="AS2256" s="42"/>
    </row>
    <row r="2257" spans="1:45" ht="15" customHeight="1">
      <c r="A2257" s="65" t="s">
        <v>57</v>
      </c>
      <c r="B2257" s="22" t="s">
        <v>46</v>
      </c>
      <c r="C2257" s="21" t="s">
        <v>188</v>
      </c>
      <c r="D2257" s="22" t="s">
        <v>59</v>
      </c>
      <c r="E2257" s="66" t="s">
        <v>3004</v>
      </c>
      <c r="F2257" s="65" t="s">
        <v>3005</v>
      </c>
      <c r="G2257" s="26" t="s">
        <v>77</v>
      </c>
      <c r="H2257" s="45" t="s">
        <v>3006</v>
      </c>
      <c r="I2257" s="26" t="s">
        <v>78</v>
      </c>
      <c r="J2257" s="46" t="s">
        <v>3007</v>
      </c>
      <c r="K2257" s="47"/>
      <c r="L2257" s="48" t="s">
        <v>3008</v>
      </c>
      <c r="M2257" s="49">
        <v>44467</v>
      </c>
      <c r="N2257" s="47" t="s">
        <v>182</v>
      </c>
      <c r="O2257" s="61">
        <v>3520.0000000000005</v>
      </c>
      <c r="P2257" s="61">
        <v>19</v>
      </c>
      <c r="Q2257" s="51">
        <f t="shared" si="53"/>
        <v>66880</v>
      </c>
      <c r="R2257" s="31">
        <v>202310</v>
      </c>
      <c r="S2257" s="32" t="s">
        <v>3015</v>
      </c>
      <c r="T2257" s="33"/>
      <c r="U2257" s="32"/>
      <c r="V2257" s="33"/>
      <c r="W2257" s="67"/>
      <c r="X2257" s="67"/>
      <c r="Y2257" s="36">
        <v>44423</v>
      </c>
      <c r="Z2257" s="36">
        <v>46279</v>
      </c>
      <c r="AA2257" s="36"/>
      <c r="AB2257" s="36"/>
      <c r="AC2257" s="36"/>
      <c r="AD2257" s="36"/>
      <c r="AE2257" s="36"/>
      <c r="AF2257" s="53" t="s">
        <v>68</v>
      </c>
      <c r="AG2257" s="42"/>
      <c r="AH2257" s="42"/>
      <c r="AI2257" s="43"/>
      <c r="AJ2257" s="43"/>
      <c r="AK2257" s="43"/>
      <c r="AL2257" s="43"/>
      <c r="AM2257" s="43"/>
      <c r="AN2257" s="42"/>
      <c r="AO2257" s="42"/>
      <c r="AP2257" s="42"/>
      <c r="AQ2257" s="43"/>
      <c r="AR2257" s="42"/>
      <c r="AS2257" s="42"/>
    </row>
    <row r="2258" spans="1:45" ht="15" customHeight="1">
      <c r="A2258" s="65" t="s">
        <v>57</v>
      </c>
      <c r="B2258" s="22" t="s">
        <v>46</v>
      </c>
      <c r="C2258" s="21" t="s">
        <v>188</v>
      </c>
      <c r="D2258" s="22" t="s">
        <v>59</v>
      </c>
      <c r="E2258" s="66" t="s">
        <v>3004</v>
      </c>
      <c r="F2258" s="65" t="s">
        <v>3005</v>
      </c>
      <c r="G2258" s="26" t="s">
        <v>77</v>
      </c>
      <c r="H2258" s="45" t="s">
        <v>3006</v>
      </c>
      <c r="I2258" s="26" t="s">
        <v>78</v>
      </c>
      <c r="J2258" s="46" t="s">
        <v>3007</v>
      </c>
      <c r="K2258" s="47"/>
      <c r="L2258" s="48" t="s">
        <v>3008</v>
      </c>
      <c r="M2258" s="49">
        <v>44481</v>
      </c>
      <c r="N2258" s="47" t="s">
        <v>182</v>
      </c>
      <c r="O2258" s="61">
        <v>3520.0000000000005</v>
      </c>
      <c r="P2258" s="61">
        <v>2</v>
      </c>
      <c r="Q2258" s="51">
        <f t="shared" si="53"/>
        <v>7040</v>
      </c>
      <c r="R2258" s="31">
        <v>202310</v>
      </c>
      <c r="S2258" s="32" t="s">
        <v>3016</v>
      </c>
      <c r="T2258" s="33"/>
      <c r="U2258" s="32"/>
      <c r="V2258" s="33"/>
      <c r="W2258" s="67"/>
      <c r="X2258" s="67"/>
      <c r="Y2258" s="36">
        <v>44423</v>
      </c>
      <c r="Z2258" s="36">
        <v>46279</v>
      </c>
      <c r="AA2258" s="36"/>
      <c r="AB2258" s="36"/>
      <c r="AC2258" s="36"/>
      <c r="AD2258" s="36"/>
      <c r="AE2258" s="36"/>
      <c r="AF2258" s="53" t="s">
        <v>68</v>
      </c>
      <c r="AG2258" s="42"/>
      <c r="AH2258" s="42"/>
      <c r="AI2258" s="43"/>
      <c r="AJ2258" s="43"/>
      <c r="AK2258" s="43"/>
      <c r="AL2258" s="43"/>
      <c r="AM2258" s="43"/>
      <c r="AN2258" s="42"/>
      <c r="AO2258" s="42"/>
      <c r="AP2258" s="42"/>
      <c r="AQ2258" s="43"/>
      <c r="AR2258" s="42"/>
      <c r="AS2258" s="42"/>
    </row>
    <row r="2259" spans="1:45" ht="15" customHeight="1">
      <c r="A2259" s="65" t="s">
        <v>57</v>
      </c>
      <c r="B2259" s="22" t="s">
        <v>46</v>
      </c>
      <c r="C2259" s="21" t="s">
        <v>188</v>
      </c>
      <c r="D2259" s="22" t="s">
        <v>59</v>
      </c>
      <c r="E2259" s="66" t="s">
        <v>3004</v>
      </c>
      <c r="F2259" s="65" t="s">
        <v>3005</v>
      </c>
      <c r="G2259" s="26" t="s">
        <v>77</v>
      </c>
      <c r="H2259" s="45" t="s">
        <v>3006</v>
      </c>
      <c r="I2259" s="26" t="s">
        <v>78</v>
      </c>
      <c r="J2259" s="46" t="s">
        <v>3007</v>
      </c>
      <c r="K2259" s="47"/>
      <c r="L2259" s="48" t="s">
        <v>3008</v>
      </c>
      <c r="M2259" s="49">
        <v>44482</v>
      </c>
      <c r="N2259" s="47" t="s">
        <v>182</v>
      </c>
      <c r="O2259" s="61">
        <v>3520.0000000000005</v>
      </c>
      <c r="P2259" s="61">
        <v>31</v>
      </c>
      <c r="Q2259" s="51">
        <f t="shared" si="53"/>
        <v>109120</v>
      </c>
      <c r="R2259" s="31">
        <v>202310</v>
      </c>
      <c r="S2259" s="32" t="s">
        <v>3017</v>
      </c>
      <c r="T2259" s="33"/>
      <c r="U2259" s="32"/>
      <c r="V2259" s="33"/>
      <c r="W2259" s="67"/>
      <c r="X2259" s="67"/>
      <c r="Y2259" s="36">
        <v>44423</v>
      </c>
      <c r="Z2259" s="36">
        <v>46279</v>
      </c>
      <c r="AA2259" s="36"/>
      <c r="AB2259" s="36"/>
      <c r="AC2259" s="36"/>
      <c r="AD2259" s="36"/>
      <c r="AE2259" s="36"/>
      <c r="AF2259" s="53" t="s">
        <v>68</v>
      </c>
      <c r="AG2259" s="42"/>
      <c r="AH2259" s="42"/>
      <c r="AI2259" s="43"/>
      <c r="AJ2259" s="43"/>
      <c r="AK2259" s="43"/>
      <c r="AL2259" s="43"/>
      <c r="AM2259" s="43"/>
      <c r="AN2259" s="42"/>
      <c r="AO2259" s="42"/>
      <c r="AP2259" s="42"/>
      <c r="AQ2259" s="43"/>
      <c r="AR2259" s="42"/>
      <c r="AS2259" s="42"/>
    </row>
    <row r="2260" spans="1:45" ht="15" customHeight="1">
      <c r="A2260" s="65" t="s">
        <v>57</v>
      </c>
      <c r="B2260" s="22" t="s">
        <v>46</v>
      </c>
      <c r="C2260" s="21" t="s">
        <v>188</v>
      </c>
      <c r="D2260" s="22" t="s">
        <v>59</v>
      </c>
      <c r="E2260" s="66" t="s">
        <v>3004</v>
      </c>
      <c r="F2260" s="65" t="s">
        <v>3005</v>
      </c>
      <c r="G2260" s="26" t="s">
        <v>77</v>
      </c>
      <c r="H2260" s="45" t="s">
        <v>3006</v>
      </c>
      <c r="I2260" s="26" t="s">
        <v>78</v>
      </c>
      <c r="J2260" s="46" t="s">
        <v>3007</v>
      </c>
      <c r="K2260" s="47"/>
      <c r="L2260" s="48" t="s">
        <v>3008</v>
      </c>
      <c r="M2260" s="49">
        <v>44484</v>
      </c>
      <c r="N2260" s="47" t="s">
        <v>182</v>
      </c>
      <c r="O2260" s="61">
        <v>3520.0000000000005</v>
      </c>
      <c r="P2260" s="61">
        <v>16</v>
      </c>
      <c r="Q2260" s="51">
        <f t="shared" si="53"/>
        <v>56320</v>
      </c>
      <c r="R2260" s="31">
        <v>202310</v>
      </c>
      <c r="S2260" s="32" t="s">
        <v>3018</v>
      </c>
      <c r="T2260" s="33"/>
      <c r="U2260" s="32"/>
      <c r="V2260" s="33"/>
      <c r="W2260" s="67"/>
      <c r="X2260" s="67"/>
      <c r="Y2260" s="36">
        <v>44423</v>
      </c>
      <c r="Z2260" s="36">
        <v>46279</v>
      </c>
      <c r="AA2260" s="36"/>
      <c r="AB2260" s="36"/>
      <c r="AC2260" s="36"/>
      <c r="AD2260" s="36"/>
      <c r="AE2260" s="36"/>
      <c r="AF2260" s="53" t="s">
        <v>68</v>
      </c>
      <c r="AG2260" s="42"/>
      <c r="AH2260" s="42"/>
      <c r="AI2260" s="43"/>
      <c r="AJ2260" s="43"/>
      <c r="AK2260" s="43"/>
      <c r="AL2260" s="43"/>
      <c r="AM2260" s="43"/>
      <c r="AN2260" s="42"/>
      <c r="AO2260" s="42"/>
      <c r="AP2260" s="42"/>
      <c r="AQ2260" s="43"/>
      <c r="AR2260" s="42"/>
      <c r="AS2260" s="42"/>
    </row>
    <row r="2261" spans="1:45" ht="15" customHeight="1">
      <c r="A2261" s="65" t="s">
        <v>57</v>
      </c>
      <c r="B2261" s="22" t="s">
        <v>46</v>
      </c>
      <c r="C2261" s="21" t="s">
        <v>188</v>
      </c>
      <c r="D2261" s="22" t="s">
        <v>59</v>
      </c>
      <c r="E2261" s="66" t="s">
        <v>3004</v>
      </c>
      <c r="F2261" s="65" t="s">
        <v>3005</v>
      </c>
      <c r="G2261" s="26" t="s">
        <v>77</v>
      </c>
      <c r="H2261" s="45" t="s">
        <v>3006</v>
      </c>
      <c r="I2261" s="26" t="s">
        <v>78</v>
      </c>
      <c r="J2261" s="46" t="s">
        <v>3007</v>
      </c>
      <c r="K2261" s="47"/>
      <c r="L2261" s="48" t="s">
        <v>3008</v>
      </c>
      <c r="M2261" s="49">
        <v>44498</v>
      </c>
      <c r="N2261" s="47" t="s">
        <v>182</v>
      </c>
      <c r="O2261" s="61">
        <v>3520.0000000000005</v>
      </c>
      <c r="P2261" s="61">
        <v>8</v>
      </c>
      <c r="Q2261" s="51">
        <f t="shared" si="53"/>
        <v>28160</v>
      </c>
      <c r="R2261" s="31">
        <v>202310</v>
      </c>
      <c r="S2261" s="32" t="s">
        <v>3019</v>
      </c>
      <c r="T2261" s="33"/>
      <c r="U2261" s="32"/>
      <c r="V2261" s="33"/>
      <c r="W2261" s="67"/>
      <c r="X2261" s="67"/>
      <c r="Y2261" s="36">
        <v>44423</v>
      </c>
      <c r="Z2261" s="36">
        <v>46279</v>
      </c>
      <c r="AA2261" s="36"/>
      <c r="AB2261" s="36"/>
      <c r="AC2261" s="36"/>
      <c r="AD2261" s="36"/>
      <c r="AE2261" s="36"/>
      <c r="AF2261" s="53" t="s">
        <v>68</v>
      </c>
      <c r="AG2261" s="42"/>
      <c r="AH2261" s="42"/>
      <c r="AI2261" s="43"/>
      <c r="AJ2261" s="43"/>
      <c r="AK2261" s="43"/>
      <c r="AL2261" s="43"/>
      <c r="AM2261" s="43"/>
      <c r="AN2261" s="42"/>
      <c r="AO2261" s="42"/>
      <c r="AP2261" s="42"/>
      <c r="AQ2261" s="43"/>
      <c r="AR2261" s="42"/>
      <c r="AS2261" s="42"/>
    </row>
    <row r="2262" spans="1:45" ht="15" customHeight="1">
      <c r="A2262" s="65" t="s">
        <v>57</v>
      </c>
      <c r="B2262" s="22" t="s">
        <v>46</v>
      </c>
      <c r="C2262" s="21" t="s">
        <v>188</v>
      </c>
      <c r="D2262" s="22" t="s">
        <v>59</v>
      </c>
      <c r="E2262" s="66" t="s">
        <v>3004</v>
      </c>
      <c r="F2262" s="65" t="s">
        <v>3005</v>
      </c>
      <c r="G2262" s="26" t="s">
        <v>77</v>
      </c>
      <c r="H2262" s="45" t="s">
        <v>3006</v>
      </c>
      <c r="I2262" s="26" t="s">
        <v>78</v>
      </c>
      <c r="J2262" s="46" t="s">
        <v>3007</v>
      </c>
      <c r="K2262" s="47"/>
      <c r="L2262" s="48" t="s">
        <v>3008</v>
      </c>
      <c r="M2262" s="49">
        <v>44501</v>
      </c>
      <c r="N2262" s="47" t="s">
        <v>182</v>
      </c>
      <c r="O2262" s="61">
        <v>3520.0000000000005</v>
      </c>
      <c r="P2262" s="61">
        <v>3</v>
      </c>
      <c r="Q2262" s="51">
        <f t="shared" si="53"/>
        <v>10560</v>
      </c>
      <c r="R2262" s="31">
        <v>202310</v>
      </c>
      <c r="S2262" s="32" t="s">
        <v>3020</v>
      </c>
      <c r="T2262" s="33"/>
      <c r="U2262" s="32"/>
      <c r="V2262" s="33"/>
      <c r="W2262" s="67"/>
      <c r="X2262" s="67"/>
      <c r="Y2262" s="36">
        <v>44423</v>
      </c>
      <c r="Z2262" s="36">
        <v>46279</v>
      </c>
      <c r="AA2262" s="36"/>
      <c r="AB2262" s="36"/>
      <c r="AC2262" s="36"/>
      <c r="AD2262" s="36"/>
      <c r="AE2262" s="36"/>
      <c r="AF2262" s="53" t="s">
        <v>68</v>
      </c>
      <c r="AG2262" s="42"/>
      <c r="AH2262" s="42"/>
      <c r="AI2262" s="43"/>
      <c r="AJ2262" s="43"/>
      <c r="AK2262" s="43"/>
      <c r="AL2262" s="43"/>
      <c r="AM2262" s="43"/>
      <c r="AN2262" s="42"/>
      <c r="AO2262" s="42"/>
      <c r="AP2262" s="42"/>
      <c r="AQ2262" s="43"/>
      <c r="AR2262" s="42"/>
      <c r="AS2262" s="42"/>
    </row>
    <row r="2263" spans="1:45" ht="15" customHeight="1">
      <c r="A2263" s="65" t="s">
        <v>57</v>
      </c>
      <c r="B2263" s="22" t="s">
        <v>46</v>
      </c>
      <c r="C2263" s="21" t="s">
        <v>188</v>
      </c>
      <c r="D2263" s="22" t="s">
        <v>59</v>
      </c>
      <c r="E2263" s="66" t="s">
        <v>3004</v>
      </c>
      <c r="F2263" s="65" t="s">
        <v>3005</v>
      </c>
      <c r="G2263" s="26" t="s">
        <v>77</v>
      </c>
      <c r="H2263" s="45" t="s">
        <v>3006</v>
      </c>
      <c r="I2263" s="26" t="s">
        <v>78</v>
      </c>
      <c r="J2263" s="46" t="s">
        <v>3007</v>
      </c>
      <c r="K2263" s="47"/>
      <c r="L2263" s="48" t="s">
        <v>3008</v>
      </c>
      <c r="M2263" s="49">
        <v>44503</v>
      </c>
      <c r="N2263" s="47" t="s">
        <v>182</v>
      </c>
      <c r="O2263" s="61">
        <v>3520.0000000000005</v>
      </c>
      <c r="P2263" s="61">
        <v>23</v>
      </c>
      <c r="Q2263" s="51">
        <f t="shared" si="53"/>
        <v>80960</v>
      </c>
      <c r="R2263" s="31">
        <v>202310</v>
      </c>
      <c r="S2263" s="32" t="s">
        <v>3021</v>
      </c>
      <c r="T2263" s="33"/>
      <c r="U2263" s="32"/>
      <c r="V2263" s="33"/>
      <c r="W2263" s="67"/>
      <c r="X2263" s="67"/>
      <c r="Y2263" s="36">
        <v>44423</v>
      </c>
      <c r="Z2263" s="36">
        <v>46279</v>
      </c>
      <c r="AA2263" s="36"/>
      <c r="AB2263" s="36"/>
      <c r="AC2263" s="36"/>
      <c r="AD2263" s="36"/>
      <c r="AE2263" s="36"/>
      <c r="AF2263" s="53" t="s">
        <v>68</v>
      </c>
      <c r="AG2263" s="42"/>
      <c r="AH2263" s="42"/>
      <c r="AI2263" s="43"/>
      <c r="AJ2263" s="43"/>
      <c r="AK2263" s="43"/>
      <c r="AL2263" s="43"/>
      <c r="AM2263" s="43"/>
      <c r="AN2263" s="42"/>
      <c r="AO2263" s="42"/>
      <c r="AP2263" s="42"/>
      <c r="AQ2263" s="43"/>
      <c r="AR2263" s="42"/>
      <c r="AS2263" s="42"/>
    </row>
    <row r="2264" spans="1:45" ht="15" customHeight="1">
      <c r="A2264" s="65" t="s">
        <v>57</v>
      </c>
      <c r="B2264" s="22" t="s">
        <v>46</v>
      </c>
      <c r="C2264" s="21" t="s">
        <v>188</v>
      </c>
      <c r="D2264" s="22" t="s">
        <v>59</v>
      </c>
      <c r="E2264" s="66" t="s">
        <v>3004</v>
      </c>
      <c r="F2264" s="65" t="s">
        <v>3005</v>
      </c>
      <c r="G2264" s="26" t="s">
        <v>77</v>
      </c>
      <c r="H2264" s="45" t="s">
        <v>3006</v>
      </c>
      <c r="I2264" s="26" t="s">
        <v>78</v>
      </c>
      <c r="J2264" s="46" t="s">
        <v>3007</v>
      </c>
      <c r="K2264" s="47"/>
      <c r="L2264" s="48" t="s">
        <v>3008</v>
      </c>
      <c r="M2264" s="49">
        <v>44506</v>
      </c>
      <c r="N2264" s="47" t="s">
        <v>182</v>
      </c>
      <c r="O2264" s="61">
        <v>3520.0000000000005</v>
      </c>
      <c r="P2264" s="61">
        <v>13</v>
      </c>
      <c r="Q2264" s="51">
        <f t="shared" si="53"/>
        <v>45760</v>
      </c>
      <c r="R2264" s="31">
        <v>202310</v>
      </c>
      <c r="S2264" s="32" t="s">
        <v>3022</v>
      </c>
      <c r="T2264" s="33"/>
      <c r="U2264" s="32"/>
      <c r="V2264" s="33"/>
      <c r="W2264" s="67"/>
      <c r="X2264" s="67"/>
      <c r="Y2264" s="36">
        <v>44423</v>
      </c>
      <c r="Z2264" s="36">
        <v>46279</v>
      </c>
      <c r="AA2264" s="36"/>
      <c r="AB2264" s="36"/>
      <c r="AC2264" s="36"/>
      <c r="AD2264" s="36"/>
      <c r="AE2264" s="36"/>
      <c r="AF2264" s="53" t="s">
        <v>68</v>
      </c>
      <c r="AG2264" s="42"/>
      <c r="AH2264" s="42"/>
      <c r="AI2264" s="43"/>
      <c r="AJ2264" s="43"/>
      <c r="AK2264" s="43"/>
      <c r="AL2264" s="43"/>
      <c r="AM2264" s="43"/>
      <c r="AN2264" s="42"/>
      <c r="AO2264" s="42"/>
      <c r="AP2264" s="42"/>
      <c r="AQ2264" s="43"/>
      <c r="AR2264" s="42"/>
      <c r="AS2264" s="42"/>
    </row>
    <row r="2265" spans="1:45" ht="15" customHeight="1">
      <c r="A2265" s="65" t="s">
        <v>57</v>
      </c>
      <c r="B2265" s="22" t="s">
        <v>46</v>
      </c>
      <c r="C2265" s="21" t="s">
        <v>188</v>
      </c>
      <c r="D2265" s="22" t="s">
        <v>59</v>
      </c>
      <c r="E2265" s="66" t="s">
        <v>3004</v>
      </c>
      <c r="F2265" s="65" t="s">
        <v>3005</v>
      </c>
      <c r="G2265" s="26" t="s">
        <v>77</v>
      </c>
      <c r="H2265" s="45" t="s">
        <v>3006</v>
      </c>
      <c r="I2265" s="26" t="s">
        <v>78</v>
      </c>
      <c r="J2265" s="46" t="s">
        <v>3007</v>
      </c>
      <c r="K2265" s="47"/>
      <c r="L2265" s="48" t="s">
        <v>3008</v>
      </c>
      <c r="M2265" s="49">
        <v>44508</v>
      </c>
      <c r="N2265" s="47" t="s">
        <v>182</v>
      </c>
      <c r="O2265" s="61">
        <v>3520.0000000000005</v>
      </c>
      <c r="P2265" s="61">
        <v>3</v>
      </c>
      <c r="Q2265" s="51">
        <f t="shared" si="53"/>
        <v>10560</v>
      </c>
      <c r="R2265" s="31">
        <v>202310</v>
      </c>
      <c r="S2265" s="32" t="s">
        <v>3023</v>
      </c>
      <c r="T2265" s="33"/>
      <c r="U2265" s="32"/>
      <c r="V2265" s="33"/>
      <c r="W2265" s="67"/>
      <c r="X2265" s="67"/>
      <c r="Y2265" s="36">
        <v>44423</v>
      </c>
      <c r="Z2265" s="36">
        <v>46279</v>
      </c>
      <c r="AA2265" s="36"/>
      <c r="AB2265" s="36"/>
      <c r="AC2265" s="36"/>
      <c r="AD2265" s="36"/>
      <c r="AE2265" s="36"/>
      <c r="AF2265" s="53" t="s">
        <v>68</v>
      </c>
      <c r="AG2265" s="42"/>
      <c r="AH2265" s="42"/>
      <c r="AI2265" s="43"/>
      <c r="AJ2265" s="43"/>
      <c r="AK2265" s="43"/>
      <c r="AL2265" s="43"/>
      <c r="AM2265" s="43"/>
      <c r="AN2265" s="42"/>
      <c r="AO2265" s="42"/>
      <c r="AP2265" s="42"/>
      <c r="AQ2265" s="43"/>
      <c r="AR2265" s="42"/>
      <c r="AS2265" s="42"/>
    </row>
    <row r="2266" spans="1:45" ht="15" customHeight="1">
      <c r="A2266" s="65" t="s">
        <v>57</v>
      </c>
      <c r="B2266" s="22" t="s">
        <v>46</v>
      </c>
      <c r="C2266" s="21" t="s">
        <v>188</v>
      </c>
      <c r="D2266" s="22" t="s">
        <v>59</v>
      </c>
      <c r="E2266" s="66" t="s">
        <v>3004</v>
      </c>
      <c r="F2266" s="65" t="s">
        <v>3005</v>
      </c>
      <c r="G2266" s="26" t="s">
        <v>77</v>
      </c>
      <c r="H2266" s="45" t="s">
        <v>3006</v>
      </c>
      <c r="I2266" s="26" t="s">
        <v>78</v>
      </c>
      <c r="J2266" s="46" t="s">
        <v>3007</v>
      </c>
      <c r="K2266" s="47"/>
      <c r="L2266" s="48" t="s">
        <v>3008</v>
      </c>
      <c r="M2266" s="49">
        <v>44511</v>
      </c>
      <c r="N2266" s="47" t="s">
        <v>182</v>
      </c>
      <c r="O2266" s="61">
        <v>3520.0000000000005</v>
      </c>
      <c r="P2266" s="61">
        <v>21</v>
      </c>
      <c r="Q2266" s="51">
        <f t="shared" si="53"/>
        <v>73920</v>
      </c>
      <c r="R2266" s="31">
        <v>202310</v>
      </c>
      <c r="S2266" s="32" t="s">
        <v>3024</v>
      </c>
      <c r="T2266" s="33"/>
      <c r="U2266" s="32"/>
      <c r="V2266" s="33"/>
      <c r="W2266" s="67"/>
      <c r="X2266" s="67"/>
      <c r="Y2266" s="36">
        <v>44423</v>
      </c>
      <c r="Z2266" s="36">
        <v>46279</v>
      </c>
      <c r="AA2266" s="36"/>
      <c r="AB2266" s="36"/>
      <c r="AC2266" s="36"/>
      <c r="AD2266" s="36"/>
      <c r="AE2266" s="36"/>
      <c r="AF2266" s="53" t="s">
        <v>68</v>
      </c>
      <c r="AG2266" s="42"/>
      <c r="AH2266" s="42"/>
      <c r="AI2266" s="43"/>
      <c r="AJ2266" s="43"/>
      <c r="AK2266" s="43"/>
      <c r="AL2266" s="43"/>
      <c r="AM2266" s="43"/>
      <c r="AN2266" s="42"/>
      <c r="AO2266" s="42"/>
      <c r="AP2266" s="42"/>
      <c r="AQ2266" s="43"/>
      <c r="AR2266" s="42"/>
      <c r="AS2266" s="42"/>
    </row>
    <row r="2267" spans="1:45" ht="15" customHeight="1">
      <c r="A2267" s="65" t="s">
        <v>57</v>
      </c>
      <c r="B2267" s="22" t="s">
        <v>46</v>
      </c>
      <c r="C2267" s="21" t="s">
        <v>188</v>
      </c>
      <c r="D2267" s="22" t="s">
        <v>59</v>
      </c>
      <c r="E2267" s="66" t="s">
        <v>3004</v>
      </c>
      <c r="F2267" s="65" t="s">
        <v>3005</v>
      </c>
      <c r="G2267" s="26" t="s">
        <v>77</v>
      </c>
      <c r="H2267" s="45" t="s">
        <v>3006</v>
      </c>
      <c r="I2267" s="26" t="s">
        <v>78</v>
      </c>
      <c r="J2267" s="46" t="s">
        <v>3007</v>
      </c>
      <c r="K2267" s="47"/>
      <c r="L2267" s="48" t="s">
        <v>3008</v>
      </c>
      <c r="M2267" s="49">
        <v>44522</v>
      </c>
      <c r="N2267" s="47" t="s">
        <v>182</v>
      </c>
      <c r="O2267" s="61">
        <v>3520.0000000000005</v>
      </c>
      <c r="P2267" s="61">
        <v>2</v>
      </c>
      <c r="Q2267" s="51">
        <f t="shared" si="53"/>
        <v>7040</v>
      </c>
      <c r="R2267" s="31">
        <v>202310</v>
      </c>
      <c r="S2267" s="32" t="s">
        <v>3025</v>
      </c>
      <c r="T2267" s="33"/>
      <c r="U2267" s="32"/>
      <c r="V2267" s="33"/>
      <c r="W2267" s="67"/>
      <c r="X2267" s="67"/>
      <c r="Y2267" s="36">
        <v>44423</v>
      </c>
      <c r="Z2267" s="36">
        <v>46279</v>
      </c>
      <c r="AA2267" s="36"/>
      <c r="AB2267" s="36"/>
      <c r="AC2267" s="36"/>
      <c r="AD2267" s="36"/>
      <c r="AE2267" s="36"/>
      <c r="AF2267" s="53" t="s">
        <v>68</v>
      </c>
      <c r="AG2267" s="42"/>
      <c r="AH2267" s="42"/>
      <c r="AI2267" s="43"/>
      <c r="AJ2267" s="43"/>
      <c r="AK2267" s="43"/>
      <c r="AL2267" s="43"/>
      <c r="AM2267" s="43"/>
      <c r="AN2267" s="42"/>
      <c r="AO2267" s="42"/>
      <c r="AP2267" s="42"/>
      <c r="AQ2267" s="43"/>
      <c r="AR2267" s="42"/>
      <c r="AS2267" s="42"/>
    </row>
    <row r="2268" spans="1:45" ht="15" customHeight="1">
      <c r="A2268" s="65" t="s">
        <v>57</v>
      </c>
      <c r="B2268" s="22" t="s">
        <v>46</v>
      </c>
      <c r="C2268" s="21" t="s">
        <v>188</v>
      </c>
      <c r="D2268" s="22" t="s">
        <v>59</v>
      </c>
      <c r="E2268" s="66" t="s">
        <v>3004</v>
      </c>
      <c r="F2268" s="65" t="s">
        <v>3005</v>
      </c>
      <c r="G2268" s="26" t="s">
        <v>77</v>
      </c>
      <c r="H2268" s="45" t="s">
        <v>3006</v>
      </c>
      <c r="I2268" s="26" t="s">
        <v>78</v>
      </c>
      <c r="J2268" s="46" t="s">
        <v>3007</v>
      </c>
      <c r="K2268" s="47"/>
      <c r="L2268" s="48" t="s">
        <v>3008</v>
      </c>
      <c r="M2268" s="49">
        <v>44530</v>
      </c>
      <c r="N2268" s="47" t="s">
        <v>182</v>
      </c>
      <c r="O2268" s="61">
        <v>3520.0000000000005</v>
      </c>
      <c r="P2268" s="61">
        <v>8</v>
      </c>
      <c r="Q2268" s="51">
        <f t="shared" si="53"/>
        <v>28160</v>
      </c>
      <c r="R2268" s="31">
        <v>202310</v>
      </c>
      <c r="S2268" s="32" t="s">
        <v>3026</v>
      </c>
      <c r="T2268" s="33"/>
      <c r="U2268" s="32"/>
      <c r="V2268" s="33"/>
      <c r="W2268" s="67"/>
      <c r="X2268" s="67"/>
      <c r="Y2268" s="36">
        <v>44423</v>
      </c>
      <c r="Z2268" s="36">
        <v>46279</v>
      </c>
      <c r="AA2268" s="36"/>
      <c r="AB2268" s="36"/>
      <c r="AC2268" s="36"/>
      <c r="AD2268" s="36"/>
      <c r="AE2268" s="36"/>
      <c r="AF2268" s="53" t="s">
        <v>68</v>
      </c>
      <c r="AG2268" s="42"/>
      <c r="AH2268" s="42"/>
      <c r="AI2268" s="43"/>
      <c r="AJ2268" s="43"/>
      <c r="AK2268" s="43"/>
      <c r="AL2268" s="43"/>
      <c r="AM2268" s="43"/>
      <c r="AN2268" s="42"/>
      <c r="AO2268" s="42"/>
      <c r="AP2268" s="42"/>
      <c r="AQ2268" s="43"/>
      <c r="AR2268" s="42"/>
      <c r="AS2268" s="42"/>
    </row>
    <row r="2269" spans="1:45" ht="15" customHeight="1">
      <c r="A2269" s="65" t="s">
        <v>57</v>
      </c>
      <c r="B2269" s="22" t="s">
        <v>46</v>
      </c>
      <c r="C2269" s="21" t="s">
        <v>188</v>
      </c>
      <c r="D2269" s="22" t="s">
        <v>59</v>
      </c>
      <c r="E2269" s="66" t="s">
        <v>3004</v>
      </c>
      <c r="F2269" s="65" t="s">
        <v>3005</v>
      </c>
      <c r="G2269" s="26" t="s">
        <v>77</v>
      </c>
      <c r="H2269" s="45" t="s">
        <v>3006</v>
      </c>
      <c r="I2269" s="26" t="s">
        <v>78</v>
      </c>
      <c r="J2269" s="46" t="s">
        <v>3007</v>
      </c>
      <c r="K2269" s="47"/>
      <c r="L2269" s="48" t="s">
        <v>3027</v>
      </c>
      <c r="M2269" s="49">
        <v>44540</v>
      </c>
      <c r="N2269" s="47" t="s">
        <v>182</v>
      </c>
      <c r="O2269" s="61">
        <v>3520</v>
      </c>
      <c r="P2269" s="61">
        <v>3</v>
      </c>
      <c r="Q2269" s="51">
        <f t="shared" si="53"/>
        <v>10560</v>
      </c>
      <c r="R2269" s="31">
        <v>202310</v>
      </c>
      <c r="S2269" s="32" t="s">
        <v>3028</v>
      </c>
      <c r="T2269" s="33"/>
      <c r="U2269" s="32"/>
      <c r="V2269" s="33"/>
      <c r="W2269" s="67"/>
      <c r="X2269" s="67"/>
      <c r="Y2269" s="36">
        <v>44423</v>
      </c>
      <c r="Z2269" s="36">
        <v>46279</v>
      </c>
      <c r="AA2269" s="36"/>
      <c r="AB2269" s="36"/>
      <c r="AC2269" s="36"/>
      <c r="AD2269" s="36"/>
      <c r="AE2269" s="36"/>
      <c r="AF2269" s="53" t="s">
        <v>68</v>
      </c>
      <c r="AG2269" s="42"/>
      <c r="AH2269" s="42"/>
      <c r="AI2269" s="43"/>
      <c r="AJ2269" s="43"/>
      <c r="AK2269" s="43"/>
      <c r="AL2269" s="43"/>
      <c r="AM2269" s="43"/>
      <c r="AN2269" s="42"/>
      <c r="AO2269" s="42"/>
      <c r="AP2269" s="42"/>
      <c r="AQ2269" s="43"/>
      <c r="AR2269" s="42"/>
      <c r="AS2269" s="42"/>
    </row>
    <row r="2270" spans="1:45" ht="15" customHeight="1">
      <c r="A2270" s="65" t="s">
        <v>57</v>
      </c>
      <c r="B2270" s="22" t="s">
        <v>46</v>
      </c>
      <c r="C2270" s="21" t="s">
        <v>188</v>
      </c>
      <c r="D2270" s="22" t="s">
        <v>59</v>
      </c>
      <c r="E2270" s="66" t="s">
        <v>3004</v>
      </c>
      <c r="F2270" s="65" t="s">
        <v>3005</v>
      </c>
      <c r="G2270" s="26" t="s">
        <v>77</v>
      </c>
      <c r="H2270" s="45" t="s">
        <v>3006</v>
      </c>
      <c r="I2270" s="26" t="s">
        <v>78</v>
      </c>
      <c r="J2270" s="46" t="s">
        <v>3007</v>
      </c>
      <c r="K2270" s="47"/>
      <c r="L2270" s="48" t="s">
        <v>3008</v>
      </c>
      <c r="M2270" s="49">
        <v>44545</v>
      </c>
      <c r="N2270" s="47" t="s">
        <v>182</v>
      </c>
      <c r="O2270" s="61">
        <v>3520</v>
      </c>
      <c r="P2270" s="61">
        <v>22</v>
      </c>
      <c r="Q2270" s="51">
        <f t="shared" si="53"/>
        <v>77440</v>
      </c>
      <c r="R2270" s="31">
        <v>202310</v>
      </c>
      <c r="S2270" s="32" t="s">
        <v>3029</v>
      </c>
      <c r="T2270" s="33"/>
      <c r="U2270" s="64"/>
      <c r="V2270" s="221"/>
      <c r="W2270" s="67"/>
      <c r="X2270" s="67"/>
      <c r="Y2270" s="36">
        <v>44423</v>
      </c>
      <c r="Z2270" s="36">
        <v>46279</v>
      </c>
      <c r="AA2270" s="36"/>
      <c r="AB2270" s="36"/>
      <c r="AC2270" s="36"/>
      <c r="AD2270" s="36"/>
      <c r="AE2270" s="36"/>
      <c r="AF2270" s="53" t="s">
        <v>68</v>
      </c>
      <c r="AG2270" s="42"/>
      <c r="AH2270" s="42"/>
      <c r="AI2270" s="43"/>
      <c r="AJ2270" s="43"/>
      <c r="AK2270" s="43"/>
      <c r="AL2270" s="43"/>
      <c r="AM2270" s="43"/>
      <c r="AN2270" s="42"/>
      <c r="AO2270" s="42"/>
      <c r="AP2270" s="42"/>
      <c r="AQ2270" s="43"/>
      <c r="AR2270" s="42"/>
      <c r="AS2270" s="42"/>
    </row>
    <row r="2271" spans="1:45" ht="15" customHeight="1">
      <c r="A2271" s="65" t="s">
        <v>57</v>
      </c>
      <c r="B2271" s="22" t="s">
        <v>46</v>
      </c>
      <c r="C2271" s="21" t="s">
        <v>188</v>
      </c>
      <c r="D2271" s="22" t="s">
        <v>59</v>
      </c>
      <c r="E2271" s="66" t="s">
        <v>3004</v>
      </c>
      <c r="F2271" s="65" t="s">
        <v>3005</v>
      </c>
      <c r="G2271" s="26" t="s">
        <v>77</v>
      </c>
      <c r="H2271" s="45" t="s">
        <v>3006</v>
      </c>
      <c r="I2271" s="26" t="s">
        <v>78</v>
      </c>
      <c r="J2271" s="46" t="s">
        <v>3007</v>
      </c>
      <c r="K2271" s="47"/>
      <c r="L2271" s="48" t="s">
        <v>3008</v>
      </c>
      <c r="M2271" s="49">
        <v>44545</v>
      </c>
      <c r="N2271" s="47" t="s">
        <v>177</v>
      </c>
      <c r="O2271" s="61">
        <v>1760</v>
      </c>
      <c r="P2271" s="61">
        <v>1</v>
      </c>
      <c r="Q2271" s="51">
        <f t="shared" si="53"/>
        <v>1760</v>
      </c>
      <c r="R2271" s="31">
        <v>202310</v>
      </c>
      <c r="S2271" s="32" t="s">
        <v>3030</v>
      </c>
      <c r="T2271" s="33"/>
      <c r="U2271" s="32"/>
      <c r="V2271" s="33"/>
      <c r="W2271" s="67"/>
      <c r="X2271" s="67"/>
      <c r="Y2271" s="36">
        <v>44423</v>
      </c>
      <c r="Z2271" s="36">
        <v>46279</v>
      </c>
      <c r="AA2271" s="36"/>
      <c r="AB2271" s="36"/>
      <c r="AC2271" s="36"/>
      <c r="AD2271" s="36"/>
      <c r="AE2271" s="36"/>
      <c r="AF2271" s="53" t="s">
        <v>68</v>
      </c>
      <c r="AG2271" s="42"/>
      <c r="AH2271" s="42"/>
      <c r="AI2271" s="43"/>
      <c r="AJ2271" s="43"/>
      <c r="AK2271" s="43"/>
      <c r="AL2271" s="43"/>
      <c r="AM2271" s="43"/>
      <c r="AN2271" s="42"/>
      <c r="AO2271" s="42"/>
      <c r="AP2271" s="42"/>
      <c r="AQ2271" s="43"/>
      <c r="AR2271" s="42"/>
      <c r="AS2271" s="42"/>
    </row>
    <row r="2272" spans="1:45" ht="15" customHeight="1">
      <c r="A2272" s="65" t="s">
        <v>57</v>
      </c>
      <c r="B2272" s="22" t="s">
        <v>46</v>
      </c>
      <c r="C2272" s="21" t="s">
        <v>188</v>
      </c>
      <c r="D2272" s="22" t="s">
        <v>59</v>
      </c>
      <c r="E2272" s="66" t="s">
        <v>3004</v>
      </c>
      <c r="F2272" s="65" t="s">
        <v>3005</v>
      </c>
      <c r="G2272" s="26" t="s">
        <v>77</v>
      </c>
      <c r="H2272" s="45" t="s">
        <v>3006</v>
      </c>
      <c r="I2272" s="26" t="s">
        <v>479</v>
      </c>
      <c r="J2272" s="46" t="s">
        <v>3007</v>
      </c>
      <c r="K2272" s="47" t="s">
        <v>3031</v>
      </c>
      <c r="L2272" s="48" t="s">
        <v>3032</v>
      </c>
      <c r="M2272" s="49">
        <v>44540</v>
      </c>
      <c r="N2272" s="47" t="s">
        <v>182</v>
      </c>
      <c r="O2272" s="61">
        <v>3520</v>
      </c>
      <c r="P2272" s="61">
        <v>29</v>
      </c>
      <c r="Q2272" s="51">
        <f t="shared" si="53"/>
        <v>102080</v>
      </c>
      <c r="R2272" s="31">
        <v>202310</v>
      </c>
      <c r="S2272" s="32" t="s">
        <v>3033</v>
      </c>
      <c r="T2272" s="33"/>
      <c r="U2272" s="32"/>
      <c r="V2272" s="33"/>
      <c r="W2272" s="67"/>
      <c r="X2272" s="67"/>
      <c r="Y2272" s="36">
        <v>44423</v>
      </c>
      <c r="Z2272" s="36">
        <v>46279</v>
      </c>
      <c r="AA2272" s="36"/>
      <c r="AB2272" s="36"/>
      <c r="AC2272" s="36"/>
      <c r="AD2272" s="36"/>
      <c r="AE2272" s="36"/>
      <c r="AF2272" s="40" t="s">
        <v>484</v>
      </c>
      <c r="AG2272" s="42"/>
      <c r="AH2272" s="42"/>
      <c r="AI2272" s="43"/>
      <c r="AJ2272" s="43"/>
      <c r="AK2272" s="43"/>
      <c r="AL2272" s="43"/>
      <c r="AM2272" s="43"/>
      <c r="AN2272" s="42"/>
      <c r="AO2272" s="42"/>
      <c r="AP2272" s="42"/>
      <c r="AQ2272" s="43"/>
      <c r="AR2272" s="42"/>
      <c r="AS2272" s="42"/>
    </row>
    <row r="2273" spans="1:45" ht="15" customHeight="1">
      <c r="A2273" s="65" t="s">
        <v>57</v>
      </c>
      <c r="B2273" s="22" t="s">
        <v>46</v>
      </c>
      <c r="C2273" s="21" t="s">
        <v>188</v>
      </c>
      <c r="D2273" s="22" t="s">
        <v>59</v>
      </c>
      <c r="E2273" s="66" t="s">
        <v>3004</v>
      </c>
      <c r="F2273" s="65" t="s">
        <v>3005</v>
      </c>
      <c r="G2273" s="26" t="s">
        <v>77</v>
      </c>
      <c r="H2273" s="45" t="s">
        <v>3006</v>
      </c>
      <c r="I2273" s="26" t="s">
        <v>78</v>
      </c>
      <c r="J2273" s="46" t="s">
        <v>3007</v>
      </c>
      <c r="K2273" s="47"/>
      <c r="L2273" s="48" t="s">
        <v>3008</v>
      </c>
      <c r="M2273" s="49">
        <v>44558</v>
      </c>
      <c r="N2273" s="47" t="s">
        <v>177</v>
      </c>
      <c r="O2273" s="61">
        <v>1760</v>
      </c>
      <c r="P2273" s="61">
        <v>1</v>
      </c>
      <c r="Q2273" s="51">
        <f t="shared" si="53"/>
        <v>1760</v>
      </c>
      <c r="R2273" s="31">
        <v>202310</v>
      </c>
      <c r="S2273" s="32" t="s">
        <v>3034</v>
      </c>
      <c r="T2273" s="33"/>
      <c r="U2273" s="32"/>
      <c r="V2273" s="33"/>
      <c r="W2273" s="67"/>
      <c r="X2273" s="67"/>
      <c r="Y2273" s="36">
        <v>44423</v>
      </c>
      <c r="Z2273" s="36">
        <v>46279</v>
      </c>
      <c r="AA2273" s="36"/>
      <c r="AB2273" s="36"/>
      <c r="AC2273" s="36"/>
      <c r="AD2273" s="36"/>
      <c r="AE2273" s="36"/>
      <c r="AF2273" s="53" t="s">
        <v>68</v>
      </c>
      <c r="AG2273" s="42"/>
      <c r="AH2273" s="42"/>
      <c r="AI2273" s="43"/>
      <c r="AJ2273" s="43"/>
      <c r="AK2273" s="43"/>
      <c r="AL2273" s="43"/>
      <c r="AM2273" s="43"/>
      <c r="AN2273" s="42"/>
      <c r="AO2273" s="42"/>
      <c r="AP2273" s="42"/>
      <c r="AQ2273" s="43"/>
      <c r="AR2273" s="42"/>
      <c r="AS2273" s="42"/>
    </row>
    <row r="2274" spans="1:45" ht="15" customHeight="1">
      <c r="A2274" s="65" t="s">
        <v>57</v>
      </c>
      <c r="B2274" s="22" t="s">
        <v>46</v>
      </c>
      <c r="C2274" s="21" t="s">
        <v>188</v>
      </c>
      <c r="D2274" s="22" t="s">
        <v>59</v>
      </c>
      <c r="E2274" s="66" t="s">
        <v>3004</v>
      </c>
      <c r="F2274" s="65" t="s">
        <v>3005</v>
      </c>
      <c r="G2274" s="26" t="s">
        <v>77</v>
      </c>
      <c r="H2274" s="45" t="s">
        <v>3006</v>
      </c>
      <c r="I2274" s="26" t="s">
        <v>78</v>
      </c>
      <c r="J2274" s="46" t="s">
        <v>3007</v>
      </c>
      <c r="K2274" s="47"/>
      <c r="L2274" s="48" t="s">
        <v>3008</v>
      </c>
      <c r="M2274" s="49">
        <v>44562</v>
      </c>
      <c r="N2274" s="47" t="s">
        <v>182</v>
      </c>
      <c r="O2274" s="61">
        <v>3520</v>
      </c>
      <c r="P2274" s="61">
        <v>105</v>
      </c>
      <c r="Q2274" s="51">
        <f t="shared" si="53"/>
        <v>369600</v>
      </c>
      <c r="R2274" s="31">
        <v>202310</v>
      </c>
      <c r="S2274" s="32" t="s">
        <v>3035</v>
      </c>
      <c r="T2274" s="33"/>
      <c r="U2274" s="32"/>
      <c r="V2274" s="33"/>
      <c r="W2274" s="67"/>
      <c r="X2274" s="67"/>
      <c r="Y2274" s="36">
        <v>44423</v>
      </c>
      <c r="Z2274" s="36">
        <v>46279</v>
      </c>
      <c r="AA2274" s="36"/>
      <c r="AB2274" s="36"/>
      <c r="AC2274" s="36"/>
      <c r="AD2274" s="36"/>
      <c r="AE2274" s="36"/>
      <c r="AF2274" s="53" t="s">
        <v>68</v>
      </c>
      <c r="AG2274" s="42"/>
      <c r="AH2274" s="42"/>
      <c r="AI2274" s="43"/>
      <c r="AJ2274" s="43"/>
      <c r="AK2274" s="43"/>
      <c r="AL2274" s="43"/>
      <c r="AM2274" s="43"/>
      <c r="AN2274" s="42"/>
      <c r="AO2274" s="42"/>
      <c r="AP2274" s="42"/>
      <c r="AQ2274" s="43"/>
      <c r="AR2274" s="42"/>
      <c r="AS2274" s="42"/>
    </row>
    <row r="2275" spans="1:45" ht="15" customHeight="1">
      <c r="A2275" s="65" t="s">
        <v>57</v>
      </c>
      <c r="B2275" s="22" t="s">
        <v>46</v>
      </c>
      <c r="C2275" s="21" t="s">
        <v>188</v>
      </c>
      <c r="D2275" s="22" t="s">
        <v>59</v>
      </c>
      <c r="E2275" s="66" t="s">
        <v>3004</v>
      </c>
      <c r="F2275" s="65" t="s">
        <v>3005</v>
      </c>
      <c r="G2275" s="26" t="s">
        <v>77</v>
      </c>
      <c r="H2275" s="45" t="s">
        <v>3006</v>
      </c>
      <c r="I2275" s="26" t="s">
        <v>78</v>
      </c>
      <c r="J2275" s="46" t="s">
        <v>3007</v>
      </c>
      <c r="K2275" s="47"/>
      <c r="L2275" s="48" t="s">
        <v>3008</v>
      </c>
      <c r="M2275" s="49">
        <v>44565</v>
      </c>
      <c r="N2275" s="47" t="s">
        <v>182</v>
      </c>
      <c r="O2275" s="61">
        <v>3520</v>
      </c>
      <c r="P2275" s="61">
        <v>8</v>
      </c>
      <c r="Q2275" s="51">
        <f t="shared" si="53"/>
        <v>28160</v>
      </c>
      <c r="R2275" s="31">
        <v>202310</v>
      </c>
      <c r="S2275" s="32" t="s">
        <v>3036</v>
      </c>
      <c r="T2275" s="33"/>
      <c r="U2275" s="32"/>
      <c r="V2275" s="33"/>
      <c r="W2275" s="67"/>
      <c r="X2275" s="67"/>
      <c r="Y2275" s="36">
        <v>44423</v>
      </c>
      <c r="Z2275" s="36">
        <v>46279</v>
      </c>
      <c r="AA2275" s="36"/>
      <c r="AB2275" s="36"/>
      <c r="AC2275" s="36"/>
      <c r="AD2275" s="36"/>
      <c r="AE2275" s="36"/>
      <c r="AF2275" s="53" t="s">
        <v>68</v>
      </c>
      <c r="AG2275" s="42"/>
      <c r="AH2275" s="42"/>
      <c r="AI2275" s="43"/>
      <c r="AJ2275" s="43"/>
      <c r="AK2275" s="43"/>
      <c r="AL2275" s="43"/>
      <c r="AM2275" s="43"/>
      <c r="AN2275" s="42"/>
      <c r="AO2275" s="42"/>
      <c r="AP2275" s="42"/>
      <c r="AQ2275" s="43"/>
      <c r="AR2275" s="42"/>
      <c r="AS2275" s="42"/>
    </row>
    <row r="2276" spans="1:45" ht="15" customHeight="1">
      <c r="A2276" s="65" t="s">
        <v>57</v>
      </c>
      <c r="B2276" s="22" t="s">
        <v>46</v>
      </c>
      <c r="C2276" s="21" t="s">
        <v>188</v>
      </c>
      <c r="D2276" s="22" t="s">
        <v>59</v>
      </c>
      <c r="E2276" s="66" t="s">
        <v>3004</v>
      </c>
      <c r="F2276" s="65" t="s">
        <v>3005</v>
      </c>
      <c r="G2276" s="26" t="s">
        <v>77</v>
      </c>
      <c r="H2276" s="45" t="s">
        <v>3006</v>
      </c>
      <c r="I2276" s="26" t="s">
        <v>78</v>
      </c>
      <c r="J2276" s="46" t="s">
        <v>3007</v>
      </c>
      <c r="K2276" s="47"/>
      <c r="L2276" s="48" t="s">
        <v>3008</v>
      </c>
      <c r="M2276" s="49">
        <v>44574</v>
      </c>
      <c r="N2276" s="47" t="s">
        <v>182</v>
      </c>
      <c r="O2276" s="61">
        <v>3520</v>
      </c>
      <c r="P2276" s="61">
        <v>5</v>
      </c>
      <c r="Q2276" s="51">
        <f t="shared" si="53"/>
        <v>17600</v>
      </c>
      <c r="R2276" s="31">
        <v>202310</v>
      </c>
      <c r="S2276" s="32" t="s">
        <v>3037</v>
      </c>
      <c r="T2276" s="33"/>
      <c r="U2276" s="32"/>
      <c r="V2276" s="33"/>
      <c r="W2276" s="67"/>
      <c r="X2276" s="67"/>
      <c r="Y2276" s="36">
        <v>44423</v>
      </c>
      <c r="Z2276" s="36">
        <v>46279</v>
      </c>
      <c r="AA2276" s="36"/>
      <c r="AB2276" s="36"/>
      <c r="AC2276" s="36"/>
      <c r="AD2276" s="36"/>
      <c r="AE2276" s="36"/>
      <c r="AF2276" s="53" t="s">
        <v>68</v>
      </c>
      <c r="AG2276" s="42"/>
      <c r="AH2276" s="42"/>
      <c r="AI2276" s="43"/>
      <c r="AJ2276" s="43"/>
      <c r="AK2276" s="43"/>
      <c r="AL2276" s="43"/>
      <c r="AM2276" s="43"/>
      <c r="AN2276" s="42"/>
      <c r="AO2276" s="42"/>
      <c r="AP2276" s="42"/>
      <c r="AQ2276" s="43"/>
      <c r="AR2276" s="42"/>
      <c r="AS2276" s="42"/>
    </row>
    <row r="2277" spans="1:45" ht="15" customHeight="1">
      <c r="A2277" s="65" t="s">
        <v>57</v>
      </c>
      <c r="B2277" s="22" t="s">
        <v>46</v>
      </c>
      <c r="C2277" s="21" t="s">
        <v>188</v>
      </c>
      <c r="D2277" s="22" t="s">
        <v>59</v>
      </c>
      <c r="E2277" s="66" t="s">
        <v>3004</v>
      </c>
      <c r="F2277" s="65" t="s">
        <v>3005</v>
      </c>
      <c r="G2277" s="26" t="s">
        <v>77</v>
      </c>
      <c r="H2277" s="45" t="s">
        <v>3006</v>
      </c>
      <c r="I2277" s="26" t="s">
        <v>78</v>
      </c>
      <c r="J2277" s="46" t="s">
        <v>3007</v>
      </c>
      <c r="K2277" s="47"/>
      <c r="L2277" s="48" t="s">
        <v>3008</v>
      </c>
      <c r="M2277" s="49">
        <v>44579.785405092596</v>
      </c>
      <c r="N2277" s="47" t="s">
        <v>182</v>
      </c>
      <c r="O2277" s="61">
        <v>3520</v>
      </c>
      <c r="P2277" s="61">
        <v>5</v>
      </c>
      <c r="Q2277" s="51">
        <f t="shared" si="53"/>
        <v>17600</v>
      </c>
      <c r="R2277" s="31">
        <v>202310</v>
      </c>
      <c r="S2277" s="32" t="s">
        <v>3038</v>
      </c>
      <c r="T2277" s="33"/>
      <c r="U2277" s="32"/>
      <c r="V2277" s="33"/>
      <c r="W2277" s="67"/>
      <c r="X2277" s="67"/>
      <c r="Y2277" s="36">
        <v>44423</v>
      </c>
      <c r="Z2277" s="36">
        <v>46279</v>
      </c>
      <c r="AA2277" s="36"/>
      <c r="AB2277" s="36"/>
      <c r="AC2277" s="36"/>
      <c r="AD2277" s="36"/>
      <c r="AE2277" s="36"/>
      <c r="AF2277" s="53" t="s">
        <v>68</v>
      </c>
      <c r="AG2277" s="42"/>
      <c r="AH2277" s="42"/>
      <c r="AI2277" s="43"/>
      <c r="AJ2277" s="43"/>
      <c r="AK2277" s="43"/>
      <c r="AL2277" s="43"/>
      <c r="AM2277" s="43"/>
      <c r="AN2277" s="42"/>
      <c r="AO2277" s="42"/>
      <c r="AP2277" s="42"/>
      <c r="AQ2277" s="43"/>
      <c r="AR2277" s="42"/>
      <c r="AS2277" s="42"/>
    </row>
    <row r="2278" spans="1:45" ht="15" customHeight="1">
      <c r="A2278" s="65" t="s">
        <v>57</v>
      </c>
      <c r="B2278" s="22" t="s">
        <v>46</v>
      </c>
      <c r="C2278" s="21" t="s">
        <v>188</v>
      </c>
      <c r="D2278" s="22" t="s">
        <v>59</v>
      </c>
      <c r="E2278" s="66" t="s">
        <v>3004</v>
      </c>
      <c r="F2278" s="65" t="s">
        <v>3005</v>
      </c>
      <c r="G2278" s="26" t="s">
        <v>77</v>
      </c>
      <c r="H2278" s="45" t="s">
        <v>3006</v>
      </c>
      <c r="I2278" s="26" t="s">
        <v>78</v>
      </c>
      <c r="J2278" s="46" t="s">
        <v>3007</v>
      </c>
      <c r="K2278" s="47"/>
      <c r="L2278" s="48" t="s">
        <v>3008</v>
      </c>
      <c r="M2278" s="49">
        <v>44579</v>
      </c>
      <c r="N2278" s="47" t="s">
        <v>182</v>
      </c>
      <c r="O2278" s="61">
        <v>3520</v>
      </c>
      <c r="P2278" s="61">
        <v>-103</v>
      </c>
      <c r="Q2278" s="51">
        <f t="shared" si="53"/>
        <v>-362560</v>
      </c>
      <c r="R2278" s="31">
        <v>202310</v>
      </c>
      <c r="S2278" s="32" t="s">
        <v>3039</v>
      </c>
      <c r="T2278" s="33"/>
      <c r="U2278" s="32"/>
      <c r="V2278" s="33"/>
      <c r="W2278" s="67"/>
      <c r="X2278" s="67"/>
      <c r="Y2278" s="36">
        <v>44423</v>
      </c>
      <c r="Z2278" s="36">
        <v>46279</v>
      </c>
      <c r="AA2278" s="36"/>
      <c r="AB2278" s="36"/>
      <c r="AC2278" s="36"/>
      <c r="AD2278" s="36"/>
      <c r="AE2278" s="36"/>
      <c r="AF2278" s="53" t="s">
        <v>68</v>
      </c>
      <c r="AG2278" s="42"/>
      <c r="AH2278" s="42"/>
      <c r="AI2278" s="43"/>
      <c r="AJ2278" s="43"/>
      <c r="AK2278" s="43"/>
      <c r="AL2278" s="43"/>
      <c r="AM2278" s="43"/>
      <c r="AN2278" s="42"/>
      <c r="AO2278" s="42"/>
      <c r="AP2278" s="42"/>
      <c r="AQ2278" s="43"/>
      <c r="AR2278" s="42"/>
      <c r="AS2278" s="42"/>
    </row>
    <row r="2279" spans="1:45" ht="15" customHeight="1">
      <c r="A2279" s="65" t="s">
        <v>57</v>
      </c>
      <c r="B2279" s="22" t="s">
        <v>46</v>
      </c>
      <c r="C2279" s="21" t="s">
        <v>188</v>
      </c>
      <c r="D2279" s="22" t="s">
        <v>59</v>
      </c>
      <c r="E2279" s="66" t="s">
        <v>3004</v>
      </c>
      <c r="F2279" s="65" t="s">
        <v>3005</v>
      </c>
      <c r="G2279" s="26" t="s">
        <v>77</v>
      </c>
      <c r="H2279" s="45" t="s">
        <v>3006</v>
      </c>
      <c r="I2279" s="26" t="s">
        <v>78</v>
      </c>
      <c r="J2279" s="46" t="s">
        <v>3007</v>
      </c>
      <c r="K2279" s="47"/>
      <c r="L2279" s="48" t="s">
        <v>3008</v>
      </c>
      <c r="M2279" s="49">
        <v>44582</v>
      </c>
      <c r="N2279" s="47" t="s">
        <v>182</v>
      </c>
      <c r="O2279" s="61">
        <v>3520</v>
      </c>
      <c r="P2279" s="61">
        <v>7</v>
      </c>
      <c r="Q2279" s="51">
        <f t="shared" si="53"/>
        <v>24640</v>
      </c>
      <c r="R2279" s="31">
        <v>202310</v>
      </c>
      <c r="S2279" s="32" t="s">
        <v>3040</v>
      </c>
      <c r="T2279" s="33"/>
      <c r="U2279" s="32"/>
      <c r="V2279" s="33"/>
      <c r="W2279" s="67"/>
      <c r="X2279" s="67"/>
      <c r="Y2279" s="36">
        <v>44423</v>
      </c>
      <c r="Z2279" s="36">
        <v>46279</v>
      </c>
      <c r="AA2279" s="36"/>
      <c r="AB2279" s="36"/>
      <c r="AC2279" s="36"/>
      <c r="AD2279" s="36"/>
      <c r="AE2279" s="36"/>
      <c r="AF2279" s="53" t="s">
        <v>68</v>
      </c>
      <c r="AG2279" s="42"/>
      <c r="AH2279" s="42"/>
      <c r="AI2279" s="43"/>
      <c r="AJ2279" s="43"/>
      <c r="AK2279" s="43"/>
      <c r="AL2279" s="43"/>
      <c r="AM2279" s="43"/>
      <c r="AN2279" s="42"/>
      <c r="AO2279" s="42"/>
      <c r="AP2279" s="42"/>
      <c r="AQ2279" s="43"/>
      <c r="AR2279" s="42"/>
      <c r="AS2279" s="42"/>
    </row>
    <row r="2280" spans="1:45" ht="15" customHeight="1">
      <c r="A2280" s="65" t="s">
        <v>57</v>
      </c>
      <c r="B2280" s="22" t="s">
        <v>46</v>
      </c>
      <c r="C2280" s="21" t="s">
        <v>188</v>
      </c>
      <c r="D2280" s="22" t="s">
        <v>59</v>
      </c>
      <c r="E2280" s="66" t="s">
        <v>3004</v>
      </c>
      <c r="F2280" s="65" t="s">
        <v>3005</v>
      </c>
      <c r="G2280" s="26" t="s">
        <v>77</v>
      </c>
      <c r="H2280" s="45" t="s">
        <v>3006</v>
      </c>
      <c r="I2280" s="26" t="s">
        <v>78</v>
      </c>
      <c r="J2280" s="46" t="s">
        <v>3007</v>
      </c>
      <c r="K2280" s="47"/>
      <c r="L2280" s="48" t="s">
        <v>3008</v>
      </c>
      <c r="M2280" s="49">
        <v>44585</v>
      </c>
      <c r="N2280" s="47" t="s">
        <v>182</v>
      </c>
      <c r="O2280" s="61">
        <v>3520</v>
      </c>
      <c r="P2280" s="61">
        <v>2</v>
      </c>
      <c r="Q2280" s="51">
        <f t="shared" si="53"/>
        <v>7040</v>
      </c>
      <c r="R2280" s="31">
        <v>202310</v>
      </c>
      <c r="S2280" s="32" t="s">
        <v>3041</v>
      </c>
      <c r="T2280" s="33"/>
      <c r="U2280" s="32"/>
      <c r="V2280" s="33"/>
      <c r="W2280" s="67"/>
      <c r="X2280" s="67"/>
      <c r="Y2280" s="36">
        <v>44423</v>
      </c>
      <c r="Z2280" s="36">
        <v>46279</v>
      </c>
      <c r="AA2280" s="36"/>
      <c r="AB2280" s="36"/>
      <c r="AC2280" s="36"/>
      <c r="AD2280" s="36"/>
      <c r="AE2280" s="36"/>
      <c r="AF2280" s="53" t="s">
        <v>68</v>
      </c>
      <c r="AG2280" s="42"/>
      <c r="AH2280" s="42"/>
      <c r="AI2280" s="43"/>
      <c r="AJ2280" s="43"/>
      <c r="AK2280" s="43"/>
      <c r="AL2280" s="43"/>
      <c r="AM2280" s="43"/>
      <c r="AN2280" s="42"/>
      <c r="AO2280" s="42"/>
      <c r="AP2280" s="42"/>
      <c r="AQ2280" s="43"/>
      <c r="AR2280" s="42"/>
      <c r="AS2280" s="42"/>
    </row>
    <row r="2281" spans="1:45" ht="15" customHeight="1">
      <c r="A2281" s="65" t="s">
        <v>57</v>
      </c>
      <c r="B2281" s="22" t="s">
        <v>46</v>
      </c>
      <c r="C2281" s="21" t="s">
        <v>188</v>
      </c>
      <c r="D2281" s="22" t="s">
        <v>59</v>
      </c>
      <c r="E2281" s="66" t="s">
        <v>3004</v>
      </c>
      <c r="F2281" s="65" t="s">
        <v>3005</v>
      </c>
      <c r="G2281" s="26" t="s">
        <v>77</v>
      </c>
      <c r="H2281" s="45" t="s">
        <v>3006</v>
      </c>
      <c r="I2281" s="26" t="s">
        <v>78</v>
      </c>
      <c r="J2281" s="46" t="s">
        <v>3007</v>
      </c>
      <c r="K2281" s="47"/>
      <c r="L2281" s="48" t="s">
        <v>3008</v>
      </c>
      <c r="M2281" s="49">
        <v>44586</v>
      </c>
      <c r="N2281" s="47" t="s">
        <v>182</v>
      </c>
      <c r="O2281" s="61">
        <v>3520</v>
      </c>
      <c r="P2281" s="61">
        <v>7</v>
      </c>
      <c r="Q2281" s="51">
        <f t="shared" si="53"/>
        <v>24640</v>
      </c>
      <c r="R2281" s="31">
        <v>202310</v>
      </c>
      <c r="S2281" s="32" t="s">
        <v>3042</v>
      </c>
      <c r="T2281" s="33"/>
      <c r="U2281" s="32"/>
      <c r="V2281" s="33"/>
      <c r="W2281" s="67"/>
      <c r="X2281" s="67"/>
      <c r="Y2281" s="36">
        <v>44423</v>
      </c>
      <c r="Z2281" s="36">
        <v>46279</v>
      </c>
      <c r="AA2281" s="36"/>
      <c r="AB2281" s="36"/>
      <c r="AC2281" s="36"/>
      <c r="AD2281" s="36"/>
      <c r="AE2281" s="36"/>
      <c r="AF2281" s="53" t="s">
        <v>68</v>
      </c>
      <c r="AG2281" s="42"/>
      <c r="AH2281" s="42"/>
      <c r="AI2281" s="43"/>
      <c r="AJ2281" s="43"/>
      <c r="AK2281" s="43"/>
      <c r="AL2281" s="43"/>
      <c r="AM2281" s="43"/>
      <c r="AN2281" s="42"/>
      <c r="AO2281" s="42"/>
      <c r="AP2281" s="42"/>
      <c r="AQ2281" s="43"/>
      <c r="AR2281" s="42"/>
      <c r="AS2281" s="42"/>
    </row>
    <row r="2282" spans="1:45" ht="15" customHeight="1">
      <c r="A2282" s="65" t="s">
        <v>57</v>
      </c>
      <c r="B2282" s="22" t="s">
        <v>46</v>
      </c>
      <c r="C2282" s="21" t="s">
        <v>188</v>
      </c>
      <c r="D2282" s="22" t="s">
        <v>59</v>
      </c>
      <c r="E2282" s="66" t="s">
        <v>3004</v>
      </c>
      <c r="F2282" s="65" t="s">
        <v>3005</v>
      </c>
      <c r="G2282" s="26" t="s">
        <v>77</v>
      </c>
      <c r="H2282" s="45" t="s">
        <v>3006</v>
      </c>
      <c r="I2282" s="26" t="s">
        <v>78</v>
      </c>
      <c r="J2282" s="46" t="s">
        <v>3007</v>
      </c>
      <c r="K2282" s="47"/>
      <c r="L2282" s="48" t="s">
        <v>3008</v>
      </c>
      <c r="M2282" s="49">
        <v>44587</v>
      </c>
      <c r="N2282" s="47" t="s">
        <v>182</v>
      </c>
      <c r="O2282" s="61">
        <v>3520</v>
      </c>
      <c r="P2282" s="61">
        <v>11</v>
      </c>
      <c r="Q2282" s="51">
        <f t="shared" si="53"/>
        <v>38720</v>
      </c>
      <c r="R2282" s="31">
        <v>202310</v>
      </c>
      <c r="S2282" s="32" t="s">
        <v>3043</v>
      </c>
      <c r="T2282" s="33"/>
      <c r="U2282" s="32"/>
      <c r="V2282" s="33"/>
      <c r="W2282" s="67"/>
      <c r="X2282" s="67"/>
      <c r="Y2282" s="36">
        <v>44423</v>
      </c>
      <c r="Z2282" s="36">
        <v>46279</v>
      </c>
      <c r="AA2282" s="36"/>
      <c r="AB2282" s="36"/>
      <c r="AC2282" s="36"/>
      <c r="AD2282" s="36"/>
      <c r="AE2282" s="36"/>
      <c r="AF2282" s="53" t="s">
        <v>68</v>
      </c>
      <c r="AG2282" s="42"/>
      <c r="AH2282" s="42"/>
      <c r="AI2282" s="43"/>
      <c r="AJ2282" s="43"/>
      <c r="AK2282" s="43"/>
      <c r="AL2282" s="43"/>
      <c r="AM2282" s="43"/>
      <c r="AN2282" s="42"/>
      <c r="AO2282" s="42"/>
      <c r="AP2282" s="42"/>
      <c r="AQ2282" s="43"/>
      <c r="AR2282" s="42"/>
      <c r="AS2282" s="42"/>
    </row>
    <row r="2283" spans="1:45" ht="15" customHeight="1">
      <c r="A2283" s="65" t="s">
        <v>57</v>
      </c>
      <c r="B2283" s="22" t="s">
        <v>46</v>
      </c>
      <c r="C2283" s="21" t="s">
        <v>188</v>
      </c>
      <c r="D2283" s="22" t="s">
        <v>59</v>
      </c>
      <c r="E2283" s="66" t="s">
        <v>3004</v>
      </c>
      <c r="F2283" s="65" t="s">
        <v>3005</v>
      </c>
      <c r="G2283" s="26" t="s">
        <v>77</v>
      </c>
      <c r="H2283" s="45" t="s">
        <v>3006</v>
      </c>
      <c r="I2283" s="26" t="s">
        <v>78</v>
      </c>
      <c r="J2283" s="46" t="s">
        <v>3007</v>
      </c>
      <c r="K2283" s="47"/>
      <c r="L2283" s="48" t="s">
        <v>3008</v>
      </c>
      <c r="M2283" s="49">
        <v>44588</v>
      </c>
      <c r="N2283" s="47" t="s">
        <v>182</v>
      </c>
      <c r="O2283" s="61">
        <v>3520</v>
      </c>
      <c r="P2283" s="61">
        <v>56</v>
      </c>
      <c r="Q2283" s="51">
        <f t="shared" si="53"/>
        <v>197120</v>
      </c>
      <c r="R2283" s="31">
        <v>202310</v>
      </c>
      <c r="S2283" s="32" t="s">
        <v>3044</v>
      </c>
      <c r="T2283" s="33"/>
      <c r="U2283" s="32"/>
      <c r="V2283" s="33"/>
      <c r="W2283" s="67"/>
      <c r="X2283" s="67"/>
      <c r="Y2283" s="36">
        <v>44423</v>
      </c>
      <c r="Z2283" s="36">
        <v>46279</v>
      </c>
      <c r="AA2283" s="36"/>
      <c r="AB2283" s="36"/>
      <c r="AC2283" s="36"/>
      <c r="AD2283" s="36"/>
      <c r="AE2283" s="36"/>
      <c r="AF2283" s="53" t="s">
        <v>68</v>
      </c>
      <c r="AG2283" s="42"/>
      <c r="AH2283" s="42"/>
      <c r="AI2283" s="43"/>
      <c r="AJ2283" s="43"/>
      <c r="AK2283" s="43"/>
      <c r="AL2283" s="43"/>
      <c r="AM2283" s="43"/>
      <c r="AN2283" s="42"/>
      <c r="AO2283" s="42"/>
      <c r="AP2283" s="42"/>
      <c r="AQ2283" s="43"/>
      <c r="AR2283" s="42"/>
      <c r="AS2283" s="42"/>
    </row>
    <row r="2284" spans="1:45" ht="15" customHeight="1">
      <c r="A2284" s="65" t="s">
        <v>57</v>
      </c>
      <c r="B2284" s="22" t="s">
        <v>46</v>
      </c>
      <c r="C2284" s="21" t="s">
        <v>188</v>
      </c>
      <c r="D2284" s="22" t="s">
        <v>59</v>
      </c>
      <c r="E2284" s="66" t="s">
        <v>3004</v>
      </c>
      <c r="F2284" s="65" t="s">
        <v>3005</v>
      </c>
      <c r="G2284" s="26" t="s">
        <v>77</v>
      </c>
      <c r="H2284" s="45" t="s">
        <v>3006</v>
      </c>
      <c r="I2284" s="26" t="s">
        <v>78</v>
      </c>
      <c r="J2284" s="46" t="s">
        <v>3007</v>
      </c>
      <c r="K2284" s="47"/>
      <c r="L2284" s="48" t="s">
        <v>3008</v>
      </c>
      <c r="M2284" s="49">
        <v>44589</v>
      </c>
      <c r="N2284" s="47" t="s">
        <v>182</v>
      </c>
      <c r="O2284" s="61">
        <v>3520</v>
      </c>
      <c r="P2284" s="61">
        <v>5</v>
      </c>
      <c r="Q2284" s="51">
        <f t="shared" si="53"/>
        <v>17600</v>
      </c>
      <c r="R2284" s="31">
        <v>202310</v>
      </c>
      <c r="S2284" s="32" t="s">
        <v>3045</v>
      </c>
      <c r="T2284" s="33"/>
      <c r="U2284" s="32"/>
      <c r="V2284" s="33"/>
      <c r="W2284" s="67"/>
      <c r="X2284" s="67"/>
      <c r="Y2284" s="36">
        <v>44423</v>
      </c>
      <c r="Z2284" s="36">
        <v>46279</v>
      </c>
      <c r="AA2284" s="36"/>
      <c r="AB2284" s="36"/>
      <c r="AC2284" s="36"/>
      <c r="AD2284" s="36"/>
      <c r="AE2284" s="36"/>
      <c r="AF2284" s="53" t="s">
        <v>68</v>
      </c>
      <c r="AG2284" s="42"/>
      <c r="AH2284" s="42"/>
      <c r="AI2284" s="43"/>
      <c r="AJ2284" s="43"/>
      <c r="AK2284" s="43"/>
      <c r="AL2284" s="43"/>
      <c r="AM2284" s="43"/>
      <c r="AN2284" s="42"/>
      <c r="AO2284" s="42"/>
      <c r="AP2284" s="42"/>
      <c r="AQ2284" s="43"/>
      <c r="AR2284" s="42"/>
      <c r="AS2284" s="42"/>
    </row>
    <row r="2285" spans="1:45" ht="15" customHeight="1">
      <c r="A2285" s="65" t="s">
        <v>57</v>
      </c>
      <c r="B2285" s="22" t="s">
        <v>46</v>
      </c>
      <c r="C2285" s="21" t="s">
        <v>188</v>
      </c>
      <c r="D2285" s="22" t="s">
        <v>59</v>
      </c>
      <c r="E2285" s="66" t="s">
        <v>3004</v>
      </c>
      <c r="F2285" s="65" t="s">
        <v>3005</v>
      </c>
      <c r="G2285" s="26" t="s">
        <v>77</v>
      </c>
      <c r="H2285" s="45" t="s">
        <v>3006</v>
      </c>
      <c r="I2285" s="26" t="s">
        <v>78</v>
      </c>
      <c r="J2285" s="46" t="s">
        <v>3007</v>
      </c>
      <c r="K2285" s="47"/>
      <c r="L2285" s="48" t="s">
        <v>3008</v>
      </c>
      <c r="M2285" s="49">
        <v>44586</v>
      </c>
      <c r="N2285" s="47" t="s">
        <v>182</v>
      </c>
      <c r="O2285" s="61">
        <v>3520</v>
      </c>
      <c r="P2285" s="61">
        <v>4</v>
      </c>
      <c r="Q2285" s="51">
        <f t="shared" si="53"/>
        <v>14080</v>
      </c>
      <c r="R2285" s="31">
        <v>202310</v>
      </c>
      <c r="S2285" s="32" t="s">
        <v>3046</v>
      </c>
      <c r="T2285" s="33"/>
      <c r="U2285" s="32"/>
      <c r="V2285" s="33"/>
      <c r="W2285" s="67"/>
      <c r="X2285" s="67"/>
      <c r="Y2285" s="36">
        <v>44423</v>
      </c>
      <c r="Z2285" s="36">
        <v>46279</v>
      </c>
      <c r="AA2285" s="36"/>
      <c r="AB2285" s="36"/>
      <c r="AC2285" s="36"/>
      <c r="AD2285" s="36"/>
      <c r="AE2285" s="36"/>
      <c r="AF2285" s="53" t="s">
        <v>68</v>
      </c>
      <c r="AG2285" s="42"/>
      <c r="AH2285" s="42"/>
      <c r="AI2285" s="43"/>
      <c r="AJ2285" s="43"/>
      <c r="AK2285" s="43"/>
      <c r="AL2285" s="43"/>
      <c r="AM2285" s="43"/>
      <c r="AN2285" s="42"/>
      <c r="AO2285" s="42"/>
      <c r="AP2285" s="42"/>
      <c r="AQ2285" s="43"/>
      <c r="AR2285" s="42"/>
      <c r="AS2285" s="42"/>
    </row>
    <row r="2286" spans="1:45" ht="15" customHeight="1">
      <c r="A2286" s="65" t="s">
        <v>57</v>
      </c>
      <c r="B2286" s="22" t="s">
        <v>46</v>
      </c>
      <c r="C2286" s="21" t="s">
        <v>188</v>
      </c>
      <c r="D2286" s="22" t="s">
        <v>59</v>
      </c>
      <c r="E2286" s="66" t="s">
        <v>3004</v>
      </c>
      <c r="F2286" s="65" t="s">
        <v>3005</v>
      </c>
      <c r="G2286" s="26" t="s">
        <v>77</v>
      </c>
      <c r="H2286" s="45" t="s">
        <v>3006</v>
      </c>
      <c r="I2286" s="26" t="s">
        <v>78</v>
      </c>
      <c r="J2286" s="46" t="s">
        <v>3007</v>
      </c>
      <c r="K2286" s="47"/>
      <c r="L2286" s="48" t="s">
        <v>3008</v>
      </c>
      <c r="M2286" s="49">
        <v>44588</v>
      </c>
      <c r="N2286" s="47" t="s">
        <v>182</v>
      </c>
      <c r="O2286" s="61">
        <v>3520</v>
      </c>
      <c r="P2286" s="61">
        <v>1</v>
      </c>
      <c r="Q2286" s="51">
        <f t="shared" si="53"/>
        <v>3520</v>
      </c>
      <c r="R2286" s="31">
        <v>202310</v>
      </c>
      <c r="S2286" s="32" t="s">
        <v>3047</v>
      </c>
      <c r="T2286" s="33"/>
      <c r="U2286" s="32"/>
      <c r="V2286" s="33"/>
      <c r="W2286" s="67"/>
      <c r="X2286" s="67"/>
      <c r="Y2286" s="36">
        <v>44423</v>
      </c>
      <c r="Z2286" s="36">
        <v>46279</v>
      </c>
      <c r="AA2286" s="36"/>
      <c r="AB2286" s="36"/>
      <c r="AC2286" s="36"/>
      <c r="AD2286" s="36"/>
      <c r="AE2286" s="36"/>
      <c r="AF2286" s="53" t="s">
        <v>68</v>
      </c>
      <c r="AG2286" s="42"/>
      <c r="AH2286" s="42"/>
      <c r="AI2286" s="43"/>
      <c r="AJ2286" s="43"/>
      <c r="AK2286" s="43"/>
      <c r="AL2286" s="43"/>
      <c r="AM2286" s="43"/>
      <c r="AN2286" s="42"/>
      <c r="AO2286" s="42"/>
      <c r="AP2286" s="42"/>
      <c r="AQ2286" s="43"/>
      <c r="AR2286" s="42"/>
      <c r="AS2286" s="42"/>
    </row>
    <row r="2287" spans="1:45" ht="15" customHeight="1">
      <c r="A2287" s="65" t="s">
        <v>57</v>
      </c>
      <c r="B2287" s="22" t="s">
        <v>46</v>
      </c>
      <c r="C2287" s="21" t="s">
        <v>188</v>
      </c>
      <c r="D2287" s="22" t="s">
        <v>59</v>
      </c>
      <c r="E2287" s="66" t="s">
        <v>3004</v>
      </c>
      <c r="F2287" s="65" t="s">
        <v>3005</v>
      </c>
      <c r="G2287" s="26" t="s">
        <v>77</v>
      </c>
      <c r="H2287" s="45" t="s">
        <v>3006</v>
      </c>
      <c r="I2287" s="26" t="s">
        <v>78</v>
      </c>
      <c r="J2287" s="46" t="s">
        <v>3007</v>
      </c>
      <c r="K2287" s="47"/>
      <c r="L2287" s="48" t="s">
        <v>3008</v>
      </c>
      <c r="M2287" s="49">
        <v>44602</v>
      </c>
      <c r="N2287" s="47" t="s">
        <v>182</v>
      </c>
      <c r="O2287" s="61">
        <v>3520</v>
      </c>
      <c r="P2287" s="61">
        <v>10</v>
      </c>
      <c r="Q2287" s="51">
        <f t="shared" si="53"/>
        <v>35200</v>
      </c>
      <c r="R2287" s="31">
        <v>202310</v>
      </c>
      <c r="S2287" s="32" t="s">
        <v>3048</v>
      </c>
      <c r="T2287" s="33"/>
      <c r="U2287" s="32"/>
      <c r="V2287" s="33"/>
      <c r="W2287" s="67"/>
      <c r="X2287" s="67"/>
      <c r="Y2287" s="36">
        <v>44423</v>
      </c>
      <c r="Z2287" s="36">
        <v>46279</v>
      </c>
      <c r="AA2287" s="36"/>
      <c r="AB2287" s="36"/>
      <c r="AC2287" s="36"/>
      <c r="AD2287" s="36"/>
      <c r="AE2287" s="36"/>
      <c r="AF2287" s="53" t="s">
        <v>68</v>
      </c>
      <c r="AG2287" s="42"/>
      <c r="AH2287" s="42"/>
      <c r="AI2287" s="43"/>
      <c r="AJ2287" s="43"/>
      <c r="AK2287" s="43"/>
      <c r="AL2287" s="43"/>
      <c r="AM2287" s="43"/>
      <c r="AN2287" s="42"/>
      <c r="AO2287" s="42"/>
      <c r="AP2287" s="42"/>
      <c r="AQ2287" s="43"/>
      <c r="AR2287" s="42"/>
      <c r="AS2287" s="42"/>
    </row>
    <row r="2288" spans="1:45" ht="15" customHeight="1">
      <c r="A2288" s="65" t="s">
        <v>57</v>
      </c>
      <c r="B2288" s="22" t="s">
        <v>46</v>
      </c>
      <c r="C2288" s="21" t="s">
        <v>188</v>
      </c>
      <c r="D2288" s="22" t="s">
        <v>59</v>
      </c>
      <c r="E2288" s="66" t="s">
        <v>3004</v>
      </c>
      <c r="F2288" s="65" t="s">
        <v>3005</v>
      </c>
      <c r="G2288" s="26" t="s">
        <v>77</v>
      </c>
      <c r="H2288" s="45" t="s">
        <v>3006</v>
      </c>
      <c r="I2288" s="26" t="s">
        <v>78</v>
      </c>
      <c r="J2288" s="46" t="s">
        <v>3007</v>
      </c>
      <c r="K2288" s="47"/>
      <c r="L2288" s="48" t="s">
        <v>3008</v>
      </c>
      <c r="M2288" s="49">
        <v>44603</v>
      </c>
      <c r="N2288" s="47" t="s">
        <v>182</v>
      </c>
      <c r="O2288" s="61">
        <v>3520</v>
      </c>
      <c r="P2288" s="61">
        <v>8</v>
      </c>
      <c r="Q2288" s="51">
        <f t="shared" si="53"/>
        <v>28160</v>
      </c>
      <c r="R2288" s="31">
        <v>202310</v>
      </c>
      <c r="S2288" s="32" t="s">
        <v>3049</v>
      </c>
      <c r="T2288" s="33"/>
      <c r="U2288" s="32"/>
      <c r="V2288" s="33"/>
      <c r="W2288" s="67"/>
      <c r="X2288" s="67"/>
      <c r="Y2288" s="36">
        <v>44423</v>
      </c>
      <c r="Z2288" s="36">
        <v>46279</v>
      </c>
      <c r="AA2288" s="36"/>
      <c r="AB2288" s="36"/>
      <c r="AC2288" s="36"/>
      <c r="AD2288" s="36"/>
      <c r="AE2288" s="36"/>
      <c r="AF2288" s="53" t="s">
        <v>68</v>
      </c>
      <c r="AG2288" s="42"/>
      <c r="AH2288" s="42"/>
      <c r="AI2288" s="43"/>
      <c r="AJ2288" s="43"/>
      <c r="AK2288" s="43"/>
      <c r="AL2288" s="43"/>
      <c r="AM2288" s="43"/>
      <c r="AN2288" s="42"/>
      <c r="AO2288" s="42"/>
      <c r="AP2288" s="42"/>
      <c r="AQ2288" s="43"/>
      <c r="AR2288" s="42"/>
      <c r="AS2288" s="42"/>
    </row>
    <row r="2289" spans="1:45" ht="15" customHeight="1">
      <c r="A2289" s="65" t="s">
        <v>57</v>
      </c>
      <c r="B2289" s="22" t="s">
        <v>46</v>
      </c>
      <c r="C2289" s="21" t="s">
        <v>188</v>
      </c>
      <c r="D2289" s="22" t="s">
        <v>59</v>
      </c>
      <c r="E2289" s="66" t="s">
        <v>3004</v>
      </c>
      <c r="F2289" s="65" t="s">
        <v>3005</v>
      </c>
      <c r="G2289" s="26" t="s">
        <v>77</v>
      </c>
      <c r="H2289" s="45" t="s">
        <v>3006</v>
      </c>
      <c r="I2289" s="26" t="s">
        <v>78</v>
      </c>
      <c r="J2289" s="46" t="s">
        <v>3007</v>
      </c>
      <c r="K2289" s="47"/>
      <c r="L2289" s="48" t="s">
        <v>3008</v>
      </c>
      <c r="M2289" s="49">
        <v>44609</v>
      </c>
      <c r="N2289" s="47" t="s">
        <v>182</v>
      </c>
      <c r="O2289" s="61">
        <v>3520</v>
      </c>
      <c r="P2289" s="61">
        <v>9</v>
      </c>
      <c r="Q2289" s="51">
        <f t="shared" si="53"/>
        <v>31680</v>
      </c>
      <c r="R2289" s="31">
        <v>202310</v>
      </c>
      <c r="S2289" s="32" t="s">
        <v>3050</v>
      </c>
      <c r="T2289" s="33"/>
      <c r="U2289" s="32"/>
      <c r="V2289" s="33"/>
      <c r="W2289" s="67"/>
      <c r="X2289" s="67"/>
      <c r="Y2289" s="36">
        <v>44423</v>
      </c>
      <c r="Z2289" s="36">
        <v>46279</v>
      </c>
      <c r="AA2289" s="36"/>
      <c r="AB2289" s="36"/>
      <c r="AC2289" s="36"/>
      <c r="AD2289" s="36"/>
      <c r="AE2289" s="36"/>
      <c r="AF2289" s="53" t="s">
        <v>68</v>
      </c>
      <c r="AG2289" s="42"/>
      <c r="AH2289" s="42"/>
      <c r="AI2289" s="43"/>
      <c r="AJ2289" s="43"/>
      <c r="AK2289" s="43"/>
      <c r="AL2289" s="43"/>
      <c r="AM2289" s="43"/>
      <c r="AN2289" s="42"/>
      <c r="AO2289" s="42"/>
      <c r="AP2289" s="42"/>
      <c r="AQ2289" s="43"/>
      <c r="AR2289" s="42"/>
      <c r="AS2289" s="42"/>
    </row>
    <row r="2290" spans="1:45" ht="15" customHeight="1">
      <c r="A2290" s="65" t="s">
        <v>57</v>
      </c>
      <c r="B2290" s="22" t="s">
        <v>46</v>
      </c>
      <c r="C2290" s="21" t="s">
        <v>188</v>
      </c>
      <c r="D2290" s="22" t="s">
        <v>59</v>
      </c>
      <c r="E2290" s="66" t="s">
        <v>3004</v>
      </c>
      <c r="F2290" s="65" t="s">
        <v>3005</v>
      </c>
      <c r="G2290" s="26" t="s">
        <v>77</v>
      </c>
      <c r="H2290" s="45" t="s">
        <v>3006</v>
      </c>
      <c r="I2290" s="26" t="s">
        <v>78</v>
      </c>
      <c r="J2290" s="46" t="s">
        <v>3007</v>
      </c>
      <c r="K2290" s="47"/>
      <c r="L2290" s="48" t="s">
        <v>3008</v>
      </c>
      <c r="M2290" s="49">
        <v>44615</v>
      </c>
      <c r="N2290" s="47" t="s">
        <v>182</v>
      </c>
      <c r="O2290" s="61">
        <v>3520</v>
      </c>
      <c r="P2290" s="61">
        <v>1</v>
      </c>
      <c r="Q2290" s="51">
        <f t="shared" si="53"/>
        <v>3520</v>
      </c>
      <c r="R2290" s="31">
        <v>202310</v>
      </c>
      <c r="S2290" s="32" t="s">
        <v>3051</v>
      </c>
      <c r="T2290" s="33"/>
      <c r="U2290" s="32"/>
      <c r="V2290" s="33"/>
      <c r="W2290" s="67"/>
      <c r="X2290" s="67"/>
      <c r="Y2290" s="36">
        <v>44423</v>
      </c>
      <c r="Z2290" s="36">
        <v>46279</v>
      </c>
      <c r="AA2290" s="36"/>
      <c r="AB2290" s="36"/>
      <c r="AC2290" s="36"/>
      <c r="AD2290" s="36"/>
      <c r="AE2290" s="36"/>
      <c r="AF2290" s="53" t="s">
        <v>68</v>
      </c>
      <c r="AG2290" s="42"/>
      <c r="AH2290" s="42"/>
      <c r="AI2290" s="43"/>
      <c r="AJ2290" s="43"/>
      <c r="AK2290" s="43"/>
      <c r="AL2290" s="43"/>
      <c r="AM2290" s="43"/>
      <c r="AN2290" s="42"/>
      <c r="AO2290" s="42"/>
      <c r="AP2290" s="42"/>
      <c r="AQ2290" s="43"/>
      <c r="AR2290" s="42"/>
      <c r="AS2290" s="42"/>
    </row>
    <row r="2291" spans="1:45" ht="15" customHeight="1">
      <c r="A2291" s="65" t="s">
        <v>57</v>
      </c>
      <c r="B2291" s="22" t="s">
        <v>46</v>
      </c>
      <c r="C2291" s="21" t="s">
        <v>188</v>
      </c>
      <c r="D2291" s="22" t="s">
        <v>59</v>
      </c>
      <c r="E2291" s="66" t="s">
        <v>3004</v>
      </c>
      <c r="F2291" s="65" t="s">
        <v>3005</v>
      </c>
      <c r="G2291" s="26" t="s">
        <v>77</v>
      </c>
      <c r="H2291" s="45" t="s">
        <v>3006</v>
      </c>
      <c r="I2291" s="26" t="s">
        <v>78</v>
      </c>
      <c r="J2291" s="46" t="s">
        <v>3007</v>
      </c>
      <c r="K2291" s="47"/>
      <c r="L2291" s="48" t="s">
        <v>3008</v>
      </c>
      <c r="M2291" s="49">
        <v>44623</v>
      </c>
      <c r="N2291" s="47" t="s">
        <v>182</v>
      </c>
      <c r="O2291" s="61">
        <v>3520</v>
      </c>
      <c r="P2291" s="61">
        <v>4</v>
      </c>
      <c r="Q2291" s="51">
        <f t="shared" si="53"/>
        <v>14080</v>
      </c>
      <c r="R2291" s="31">
        <v>202310</v>
      </c>
      <c r="S2291" s="32" t="s">
        <v>3052</v>
      </c>
      <c r="T2291" s="33"/>
      <c r="U2291" s="32"/>
      <c r="V2291" s="33"/>
      <c r="W2291" s="67"/>
      <c r="X2291" s="67"/>
      <c r="Y2291" s="36">
        <v>44423</v>
      </c>
      <c r="Z2291" s="36">
        <v>46279</v>
      </c>
      <c r="AA2291" s="36"/>
      <c r="AB2291" s="36"/>
      <c r="AC2291" s="36"/>
      <c r="AD2291" s="36"/>
      <c r="AE2291" s="36"/>
      <c r="AF2291" s="53" t="s">
        <v>68</v>
      </c>
      <c r="AG2291" s="42"/>
      <c r="AH2291" s="42"/>
      <c r="AI2291" s="43"/>
      <c r="AJ2291" s="43"/>
      <c r="AK2291" s="43"/>
      <c r="AL2291" s="43"/>
      <c r="AM2291" s="43"/>
      <c r="AN2291" s="42"/>
      <c r="AO2291" s="42"/>
      <c r="AP2291" s="42"/>
      <c r="AQ2291" s="43"/>
      <c r="AR2291" s="42"/>
      <c r="AS2291" s="42"/>
    </row>
    <row r="2292" spans="1:45" ht="15" customHeight="1">
      <c r="A2292" s="65" t="s">
        <v>57</v>
      </c>
      <c r="B2292" s="22" t="s">
        <v>46</v>
      </c>
      <c r="C2292" s="21" t="s">
        <v>188</v>
      </c>
      <c r="D2292" s="22" t="s">
        <v>59</v>
      </c>
      <c r="E2292" s="66" t="s">
        <v>3004</v>
      </c>
      <c r="F2292" s="65" t="s">
        <v>3005</v>
      </c>
      <c r="G2292" s="26" t="s">
        <v>77</v>
      </c>
      <c r="H2292" s="45" t="s">
        <v>3006</v>
      </c>
      <c r="I2292" s="26" t="s">
        <v>78</v>
      </c>
      <c r="J2292" s="46" t="s">
        <v>3007</v>
      </c>
      <c r="K2292" s="47"/>
      <c r="L2292" s="48" t="s">
        <v>3008</v>
      </c>
      <c r="M2292" s="49">
        <v>44631</v>
      </c>
      <c r="N2292" s="47" t="s">
        <v>182</v>
      </c>
      <c r="O2292" s="61">
        <v>3520</v>
      </c>
      <c r="P2292" s="61">
        <v>11</v>
      </c>
      <c r="Q2292" s="51">
        <f t="shared" si="53"/>
        <v>38720</v>
      </c>
      <c r="R2292" s="31">
        <v>202310</v>
      </c>
      <c r="S2292" s="32" t="s">
        <v>3053</v>
      </c>
      <c r="T2292" s="33"/>
      <c r="U2292" s="32"/>
      <c r="V2292" s="33"/>
      <c r="W2292" s="67"/>
      <c r="X2292" s="67"/>
      <c r="Y2292" s="36">
        <v>44423</v>
      </c>
      <c r="Z2292" s="36">
        <v>46279</v>
      </c>
      <c r="AA2292" s="36"/>
      <c r="AB2292" s="36"/>
      <c r="AC2292" s="36"/>
      <c r="AD2292" s="36"/>
      <c r="AE2292" s="36"/>
      <c r="AF2292" s="53" t="s">
        <v>68</v>
      </c>
      <c r="AG2292" s="42"/>
      <c r="AH2292" s="42"/>
      <c r="AI2292" s="43"/>
      <c r="AJ2292" s="43"/>
      <c r="AK2292" s="43"/>
      <c r="AL2292" s="43"/>
      <c r="AM2292" s="43"/>
      <c r="AN2292" s="42"/>
      <c r="AO2292" s="42"/>
      <c r="AP2292" s="42"/>
      <c r="AQ2292" s="43"/>
      <c r="AR2292" s="42"/>
      <c r="AS2292" s="42"/>
    </row>
    <row r="2293" spans="1:45" ht="15" customHeight="1">
      <c r="A2293" s="65" t="s">
        <v>57</v>
      </c>
      <c r="B2293" s="22" t="s">
        <v>46</v>
      </c>
      <c r="C2293" s="21" t="s">
        <v>188</v>
      </c>
      <c r="D2293" s="22" t="s">
        <v>59</v>
      </c>
      <c r="E2293" s="66" t="s">
        <v>3004</v>
      </c>
      <c r="F2293" s="65" t="s">
        <v>3005</v>
      </c>
      <c r="G2293" s="26" t="s">
        <v>77</v>
      </c>
      <c r="H2293" s="45" t="s">
        <v>3006</v>
      </c>
      <c r="I2293" s="26" t="s">
        <v>78</v>
      </c>
      <c r="J2293" s="46" t="s">
        <v>3007</v>
      </c>
      <c r="K2293" s="47"/>
      <c r="L2293" s="48" t="s">
        <v>3008</v>
      </c>
      <c r="M2293" s="49">
        <v>44669</v>
      </c>
      <c r="N2293" s="47" t="s">
        <v>182</v>
      </c>
      <c r="O2293" s="61">
        <v>3520</v>
      </c>
      <c r="P2293" s="61">
        <v>6</v>
      </c>
      <c r="Q2293" s="51">
        <f t="shared" si="53"/>
        <v>21120</v>
      </c>
      <c r="R2293" s="31">
        <v>202310</v>
      </c>
      <c r="S2293" s="32" t="s">
        <v>3054</v>
      </c>
      <c r="T2293" s="33"/>
      <c r="U2293" s="32"/>
      <c r="V2293" s="33"/>
      <c r="W2293" s="67"/>
      <c r="X2293" s="67"/>
      <c r="Y2293" s="36">
        <v>44423</v>
      </c>
      <c r="Z2293" s="36">
        <v>46279</v>
      </c>
      <c r="AA2293" s="36"/>
      <c r="AB2293" s="36"/>
      <c r="AC2293" s="36"/>
      <c r="AD2293" s="36"/>
      <c r="AE2293" s="36"/>
      <c r="AF2293" s="53" t="s">
        <v>68</v>
      </c>
      <c r="AG2293" s="42"/>
      <c r="AH2293" s="42"/>
      <c r="AI2293" s="43"/>
      <c r="AJ2293" s="43"/>
      <c r="AK2293" s="43"/>
      <c r="AL2293" s="43"/>
      <c r="AM2293" s="43"/>
      <c r="AN2293" s="42"/>
      <c r="AO2293" s="42"/>
      <c r="AP2293" s="42"/>
      <c r="AQ2293" s="43"/>
      <c r="AR2293" s="42"/>
      <c r="AS2293" s="42"/>
    </row>
    <row r="2294" spans="1:45" ht="15" customHeight="1">
      <c r="A2294" s="65" t="s">
        <v>57</v>
      </c>
      <c r="B2294" s="22" t="s">
        <v>46</v>
      </c>
      <c r="C2294" s="21" t="s">
        <v>188</v>
      </c>
      <c r="D2294" s="22" t="s">
        <v>59</v>
      </c>
      <c r="E2294" s="66" t="s">
        <v>3004</v>
      </c>
      <c r="F2294" s="65" t="s">
        <v>3005</v>
      </c>
      <c r="G2294" s="26" t="s">
        <v>77</v>
      </c>
      <c r="H2294" s="45" t="s">
        <v>3006</v>
      </c>
      <c r="I2294" s="26" t="s">
        <v>78</v>
      </c>
      <c r="J2294" s="46" t="s">
        <v>3007</v>
      </c>
      <c r="K2294" s="47"/>
      <c r="L2294" s="48" t="s">
        <v>3055</v>
      </c>
      <c r="M2294" s="49">
        <v>44669</v>
      </c>
      <c r="N2294" s="47" t="s">
        <v>182</v>
      </c>
      <c r="O2294" s="61">
        <v>3520</v>
      </c>
      <c r="P2294" s="61">
        <v>-3</v>
      </c>
      <c r="Q2294" s="51">
        <f t="shared" si="53"/>
        <v>-10560</v>
      </c>
      <c r="R2294" s="31">
        <v>202310</v>
      </c>
      <c r="S2294" s="32" t="s">
        <v>3056</v>
      </c>
      <c r="T2294" s="33"/>
      <c r="U2294" s="32"/>
      <c r="V2294" s="33"/>
      <c r="W2294" s="67"/>
      <c r="X2294" s="67"/>
      <c r="Y2294" s="36">
        <v>44423</v>
      </c>
      <c r="Z2294" s="36">
        <v>46279</v>
      </c>
      <c r="AA2294" s="36"/>
      <c r="AB2294" s="36"/>
      <c r="AC2294" s="36"/>
      <c r="AD2294" s="36"/>
      <c r="AE2294" s="36"/>
      <c r="AF2294" s="53" t="s">
        <v>68</v>
      </c>
      <c r="AG2294" s="42"/>
      <c r="AH2294" s="42"/>
      <c r="AI2294" s="43"/>
      <c r="AJ2294" s="43"/>
      <c r="AK2294" s="43"/>
      <c r="AL2294" s="43"/>
      <c r="AM2294" s="43"/>
      <c r="AN2294" s="42"/>
      <c r="AO2294" s="42"/>
      <c r="AP2294" s="42"/>
      <c r="AQ2294" s="43"/>
      <c r="AR2294" s="42"/>
      <c r="AS2294" s="42"/>
    </row>
    <row r="2295" spans="1:45" ht="15" customHeight="1">
      <c r="A2295" s="65" t="s">
        <v>57</v>
      </c>
      <c r="B2295" s="22" t="s">
        <v>46</v>
      </c>
      <c r="C2295" s="21" t="s">
        <v>188</v>
      </c>
      <c r="D2295" s="22" t="s">
        <v>59</v>
      </c>
      <c r="E2295" s="66" t="s">
        <v>3004</v>
      </c>
      <c r="F2295" s="65" t="s">
        <v>3005</v>
      </c>
      <c r="G2295" s="26" t="s">
        <v>77</v>
      </c>
      <c r="H2295" s="45" t="s">
        <v>3006</v>
      </c>
      <c r="I2295" s="26" t="s">
        <v>78</v>
      </c>
      <c r="J2295" s="46" t="s">
        <v>3007</v>
      </c>
      <c r="K2295" s="47"/>
      <c r="L2295" s="48" t="s">
        <v>3008</v>
      </c>
      <c r="M2295" s="49">
        <v>44677</v>
      </c>
      <c r="N2295" s="47" t="s">
        <v>182</v>
      </c>
      <c r="O2295" s="61">
        <v>3520</v>
      </c>
      <c r="P2295" s="61">
        <v>12</v>
      </c>
      <c r="Q2295" s="51">
        <f t="shared" si="53"/>
        <v>42240</v>
      </c>
      <c r="R2295" s="31">
        <v>202310</v>
      </c>
      <c r="S2295" s="32" t="s">
        <v>3057</v>
      </c>
      <c r="T2295" s="33"/>
      <c r="U2295" s="32"/>
      <c r="V2295" s="33"/>
      <c r="W2295" s="67"/>
      <c r="X2295" s="67"/>
      <c r="Y2295" s="36">
        <v>44423</v>
      </c>
      <c r="Z2295" s="36">
        <v>46279</v>
      </c>
      <c r="AA2295" s="36"/>
      <c r="AB2295" s="36"/>
      <c r="AC2295" s="36"/>
      <c r="AD2295" s="36"/>
      <c r="AE2295" s="36"/>
      <c r="AF2295" s="53" t="s">
        <v>68</v>
      </c>
      <c r="AG2295" s="42"/>
      <c r="AH2295" s="42"/>
      <c r="AI2295" s="43"/>
      <c r="AJ2295" s="43"/>
      <c r="AK2295" s="43"/>
      <c r="AL2295" s="43"/>
      <c r="AM2295" s="43"/>
      <c r="AN2295" s="42"/>
      <c r="AO2295" s="42"/>
      <c r="AP2295" s="42"/>
      <c r="AQ2295" s="43"/>
      <c r="AR2295" s="42"/>
      <c r="AS2295" s="42"/>
    </row>
    <row r="2296" spans="1:45" ht="15" customHeight="1">
      <c r="A2296" s="65" t="s">
        <v>57</v>
      </c>
      <c r="B2296" s="22" t="s">
        <v>46</v>
      </c>
      <c r="C2296" s="21" t="s">
        <v>188</v>
      </c>
      <c r="D2296" s="22" t="s">
        <v>59</v>
      </c>
      <c r="E2296" s="66" t="s">
        <v>3004</v>
      </c>
      <c r="F2296" s="65" t="s">
        <v>3005</v>
      </c>
      <c r="G2296" s="26" t="s">
        <v>77</v>
      </c>
      <c r="H2296" s="45" t="s">
        <v>3006</v>
      </c>
      <c r="I2296" s="26" t="s">
        <v>78</v>
      </c>
      <c r="J2296" s="46" t="s">
        <v>3007</v>
      </c>
      <c r="K2296" s="47"/>
      <c r="L2296" s="48" t="s">
        <v>3008</v>
      </c>
      <c r="M2296" s="49">
        <v>44682</v>
      </c>
      <c r="N2296" s="47" t="s">
        <v>182</v>
      </c>
      <c r="O2296" s="61">
        <v>3520</v>
      </c>
      <c r="P2296" s="61">
        <v>23</v>
      </c>
      <c r="Q2296" s="51">
        <f t="shared" si="53"/>
        <v>80960</v>
      </c>
      <c r="R2296" s="31">
        <v>202310</v>
      </c>
      <c r="S2296" s="32" t="s">
        <v>3058</v>
      </c>
      <c r="T2296" s="33"/>
      <c r="U2296" s="32"/>
      <c r="V2296" s="33"/>
      <c r="W2296" s="67"/>
      <c r="X2296" s="67"/>
      <c r="Y2296" s="36">
        <v>44423</v>
      </c>
      <c r="Z2296" s="36">
        <v>46279</v>
      </c>
      <c r="AA2296" s="36"/>
      <c r="AB2296" s="36"/>
      <c r="AC2296" s="36"/>
      <c r="AD2296" s="36"/>
      <c r="AE2296" s="36"/>
      <c r="AF2296" s="53" t="s">
        <v>68</v>
      </c>
      <c r="AG2296" s="42"/>
      <c r="AH2296" s="42"/>
      <c r="AI2296" s="43"/>
      <c r="AJ2296" s="43"/>
      <c r="AK2296" s="43"/>
      <c r="AL2296" s="43"/>
      <c r="AM2296" s="43"/>
      <c r="AN2296" s="42"/>
      <c r="AO2296" s="42"/>
      <c r="AP2296" s="42"/>
      <c r="AQ2296" s="43"/>
      <c r="AR2296" s="42"/>
      <c r="AS2296" s="42"/>
    </row>
    <row r="2297" spans="1:45" ht="15" customHeight="1">
      <c r="A2297" s="65" t="s">
        <v>57</v>
      </c>
      <c r="B2297" s="22" t="s">
        <v>46</v>
      </c>
      <c r="C2297" s="21" t="s">
        <v>188</v>
      </c>
      <c r="D2297" s="22" t="s">
        <v>59</v>
      </c>
      <c r="E2297" s="66" t="s">
        <v>3004</v>
      </c>
      <c r="F2297" s="65" t="s">
        <v>3005</v>
      </c>
      <c r="G2297" s="26" t="s">
        <v>77</v>
      </c>
      <c r="H2297" s="45" t="s">
        <v>3006</v>
      </c>
      <c r="I2297" s="26" t="s">
        <v>78</v>
      </c>
      <c r="J2297" s="46" t="s">
        <v>3007</v>
      </c>
      <c r="K2297" s="47"/>
      <c r="L2297" s="48" t="s">
        <v>3008</v>
      </c>
      <c r="M2297" s="49">
        <v>44694</v>
      </c>
      <c r="N2297" s="47" t="s">
        <v>182</v>
      </c>
      <c r="O2297" s="61">
        <v>3520</v>
      </c>
      <c r="P2297" s="61">
        <v>2</v>
      </c>
      <c r="Q2297" s="51">
        <f t="shared" si="53"/>
        <v>7040</v>
      </c>
      <c r="R2297" s="31">
        <v>202310</v>
      </c>
      <c r="S2297" s="32" t="s">
        <v>3059</v>
      </c>
      <c r="T2297" s="33"/>
      <c r="U2297" s="32"/>
      <c r="V2297" s="33"/>
      <c r="W2297" s="67"/>
      <c r="X2297" s="67"/>
      <c r="Y2297" s="36">
        <v>44423</v>
      </c>
      <c r="Z2297" s="36">
        <v>46279</v>
      </c>
      <c r="AA2297" s="36"/>
      <c r="AB2297" s="36"/>
      <c r="AC2297" s="36"/>
      <c r="AD2297" s="36"/>
      <c r="AE2297" s="36"/>
      <c r="AF2297" s="53" t="s">
        <v>68</v>
      </c>
      <c r="AG2297" s="42"/>
      <c r="AH2297" s="42"/>
      <c r="AI2297" s="43"/>
      <c r="AJ2297" s="43"/>
      <c r="AK2297" s="43"/>
      <c r="AL2297" s="43"/>
      <c r="AM2297" s="43"/>
      <c r="AN2297" s="42"/>
      <c r="AO2297" s="42"/>
      <c r="AP2297" s="42"/>
      <c r="AQ2297" s="43"/>
      <c r="AR2297" s="42"/>
      <c r="AS2297" s="42"/>
    </row>
    <row r="2298" spans="1:45" ht="15" customHeight="1">
      <c r="A2298" s="65" t="s">
        <v>57</v>
      </c>
      <c r="B2298" s="22" t="s">
        <v>46</v>
      </c>
      <c r="C2298" s="21" t="s">
        <v>188</v>
      </c>
      <c r="D2298" s="22" t="s">
        <v>59</v>
      </c>
      <c r="E2298" s="66" t="s">
        <v>3004</v>
      </c>
      <c r="F2298" s="65" t="s">
        <v>3005</v>
      </c>
      <c r="G2298" s="26" t="s">
        <v>77</v>
      </c>
      <c r="H2298" s="45" t="s">
        <v>3006</v>
      </c>
      <c r="I2298" s="26" t="s">
        <v>78</v>
      </c>
      <c r="J2298" s="46" t="s">
        <v>3007</v>
      </c>
      <c r="K2298" s="47"/>
      <c r="L2298" s="48" t="s">
        <v>3008</v>
      </c>
      <c r="M2298" s="49">
        <v>44705</v>
      </c>
      <c r="N2298" s="47" t="s">
        <v>182</v>
      </c>
      <c r="O2298" s="61">
        <v>3520</v>
      </c>
      <c r="P2298" s="61">
        <v>16</v>
      </c>
      <c r="Q2298" s="51">
        <f t="shared" si="53"/>
        <v>56320</v>
      </c>
      <c r="R2298" s="31">
        <v>202310</v>
      </c>
      <c r="S2298" s="32" t="s">
        <v>3060</v>
      </c>
      <c r="T2298" s="33"/>
      <c r="U2298" s="32"/>
      <c r="V2298" s="33"/>
      <c r="W2298" s="67"/>
      <c r="X2298" s="67"/>
      <c r="Y2298" s="36">
        <v>44423</v>
      </c>
      <c r="Z2298" s="36">
        <v>46279</v>
      </c>
      <c r="AA2298" s="36"/>
      <c r="AB2298" s="36"/>
      <c r="AC2298" s="36"/>
      <c r="AD2298" s="36"/>
      <c r="AE2298" s="36"/>
      <c r="AF2298" s="53" t="s">
        <v>68</v>
      </c>
      <c r="AG2298" s="42"/>
      <c r="AH2298" s="42"/>
      <c r="AI2298" s="43"/>
      <c r="AJ2298" s="43"/>
      <c r="AK2298" s="43"/>
      <c r="AL2298" s="43"/>
      <c r="AM2298" s="43"/>
      <c r="AN2298" s="42"/>
      <c r="AO2298" s="42"/>
      <c r="AP2298" s="42"/>
      <c r="AQ2298" s="43"/>
      <c r="AR2298" s="42"/>
      <c r="AS2298" s="42"/>
    </row>
    <row r="2299" spans="1:45" ht="15" customHeight="1">
      <c r="A2299" s="65" t="s">
        <v>57</v>
      </c>
      <c r="B2299" s="22" t="s">
        <v>46</v>
      </c>
      <c r="C2299" s="21" t="s">
        <v>188</v>
      </c>
      <c r="D2299" s="22" t="s">
        <v>59</v>
      </c>
      <c r="E2299" s="66" t="s">
        <v>3004</v>
      </c>
      <c r="F2299" s="65" t="s">
        <v>3005</v>
      </c>
      <c r="G2299" s="26" t="s">
        <v>77</v>
      </c>
      <c r="H2299" s="45" t="s">
        <v>3006</v>
      </c>
      <c r="I2299" s="26" t="s">
        <v>78</v>
      </c>
      <c r="J2299" s="46" t="s">
        <v>3007</v>
      </c>
      <c r="K2299" s="47"/>
      <c r="L2299" s="48" t="s">
        <v>3008</v>
      </c>
      <c r="M2299" s="49">
        <v>44705</v>
      </c>
      <c r="N2299" s="47" t="s">
        <v>177</v>
      </c>
      <c r="O2299" s="61">
        <v>1760</v>
      </c>
      <c r="P2299" s="61">
        <v>2</v>
      </c>
      <c r="Q2299" s="51">
        <f t="shared" si="53"/>
        <v>3520</v>
      </c>
      <c r="R2299" s="31">
        <v>202310</v>
      </c>
      <c r="S2299" s="32" t="s">
        <v>3061</v>
      </c>
      <c r="T2299" s="33"/>
      <c r="U2299" s="32"/>
      <c r="V2299" s="33"/>
      <c r="W2299" s="67"/>
      <c r="X2299" s="67"/>
      <c r="Y2299" s="36">
        <v>44423</v>
      </c>
      <c r="Z2299" s="36">
        <v>46279</v>
      </c>
      <c r="AA2299" s="36"/>
      <c r="AB2299" s="36"/>
      <c r="AC2299" s="36"/>
      <c r="AD2299" s="36"/>
      <c r="AE2299" s="36"/>
      <c r="AF2299" s="53" t="s">
        <v>68</v>
      </c>
      <c r="AG2299" s="42"/>
      <c r="AH2299" s="42"/>
      <c r="AI2299" s="43"/>
      <c r="AJ2299" s="43"/>
      <c r="AK2299" s="43"/>
      <c r="AL2299" s="43"/>
      <c r="AM2299" s="43"/>
      <c r="AN2299" s="42"/>
      <c r="AO2299" s="42"/>
      <c r="AP2299" s="42"/>
      <c r="AQ2299" s="43"/>
      <c r="AR2299" s="42"/>
      <c r="AS2299" s="42"/>
    </row>
    <row r="2300" spans="1:45" ht="15" customHeight="1">
      <c r="A2300" s="65" t="s">
        <v>57</v>
      </c>
      <c r="B2300" s="22" t="s">
        <v>46</v>
      </c>
      <c r="C2300" s="21" t="s">
        <v>188</v>
      </c>
      <c r="D2300" s="22" t="s">
        <v>59</v>
      </c>
      <c r="E2300" s="66" t="s">
        <v>3004</v>
      </c>
      <c r="F2300" s="65" t="s">
        <v>3005</v>
      </c>
      <c r="G2300" s="26" t="s">
        <v>77</v>
      </c>
      <c r="H2300" s="45" t="s">
        <v>3006</v>
      </c>
      <c r="I2300" s="26" t="s">
        <v>78</v>
      </c>
      <c r="J2300" s="46" t="s">
        <v>3007</v>
      </c>
      <c r="K2300" s="47"/>
      <c r="L2300" s="48" t="s">
        <v>3008</v>
      </c>
      <c r="M2300" s="49">
        <v>44713</v>
      </c>
      <c r="N2300" s="47" t="s">
        <v>182</v>
      </c>
      <c r="O2300" s="61">
        <v>3520</v>
      </c>
      <c r="P2300" s="61">
        <v>142</v>
      </c>
      <c r="Q2300" s="51">
        <f t="shared" si="53"/>
        <v>499840</v>
      </c>
      <c r="R2300" s="31">
        <v>202310</v>
      </c>
      <c r="S2300" s="54" t="s">
        <v>3062</v>
      </c>
      <c r="T2300" s="33"/>
      <c r="U2300" s="32"/>
      <c r="V2300" s="33"/>
      <c r="W2300" s="67"/>
      <c r="X2300" s="67"/>
      <c r="Y2300" s="36">
        <v>44423</v>
      </c>
      <c r="Z2300" s="36">
        <v>46279</v>
      </c>
      <c r="AA2300" s="36"/>
      <c r="AB2300" s="36"/>
      <c r="AC2300" s="36"/>
      <c r="AD2300" s="36"/>
      <c r="AE2300" s="36"/>
      <c r="AF2300" s="53" t="s">
        <v>68</v>
      </c>
      <c r="AG2300" s="42"/>
      <c r="AH2300" s="42"/>
      <c r="AI2300" s="43"/>
      <c r="AJ2300" s="43"/>
      <c r="AK2300" s="43"/>
      <c r="AL2300" s="43"/>
      <c r="AM2300" s="43"/>
      <c r="AN2300" s="42"/>
      <c r="AO2300" s="42"/>
      <c r="AP2300" s="42"/>
      <c r="AQ2300" s="43"/>
      <c r="AR2300" s="42"/>
      <c r="AS2300" s="42"/>
    </row>
    <row r="2301" spans="1:45" ht="15" customHeight="1">
      <c r="A2301" s="65" t="s">
        <v>57</v>
      </c>
      <c r="B2301" s="22" t="s">
        <v>46</v>
      </c>
      <c r="C2301" s="21" t="s">
        <v>188</v>
      </c>
      <c r="D2301" s="22" t="s">
        <v>59</v>
      </c>
      <c r="E2301" s="66" t="s">
        <v>3004</v>
      </c>
      <c r="F2301" s="65" t="s">
        <v>3005</v>
      </c>
      <c r="G2301" s="26" t="s">
        <v>77</v>
      </c>
      <c r="H2301" s="45" t="s">
        <v>3006</v>
      </c>
      <c r="I2301" s="26" t="s">
        <v>78</v>
      </c>
      <c r="J2301" s="46" t="s">
        <v>3007</v>
      </c>
      <c r="K2301" s="47"/>
      <c r="L2301" s="48" t="s">
        <v>3063</v>
      </c>
      <c r="M2301" s="49">
        <v>44719</v>
      </c>
      <c r="N2301" s="47" t="s">
        <v>182</v>
      </c>
      <c r="O2301" s="61">
        <v>3520</v>
      </c>
      <c r="P2301" s="61">
        <v>7</v>
      </c>
      <c r="Q2301" s="51">
        <f t="shared" si="53"/>
        <v>24640</v>
      </c>
      <c r="R2301" s="31">
        <v>202310</v>
      </c>
      <c r="S2301" s="32" t="s">
        <v>3064</v>
      </c>
      <c r="T2301" s="33"/>
      <c r="U2301" s="32"/>
      <c r="V2301" s="33"/>
      <c r="W2301" s="67"/>
      <c r="X2301" s="67"/>
      <c r="Y2301" s="36">
        <v>44423</v>
      </c>
      <c r="Z2301" s="36">
        <v>46279</v>
      </c>
      <c r="AA2301" s="36"/>
      <c r="AB2301" s="36"/>
      <c r="AC2301" s="36"/>
      <c r="AD2301" s="36"/>
      <c r="AE2301" s="36"/>
      <c r="AF2301" s="53" t="s">
        <v>68</v>
      </c>
      <c r="AG2301" s="42"/>
      <c r="AH2301" s="42"/>
      <c r="AI2301" s="43"/>
      <c r="AJ2301" s="43"/>
      <c r="AK2301" s="43"/>
      <c r="AL2301" s="43"/>
      <c r="AM2301" s="43"/>
      <c r="AN2301" s="42"/>
      <c r="AO2301" s="42"/>
      <c r="AP2301" s="42"/>
      <c r="AQ2301" s="43"/>
      <c r="AR2301" s="42"/>
      <c r="AS2301" s="42"/>
    </row>
    <row r="2302" spans="1:45" ht="15" customHeight="1">
      <c r="A2302" s="65" t="s">
        <v>57</v>
      </c>
      <c r="B2302" s="22" t="s">
        <v>46</v>
      </c>
      <c r="C2302" s="21" t="s">
        <v>188</v>
      </c>
      <c r="D2302" s="22" t="s">
        <v>59</v>
      </c>
      <c r="E2302" s="66" t="s">
        <v>3004</v>
      </c>
      <c r="F2302" s="65" t="s">
        <v>3005</v>
      </c>
      <c r="G2302" s="26" t="s">
        <v>77</v>
      </c>
      <c r="H2302" s="45" t="s">
        <v>3006</v>
      </c>
      <c r="I2302" s="26" t="s">
        <v>78</v>
      </c>
      <c r="J2302" s="46" t="s">
        <v>3007</v>
      </c>
      <c r="K2302" s="47"/>
      <c r="L2302" s="48" t="s">
        <v>3008</v>
      </c>
      <c r="M2302" s="49">
        <v>44720</v>
      </c>
      <c r="N2302" s="47" t="s">
        <v>182</v>
      </c>
      <c r="O2302" s="61">
        <v>3520</v>
      </c>
      <c r="P2302" s="61">
        <v>6</v>
      </c>
      <c r="Q2302" s="51">
        <f t="shared" si="53"/>
        <v>21120</v>
      </c>
      <c r="R2302" s="31">
        <v>202310</v>
      </c>
      <c r="S2302" s="32" t="s">
        <v>3065</v>
      </c>
      <c r="T2302" s="33"/>
      <c r="U2302" s="32"/>
      <c r="V2302" s="33"/>
      <c r="W2302" s="67"/>
      <c r="X2302" s="67"/>
      <c r="Y2302" s="36">
        <v>44423</v>
      </c>
      <c r="Z2302" s="36">
        <v>46279</v>
      </c>
      <c r="AA2302" s="36"/>
      <c r="AB2302" s="36"/>
      <c r="AC2302" s="36"/>
      <c r="AD2302" s="36"/>
      <c r="AE2302" s="36"/>
      <c r="AF2302" s="53" t="s">
        <v>68</v>
      </c>
      <c r="AG2302" s="42"/>
      <c r="AH2302" s="42"/>
      <c r="AI2302" s="43"/>
      <c r="AJ2302" s="43"/>
      <c r="AK2302" s="43"/>
      <c r="AL2302" s="43"/>
      <c r="AM2302" s="43"/>
      <c r="AN2302" s="42"/>
      <c r="AO2302" s="42"/>
      <c r="AP2302" s="42"/>
      <c r="AQ2302" s="43"/>
      <c r="AR2302" s="42"/>
      <c r="AS2302" s="42"/>
    </row>
    <row r="2303" spans="1:45" ht="15" customHeight="1">
      <c r="A2303" s="65" t="s">
        <v>57</v>
      </c>
      <c r="B2303" s="22" t="s">
        <v>46</v>
      </c>
      <c r="C2303" s="21" t="s">
        <v>188</v>
      </c>
      <c r="D2303" s="22" t="s">
        <v>59</v>
      </c>
      <c r="E2303" s="66" t="s">
        <v>3004</v>
      </c>
      <c r="F2303" s="65" t="s">
        <v>3005</v>
      </c>
      <c r="G2303" s="26" t="s">
        <v>77</v>
      </c>
      <c r="H2303" s="45" t="s">
        <v>3006</v>
      </c>
      <c r="I2303" s="26" t="s">
        <v>78</v>
      </c>
      <c r="J2303" s="46" t="s">
        <v>3007</v>
      </c>
      <c r="K2303" s="47"/>
      <c r="L2303" s="48" t="s">
        <v>3008</v>
      </c>
      <c r="M2303" s="49">
        <v>44721</v>
      </c>
      <c r="N2303" s="47" t="s">
        <v>182</v>
      </c>
      <c r="O2303" s="61">
        <v>3520</v>
      </c>
      <c r="P2303" s="61">
        <v>10</v>
      </c>
      <c r="Q2303" s="51">
        <f t="shared" si="53"/>
        <v>35200</v>
      </c>
      <c r="R2303" s="31">
        <v>202310</v>
      </c>
      <c r="S2303" s="32" t="s">
        <v>3066</v>
      </c>
      <c r="T2303" s="33"/>
      <c r="U2303" s="32"/>
      <c r="V2303" s="33"/>
      <c r="W2303" s="67"/>
      <c r="X2303" s="67"/>
      <c r="Y2303" s="36">
        <v>44423</v>
      </c>
      <c r="Z2303" s="36">
        <v>46279</v>
      </c>
      <c r="AA2303" s="36"/>
      <c r="AB2303" s="36"/>
      <c r="AC2303" s="36"/>
      <c r="AD2303" s="36"/>
      <c r="AE2303" s="36"/>
      <c r="AF2303" s="53" t="s">
        <v>68</v>
      </c>
      <c r="AG2303" s="42"/>
      <c r="AH2303" s="42"/>
      <c r="AI2303" s="43"/>
      <c r="AJ2303" s="43"/>
      <c r="AK2303" s="43"/>
      <c r="AL2303" s="43"/>
      <c r="AM2303" s="43"/>
      <c r="AN2303" s="42"/>
      <c r="AO2303" s="42"/>
      <c r="AP2303" s="42"/>
      <c r="AQ2303" s="43"/>
      <c r="AR2303" s="42"/>
      <c r="AS2303" s="42"/>
    </row>
    <row r="2304" spans="1:45" ht="15" customHeight="1">
      <c r="A2304" s="65" t="s">
        <v>57</v>
      </c>
      <c r="B2304" s="22" t="s">
        <v>46</v>
      </c>
      <c r="C2304" s="21" t="s">
        <v>188</v>
      </c>
      <c r="D2304" s="22" t="s">
        <v>59</v>
      </c>
      <c r="E2304" s="66" t="s">
        <v>3004</v>
      </c>
      <c r="F2304" s="65" t="s">
        <v>3005</v>
      </c>
      <c r="G2304" s="26" t="s">
        <v>77</v>
      </c>
      <c r="H2304" s="45" t="s">
        <v>3006</v>
      </c>
      <c r="I2304" s="26" t="s">
        <v>78</v>
      </c>
      <c r="J2304" s="46" t="s">
        <v>3007</v>
      </c>
      <c r="K2304" s="47"/>
      <c r="L2304" s="48" t="s">
        <v>3063</v>
      </c>
      <c r="M2304" s="49">
        <v>44725</v>
      </c>
      <c r="N2304" s="47" t="s">
        <v>182</v>
      </c>
      <c r="O2304" s="61">
        <v>3520</v>
      </c>
      <c r="P2304" s="61">
        <v>5</v>
      </c>
      <c r="Q2304" s="51">
        <f t="shared" si="53"/>
        <v>17600</v>
      </c>
      <c r="R2304" s="31">
        <v>202310</v>
      </c>
      <c r="S2304" s="32" t="s">
        <v>3067</v>
      </c>
      <c r="T2304" s="33"/>
      <c r="U2304" s="32"/>
      <c r="V2304" s="33"/>
      <c r="W2304" s="67"/>
      <c r="X2304" s="67"/>
      <c r="Y2304" s="36">
        <v>44423</v>
      </c>
      <c r="Z2304" s="36">
        <v>46279</v>
      </c>
      <c r="AA2304" s="36"/>
      <c r="AB2304" s="36"/>
      <c r="AC2304" s="36"/>
      <c r="AD2304" s="36"/>
      <c r="AE2304" s="36"/>
      <c r="AF2304" s="53" t="s">
        <v>68</v>
      </c>
      <c r="AG2304" s="42"/>
      <c r="AH2304" s="42"/>
      <c r="AI2304" s="43"/>
      <c r="AJ2304" s="43"/>
      <c r="AK2304" s="43"/>
      <c r="AL2304" s="43"/>
      <c r="AM2304" s="43"/>
      <c r="AN2304" s="42"/>
      <c r="AO2304" s="42"/>
      <c r="AP2304" s="42"/>
      <c r="AQ2304" s="43"/>
      <c r="AR2304" s="42"/>
      <c r="AS2304" s="42"/>
    </row>
    <row r="2305" spans="1:45" ht="15" customHeight="1">
      <c r="A2305" s="65" t="s">
        <v>57</v>
      </c>
      <c r="B2305" s="22" t="s">
        <v>46</v>
      </c>
      <c r="C2305" s="21" t="s">
        <v>188</v>
      </c>
      <c r="D2305" s="22" t="s">
        <v>59</v>
      </c>
      <c r="E2305" s="66" t="s">
        <v>3004</v>
      </c>
      <c r="F2305" s="65" t="s">
        <v>3005</v>
      </c>
      <c r="G2305" s="26" t="s">
        <v>77</v>
      </c>
      <c r="H2305" s="45" t="s">
        <v>3006</v>
      </c>
      <c r="I2305" s="26" t="s">
        <v>78</v>
      </c>
      <c r="J2305" s="46" t="s">
        <v>3007</v>
      </c>
      <c r="K2305" s="47"/>
      <c r="L2305" s="48" t="s">
        <v>3008</v>
      </c>
      <c r="M2305" s="49">
        <v>44736</v>
      </c>
      <c r="N2305" s="47" t="s">
        <v>182</v>
      </c>
      <c r="O2305" s="61">
        <v>3520</v>
      </c>
      <c r="P2305" s="61">
        <v>9</v>
      </c>
      <c r="Q2305" s="51">
        <f t="shared" si="53"/>
        <v>31680</v>
      </c>
      <c r="R2305" s="31">
        <v>202310</v>
      </c>
      <c r="S2305" s="32" t="s">
        <v>3068</v>
      </c>
      <c r="T2305" s="33"/>
      <c r="U2305" s="32"/>
      <c r="V2305" s="33"/>
      <c r="W2305" s="67"/>
      <c r="X2305" s="67"/>
      <c r="Y2305" s="36">
        <v>44423</v>
      </c>
      <c r="Z2305" s="36">
        <v>46279</v>
      </c>
      <c r="AA2305" s="36"/>
      <c r="AB2305" s="36"/>
      <c r="AC2305" s="36"/>
      <c r="AD2305" s="36"/>
      <c r="AE2305" s="36"/>
      <c r="AF2305" s="53" t="s">
        <v>68</v>
      </c>
      <c r="AG2305" s="42"/>
      <c r="AH2305" s="42"/>
      <c r="AI2305" s="43"/>
      <c r="AJ2305" s="43"/>
      <c r="AK2305" s="43"/>
      <c r="AL2305" s="43"/>
      <c r="AM2305" s="43"/>
      <c r="AN2305" s="42"/>
      <c r="AO2305" s="42"/>
      <c r="AP2305" s="42"/>
      <c r="AQ2305" s="43"/>
      <c r="AR2305" s="42"/>
      <c r="AS2305" s="42"/>
    </row>
    <row r="2306" spans="1:45" ht="15" customHeight="1">
      <c r="A2306" s="65" t="s">
        <v>57</v>
      </c>
      <c r="B2306" s="22" t="s">
        <v>46</v>
      </c>
      <c r="C2306" s="21" t="s">
        <v>188</v>
      </c>
      <c r="D2306" s="22" t="s">
        <v>59</v>
      </c>
      <c r="E2306" s="66" t="s">
        <v>3004</v>
      </c>
      <c r="F2306" s="65" t="s">
        <v>3005</v>
      </c>
      <c r="G2306" s="26" t="s">
        <v>77</v>
      </c>
      <c r="H2306" s="45" t="s">
        <v>3006</v>
      </c>
      <c r="I2306" s="26" t="s">
        <v>78</v>
      </c>
      <c r="J2306" s="46" t="s">
        <v>3007</v>
      </c>
      <c r="K2306" s="47"/>
      <c r="L2306" s="48" t="s">
        <v>3008</v>
      </c>
      <c r="M2306" s="49">
        <v>44741</v>
      </c>
      <c r="N2306" s="47" t="s">
        <v>182</v>
      </c>
      <c r="O2306" s="61">
        <v>3520</v>
      </c>
      <c r="P2306" s="61">
        <v>15</v>
      </c>
      <c r="Q2306" s="51">
        <f t="shared" si="53"/>
        <v>52800</v>
      </c>
      <c r="R2306" s="31">
        <v>202310</v>
      </c>
      <c r="S2306" s="32" t="s">
        <v>3069</v>
      </c>
      <c r="T2306" s="33"/>
      <c r="U2306" s="32"/>
      <c r="V2306" s="33"/>
      <c r="W2306" s="67"/>
      <c r="X2306" s="67"/>
      <c r="Y2306" s="36">
        <v>44423</v>
      </c>
      <c r="Z2306" s="36">
        <v>46279</v>
      </c>
      <c r="AA2306" s="36"/>
      <c r="AB2306" s="36"/>
      <c r="AC2306" s="36"/>
      <c r="AD2306" s="36"/>
      <c r="AE2306" s="36"/>
      <c r="AF2306" s="53" t="s">
        <v>68</v>
      </c>
      <c r="AG2306" s="42"/>
      <c r="AH2306" s="42"/>
      <c r="AI2306" s="43"/>
      <c r="AJ2306" s="43"/>
      <c r="AK2306" s="43"/>
      <c r="AL2306" s="43"/>
      <c r="AM2306" s="43"/>
      <c r="AN2306" s="42"/>
      <c r="AO2306" s="42"/>
      <c r="AP2306" s="42"/>
      <c r="AQ2306" s="43"/>
      <c r="AR2306" s="42"/>
      <c r="AS2306" s="42"/>
    </row>
    <row r="2307" spans="1:45" ht="15" customHeight="1">
      <c r="A2307" s="65" t="s">
        <v>57</v>
      </c>
      <c r="B2307" s="22" t="s">
        <v>46</v>
      </c>
      <c r="C2307" s="21" t="s">
        <v>188</v>
      </c>
      <c r="D2307" s="22" t="s">
        <v>59</v>
      </c>
      <c r="E2307" s="66" t="s">
        <v>3004</v>
      </c>
      <c r="F2307" s="65" t="s">
        <v>3005</v>
      </c>
      <c r="G2307" s="26" t="s">
        <v>77</v>
      </c>
      <c r="H2307" s="45" t="s">
        <v>3006</v>
      </c>
      <c r="I2307" s="26" t="s">
        <v>78</v>
      </c>
      <c r="J2307" s="46" t="s">
        <v>3007</v>
      </c>
      <c r="K2307" s="47"/>
      <c r="L2307" s="48" t="s">
        <v>3008</v>
      </c>
      <c r="M2307" s="49">
        <v>44742</v>
      </c>
      <c r="N2307" s="47" t="s">
        <v>182</v>
      </c>
      <c r="O2307" s="61">
        <v>3520</v>
      </c>
      <c r="P2307" s="61">
        <v>2</v>
      </c>
      <c r="Q2307" s="51">
        <f t="shared" si="53"/>
        <v>7040</v>
      </c>
      <c r="R2307" s="31">
        <v>202310</v>
      </c>
      <c r="S2307" s="32" t="s">
        <v>3070</v>
      </c>
      <c r="T2307" s="33"/>
      <c r="U2307" s="32"/>
      <c r="V2307" s="33"/>
      <c r="W2307" s="67"/>
      <c r="X2307" s="67"/>
      <c r="Y2307" s="36">
        <v>44423</v>
      </c>
      <c r="Z2307" s="36">
        <v>46279</v>
      </c>
      <c r="AA2307" s="36"/>
      <c r="AB2307" s="36"/>
      <c r="AC2307" s="36"/>
      <c r="AD2307" s="36"/>
      <c r="AE2307" s="36"/>
      <c r="AF2307" s="53" t="s">
        <v>68</v>
      </c>
      <c r="AG2307" s="42"/>
      <c r="AH2307" s="42"/>
      <c r="AI2307" s="43"/>
      <c r="AJ2307" s="43"/>
      <c r="AK2307" s="43"/>
      <c r="AL2307" s="43"/>
      <c r="AM2307" s="43"/>
      <c r="AN2307" s="42"/>
      <c r="AO2307" s="42"/>
      <c r="AP2307" s="42"/>
      <c r="AQ2307" s="43"/>
      <c r="AR2307" s="42"/>
      <c r="AS2307" s="42"/>
    </row>
    <row r="2308" spans="1:45" ht="15" customHeight="1">
      <c r="A2308" s="65" t="s">
        <v>57</v>
      </c>
      <c r="B2308" s="22" t="s">
        <v>46</v>
      </c>
      <c r="C2308" s="21" t="s">
        <v>188</v>
      </c>
      <c r="D2308" s="22" t="s">
        <v>59</v>
      </c>
      <c r="E2308" s="66" t="s">
        <v>3004</v>
      </c>
      <c r="F2308" s="65" t="s">
        <v>3005</v>
      </c>
      <c r="G2308" s="26" t="s">
        <v>77</v>
      </c>
      <c r="H2308" s="45" t="s">
        <v>3006</v>
      </c>
      <c r="I2308" s="26" t="s">
        <v>78</v>
      </c>
      <c r="J2308" s="46" t="s">
        <v>3007</v>
      </c>
      <c r="K2308" s="47"/>
      <c r="L2308" s="48" t="s">
        <v>3008</v>
      </c>
      <c r="M2308" s="49">
        <v>44745</v>
      </c>
      <c r="N2308" s="47" t="s">
        <v>182</v>
      </c>
      <c r="O2308" s="61">
        <v>3520</v>
      </c>
      <c r="P2308" s="61">
        <v>5</v>
      </c>
      <c r="Q2308" s="51">
        <f t="shared" si="53"/>
        <v>17600</v>
      </c>
      <c r="R2308" s="31">
        <v>202310</v>
      </c>
      <c r="S2308" s="32" t="s">
        <v>3071</v>
      </c>
      <c r="T2308" s="33"/>
      <c r="U2308" s="32"/>
      <c r="V2308" s="33"/>
      <c r="W2308" s="67"/>
      <c r="X2308" s="67"/>
      <c r="Y2308" s="36">
        <v>44423</v>
      </c>
      <c r="Z2308" s="36">
        <v>46279</v>
      </c>
      <c r="AA2308" s="36"/>
      <c r="AB2308" s="36"/>
      <c r="AC2308" s="36"/>
      <c r="AD2308" s="36"/>
      <c r="AE2308" s="36"/>
      <c r="AF2308" s="53" t="s">
        <v>68</v>
      </c>
      <c r="AG2308" s="42"/>
      <c r="AH2308" s="42"/>
      <c r="AI2308" s="43"/>
      <c r="AJ2308" s="43"/>
      <c r="AK2308" s="43"/>
      <c r="AL2308" s="43"/>
      <c r="AM2308" s="43"/>
      <c r="AN2308" s="42"/>
      <c r="AO2308" s="42"/>
      <c r="AP2308" s="42"/>
      <c r="AQ2308" s="43"/>
      <c r="AR2308" s="42"/>
      <c r="AS2308" s="42"/>
    </row>
    <row r="2309" spans="1:45" ht="15" customHeight="1">
      <c r="A2309" s="65" t="s">
        <v>57</v>
      </c>
      <c r="B2309" s="22" t="s">
        <v>46</v>
      </c>
      <c r="C2309" s="21" t="s">
        <v>188</v>
      </c>
      <c r="D2309" s="22" t="s">
        <v>59</v>
      </c>
      <c r="E2309" s="66" t="s">
        <v>3004</v>
      </c>
      <c r="F2309" s="65" t="s">
        <v>3005</v>
      </c>
      <c r="G2309" s="26" t="s">
        <v>77</v>
      </c>
      <c r="H2309" s="45" t="s">
        <v>3006</v>
      </c>
      <c r="I2309" s="26" t="s">
        <v>78</v>
      </c>
      <c r="J2309" s="46" t="s">
        <v>3007</v>
      </c>
      <c r="K2309" s="47"/>
      <c r="L2309" s="48" t="s">
        <v>3008</v>
      </c>
      <c r="M2309" s="49">
        <v>44762</v>
      </c>
      <c r="N2309" s="47" t="s">
        <v>182</v>
      </c>
      <c r="O2309" s="61">
        <v>3520</v>
      </c>
      <c r="P2309" s="61">
        <v>5</v>
      </c>
      <c r="Q2309" s="51">
        <f t="shared" si="53"/>
        <v>17600</v>
      </c>
      <c r="R2309" s="31">
        <v>202310</v>
      </c>
      <c r="S2309" s="32" t="s">
        <v>3072</v>
      </c>
      <c r="T2309" s="33"/>
      <c r="U2309" s="32"/>
      <c r="V2309" s="33"/>
      <c r="W2309" s="67"/>
      <c r="X2309" s="67"/>
      <c r="Y2309" s="36">
        <v>44423</v>
      </c>
      <c r="Z2309" s="36">
        <v>46279</v>
      </c>
      <c r="AA2309" s="36"/>
      <c r="AB2309" s="36"/>
      <c r="AC2309" s="36"/>
      <c r="AD2309" s="36"/>
      <c r="AE2309" s="36"/>
      <c r="AF2309" s="53" t="s">
        <v>68</v>
      </c>
      <c r="AG2309" s="42"/>
      <c r="AH2309" s="42"/>
      <c r="AI2309" s="43"/>
      <c r="AJ2309" s="43"/>
      <c r="AK2309" s="43"/>
      <c r="AL2309" s="43"/>
      <c r="AM2309" s="43"/>
      <c r="AN2309" s="42"/>
      <c r="AO2309" s="42"/>
      <c r="AP2309" s="42"/>
      <c r="AQ2309" s="43"/>
      <c r="AR2309" s="42"/>
      <c r="AS2309" s="42"/>
    </row>
    <row r="2310" spans="1:45" ht="15" customHeight="1">
      <c r="A2310" s="65" t="s">
        <v>57</v>
      </c>
      <c r="B2310" s="22" t="s">
        <v>46</v>
      </c>
      <c r="C2310" s="21" t="s">
        <v>188</v>
      </c>
      <c r="D2310" s="22" t="s">
        <v>59</v>
      </c>
      <c r="E2310" s="66" t="s">
        <v>3004</v>
      </c>
      <c r="F2310" s="65" t="s">
        <v>3005</v>
      </c>
      <c r="G2310" s="26" t="s">
        <v>77</v>
      </c>
      <c r="H2310" s="45" t="s">
        <v>3006</v>
      </c>
      <c r="I2310" s="26" t="s">
        <v>78</v>
      </c>
      <c r="J2310" s="46" t="s">
        <v>3007</v>
      </c>
      <c r="K2310" s="47"/>
      <c r="L2310" s="48" t="s">
        <v>3008</v>
      </c>
      <c r="M2310" s="49">
        <v>44768</v>
      </c>
      <c r="N2310" s="47" t="s">
        <v>182</v>
      </c>
      <c r="O2310" s="61">
        <v>3520</v>
      </c>
      <c r="P2310" s="61">
        <v>-123</v>
      </c>
      <c r="Q2310" s="51">
        <f t="shared" si="53"/>
        <v>-432960</v>
      </c>
      <c r="R2310" s="31">
        <v>202310</v>
      </c>
      <c r="S2310" s="32" t="s">
        <v>3073</v>
      </c>
      <c r="T2310" s="33"/>
      <c r="U2310" s="32"/>
      <c r="V2310" s="33"/>
      <c r="W2310" s="67"/>
      <c r="X2310" s="67"/>
      <c r="Y2310" s="36">
        <v>44423</v>
      </c>
      <c r="Z2310" s="36">
        <v>46279</v>
      </c>
      <c r="AA2310" s="36"/>
      <c r="AB2310" s="36"/>
      <c r="AC2310" s="36"/>
      <c r="AD2310" s="36"/>
      <c r="AE2310" s="36"/>
      <c r="AF2310" s="53" t="s">
        <v>68</v>
      </c>
      <c r="AG2310" s="42"/>
      <c r="AH2310" s="42"/>
      <c r="AI2310" s="43"/>
      <c r="AJ2310" s="43"/>
      <c r="AK2310" s="43"/>
      <c r="AL2310" s="43"/>
      <c r="AM2310" s="43"/>
      <c r="AN2310" s="42"/>
      <c r="AO2310" s="42"/>
      <c r="AP2310" s="42"/>
      <c r="AQ2310" s="43"/>
      <c r="AR2310" s="42"/>
      <c r="AS2310" s="42"/>
    </row>
    <row r="2311" spans="1:45" ht="15" customHeight="1">
      <c r="A2311" s="65" t="s">
        <v>57</v>
      </c>
      <c r="B2311" s="22" t="s">
        <v>46</v>
      </c>
      <c r="C2311" s="21" t="s">
        <v>188</v>
      </c>
      <c r="D2311" s="22" t="s">
        <v>59</v>
      </c>
      <c r="E2311" s="66" t="s">
        <v>3004</v>
      </c>
      <c r="F2311" s="65" t="s">
        <v>3005</v>
      </c>
      <c r="G2311" s="26" t="s">
        <v>77</v>
      </c>
      <c r="H2311" s="45" t="s">
        <v>3006</v>
      </c>
      <c r="I2311" s="26" t="s">
        <v>78</v>
      </c>
      <c r="J2311" s="46" t="s">
        <v>3007</v>
      </c>
      <c r="K2311" s="47"/>
      <c r="L2311" s="48" t="s">
        <v>3008</v>
      </c>
      <c r="M2311" s="49">
        <v>44798</v>
      </c>
      <c r="N2311" s="47" t="s">
        <v>177</v>
      </c>
      <c r="O2311" s="61">
        <v>1760</v>
      </c>
      <c r="P2311" s="61">
        <v>2</v>
      </c>
      <c r="Q2311" s="51">
        <f t="shared" si="53"/>
        <v>3520</v>
      </c>
      <c r="R2311" s="31">
        <v>202310</v>
      </c>
      <c r="S2311" s="32" t="s">
        <v>3074</v>
      </c>
      <c r="T2311" s="33"/>
      <c r="U2311" s="32"/>
      <c r="V2311" s="33"/>
      <c r="W2311" s="67"/>
      <c r="X2311" s="67"/>
      <c r="Y2311" s="36">
        <v>44423</v>
      </c>
      <c r="Z2311" s="36">
        <v>46279</v>
      </c>
      <c r="AA2311" s="36"/>
      <c r="AB2311" s="36"/>
      <c r="AC2311" s="36"/>
      <c r="AD2311" s="36"/>
      <c r="AE2311" s="36"/>
      <c r="AF2311" s="53" t="s">
        <v>68</v>
      </c>
      <c r="AG2311" s="42"/>
      <c r="AH2311" s="42"/>
      <c r="AI2311" s="43"/>
      <c r="AJ2311" s="43"/>
      <c r="AK2311" s="43"/>
      <c r="AL2311" s="43"/>
      <c r="AM2311" s="43"/>
      <c r="AN2311" s="42"/>
      <c r="AO2311" s="42"/>
      <c r="AP2311" s="42"/>
      <c r="AQ2311" s="43"/>
      <c r="AR2311" s="42"/>
      <c r="AS2311" s="42"/>
    </row>
    <row r="2312" spans="1:45" ht="15" customHeight="1">
      <c r="A2312" s="65" t="s">
        <v>57</v>
      </c>
      <c r="B2312" s="22" t="s">
        <v>46</v>
      </c>
      <c r="C2312" s="21" t="s">
        <v>188</v>
      </c>
      <c r="D2312" s="22" t="s">
        <v>59</v>
      </c>
      <c r="E2312" s="66" t="s">
        <v>3004</v>
      </c>
      <c r="F2312" s="65" t="s">
        <v>3005</v>
      </c>
      <c r="G2312" s="26" t="s">
        <v>77</v>
      </c>
      <c r="H2312" s="45" t="s">
        <v>3006</v>
      </c>
      <c r="I2312" s="26" t="s">
        <v>78</v>
      </c>
      <c r="J2312" s="46" t="s">
        <v>3007</v>
      </c>
      <c r="K2312" s="47"/>
      <c r="L2312" s="48" t="s">
        <v>3008</v>
      </c>
      <c r="M2312" s="49">
        <v>44783</v>
      </c>
      <c r="N2312" s="47" t="s">
        <v>182</v>
      </c>
      <c r="O2312" s="61">
        <v>3520</v>
      </c>
      <c r="P2312" s="61">
        <v>2</v>
      </c>
      <c r="Q2312" s="51">
        <f t="shared" si="53"/>
        <v>7040</v>
      </c>
      <c r="R2312" s="31">
        <v>202310</v>
      </c>
      <c r="S2312" s="32" t="s">
        <v>3075</v>
      </c>
      <c r="T2312" s="33"/>
      <c r="U2312" s="32"/>
      <c r="V2312" s="33"/>
      <c r="W2312" s="67"/>
      <c r="X2312" s="67"/>
      <c r="Y2312" s="36">
        <v>44423</v>
      </c>
      <c r="Z2312" s="36">
        <v>46279</v>
      </c>
      <c r="AA2312" s="36"/>
      <c r="AB2312" s="36"/>
      <c r="AC2312" s="36"/>
      <c r="AD2312" s="36"/>
      <c r="AE2312" s="36"/>
      <c r="AF2312" s="53" t="s">
        <v>68</v>
      </c>
      <c r="AG2312" s="42"/>
      <c r="AH2312" s="42"/>
      <c r="AI2312" s="43"/>
      <c r="AJ2312" s="43"/>
      <c r="AK2312" s="43"/>
      <c r="AL2312" s="43"/>
      <c r="AM2312" s="43"/>
      <c r="AN2312" s="42"/>
      <c r="AO2312" s="42"/>
      <c r="AP2312" s="42"/>
      <c r="AQ2312" s="43"/>
      <c r="AR2312" s="42"/>
      <c r="AS2312" s="42"/>
    </row>
    <row r="2313" spans="1:45" ht="15" customHeight="1">
      <c r="A2313" s="65" t="s">
        <v>57</v>
      </c>
      <c r="B2313" s="22" t="s">
        <v>46</v>
      </c>
      <c r="C2313" s="21" t="s">
        <v>188</v>
      </c>
      <c r="D2313" s="22" t="s">
        <v>59</v>
      </c>
      <c r="E2313" s="66" t="s">
        <v>3004</v>
      </c>
      <c r="F2313" s="65" t="s">
        <v>3005</v>
      </c>
      <c r="G2313" s="26" t="s">
        <v>77</v>
      </c>
      <c r="H2313" s="45" t="s">
        <v>3006</v>
      </c>
      <c r="I2313" s="26" t="s">
        <v>78</v>
      </c>
      <c r="J2313" s="46" t="s">
        <v>3007</v>
      </c>
      <c r="K2313" s="47"/>
      <c r="L2313" s="48" t="s">
        <v>3027</v>
      </c>
      <c r="M2313" s="49">
        <v>44785</v>
      </c>
      <c r="N2313" s="47" t="s">
        <v>182</v>
      </c>
      <c r="O2313" s="61">
        <v>3520</v>
      </c>
      <c r="P2313" s="61">
        <v>2</v>
      </c>
      <c r="Q2313" s="51">
        <f t="shared" ref="Q2313:Q2347" si="54">ROUND(O2313*P2313,2)</f>
        <v>7040</v>
      </c>
      <c r="R2313" s="31">
        <v>202310</v>
      </c>
      <c r="S2313" s="217" t="s">
        <v>3076</v>
      </c>
      <c r="T2313" s="33"/>
      <c r="U2313" s="32"/>
      <c r="V2313" s="33"/>
      <c r="W2313" s="67"/>
      <c r="X2313" s="67"/>
      <c r="Y2313" s="36">
        <v>44423</v>
      </c>
      <c r="Z2313" s="36">
        <v>46279</v>
      </c>
      <c r="AA2313" s="36"/>
      <c r="AB2313" s="36"/>
      <c r="AC2313" s="36"/>
      <c r="AD2313" s="36"/>
      <c r="AE2313" s="36"/>
      <c r="AF2313" s="53" t="s">
        <v>68</v>
      </c>
      <c r="AG2313" s="42"/>
      <c r="AH2313" s="42"/>
      <c r="AI2313" s="43"/>
      <c r="AJ2313" s="43"/>
      <c r="AK2313" s="43"/>
      <c r="AL2313" s="43"/>
      <c r="AM2313" s="43"/>
      <c r="AN2313" s="42"/>
      <c r="AO2313" s="42"/>
      <c r="AP2313" s="42"/>
      <c r="AQ2313" s="43"/>
      <c r="AR2313" s="42"/>
      <c r="AS2313" s="42"/>
    </row>
    <row r="2314" spans="1:45" ht="15" customHeight="1">
      <c r="A2314" s="65" t="s">
        <v>57</v>
      </c>
      <c r="B2314" s="22" t="s">
        <v>46</v>
      </c>
      <c r="C2314" s="21" t="s">
        <v>188</v>
      </c>
      <c r="D2314" s="22" t="s">
        <v>59</v>
      </c>
      <c r="E2314" s="66" t="s">
        <v>3004</v>
      </c>
      <c r="F2314" s="65" t="s">
        <v>3005</v>
      </c>
      <c r="G2314" s="26" t="s">
        <v>77</v>
      </c>
      <c r="H2314" s="45" t="s">
        <v>3006</v>
      </c>
      <c r="I2314" s="26" t="s">
        <v>78</v>
      </c>
      <c r="J2314" s="46" t="s">
        <v>3007</v>
      </c>
      <c r="K2314" s="47"/>
      <c r="L2314" s="48" t="s">
        <v>3008</v>
      </c>
      <c r="M2314" s="49">
        <v>44789</v>
      </c>
      <c r="N2314" s="47" t="s">
        <v>182</v>
      </c>
      <c r="O2314" s="61">
        <v>3520</v>
      </c>
      <c r="P2314" s="61">
        <v>2</v>
      </c>
      <c r="Q2314" s="51">
        <f t="shared" si="54"/>
        <v>7040</v>
      </c>
      <c r="R2314" s="31">
        <v>202310</v>
      </c>
      <c r="S2314" s="32" t="s">
        <v>3077</v>
      </c>
      <c r="T2314" s="33"/>
      <c r="U2314" s="32"/>
      <c r="V2314" s="33"/>
      <c r="W2314" s="67"/>
      <c r="X2314" s="67"/>
      <c r="Y2314" s="36">
        <v>44423</v>
      </c>
      <c r="Z2314" s="36">
        <v>46279</v>
      </c>
      <c r="AA2314" s="36"/>
      <c r="AB2314" s="36"/>
      <c r="AC2314" s="36"/>
      <c r="AD2314" s="36"/>
      <c r="AE2314" s="36"/>
      <c r="AF2314" s="53" t="s">
        <v>68</v>
      </c>
      <c r="AG2314" s="42"/>
      <c r="AH2314" s="42"/>
      <c r="AI2314" s="43"/>
      <c r="AJ2314" s="43"/>
      <c r="AK2314" s="43"/>
      <c r="AL2314" s="43"/>
      <c r="AM2314" s="43"/>
      <c r="AN2314" s="42"/>
      <c r="AO2314" s="42"/>
      <c r="AP2314" s="42"/>
      <c r="AQ2314" s="43"/>
      <c r="AR2314" s="42"/>
      <c r="AS2314" s="42"/>
    </row>
    <row r="2315" spans="1:45" ht="15" customHeight="1">
      <c r="A2315" s="65" t="s">
        <v>57</v>
      </c>
      <c r="B2315" s="22" t="s">
        <v>46</v>
      </c>
      <c r="C2315" s="21" t="s">
        <v>188</v>
      </c>
      <c r="D2315" s="22" t="s">
        <v>59</v>
      </c>
      <c r="E2315" s="66" t="s">
        <v>3004</v>
      </c>
      <c r="F2315" s="65" t="s">
        <v>3005</v>
      </c>
      <c r="G2315" s="26" t="s">
        <v>77</v>
      </c>
      <c r="H2315" s="45" t="s">
        <v>3006</v>
      </c>
      <c r="I2315" s="26" t="s">
        <v>78</v>
      </c>
      <c r="J2315" s="46" t="s">
        <v>3007</v>
      </c>
      <c r="K2315" s="47"/>
      <c r="L2315" s="48" t="s">
        <v>3008</v>
      </c>
      <c r="M2315" s="49">
        <v>44797</v>
      </c>
      <c r="N2315" s="47" t="s">
        <v>182</v>
      </c>
      <c r="O2315" s="61">
        <v>3520</v>
      </c>
      <c r="P2315" s="61">
        <v>9</v>
      </c>
      <c r="Q2315" s="51">
        <f t="shared" si="54"/>
        <v>31680</v>
      </c>
      <c r="R2315" s="31">
        <v>202310</v>
      </c>
      <c r="S2315" s="32" t="s">
        <v>3078</v>
      </c>
      <c r="T2315" s="33"/>
      <c r="U2315" s="32"/>
      <c r="V2315" s="33"/>
      <c r="W2315" s="67"/>
      <c r="X2315" s="67"/>
      <c r="Y2315" s="36">
        <v>44423</v>
      </c>
      <c r="Z2315" s="36">
        <v>46279</v>
      </c>
      <c r="AA2315" s="36"/>
      <c r="AB2315" s="36"/>
      <c r="AC2315" s="36"/>
      <c r="AD2315" s="36"/>
      <c r="AE2315" s="36"/>
      <c r="AF2315" s="53" t="s">
        <v>68</v>
      </c>
      <c r="AG2315" s="42"/>
      <c r="AH2315" s="42"/>
      <c r="AI2315" s="43"/>
      <c r="AJ2315" s="43"/>
      <c r="AK2315" s="43"/>
      <c r="AL2315" s="43"/>
      <c r="AM2315" s="43"/>
      <c r="AN2315" s="42"/>
      <c r="AO2315" s="42"/>
      <c r="AP2315" s="42"/>
      <c r="AQ2315" s="43"/>
      <c r="AR2315" s="42"/>
      <c r="AS2315" s="42"/>
    </row>
    <row r="2316" spans="1:45" ht="15" customHeight="1">
      <c r="A2316" s="65" t="s">
        <v>57</v>
      </c>
      <c r="B2316" s="22" t="s">
        <v>46</v>
      </c>
      <c r="C2316" s="21" t="s">
        <v>188</v>
      </c>
      <c r="D2316" s="22" t="s">
        <v>59</v>
      </c>
      <c r="E2316" s="66" t="s">
        <v>3004</v>
      </c>
      <c r="F2316" s="65" t="s">
        <v>3005</v>
      </c>
      <c r="G2316" s="26" t="s">
        <v>77</v>
      </c>
      <c r="H2316" s="45" t="s">
        <v>3006</v>
      </c>
      <c r="I2316" s="26" t="s">
        <v>78</v>
      </c>
      <c r="J2316" s="46" t="s">
        <v>3007</v>
      </c>
      <c r="K2316" s="47"/>
      <c r="L2316" s="48" t="s">
        <v>3008</v>
      </c>
      <c r="M2316" s="49">
        <v>44798</v>
      </c>
      <c r="N2316" s="47" t="s">
        <v>182</v>
      </c>
      <c r="O2316" s="61">
        <v>3520</v>
      </c>
      <c r="P2316" s="61">
        <v>10</v>
      </c>
      <c r="Q2316" s="51">
        <f t="shared" si="54"/>
        <v>35200</v>
      </c>
      <c r="R2316" s="31">
        <v>202310</v>
      </c>
      <c r="S2316" s="32" t="s">
        <v>3079</v>
      </c>
      <c r="T2316" s="33"/>
      <c r="U2316" s="32"/>
      <c r="V2316" s="33"/>
      <c r="W2316" s="67"/>
      <c r="X2316" s="67"/>
      <c r="Y2316" s="36">
        <v>44423</v>
      </c>
      <c r="Z2316" s="36">
        <v>46279</v>
      </c>
      <c r="AA2316" s="36"/>
      <c r="AB2316" s="36"/>
      <c r="AC2316" s="36"/>
      <c r="AD2316" s="36"/>
      <c r="AE2316" s="36"/>
      <c r="AF2316" s="53" t="s">
        <v>68</v>
      </c>
      <c r="AG2316" s="42"/>
      <c r="AH2316" s="42"/>
      <c r="AI2316" s="43"/>
      <c r="AJ2316" s="43"/>
      <c r="AK2316" s="43"/>
      <c r="AL2316" s="43"/>
      <c r="AM2316" s="43"/>
      <c r="AN2316" s="42"/>
      <c r="AO2316" s="42"/>
      <c r="AP2316" s="42"/>
      <c r="AQ2316" s="43"/>
      <c r="AR2316" s="42"/>
      <c r="AS2316" s="42"/>
    </row>
    <row r="2317" spans="1:45" ht="15" customHeight="1">
      <c r="A2317" s="65" t="s">
        <v>57</v>
      </c>
      <c r="B2317" s="22" t="s">
        <v>46</v>
      </c>
      <c r="C2317" s="21" t="s">
        <v>188</v>
      </c>
      <c r="D2317" s="22" t="s">
        <v>59</v>
      </c>
      <c r="E2317" s="66" t="s">
        <v>3004</v>
      </c>
      <c r="F2317" s="65" t="s">
        <v>3005</v>
      </c>
      <c r="G2317" s="26" t="s">
        <v>77</v>
      </c>
      <c r="H2317" s="45" t="s">
        <v>3006</v>
      </c>
      <c r="I2317" s="26" t="s">
        <v>78</v>
      </c>
      <c r="J2317" s="46" t="s">
        <v>3007</v>
      </c>
      <c r="K2317" s="47"/>
      <c r="L2317" s="48" t="s">
        <v>3008</v>
      </c>
      <c r="M2317" s="49">
        <v>44799</v>
      </c>
      <c r="N2317" s="47" t="s">
        <v>182</v>
      </c>
      <c r="O2317" s="61">
        <v>3520</v>
      </c>
      <c r="P2317" s="61">
        <v>32</v>
      </c>
      <c r="Q2317" s="51">
        <f t="shared" si="54"/>
        <v>112640</v>
      </c>
      <c r="R2317" s="31">
        <v>202310</v>
      </c>
      <c r="S2317" s="32" t="s">
        <v>3080</v>
      </c>
      <c r="T2317" s="33"/>
      <c r="U2317" s="32"/>
      <c r="V2317" s="33"/>
      <c r="W2317" s="67"/>
      <c r="X2317" s="67"/>
      <c r="Y2317" s="36">
        <v>44423</v>
      </c>
      <c r="Z2317" s="36">
        <v>46279</v>
      </c>
      <c r="AA2317" s="36"/>
      <c r="AB2317" s="36"/>
      <c r="AC2317" s="36"/>
      <c r="AD2317" s="36"/>
      <c r="AE2317" s="36"/>
      <c r="AF2317" s="53" t="s">
        <v>68</v>
      </c>
      <c r="AG2317" s="42"/>
      <c r="AH2317" s="42"/>
      <c r="AI2317" s="43"/>
      <c r="AJ2317" s="43"/>
      <c r="AK2317" s="43"/>
      <c r="AL2317" s="43"/>
      <c r="AM2317" s="43"/>
      <c r="AN2317" s="42"/>
      <c r="AO2317" s="42"/>
      <c r="AP2317" s="42"/>
      <c r="AQ2317" s="43"/>
      <c r="AR2317" s="42"/>
      <c r="AS2317" s="42"/>
    </row>
    <row r="2318" spans="1:45" ht="15" customHeight="1">
      <c r="A2318" s="65" t="s">
        <v>57</v>
      </c>
      <c r="B2318" s="22" t="s">
        <v>46</v>
      </c>
      <c r="C2318" s="21" t="s">
        <v>188</v>
      </c>
      <c r="D2318" s="22" t="s">
        <v>59</v>
      </c>
      <c r="E2318" s="66" t="s">
        <v>3004</v>
      </c>
      <c r="F2318" s="65" t="s">
        <v>3005</v>
      </c>
      <c r="G2318" s="26" t="s">
        <v>77</v>
      </c>
      <c r="H2318" s="45" t="s">
        <v>3006</v>
      </c>
      <c r="I2318" s="26" t="s">
        <v>78</v>
      </c>
      <c r="J2318" s="46" t="s">
        <v>3007</v>
      </c>
      <c r="K2318" s="47"/>
      <c r="L2318" s="48" t="s">
        <v>3008</v>
      </c>
      <c r="M2318" s="49">
        <v>44801</v>
      </c>
      <c r="N2318" s="47" t="s">
        <v>182</v>
      </c>
      <c r="O2318" s="61">
        <v>3520</v>
      </c>
      <c r="P2318" s="61">
        <v>62</v>
      </c>
      <c r="Q2318" s="51">
        <f t="shared" si="54"/>
        <v>218240</v>
      </c>
      <c r="R2318" s="31">
        <v>202310</v>
      </c>
      <c r="S2318" s="32" t="s">
        <v>3081</v>
      </c>
      <c r="T2318" s="33"/>
      <c r="U2318" s="32"/>
      <c r="V2318" s="33"/>
      <c r="W2318" s="67"/>
      <c r="X2318" s="67"/>
      <c r="Y2318" s="36">
        <v>44423</v>
      </c>
      <c r="Z2318" s="36">
        <v>46279</v>
      </c>
      <c r="AA2318" s="36"/>
      <c r="AB2318" s="36"/>
      <c r="AC2318" s="36"/>
      <c r="AD2318" s="36"/>
      <c r="AE2318" s="36"/>
      <c r="AF2318" s="53" t="s">
        <v>68</v>
      </c>
      <c r="AG2318" s="42"/>
      <c r="AH2318" s="42"/>
      <c r="AI2318" s="43"/>
      <c r="AJ2318" s="43"/>
      <c r="AK2318" s="43"/>
      <c r="AL2318" s="43"/>
      <c r="AM2318" s="43"/>
      <c r="AN2318" s="42"/>
      <c r="AO2318" s="42"/>
      <c r="AP2318" s="42"/>
      <c r="AQ2318" s="43"/>
      <c r="AR2318" s="42"/>
      <c r="AS2318" s="42"/>
    </row>
    <row r="2319" spans="1:45" ht="15" customHeight="1">
      <c r="A2319" s="65" t="s">
        <v>57</v>
      </c>
      <c r="B2319" s="22" t="s">
        <v>46</v>
      </c>
      <c r="C2319" s="21" t="s">
        <v>188</v>
      </c>
      <c r="D2319" s="22" t="s">
        <v>59</v>
      </c>
      <c r="E2319" s="66" t="s">
        <v>3004</v>
      </c>
      <c r="F2319" s="65" t="s">
        <v>3005</v>
      </c>
      <c r="G2319" s="26" t="s">
        <v>77</v>
      </c>
      <c r="H2319" s="45" t="s">
        <v>3006</v>
      </c>
      <c r="I2319" s="26" t="s">
        <v>78</v>
      </c>
      <c r="J2319" s="46" t="s">
        <v>3007</v>
      </c>
      <c r="K2319" s="47"/>
      <c r="L2319" s="48" t="s">
        <v>3008</v>
      </c>
      <c r="M2319" s="49">
        <v>44802</v>
      </c>
      <c r="N2319" s="47" t="s">
        <v>182</v>
      </c>
      <c r="O2319" s="61">
        <v>3520</v>
      </c>
      <c r="P2319" s="61">
        <v>6</v>
      </c>
      <c r="Q2319" s="51">
        <f t="shared" si="54"/>
        <v>21120</v>
      </c>
      <c r="R2319" s="31">
        <v>202310</v>
      </c>
      <c r="S2319" s="32" t="s">
        <v>3082</v>
      </c>
      <c r="T2319" s="33"/>
      <c r="U2319" s="32"/>
      <c r="V2319" s="33"/>
      <c r="W2319" s="67"/>
      <c r="X2319" s="67"/>
      <c r="Y2319" s="36">
        <v>44423</v>
      </c>
      <c r="Z2319" s="36">
        <v>46279</v>
      </c>
      <c r="AA2319" s="36"/>
      <c r="AB2319" s="36"/>
      <c r="AC2319" s="36"/>
      <c r="AD2319" s="36"/>
      <c r="AE2319" s="36"/>
      <c r="AF2319" s="53" t="s">
        <v>68</v>
      </c>
      <c r="AG2319" s="42"/>
      <c r="AH2319" s="42"/>
      <c r="AI2319" s="43"/>
      <c r="AJ2319" s="43"/>
      <c r="AK2319" s="43"/>
      <c r="AL2319" s="43"/>
      <c r="AM2319" s="43"/>
      <c r="AN2319" s="42"/>
      <c r="AO2319" s="42"/>
      <c r="AP2319" s="42"/>
      <c r="AQ2319" s="43"/>
      <c r="AR2319" s="42"/>
      <c r="AS2319" s="42"/>
    </row>
    <row r="2320" spans="1:45" ht="15" customHeight="1">
      <c r="A2320" s="65" t="s">
        <v>57</v>
      </c>
      <c r="B2320" s="22" t="s">
        <v>46</v>
      </c>
      <c r="C2320" s="21" t="s">
        <v>188</v>
      </c>
      <c r="D2320" s="22" t="s">
        <v>59</v>
      </c>
      <c r="E2320" s="66" t="s">
        <v>3004</v>
      </c>
      <c r="F2320" s="65" t="s">
        <v>3005</v>
      </c>
      <c r="G2320" s="26" t="s">
        <v>77</v>
      </c>
      <c r="H2320" s="45" t="s">
        <v>3006</v>
      </c>
      <c r="I2320" s="26" t="s">
        <v>78</v>
      </c>
      <c r="J2320" s="46" t="s">
        <v>3007</v>
      </c>
      <c r="K2320" s="47"/>
      <c r="L2320" s="48" t="s">
        <v>3008</v>
      </c>
      <c r="M2320" s="49">
        <v>44804</v>
      </c>
      <c r="N2320" s="47" t="s">
        <v>182</v>
      </c>
      <c r="O2320" s="61">
        <v>3520</v>
      </c>
      <c r="P2320" s="61">
        <v>62</v>
      </c>
      <c r="Q2320" s="51">
        <f t="shared" si="54"/>
        <v>218240</v>
      </c>
      <c r="R2320" s="31">
        <v>202310</v>
      </c>
      <c r="S2320" s="32" t="s">
        <v>3083</v>
      </c>
      <c r="T2320" s="33"/>
      <c r="U2320" s="32"/>
      <c r="V2320" s="33"/>
      <c r="W2320" s="67"/>
      <c r="X2320" s="67"/>
      <c r="Y2320" s="36">
        <v>44423</v>
      </c>
      <c r="Z2320" s="36">
        <v>46279</v>
      </c>
      <c r="AA2320" s="36"/>
      <c r="AB2320" s="36"/>
      <c r="AC2320" s="36"/>
      <c r="AD2320" s="36"/>
      <c r="AE2320" s="36"/>
      <c r="AF2320" s="53" t="s">
        <v>68</v>
      </c>
      <c r="AG2320" s="42"/>
      <c r="AH2320" s="42"/>
      <c r="AI2320" s="43"/>
      <c r="AJ2320" s="43"/>
      <c r="AK2320" s="43"/>
      <c r="AL2320" s="43"/>
      <c r="AM2320" s="43"/>
      <c r="AN2320" s="42"/>
      <c r="AO2320" s="42"/>
      <c r="AP2320" s="42"/>
      <c r="AQ2320" s="43"/>
      <c r="AR2320" s="42"/>
      <c r="AS2320" s="42"/>
    </row>
    <row r="2321" spans="1:45" ht="15" customHeight="1">
      <c r="A2321" s="65" t="s">
        <v>57</v>
      </c>
      <c r="B2321" s="22" t="s">
        <v>46</v>
      </c>
      <c r="C2321" s="21" t="s">
        <v>188</v>
      </c>
      <c r="D2321" s="22" t="s">
        <v>59</v>
      </c>
      <c r="E2321" s="66" t="s">
        <v>3004</v>
      </c>
      <c r="F2321" s="65" t="s">
        <v>3005</v>
      </c>
      <c r="G2321" s="26" t="s">
        <v>77</v>
      </c>
      <c r="H2321" s="45" t="s">
        <v>3006</v>
      </c>
      <c r="I2321" s="26" t="s">
        <v>78</v>
      </c>
      <c r="J2321" s="46" t="s">
        <v>3007</v>
      </c>
      <c r="K2321" s="47"/>
      <c r="L2321" s="48" t="s">
        <v>3008</v>
      </c>
      <c r="M2321" s="49">
        <v>44809</v>
      </c>
      <c r="N2321" s="47" t="s">
        <v>182</v>
      </c>
      <c r="O2321" s="61">
        <v>3520</v>
      </c>
      <c r="P2321" s="61">
        <v>93</v>
      </c>
      <c r="Q2321" s="51">
        <f t="shared" si="54"/>
        <v>327360</v>
      </c>
      <c r="R2321" s="31">
        <v>202310</v>
      </c>
      <c r="S2321" s="32" t="s">
        <v>3084</v>
      </c>
      <c r="T2321" s="33"/>
      <c r="U2321" s="32"/>
      <c r="V2321" s="33"/>
      <c r="W2321" s="67"/>
      <c r="X2321" s="67"/>
      <c r="Y2321" s="36">
        <v>44423</v>
      </c>
      <c r="Z2321" s="36">
        <v>46279</v>
      </c>
      <c r="AA2321" s="36"/>
      <c r="AB2321" s="36"/>
      <c r="AC2321" s="36"/>
      <c r="AD2321" s="36"/>
      <c r="AE2321" s="36"/>
      <c r="AF2321" s="53" t="s">
        <v>68</v>
      </c>
      <c r="AG2321" s="42"/>
      <c r="AH2321" s="42"/>
      <c r="AI2321" s="43"/>
      <c r="AJ2321" s="43"/>
      <c r="AK2321" s="43"/>
      <c r="AL2321" s="43"/>
      <c r="AM2321" s="43"/>
      <c r="AN2321" s="42"/>
      <c r="AO2321" s="42"/>
      <c r="AP2321" s="42"/>
      <c r="AQ2321" s="43"/>
      <c r="AR2321" s="42"/>
      <c r="AS2321" s="42"/>
    </row>
    <row r="2322" spans="1:45" ht="15" customHeight="1">
      <c r="A2322" s="65" t="s">
        <v>57</v>
      </c>
      <c r="B2322" s="22" t="s">
        <v>46</v>
      </c>
      <c r="C2322" s="21" t="s">
        <v>188</v>
      </c>
      <c r="D2322" s="22" t="s">
        <v>59</v>
      </c>
      <c r="E2322" s="66" t="s">
        <v>3004</v>
      </c>
      <c r="F2322" s="65" t="s">
        <v>3005</v>
      </c>
      <c r="G2322" s="26" t="s">
        <v>77</v>
      </c>
      <c r="H2322" s="45" t="s">
        <v>3006</v>
      </c>
      <c r="I2322" s="26" t="s">
        <v>78</v>
      </c>
      <c r="J2322" s="46" t="s">
        <v>3007</v>
      </c>
      <c r="K2322" s="47"/>
      <c r="L2322" s="48" t="s">
        <v>3008</v>
      </c>
      <c r="M2322" s="49">
        <v>44811</v>
      </c>
      <c r="N2322" s="47" t="s">
        <v>182</v>
      </c>
      <c r="O2322" s="61">
        <v>3520</v>
      </c>
      <c r="P2322" s="61">
        <v>137</v>
      </c>
      <c r="Q2322" s="51">
        <f t="shared" si="54"/>
        <v>482240</v>
      </c>
      <c r="R2322" s="31">
        <v>202310</v>
      </c>
      <c r="S2322" s="32" t="s">
        <v>3085</v>
      </c>
      <c r="T2322" s="33"/>
      <c r="U2322" s="32"/>
      <c r="V2322" s="33"/>
      <c r="W2322" s="67"/>
      <c r="X2322" s="67"/>
      <c r="Y2322" s="36">
        <v>44423</v>
      </c>
      <c r="Z2322" s="36">
        <v>46279</v>
      </c>
      <c r="AA2322" s="36"/>
      <c r="AB2322" s="36"/>
      <c r="AC2322" s="36"/>
      <c r="AD2322" s="36"/>
      <c r="AE2322" s="36"/>
      <c r="AF2322" s="53" t="s">
        <v>68</v>
      </c>
      <c r="AG2322" s="42"/>
      <c r="AH2322" s="42"/>
      <c r="AI2322" s="43"/>
      <c r="AJ2322" s="43"/>
      <c r="AK2322" s="43"/>
      <c r="AL2322" s="43"/>
      <c r="AM2322" s="43"/>
      <c r="AN2322" s="42"/>
      <c r="AO2322" s="42"/>
      <c r="AP2322" s="42"/>
      <c r="AQ2322" s="43"/>
      <c r="AR2322" s="42"/>
      <c r="AS2322" s="42"/>
    </row>
    <row r="2323" spans="1:45" ht="15" customHeight="1">
      <c r="A2323" s="65" t="s">
        <v>57</v>
      </c>
      <c r="B2323" s="22" t="s">
        <v>46</v>
      </c>
      <c r="C2323" s="21" t="s">
        <v>188</v>
      </c>
      <c r="D2323" s="22" t="s">
        <v>59</v>
      </c>
      <c r="E2323" s="66" t="s">
        <v>3004</v>
      </c>
      <c r="F2323" s="65" t="s">
        <v>3005</v>
      </c>
      <c r="G2323" s="26" t="s">
        <v>77</v>
      </c>
      <c r="H2323" s="45" t="s">
        <v>3006</v>
      </c>
      <c r="I2323" s="26" t="s">
        <v>78</v>
      </c>
      <c r="J2323" s="46" t="s">
        <v>3007</v>
      </c>
      <c r="K2323" s="47"/>
      <c r="L2323" s="48" t="s">
        <v>3008</v>
      </c>
      <c r="M2323" s="49">
        <v>44818</v>
      </c>
      <c r="N2323" s="47" t="s">
        <v>182</v>
      </c>
      <c r="O2323" s="61">
        <v>3520</v>
      </c>
      <c r="P2323" s="61">
        <v>54</v>
      </c>
      <c r="Q2323" s="51">
        <f t="shared" si="54"/>
        <v>190080</v>
      </c>
      <c r="R2323" s="31">
        <v>202310</v>
      </c>
      <c r="S2323" s="32" t="s">
        <v>3086</v>
      </c>
      <c r="T2323" s="33"/>
      <c r="U2323" s="32"/>
      <c r="V2323" s="33"/>
      <c r="W2323" s="67"/>
      <c r="X2323" s="67"/>
      <c r="Y2323" s="36">
        <v>44423</v>
      </c>
      <c r="Z2323" s="36">
        <v>46279</v>
      </c>
      <c r="AA2323" s="36"/>
      <c r="AB2323" s="36"/>
      <c r="AC2323" s="36"/>
      <c r="AD2323" s="36"/>
      <c r="AE2323" s="36"/>
      <c r="AF2323" s="53" t="s">
        <v>68</v>
      </c>
      <c r="AG2323" s="42"/>
      <c r="AH2323" s="42"/>
      <c r="AI2323" s="43"/>
      <c r="AJ2323" s="43"/>
      <c r="AK2323" s="43"/>
      <c r="AL2323" s="43"/>
      <c r="AM2323" s="43"/>
      <c r="AN2323" s="42"/>
      <c r="AO2323" s="42"/>
      <c r="AP2323" s="42"/>
      <c r="AQ2323" s="43"/>
      <c r="AR2323" s="42"/>
      <c r="AS2323" s="42"/>
    </row>
    <row r="2324" spans="1:45" ht="15" customHeight="1">
      <c r="A2324" s="65" t="s">
        <v>57</v>
      </c>
      <c r="B2324" s="22" t="s">
        <v>46</v>
      </c>
      <c r="C2324" s="21" t="s">
        <v>188</v>
      </c>
      <c r="D2324" s="22" t="s">
        <v>59</v>
      </c>
      <c r="E2324" s="66" t="s">
        <v>3004</v>
      </c>
      <c r="F2324" s="65" t="s">
        <v>3005</v>
      </c>
      <c r="G2324" s="26" t="s">
        <v>77</v>
      </c>
      <c r="H2324" s="45" t="s">
        <v>3006</v>
      </c>
      <c r="I2324" s="26" t="s">
        <v>78</v>
      </c>
      <c r="J2324" s="46" t="s">
        <v>3007</v>
      </c>
      <c r="K2324" s="47"/>
      <c r="L2324" s="48" t="s">
        <v>3008</v>
      </c>
      <c r="M2324" s="49">
        <v>44820</v>
      </c>
      <c r="N2324" s="47" t="s">
        <v>182</v>
      </c>
      <c r="O2324" s="61">
        <v>3520</v>
      </c>
      <c r="P2324" s="61">
        <v>1</v>
      </c>
      <c r="Q2324" s="51">
        <f t="shared" si="54"/>
        <v>3520</v>
      </c>
      <c r="R2324" s="31">
        <v>202310</v>
      </c>
      <c r="S2324" s="32" t="s">
        <v>3087</v>
      </c>
      <c r="T2324" s="33"/>
      <c r="U2324" s="32"/>
      <c r="V2324" s="33"/>
      <c r="W2324" s="67"/>
      <c r="X2324" s="67"/>
      <c r="Y2324" s="36">
        <v>44423</v>
      </c>
      <c r="Z2324" s="36">
        <v>46279</v>
      </c>
      <c r="AA2324" s="36"/>
      <c r="AB2324" s="36"/>
      <c r="AC2324" s="36"/>
      <c r="AD2324" s="36"/>
      <c r="AE2324" s="36"/>
      <c r="AF2324" s="53" t="s">
        <v>68</v>
      </c>
      <c r="AG2324" s="42"/>
      <c r="AH2324" s="42"/>
      <c r="AI2324" s="43"/>
      <c r="AJ2324" s="43"/>
      <c r="AK2324" s="43"/>
      <c r="AL2324" s="43"/>
      <c r="AM2324" s="43"/>
      <c r="AN2324" s="42"/>
      <c r="AO2324" s="42"/>
      <c r="AP2324" s="42"/>
      <c r="AQ2324" s="43"/>
      <c r="AR2324" s="42"/>
      <c r="AS2324" s="42"/>
    </row>
    <row r="2325" spans="1:45" ht="15" customHeight="1">
      <c r="A2325" s="65" t="s">
        <v>57</v>
      </c>
      <c r="B2325" s="22" t="s">
        <v>46</v>
      </c>
      <c r="C2325" s="21" t="s">
        <v>188</v>
      </c>
      <c r="D2325" s="22" t="s">
        <v>59</v>
      </c>
      <c r="E2325" s="66" t="s">
        <v>3004</v>
      </c>
      <c r="F2325" s="65" t="s">
        <v>3005</v>
      </c>
      <c r="G2325" s="26" t="s">
        <v>77</v>
      </c>
      <c r="H2325" s="45" t="s">
        <v>3006</v>
      </c>
      <c r="I2325" s="26" t="s">
        <v>78</v>
      </c>
      <c r="J2325" s="46" t="s">
        <v>3007</v>
      </c>
      <c r="K2325" s="47"/>
      <c r="L2325" s="48" t="s">
        <v>3008</v>
      </c>
      <c r="M2325" s="49">
        <v>44825</v>
      </c>
      <c r="N2325" s="47" t="s">
        <v>182</v>
      </c>
      <c r="O2325" s="61">
        <v>3520</v>
      </c>
      <c r="P2325" s="61">
        <v>2</v>
      </c>
      <c r="Q2325" s="51">
        <f t="shared" si="54"/>
        <v>7040</v>
      </c>
      <c r="R2325" s="31">
        <v>202310</v>
      </c>
      <c r="S2325" s="32" t="s">
        <v>3088</v>
      </c>
      <c r="T2325" s="33"/>
      <c r="U2325" s="32"/>
      <c r="V2325" s="33"/>
      <c r="W2325" s="67"/>
      <c r="X2325" s="67"/>
      <c r="Y2325" s="36">
        <v>44423</v>
      </c>
      <c r="Z2325" s="36">
        <v>46279</v>
      </c>
      <c r="AA2325" s="36"/>
      <c r="AB2325" s="36"/>
      <c r="AC2325" s="36"/>
      <c r="AD2325" s="36"/>
      <c r="AE2325" s="36"/>
      <c r="AF2325" s="53" t="s">
        <v>68</v>
      </c>
      <c r="AG2325" s="42"/>
      <c r="AH2325" s="42"/>
      <c r="AI2325" s="43"/>
      <c r="AJ2325" s="43"/>
      <c r="AK2325" s="43"/>
      <c r="AL2325" s="43"/>
      <c r="AM2325" s="43"/>
      <c r="AN2325" s="42"/>
      <c r="AO2325" s="42"/>
      <c r="AP2325" s="42"/>
      <c r="AQ2325" s="43"/>
      <c r="AR2325" s="42"/>
      <c r="AS2325" s="42"/>
    </row>
    <row r="2326" spans="1:45" ht="15" customHeight="1">
      <c r="A2326" s="65" t="s">
        <v>57</v>
      </c>
      <c r="B2326" s="22" t="s">
        <v>46</v>
      </c>
      <c r="C2326" s="21" t="s">
        <v>188</v>
      </c>
      <c r="D2326" s="22" t="s">
        <v>59</v>
      </c>
      <c r="E2326" s="66" t="s">
        <v>3004</v>
      </c>
      <c r="F2326" s="65" t="s">
        <v>3005</v>
      </c>
      <c r="G2326" s="26" t="s">
        <v>77</v>
      </c>
      <c r="H2326" s="45" t="s">
        <v>3006</v>
      </c>
      <c r="I2326" s="26" t="s">
        <v>78</v>
      </c>
      <c r="J2326" s="46" t="s">
        <v>3007</v>
      </c>
      <c r="K2326" s="47"/>
      <c r="L2326" s="48" t="s">
        <v>3008</v>
      </c>
      <c r="M2326" s="49">
        <v>44826</v>
      </c>
      <c r="N2326" s="47" t="s">
        <v>182</v>
      </c>
      <c r="O2326" s="61">
        <v>3520</v>
      </c>
      <c r="P2326" s="61">
        <v>2</v>
      </c>
      <c r="Q2326" s="51">
        <f t="shared" si="54"/>
        <v>7040</v>
      </c>
      <c r="R2326" s="31">
        <v>202310</v>
      </c>
      <c r="S2326" s="32" t="s">
        <v>3089</v>
      </c>
      <c r="T2326" s="33"/>
      <c r="U2326" s="32"/>
      <c r="V2326" s="33"/>
      <c r="W2326" s="67"/>
      <c r="X2326" s="67"/>
      <c r="Y2326" s="36">
        <v>44423</v>
      </c>
      <c r="Z2326" s="36">
        <v>46279</v>
      </c>
      <c r="AA2326" s="36"/>
      <c r="AB2326" s="36"/>
      <c r="AC2326" s="36"/>
      <c r="AD2326" s="36"/>
      <c r="AE2326" s="36"/>
      <c r="AF2326" s="53" t="s">
        <v>68</v>
      </c>
      <c r="AG2326" s="42"/>
      <c r="AH2326" s="42"/>
      <c r="AI2326" s="43"/>
      <c r="AJ2326" s="43"/>
      <c r="AK2326" s="43"/>
      <c r="AL2326" s="43"/>
      <c r="AM2326" s="43"/>
      <c r="AN2326" s="42"/>
      <c r="AO2326" s="42"/>
      <c r="AP2326" s="42"/>
      <c r="AQ2326" s="43"/>
      <c r="AR2326" s="42"/>
      <c r="AS2326" s="42"/>
    </row>
    <row r="2327" spans="1:45" ht="15" customHeight="1">
      <c r="A2327" s="65" t="s">
        <v>57</v>
      </c>
      <c r="B2327" s="22" t="s">
        <v>46</v>
      </c>
      <c r="C2327" s="21" t="s">
        <v>188</v>
      </c>
      <c r="D2327" s="22" t="s">
        <v>59</v>
      </c>
      <c r="E2327" s="66" t="s">
        <v>3004</v>
      </c>
      <c r="F2327" s="65" t="s">
        <v>3005</v>
      </c>
      <c r="G2327" s="26" t="s">
        <v>77</v>
      </c>
      <c r="H2327" s="45" t="s">
        <v>3006</v>
      </c>
      <c r="I2327" s="26" t="s">
        <v>78</v>
      </c>
      <c r="J2327" s="46" t="s">
        <v>3007</v>
      </c>
      <c r="K2327" s="47"/>
      <c r="L2327" s="48" t="s">
        <v>3008</v>
      </c>
      <c r="M2327" s="49">
        <v>44827</v>
      </c>
      <c r="N2327" s="47" t="s">
        <v>182</v>
      </c>
      <c r="O2327" s="61">
        <v>3520</v>
      </c>
      <c r="P2327" s="61">
        <v>4</v>
      </c>
      <c r="Q2327" s="51">
        <f t="shared" si="54"/>
        <v>14080</v>
      </c>
      <c r="R2327" s="31">
        <v>202310</v>
      </c>
      <c r="S2327" s="32" t="s">
        <v>3090</v>
      </c>
      <c r="T2327" s="33"/>
      <c r="U2327" s="32"/>
      <c r="V2327" s="33"/>
      <c r="W2327" s="67"/>
      <c r="X2327" s="67"/>
      <c r="Y2327" s="36">
        <v>44423</v>
      </c>
      <c r="Z2327" s="36">
        <v>46279</v>
      </c>
      <c r="AA2327" s="36"/>
      <c r="AB2327" s="36"/>
      <c r="AC2327" s="36"/>
      <c r="AD2327" s="36"/>
      <c r="AE2327" s="36"/>
      <c r="AF2327" s="53" t="s">
        <v>68</v>
      </c>
      <c r="AG2327" s="42"/>
      <c r="AH2327" s="42"/>
      <c r="AI2327" s="43"/>
      <c r="AJ2327" s="43"/>
      <c r="AK2327" s="43"/>
      <c r="AL2327" s="43"/>
      <c r="AM2327" s="43"/>
      <c r="AN2327" s="42"/>
      <c r="AO2327" s="42"/>
      <c r="AP2327" s="42"/>
      <c r="AQ2327" s="43"/>
      <c r="AR2327" s="42"/>
      <c r="AS2327" s="42"/>
    </row>
    <row r="2328" spans="1:45" ht="15" customHeight="1">
      <c r="A2328" s="65" t="s">
        <v>57</v>
      </c>
      <c r="B2328" s="22" t="s">
        <v>46</v>
      </c>
      <c r="C2328" s="21" t="s">
        <v>188</v>
      </c>
      <c r="D2328" s="22" t="s">
        <v>59</v>
      </c>
      <c r="E2328" s="66" t="s">
        <v>3004</v>
      </c>
      <c r="F2328" s="65" t="s">
        <v>3005</v>
      </c>
      <c r="G2328" s="26" t="s">
        <v>77</v>
      </c>
      <c r="H2328" s="45" t="s">
        <v>3006</v>
      </c>
      <c r="I2328" s="26" t="s">
        <v>78</v>
      </c>
      <c r="J2328" s="46" t="s">
        <v>3007</v>
      </c>
      <c r="K2328" s="47"/>
      <c r="L2328" s="48" t="s">
        <v>3008</v>
      </c>
      <c r="M2328" s="49">
        <v>44859</v>
      </c>
      <c r="N2328" s="47" t="s">
        <v>182</v>
      </c>
      <c r="O2328" s="61">
        <v>3520</v>
      </c>
      <c r="P2328" s="61">
        <v>-4</v>
      </c>
      <c r="Q2328" s="51">
        <f t="shared" si="54"/>
        <v>-14080</v>
      </c>
      <c r="R2328" s="31">
        <v>202310</v>
      </c>
      <c r="S2328" s="32" t="s">
        <v>3091</v>
      </c>
      <c r="T2328" s="33"/>
      <c r="U2328" s="32"/>
      <c r="V2328" s="33"/>
      <c r="W2328" s="67"/>
      <c r="X2328" s="67"/>
      <c r="Y2328" s="36">
        <v>44423</v>
      </c>
      <c r="Z2328" s="36">
        <v>46279</v>
      </c>
      <c r="AA2328" s="36"/>
      <c r="AB2328" s="36"/>
      <c r="AC2328" s="36"/>
      <c r="AD2328" s="36"/>
      <c r="AE2328" s="36"/>
      <c r="AF2328" s="53" t="s">
        <v>68</v>
      </c>
      <c r="AG2328" s="42"/>
      <c r="AH2328" s="42"/>
      <c r="AI2328" s="43"/>
      <c r="AJ2328" s="43"/>
      <c r="AK2328" s="43"/>
      <c r="AL2328" s="43"/>
      <c r="AM2328" s="43"/>
      <c r="AN2328" s="42"/>
      <c r="AO2328" s="42"/>
      <c r="AP2328" s="42"/>
      <c r="AQ2328" s="43"/>
      <c r="AR2328" s="42"/>
      <c r="AS2328" s="42"/>
    </row>
    <row r="2329" spans="1:45" ht="15" customHeight="1">
      <c r="A2329" s="65" t="s">
        <v>57</v>
      </c>
      <c r="B2329" s="22" t="s">
        <v>46</v>
      </c>
      <c r="C2329" s="21" t="s">
        <v>188</v>
      </c>
      <c r="D2329" s="22" t="s">
        <v>59</v>
      </c>
      <c r="E2329" s="66" t="s">
        <v>3004</v>
      </c>
      <c r="F2329" s="65" t="s">
        <v>3005</v>
      </c>
      <c r="G2329" s="26" t="s">
        <v>77</v>
      </c>
      <c r="H2329" s="45" t="s">
        <v>3006</v>
      </c>
      <c r="I2329" s="26" t="s">
        <v>78</v>
      </c>
      <c r="J2329" s="46" t="s">
        <v>3007</v>
      </c>
      <c r="K2329" s="47"/>
      <c r="L2329" s="48" t="s">
        <v>3008</v>
      </c>
      <c r="M2329" s="49">
        <v>44879</v>
      </c>
      <c r="N2329" s="47" t="s">
        <v>182</v>
      </c>
      <c r="O2329" s="61">
        <v>3520</v>
      </c>
      <c r="P2329" s="61">
        <v>14</v>
      </c>
      <c r="Q2329" s="51">
        <f t="shared" si="54"/>
        <v>49280</v>
      </c>
      <c r="R2329" s="31">
        <v>202310</v>
      </c>
      <c r="S2329" s="32" t="s">
        <v>3092</v>
      </c>
      <c r="T2329" s="33"/>
      <c r="U2329" s="32"/>
      <c r="V2329" s="33"/>
      <c r="W2329" s="67"/>
      <c r="X2329" s="67"/>
      <c r="Y2329" s="36">
        <v>44423</v>
      </c>
      <c r="Z2329" s="36">
        <v>46279</v>
      </c>
      <c r="AA2329" s="36"/>
      <c r="AB2329" s="36"/>
      <c r="AC2329" s="36"/>
      <c r="AD2329" s="36"/>
      <c r="AE2329" s="36"/>
      <c r="AF2329" s="53" t="s">
        <v>68</v>
      </c>
      <c r="AG2329" s="42"/>
      <c r="AH2329" s="42"/>
      <c r="AI2329" s="43"/>
      <c r="AJ2329" s="43"/>
      <c r="AK2329" s="43"/>
      <c r="AL2329" s="43"/>
      <c r="AM2329" s="43"/>
      <c r="AN2329" s="42"/>
      <c r="AO2329" s="42"/>
      <c r="AP2329" s="42"/>
      <c r="AQ2329" s="43"/>
      <c r="AR2329" s="42"/>
      <c r="AS2329" s="42"/>
    </row>
    <row r="2330" spans="1:45" ht="15" customHeight="1">
      <c r="A2330" s="65" t="s">
        <v>57</v>
      </c>
      <c r="B2330" s="22" t="s">
        <v>46</v>
      </c>
      <c r="C2330" s="21" t="s">
        <v>188</v>
      </c>
      <c r="D2330" s="22" t="s">
        <v>59</v>
      </c>
      <c r="E2330" s="66" t="s">
        <v>3004</v>
      </c>
      <c r="F2330" s="65" t="s">
        <v>3005</v>
      </c>
      <c r="G2330" s="26" t="s">
        <v>77</v>
      </c>
      <c r="H2330" s="45" t="s">
        <v>3006</v>
      </c>
      <c r="I2330" s="26" t="s">
        <v>479</v>
      </c>
      <c r="J2330" s="46" t="s">
        <v>3007</v>
      </c>
      <c r="K2330" s="47" t="s">
        <v>3031</v>
      </c>
      <c r="L2330" s="48" t="s">
        <v>3032</v>
      </c>
      <c r="M2330" s="49">
        <v>44868</v>
      </c>
      <c r="N2330" s="47" t="s">
        <v>182</v>
      </c>
      <c r="O2330" s="61">
        <v>3520</v>
      </c>
      <c r="P2330" s="61">
        <v>-19</v>
      </c>
      <c r="Q2330" s="51">
        <f t="shared" si="54"/>
        <v>-66880</v>
      </c>
      <c r="R2330" s="31">
        <v>202310</v>
      </c>
      <c r="S2330" s="32" t="s">
        <v>3093</v>
      </c>
      <c r="T2330" s="33"/>
      <c r="U2330" s="32"/>
      <c r="V2330" s="33"/>
      <c r="W2330" s="67"/>
      <c r="X2330" s="67"/>
      <c r="Y2330" s="36">
        <v>44423</v>
      </c>
      <c r="Z2330" s="36">
        <v>46279</v>
      </c>
      <c r="AA2330" s="36"/>
      <c r="AB2330" s="36"/>
      <c r="AC2330" s="36"/>
      <c r="AD2330" s="36"/>
      <c r="AE2330" s="36"/>
      <c r="AF2330" s="40" t="s">
        <v>484</v>
      </c>
      <c r="AG2330" s="42"/>
      <c r="AH2330" s="42"/>
      <c r="AI2330" s="43"/>
      <c r="AJ2330" s="43"/>
      <c r="AK2330" s="43"/>
      <c r="AL2330" s="43"/>
      <c r="AM2330" s="43"/>
      <c r="AN2330" s="42"/>
      <c r="AO2330" s="42"/>
      <c r="AP2330" s="42"/>
      <c r="AQ2330" s="43"/>
      <c r="AR2330" s="42"/>
      <c r="AS2330" s="42"/>
    </row>
    <row r="2331" spans="1:45" ht="15" customHeight="1">
      <c r="A2331" s="65" t="s">
        <v>57</v>
      </c>
      <c r="B2331" s="22" t="s">
        <v>46</v>
      </c>
      <c r="C2331" s="21" t="s">
        <v>188</v>
      </c>
      <c r="D2331" s="22" t="s">
        <v>59</v>
      </c>
      <c r="E2331" s="66" t="s">
        <v>3004</v>
      </c>
      <c r="F2331" s="65" t="s">
        <v>3005</v>
      </c>
      <c r="G2331" s="26" t="s">
        <v>77</v>
      </c>
      <c r="H2331" s="45" t="s">
        <v>3006</v>
      </c>
      <c r="I2331" s="26" t="s">
        <v>78</v>
      </c>
      <c r="J2331" s="46" t="s">
        <v>3007</v>
      </c>
      <c r="K2331" s="47"/>
      <c r="L2331" s="48" t="s">
        <v>3008</v>
      </c>
      <c r="M2331" s="49">
        <v>44890</v>
      </c>
      <c r="N2331" s="47" t="s">
        <v>182</v>
      </c>
      <c r="O2331" s="61">
        <v>3520</v>
      </c>
      <c r="P2331" s="61">
        <v>3</v>
      </c>
      <c r="Q2331" s="51">
        <f t="shared" si="54"/>
        <v>10560</v>
      </c>
      <c r="R2331" s="31">
        <v>202310</v>
      </c>
      <c r="S2331" s="32" t="s">
        <v>3094</v>
      </c>
      <c r="T2331" s="33"/>
      <c r="U2331" s="32"/>
      <c r="V2331" s="33"/>
      <c r="W2331" s="67"/>
      <c r="X2331" s="67"/>
      <c r="Y2331" s="36">
        <v>44423</v>
      </c>
      <c r="Z2331" s="36">
        <v>46279</v>
      </c>
      <c r="AA2331" s="36"/>
      <c r="AB2331" s="36"/>
      <c r="AC2331" s="36"/>
      <c r="AD2331" s="36"/>
      <c r="AE2331" s="36"/>
      <c r="AF2331" s="53" t="s">
        <v>68</v>
      </c>
      <c r="AG2331" s="42"/>
      <c r="AH2331" s="42"/>
      <c r="AI2331" s="43"/>
      <c r="AJ2331" s="43"/>
      <c r="AK2331" s="43"/>
      <c r="AL2331" s="43"/>
      <c r="AM2331" s="43"/>
      <c r="AN2331" s="42"/>
      <c r="AO2331" s="42"/>
      <c r="AP2331" s="42"/>
      <c r="AQ2331" s="43"/>
      <c r="AR2331" s="42"/>
      <c r="AS2331" s="42"/>
    </row>
    <row r="2332" spans="1:45" ht="15" customHeight="1">
      <c r="A2332" s="65" t="s">
        <v>57</v>
      </c>
      <c r="B2332" s="22" t="s">
        <v>46</v>
      </c>
      <c r="C2332" s="21" t="s">
        <v>188</v>
      </c>
      <c r="D2332" s="22" t="s">
        <v>59</v>
      </c>
      <c r="E2332" s="66" t="s">
        <v>3004</v>
      </c>
      <c r="F2332" s="65" t="s">
        <v>3005</v>
      </c>
      <c r="G2332" s="26" t="s">
        <v>77</v>
      </c>
      <c r="H2332" s="45" t="s">
        <v>3006</v>
      </c>
      <c r="I2332" s="26" t="s">
        <v>78</v>
      </c>
      <c r="J2332" s="46" t="s">
        <v>3007</v>
      </c>
      <c r="K2332" s="47"/>
      <c r="L2332" s="48" t="s">
        <v>3008</v>
      </c>
      <c r="M2332" s="49">
        <v>44897</v>
      </c>
      <c r="N2332" s="47" t="s">
        <v>182</v>
      </c>
      <c r="O2332" s="61">
        <v>3520</v>
      </c>
      <c r="P2332" s="61">
        <v>2</v>
      </c>
      <c r="Q2332" s="51">
        <f t="shared" si="54"/>
        <v>7040</v>
      </c>
      <c r="R2332" s="31">
        <v>202310</v>
      </c>
      <c r="S2332" s="32" t="s">
        <v>3095</v>
      </c>
      <c r="T2332" s="33"/>
      <c r="U2332" s="32"/>
      <c r="V2332" s="33"/>
      <c r="W2332" s="67"/>
      <c r="X2332" s="67"/>
      <c r="Y2332" s="36">
        <v>44423</v>
      </c>
      <c r="Z2332" s="36">
        <v>46279</v>
      </c>
      <c r="AA2332" s="36"/>
      <c r="AB2332" s="36"/>
      <c r="AC2332" s="36"/>
      <c r="AD2332" s="36"/>
      <c r="AE2332" s="36"/>
      <c r="AF2332" s="53" t="s">
        <v>68</v>
      </c>
      <c r="AG2332" s="42"/>
      <c r="AH2332" s="42"/>
      <c r="AI2332" s="43"/>
      <c r="AJ2332" s="43"/>
      <c r="AK2332" s="43"/>
      <c r="AL2332" s="43"/>
      <c r="AM2332" s="43"/>
      <c r="AN2332" s="42"/>
      <c r="AO2332" s="42"/>
      <c r="AP2332" s="42"/>
      <c r="AQ2332" s="43"/>
      <c r="AR2332" s="42"/>
      <c r="AS2332" s="42"/>
    </row>
    <row r="2333" spans="1:45" ht="15" customHeight="1">
      <c r="A2333" s="65" t="s">
        <v>57</v>
      </c>
      <c r="B2333" s="22" t="s">
        <v>46</v>
      </c>
      <c r="C2333" s="21" t="s">
        <v>188</v>
      </c>
      <c r="D2333" s="22" t="s">
        <v>59</v>
      </c>
      <c r="E2333" s="66" t="s">
        <v>3004</v>
      </c>
      <c r="F2333" s="65" t="s">
        <v>3005</v>
      </c>
      <c r="G2333" s="26" t="s">
        <v>77</v>
      </c>
      <c r="H2333" s="45" t="s">
        <v>3006</v>
      </c>
      <c r="I2333" s="26" t="s">
        <v>78</v>
      </c>
      <c r="J2333" s="46" t="s">
        <v>3007</v>
      </c>
      <c r="K2333" s="47"/>
      <c r="L2333" s="48" t="s">
        <v>3027</v>
      </c>
      <c r="M2333" s="49">
        <v>44904</v>
      </c>
      <c r="N2333" s="47" t="s">
        <v>182</v>
      </c>
      <c r="O2333" s="61">
        <v>3520</v>
      </c>
      <c r="P2333" s="61">
        <v>1</v>
      </c>
      <c r="Q2333" s="51">
        <f t="shared" si="54"/>
        <v>3520</v>
      </c>
      <c r="R2333" s="31">
        <v>202310</v>
      </c>
      <c r="S2333" s="32" t="s">
        <v>3096</v>
      </c>
      <c r="T2333" s="33"/>
      <c r="U2333" s="32"/>
      <c r="V2333" s="33"/>
      <c r="W2333" s="67"/>
      <c r="X2333" s="67"/>
      <c r="Y2333" s="36">
        <v>44423</v>
      </c>
      <c r="Z2333" s="36">
        <v>46279</v>
      </c>
      <c r="AA2333" s="36"/>
      <c r="AB2333" s="36"/>
      <c r="AC2333" s="36"/>
      <c r="AD2333" s="36"/>
      <c r="AE2333" s="36"/>
      <c r="AF2333" s="53" t="s">
        <v>68</v>
      </c>
      <c r="AG2333" s="42"/>
      <c r="AH2333" s="42"/>
      <c r="AI2333" s="43"/>
      <c r="AJ2333" s="43"/>
      <c r="AK2333" s="43"/>
      <c r="AL2333" s="43"/>
      <c r="AM2333" s="43"/>
      <c r="AN2333" s="42"/>
      <c r="AO2333" s="42"/>
      <c r="AP2333" s="42"/>
      <c r="AQ2333" s="43"/>
      <c r="AR2333" s="42"/>
      <c r="AS2333" s="42"/>
    </row>
    <row r="2334" spans="1:45" ht="15" customHeight="1">
      <c r="A2334" s="65" t="s">
        <v>57</v>
      </c>
      <c r="B2334" s="22" t="s">
        <v>46</v>
      </c>
      <c r="C2334" s="21" t="s">
        <v>188</v>
      </c>
      <c r="D2334" s="22" t="s">
        <v>59</v>
      </c>
      <c r="E2334" s="66" t="s">
        <v>3004</v>
      </c>
      <c r="F2334" s="65" t="s">
        <v>3005</v>
      </c>
      <c r="G2334" s="26" t="s">
        <v>77</v>
      </c>
      <c r="H2334" s="45" t="s">
        <v>3006</v>
      </c>
      <c r="I2334" s="26" t="s">
        <v>78</v>
      </c>
      <c r="J2334" s="46" t="s">
        <v>3007</v>
      </c>
      <c r="K2334" s="47"/>
      <c r="L2334" s="48" t="s">
        <v>3027</v>
      </c>
      <c r="M2334" s="49">
        <v>44909</v>
      </c>
      <c r="N2334" s="47" t="s">
        <v>182</v>
      </c>
      <c r="O2334" s="61">
        <v>3520</v>
      </c>
      <c r="P2334" s="61">
        <v>-1</v>
      </c>
      <c r="Q2334" s="51">
        <f t="shared" si="54"/>
        <v>-3520</v>
      </c>
      <c r="R2334" s="31">
        <v>202310</v>
      </c>
      <c r="S2334" s="32" t="s">
        <v>3096</v>
      </c>
      <c r="T2334" s="33"/>
      <c r="U2334" s="32"/>
      <c r="V2334" s="33"/>
      <c r="W2334" s="67"/>
      <c r="X2334" s="67"/>
      <c r="Y2334" s="36">
        <v>44423</v>
      </c>
      <c r="Z2334" s="36">
        <v>46279</v>
      </c>
      <c r="AA2334" s="36"/>
      <c r="AB2334" s="36"/>
      <c r="AC2334" s="36"/>
      <c r="AD2334" s="36"/>
      <c r="AE2334" s="36"/>
      <c r="AF2334" s="53" t="s">
        <v>68</v>
      </c>
      <c r="AG2334" s="42"/>
      <c r="AH2334" s="42"/>
      <c r="AI2334" s="43"/>
      <c r="AJ2334" s="43"/>
      <c r="AK2334" s="43"/>
      <c r="AL2334" s="43"/>
      <c r="AM2334" s="43"/>
      <c r="AN2334" s="42"/>
      <c r="AO2334" s="42"/>
      <c r="AP2334" s="42"/>
      <c r="AQ2334" s="43"/>
      <c r="AR2334" s="42"/>
      <c r="AS2334" s="42"/>
    </row>
    <row r="2335" spans="1:45" ht="15" customHeight="1">
      <c r="A2335" s="65" t="s">
        <v>57</v>
      </c>
      <c r="B2335" s="22" t="s">
        <v>46</v>
      </c>
      <c r="C2335" s="21" t="s">
        <v>188</v>
      </c>
      <c r="D2335" s="22" t="s">
        <v>59</v>
      </c>
      <c r="E2335" s="66" t="s">
        <v>3004</v>
      </c>
      <c r="F2335" s="65" t="s">
        <v>3005</v>
      </c>
      <c r="G2335" s="26" t="s">
        <v>77</v>
      </c>
      <c r="H2335" s="45" t="s">
        <v>3006</v>
      </c>
      <c r="I2335" s="26" t="s">
        <v>78</v>
      </c>
      <c r="J2335" s="46" t="s">
        <v>3007</v>
      </c>
      <c r="K2335" s="47"/>
      <c r="L2335" s="48" t="s">
        <v>3008</v>
      </c>
      <c r="M2335" s="49">
        <v>44986</v>
      </c>
      <c r="N2335" s="47" t="s">
        <v>182</v>
      </c>
      <c r="O2335" s="61">
        <v>3520</v>
      </c>
      <c r="P2335" s="61">
        <v>-6</v>
      </c>
      <c r="Q2335" s="51">
        <f t="shared" si="54"/>
        <v>-21120</v>
      </c>
      <c r="R2335" s="31">
        <v>202310</v>
      </c>
      <c r="S2335" s="32" t="s">
        <v>3097</v>
      </c>
      <c r="T2335" s="33"/>
      <c r="U2335" s="32"/>
      <c r="V2335" s="33"/>
      <c r="W2335" s="67"/>
      <c r="X2335" s="67"/>
      <c r="Y2335" s="36">
        <v>44423</v>
      </c>
      <c r="Z2335" s="36">
        <v>46279</v>
      </c>
      <c r="AA2335" s="36"/>
      <c r="AB2335" s="36"/>
      <c r="AC2335" s="36"/>
      <c r="AD2335" s="36"/>
      <c r="AE2335" s="36"/>
      <c r="AF2335" s="53" t="s">
        <v>68</v>
      </c>
      <c r="AG2335" s="42"/>
      <c r="AH2335" s="42"/>
      <c r="AI2335" s="43"/>
      <c r="AJ2335" s="43"/>
      <c r="AK2335" s="43"/>
      <c r="AL2335" s="43"/>
      <c r="AM2335" s="43"/>
      <c r="AN2335" s="42"/>
      <c r="AO2335" s="42"/>
      <c r="AP2335" s="42"/>
      <c r="AQ2335" s="43"/>
      <c r="AR2335" s="42"/>
      <c r="AS2335" s="42"/>
    </row>
    <row r="2336" spans="1:45" ht="15" customHeight="1">
      <c r="A2336" s="65" t="s">
        <v>57</v>
      </c>
      <c r="B2336" s="22" t="s">
        <v>46</v>
      </c>
      <c r="C2336" s="21" t="s">
        <v>188</v>
      </c>
      <c r="D2336" s="22" t="s">
        <v>59</v>
      </c>
      <c r="E2336" s="66" t="s">
        <v>3004</v>
      </c>
      <c r="F2336" s="65" t="s">
        <v>3005</v>
      </c>
      <c r="G2336" s="26" t="s">
        <v>77</v>
      </c>
      <c r="H2336" s="45" t="s">
        <v>3006</v>
      </c>
      <c r="I2336" s="26" t="s">
        <v>78</v>
      </c>
      <c r="J2336" s="46" t="s">
        <v>3007</v>
      </c>
      <c r="K2336" s="47"/>
      <c r="L2336" s="48" t="s">
        <v>3008</v>
      </c>
      <c r="M2336" s="49">
        <v>45012</v>
      </c>
      <c r="N2336" s="47" t="s">
        <v>182</v>
      </c>
      <c r="O2336" s="61">
        <v>3520</v>
      </c>
      <c r="P2336" s="61">
        <v>-12</v>
      </c>
      <c r="Q2336" s="51">
        <f t="shared" si="54"/>
        <v>-42240</v>
      </c>
      <c r="R2336" s="31">
        <v>202310</v>
      </c>
      <c r="S2336" s="32" t="s">
        <v>3098</v>
      </c>
      <c r="T2336" s="33"/>
      <c r="U2336" s="32"/>
      <c r="V2336" s="33"/>
      <c r="W2336" s="67"/>
      <c r="X2336" s="67"/>
      <c r="Y2336" s="36">
        <v>44423</v>
      </c>
      <c r="Z2336" s="36">
        <v>46279</v>
      </c>
      <c r="AA2336" s="36"/>
      <c r="AB2336" s="36"/>
      <c r="AC2336" s="36"/>
      <c r="AD2336" s="36"/>
      <c r="AE2336" s="36"/>
      <c r="AF2336" s="53" t="s">
        <v>68</v>
      </c>
      <c r="AG2336" s="42"/>
      <c r="AH2336" s="42"/>
      <c r="AI2336" s="43"/>
      <c r="AJ2336" s="43"/>
      <c r="AK2336" s="43"/>
      <c r="AL2336" s="43"/>
      <c r="AM2336" s="43"/>
      <c r="AN2336" s="42"/>
      <c r="AO2336" s="42"/>
      <c r="AP2336" s="42"/>
      <c r="AQ2336" s="43"/>
      <c r="AR2336" s="42"/>
      <c r="AS2336" s="42"/>
    </row>
    <row r="2337" spans="1:45" ht="15" customHeight="1">
      <c r="A2337" s="65" t="s">
        <v>57</v>
      </c>
      <c r="B2337" s="22" t="s">
        <v>46</v>
      </c>
      <c r="C2337" s="21" t="s">
        <v>188</v>
      </c>
      <c r="D2337" s="22" t="s">
        <v>59</v>
      </c>
      <c r="E2337" s="66" t="s">
        <v>3004</v>
      </c>
      <c r="F2337" s="65" t="s">
        <v>3005</v>
      </c>
      <c r="G2337" s="26" t="s">
        <v>77</v>
      </c>
      <c r="H2337" s="45" t="s">
        <v>3006</v>
      </c>
      <c r="I2337" s="26" t="s">
        <v>78</v>
      </c>
      <c r="J2337" s="46" t="s">
        <v>3007</v>
      </c>
      <c r="K2337" s="47"/>
      <c r="L2337" s="48" t="s">
        <v>3027</v>
      </c>
      <c r="M2337" s="49">
        <v>44998</v>
      </c>
      <c r="N2337" s="47" t="s">
        <v>182</v>
      </c>
      <c r="O2337" s="61">
        <v>3520</v>
      </c>
      <c r="P2337" s="61">
        <v>2</v>
      </c>
      <c r="Q2337" s="51">
        <f t="shared" si="54"/>
        <v>7040</v>
      </c>
      <c r="R2337" s="31">
        <v>202310</v>
      </c>
      <c r="S2337" s="32" t="s">
        <v>3099</v>
      </c>
      <c r="T2337" s="33"/>
      <c r="U2337" s="32"/>
      <c r="V2337" s="33"/>
      <c r="W2337" s="67"/>
      <c r="X2337" s="67"/>
      <c r="Y2337" s="36">
        <v>44423</v>
      </c>
      <c r="Z2337" s="36">
        <v>46279</v>
      </c>
      <c r="AA2337" s="36"/>
      <c r="AB2337" s="36"/>
      <c r="AC2337" s="36"/>
      <c r="AD2337" s="36"/>
      <c r="AE2337" s="36"/>
      <c r="AF2337" s="53" t="s">
        <v>68</v>
      </c>
      <c r="AG2337" s="42"/>
      <c r="AH2337" s="42"/>
      <c r="AI2337" s="43"/>
      <c r="AJ2337" s="43"/>
      <c r="AK2337" s="43"/>
      <c r="AL2337" s="43"/>
      <c r="AM2337" s="43"/>
      <c r="AN2337" s="42"/>
      <c r="AO2337" s="42"/>
      <c r="AP2337" s="42"/>
      <c r="AQ2337" s="43"/>
      <c r="AR2337" s="42"/>
      <c r="AS2337" s="42"/>
    </row>
    <row r="2338" spans="1:45" ht="15" customHeight="1">
      <c r="A2338" s="65" t="s">
        <v>57</v>
      </c>
      <c r="B2338" s="22" t="s">
        <v>46</v>
      </c>
      <c r="C2338" s="21" t="s">
        <v>188</v>
      </c>
      <c r="D2338" s="22" t="s">
        <v>59</v>
      </c>
      <c r="E2338" s="66" t="s">
        <v>3004</v>
      </c>
      <c r="F2338" s="65" t="s">
        <v>3005</v>
      </c>
      <c r="G2338" s="26" t="s">
        <v>77</v>
      </c>
      <c r="H2338" s="45" t="s">
        <v>3006</v>
      </c>
      <c r="I2338" s="26" t="s">
        <v>78</v>
      </c>
      <c r="J2338" s="46" t="s">
        <v>3007</v>
      </c>
      <c r="K2338" s="47"/>
      <c r="L2338" s="48" t="s">
        <v>3008</v>
      </c>
      <c r="M2338" s="49">
        <v>45007</v>
      </c>
      <c r="N2338" s="47" t="s">
        <v>182</v>
      </c>
      <c r="O2338" s="61">
        <v>3520</v>
      </c>
      <c r="P2338" s="61">
        <v>2</v>
      </c>
      <c r="Q2338" s="51">
        <f t="shared" si="54"/>
        <v>7040</v>
      </c>
      <c r="R2338" s="31">
        <v>202310</v>
      </c>
      <c r="S2338" s="32" t="s">
        <v>3100</v>
      </c>
      <c r="T2338" s="33"/>
      <c r="U2338" s="32"/>
      <c r="V2338" s="33"/>
      <c r="W2338" s="67"/>
      <c r="X2338" s="67"/>
      <c r="Y2338" s="36">
        <v>44423</v>
      </c>
      <c r="Z2338" s="36">
        <v>46279</v>
      </c>
      <c r="AA2338" s="36"/>
      <c r="AB2338" s="36"/>
      <c r="AC2338" s="36"/>
      <c r="AD2338" s="36"/>
      <c r="AE2338" s="36"/>
      <c r="AF2338" s="53" t="s">
        <v>68</v>
      </c>
      <c r="AG2338" s="42"/>
      <c r="AH2338" s="42"/>
      <c r="AI2338" s="43"/>
      <c r="AJ2338" s="43"/>
      <c r="AK2338" s="43"/>
      <c r="AL2338" s="43"/>
      <c r="AM2338" s="43"/>
      <c r="AN2338" s="42"/>
      <c r="AO2338" s="42"/>
      <c r="AP2338" s="42"/>
      <c r="AQ2338" s="43"/>
      <c r="AR2338" s="42"/>
      <c r="AS2338" s="42"/>
    </row>
    <row r="2339" spans="1:45" ht="15" customHeight="1">
      <c r="A2339" s="65" t="s">
        <v>57</v>
      </c>
      <c r="B2339" s="22" t="s">
        <v>46</v>
      </c>
      <c r="C2339" s="21" t="s">
        <v>188</v>
      </c>
      <c r="D2339" s="22" t="s">
        <v>59</v>
      </c>
      <c r="E2339" s="66" t="s">
        <v>3004</v>
      </c>
      <c r="F2339" s="65" t="s">
        <v>3005</v>
      </c>
      <c r="G2339" s="26" t="s">
        <v>77</v>
      </c>
      <c r="H2339" s="45" t="s">
        <v>3006</v>
      </c>
      <c r="I2339" s="26" t="s">
        <v>78</v>
      </c>
      <c r="J2339" s="46" t="s">
        <v>3007</v>
      </c>
      <c r="K2339" s="47"/>
      <c r="L2339" s="48" t="s">
        <v>3008</v>
      </c>
      <c r="M2339" s="49">
        <v>45039</v>
      </c>
      <c r="N2339" s="47" t="s">
        <v>182</v>
      </c>
      <c r="O2339" s="61">
        <v>3520</v>
      </c>
      <c r="P2339" s="61">
        <v>-1</v>
      </c>
      <c r="Q2339" s="51">
        <f t="shared" si="54"/>
        <v>-3520</v>
      </c>
      <c r="R2339" s="31">
        <v>202310</v>
      </c>
      <c r="S2339" s="32" t="s">
        <v>3101</v>
      </c>
      <c r="T2339" s="33"/>
      <c r="U2339" s="32"/>
      <c r="V2339" s="33"/>
      <c r="W2339" s="67"/>
      <c r="X2339" s="67"/>
      <c r="Y2339" s="36">
        <v>44423</v>
      </c>
      <c r="Z2339" s="36">
        <v>46279</v>
      </c>
      <c r="AA2339" s="36"/>
      <c r="AB2339" s="36"/>
      <c r="AC2339" s="36"/>
      <c r="AD2339" s="36"/>
      <c r="AE2339" s="36"/>
      <c r="AF2339" s="53" t="s">
        <v>68</v>
      </c>
      <c r="AG2339" s="42"/>
      <c r="AH2339" s="42"/>
      <c r="AI2339" s="43"/>
      <c r="AJ2339" s="43"/>
      <c r="AK2339" s="43"/>
      <c r="AL2339" s="43"/>
      <c r="AM2339" s="43"/>
      <c r="AN2339" s="42"/>
      <c r="AO2339" s="42"/>
      <c r="AP2339" s="42"/>
      <c r="AQ2339" s="43"/>
      <c r="AR2339" s="42"/>
      <c r="AS2339" s="42"/>
    </row>
    <row r="2340" spans="1:45" ht="15" customHeight="1">
      <c r="A2340" s="65" t="s">
        <v>57</v>
      </c>
      <c r="B2340" s="22" t="s">
        <v>46</v>
      </c>
      <c r="C2340" s="21" t="s">
        <v>188</v>
      </c>
      <c r="D2340" s="22" t="s">
        <v>59</v>
      </c>
      <c r="E2340" s="66" t="s">
        <v>3004</v>
      </c>
      <c r="F2340" s="65" t="s">
        <v>3005</v>
      </c>
      <c r="G2340" s="26" t="s">
        <v>77</v>
      </c>
      <c r="H2340" s="45" t="s">
        <v>3006</v>
      </c>
      <c r="I2340" s="26" t="s">
        <v>78</v>
      </c>
      <c r="J2340" s="46" t="s">
        <v>3007</v>
      </c>
      <c r="K2340" s="47"/>
      <c r="L2340" s="48" t="s">
        <v>3008</v>
      </c>
      <c r="M2340" s="49">
        <v>45106</v>
      </c>
      <c r="N2340" s="47" t="s">
        <v>1151</v>
      </c>
      <c r="O2340" s="61">
        <v>4800</v>
      </c>
      <c r="P2340" s="61">
        <v>8</v>
      </c>
      <c r="Q2340" s="51">
        <f t="shared" si="54"/>
        <v>38400</v>
      </c>
      <c r="R2340" s="31">
        <v>202310</v>
      </c>
      <c r="S2340" s="32" t="s">
        <v>3102</v>
      </c>
      <c r="T2340" s="33"/>
      <c r="U2340" s="32"/>
      <c r="V2340" s="33"/>
      <c r="W2340" s="67"/>
      <c r="X2340" s="67"/>
      <c r="Y2340" s="36">
        <v>44423</v>
      </c>
      <c r="Z2340" s="36">
        <v>46279</v>
      </c>
      <c r="AA2340" s="36"/>
      <c r="AB2340" s="36"/>
      <c r="AC2340" s="36"/>
      <c r="AD2340" s="36"/>
      <c r="AE2340" s="36"/>
      <c r="AF2340" s="53" t="s">
        <v>68</v>
      </c>
      <c r="AG2340" s="42"/>
      <c r="AH2340" s="42"/>
      <c r="AI2340" s="43"/>
      <c r="AJ2340" s="43"/>
      <c r="AK2340" s="43"/>
      <c r="AL2340" s="43"/>
      <c r="AM2340" s="43"/>
      <c r="AN2340" s="42"/>
      <c r="AO2340" s="42"/>
      <c r="AP2340" s="42"/>
      <c r="AQ2340" s="43"/>
      <c r="AR2340" s="42"/>
      <c r="AS2340" s="42"/>
    </row>
    <row r="2341" spans="1:45" ht="15" customHeight="1">
      <c r="A2341" s="65" t="s">
        <v>57</v>
      </c>
      <c r="B2341" s="22" t="s">
        <v>46</v>
      </c>
      <c r="C2341" s="21" t="s">
        <v>188</v>
      </c>
      <c r="D2341" s="22" t="s">
        <v>59</v>
      </c>
      <c r="E2341" s="66" t="s">
        <v>3004</v>
      </c>
      <c r="F2341" s="65" t="s">
        <v>3005</v>
      </c>
      <c r="G2341" s="26" t="s">
        <v>77</v>
      </c>
      <c r="H2341" s="45" t="s">
        <v>3006</v>
      </c>
      <c r="I2341" s="26" t="s">
        <v>78</v>
      </c>
      <c r="J2341" s="46" t="s">
        <v>3007</v>
      </c>
      <c r="K2341" s="47"/>
      <c r="L2341" s="48" t="s">
        <v>3008</v>
      </c>
      <c r="M2341" s="49">
        <v>45027</v>
      </c>
      <c r="N2341" s="47" t="s">
        <v>182</v>
      </c>
      <c r="O2341" s="61">
        <v>3520</v>
      </c>
      <c r="P2341" s="61">
        <v>1</v>
      </c>
      <c r="Q2341" s="51">
        <f t="shared" si="54"/>
        <v>3520</v>
      </c>
      <c r="R2341" s="31">
        <v>202310</v>
      </c>
      <c r="S2341" s="32" t="s">
        <v>3103</v>
      </c>
      <c r="T2341" s="33"/>
      <c r="U2341" s="32"/>
      <c r="V2341" s="33"/>
      <c r="W2341" s="67"/>
      <c r="X2341" s="67"/>
      <c r="Y2341" s="36">
        <v>44423</v>
      </c>
      <c r="Z2341" s="36">
        <v>46279</v>
      </c>
      <c r="AA2341" s="36"/>
      <c r="AB2341" s="36"/>
      <c r="AC2341" s="36"/>
      <c r="AD2341" s="36"/>
      <c r="AE2341" s="36"/>
      <c r="AF2341" s="53" t="s">
        <v>68</v>
      </c>
      <c r="AG2341" s="42"/>
      <c r="AH2341" s="42"/>
      <c r="AI2341" s="43"/>
      <c r="AJ2341" s="43"/>
      <c r="AK2341" s="43"/>
      <c r="AL2341" s="43"/>
      <c r="AM2341" s="43"/>
      <c r="AN2341" s="42"/>
      <c r="AO2341" s="42"/>
      <c r="AP2341" s="42"/>
      <c r="AQ2341" s="43"/>
      <c r="AR2341" s="42"/>
      <c r="AS2341" s="42"/>
    </row>
    <row r="2342" spans="1:45" ht="15" customHeight="1">
      <c r="A2342" s="65" t="s">
        <v>57</v>
      </c>
      <c r="B2342" s="22" t="s">
        <v>46</v>
      </c>
      <c r="C2342" s="21" t="s">
        <v>188</v>
      </c>
      <c r="D2342" s="22" t="s">
        <v>59</v>
      </c>
      <c r="E2342" s="66" t="s">
        <v>3004</v>
      </c>
      <c r="F2342" s="65" t="s">
        <v>3005</v>
      </c>
      <c r="G2342" s="26" t="s">
        <v>77</v>
      </c>
      <c r="H2342" s="45" t="s">
        <v>3006</v>
      </c>
      <c r="I2342" s="26" t="s">
        <v>78</v>
      </c>
      <c r="J2342" s="46" t="s">
        <v>3007</v>
      </c>
      <c r="K2342" s="47"/>
      <c r="L2342" s="48" t="s">
        <v>3008</v>
      </c>
      <c r="M2342" s="49">
        <v>45041</v>
      </c>
      <c r="N2342" s="47" t="s">
        <v>182</v>
      </c>
      <c r="O2342" s="61">
        <v>3520</v>
      </c>
      <c r="P2342" s="61">
        <v>10</v>
      </c>
      <c r="Q2342" s="51">
        <f t="shared" si="54"/>
        <v>35200</v>
      </c>
      <c r="R2342" s="31">
        <v>202310</v>
      </c>
      <c r="S2342" s="32" t="s">
        <v>3104</v>
      </c>
      <c r="T2342" s="33"/>
      <c r="U2342" s="32"/>
      <c r="V2342" s="33"/>
      <c r="W2342" s="67"/>
      <c r="X2342" s="67"/>
      <c r="Y2342" s="36">
        <v>44423</v>
      </c>
      <c r="Z2342" s="36">
        <v>46279</v>
      </c>
      <c r="AA2342" s="36"/>
      <c r="AB2342" s="36"/>
      <c r="AC2342" s="36"/>
      <c r="AD2342" s="36"/>
      <c r="AE2342" s="36"/>
      <c r="AF2342" s="53" t="s">
        <v>68</v>
      </c>
      <c r="AG2342" s="42"/>
      <c r="AH2342" s="42"/>
      <c r="AI2342" s="43"/>
      <c r="AJ2342" s="43"/>
      <c r="AK2342" s="43"/>
      <c r="AL2342" s="43"/>
      <c r="AM2342" s="43"/>
      <c r="AN2342" s="42"/>
      <c r="AO2342" s="42"/>
      <c r="AP2342" s="42"/>
      <c r="AQ2342" s="43"/>
      <c r="AR2342" s="42"/>
      <c r="AS2342" s="42"/>
    </row>
    <row r="2343" spans="1:45" ht="15" customHeight="1">
      <c r="A2343" s="65" t="s">
        <v>57</v>
      </c>
      <c r="B2343" s="22" t="s">
        <v>46</v>
      </c>
      <c r="C2343" s="21" t="s">
        <v>188</v>
      </c>
      <c r="D2343" s="22" t="s">
        <v>59</v>
      </c>
      <c r="E2343" s="66" t="s">
        <v>3004</v>
      </c>
      <c r="F2343" s="65" t="s">
        <v>3005</v>
      </c>
      <c r="G2343" s="26" t="s">
        <v>77</v>
      </c>
      <c r="H2343" s="45" t="s">
        <v>3006</v>
      </c>
      <c r="I2343" s="26" t="s">
        <v>78</v>
      </c>
      <c r="J2343" s="46" t="s">
        <v>3007</v>
      </c>
      <c r="K2343" s="47"/>
      <c r="L2343" s="48" t="s">
        <v>3008</v>
      </c>
      <c r="M2343" s="49">
        <v>45046</v>
      </c>
      <c r="N2343" s="47" t="s">
        <v>182</v>
      </c>
      <c r="O2343" s="61">
        <v>3520</v>
      </c>
      <c r="P2343" s="61">
        <v>1</v>
      </c>
      <c r="Q2343" s="51">
        <f t="shared" si="54"/>
        <v>3520</v>
      </c>
      <c r="R2343" s="31">
        <v>202310</v>
      </c>
      <c r="S2343" s="32" t="s">
        <v>3105</v>
      </c>
      <c r="T2343" s="33"/>
      <c r="U2343" s="32"/>
      <c r="V2343" s="33"/>
      <c r="W2343" s="67"/>
      <c r="X2343" s="67"/>
      <c r="Y2343" s="36">
        <v>44423</v>
      </c>
      <c r="Z2343" s="36">
        <v>46279</v>
      </c>
      <c r="AA2343" s="36"/>
      <c r="AB2343" s="36"/>
      <c r="AC2343" s="36"/>
      <c r="AD2343" s="36"/>
      <c r="AE2343" s="36"/>
      <c r="AF2343" s="53" t="s">
        <v>68</v>
      </c>
      <c r="AG2343" s="42"/>
      <c r="AH2343" s="42"/>
      <c r="AI2343" s="43"/>
      <c r="AJ2343" s="43"/>
      <c r="AK2343" s="43"/>
      <c r="AL2343" s="43"/>
      <c r="AM2343" s="43"/>
      <c r="AN2343" s="42"/>
      <c r="AO2343" s="42"/>
      <c r="AP2343" s="42"/>
      <c r="AQ2343" s="43"/>
      <c r="AR2343" s="42"/>
      <c r="AS2343" s="42"/>
    </row>
    <row r="2344" spans="1:45" ht="15" customHeight="1">
      <c r="A2344" s="65" t="s">
        <v>57</v>
      </c>
      <c r="B2344" s="22" t="s">
        <v>46</v>
      </c>
      <c r="C2344" s="21" t="s">
        <v>188</v>
      </c>
      <c r="D2344" s="22" t="s">
        <v>59</v>
      </c>
      <c r="E2344" s="66" t="s">
        <v>3004</v>
      </c>
      <c r="F2344" s="65" t="s">
        <v>3005</v>
      </c>
      <c r="G2344" s="26" t="s">
        <v>77</v>
      </c>
      <c r="H2344" s="45" t="s">
        <v>3006</v>
      </c>
      <c r="I2344" s="26" t="s">
        <v>78</v>
      </c>
      <c r="J2344" s="46" t="s">
        <v>3007</v>
      </c>
      <c r="K2344" s="47"/>
      <c r="L2344" s="48" t="s">
        <v>3008</v>
      </c>
      <c r="M2344" s="49">
        <v>45051</v>
      </c>
      <c r="N2344" s="47" t="s">
        <v>182</v>
      </c>
      <c r="O2344" s="61">
        <v>3520</v>
      </c>
      <c r="P2344" s="61">
        <v>1</v>
      </c>
      <c r="Q2344" s="51">
        <f t="shared" si="54"/>
        <v>3520</v>
      </c>
      <c r="R2344" s="31">
        <v>202310</v>
      </c>
      <c r="S2344" s="32" t="s">
        <v>3106</v>
      </c>
      <c r="T2344" s="33"/>
      <c r="U2344" s="32"/>
      <c r="V2344" s="33"/>
      <c r="W2344" s="67"/>
      <c r="X2344" s="67"/>
      <c r="Y2344" s="36">
        <v>44423</v>
      </c>
      <c r="Z2344" s="36">
        <v>46279</v>
      </c>
      <c r="AA2344" s="36"/>
      <c r="AB2344" s="36"/>
      <c r="AC2344" s="36"/>
      <c r="AD2344" s="36"/>
      <c r="AE2344" s="36"/>
      <c r="AF2344" s="53" t="s">
        <v>68</v>
      </c>
      <c r="AG2344" s="42"/>
      <c r="AH2344" s="42"/>
      <c r="AI2344" s="43"/>
      <c r="AJ2344" s="43"/>
      <c r="AK2344" s="43"/>
      <c r="AL2344" s="43"/>
      <c r="AM2344" s="43"/>
      <c r="AN2344" s="42"/>
      <c r="AO2344" s="42"/>
      <c r="AP2344" s="42"/>
      <c r="AQ2344" s="43"/>
      <c r="AR2344" s="42"/>
      <c r="AS2344" s="42"/>
    </row>
    <row r="2345" spans="1:45" ht="15" customHeight="1">
      <c r="A2345" s="65" t="s">
        <v>57</v>
      </c>
      <c r="B2345" s="22" t="s">
        <v>46</v>
      </c>
      <c r="C2345" s="21" t="s">
        <v>188</v>
      </c>
      <c r="D2345" s="22" t="s">
        <v>59</v>
      </c>
      <c r="E2345" s="66" t="s">
        <v>3004</v>
      </c>
      <c r="F2345" s="65" t="s">
        <v>3005</v>
      </c>
      <c r="G2345" s="26" t="s">
        <v>77</v>
      </c>
      <c r="H2345" s="45" t="s">
        <v>3006</v>
      </c>
      <c r="I2345" s="26" t="s">
        <v>78</v>
      </c>
      <c r="J2345" s="46" t="s">
        <v>3007</v>
      </c>
      <c r="K2345" s="47"/>
      <c r="L2345" s="48" t="s">
        <v>3008</v>
      </c>
      <c r="M2345" s="49">
        <v>45056</v>
      </c>
      <c r="N2345" s="47" t="s">
        <v>182</v>
      </c>
      <c r="O2345" s="61">
        <v>3520</v>
      </c>
      <c r="P2345" s="61">
        <v>1</v>
      </c>
      <c r="Q2345" s="51">
        <f t="shared" si="54"/>
        <v>3520</v>
      </c>
      <c r="R2345" s="31">
        <v>202310</v>
      </c>
      <c r="S2345" s="32" t="s">
        <v>3107</v>
      </c>
      <c r="T2345" s="33"/>
      <c r="U2345" s="32"/>
      <c r="V2345" s="33"/>
      <c r="W2345" s="67"/>
      <c r="X2345" s="67"/>
      <c r="Y2345" s="36">
        <v>44423</v>
      </c>
      <c r="Z2345" s="36">
        <v>46279</v>
      </c>
      <c r="AA2345" s="36"/>
      <c r="AB2345" s="36"/>
      <c r="AC2345" s="36"/>
      <c r="AD2345" s="36"/>
      <c r="AE2345" s="36"/>
      <c r="AF2345" s="53" t="s">
        <v>68</v>
      </c>
      <c r="AG2345" s="42"/>
      <c r="AH2345" s="42"/>
      <c r="AI2345" s="43"/>
      <c r="AJ2345" s="43"/>
      <c r="AK2345" s="43"/>
      <c r="AL2345" s="43"/>
      <c r="AM2345" s="43"/>
      <c r="AN2345" s="42"/>
      <c r="AO2345" s="42"/>
      <c r="AP2345" s="42"/>
      <c r="AQ2345" s="43"/>
      <c r="AR2345" s="42"/>
      <c r="AS2345" s="42"/>
    </row>
    <row r="2346" spans="1:45" ht="15" customHeight="1">
      <c r="A2346" s="65" t="s">
        <v>57</v>
      </c>
      <c r="B2346" s="22" t="s">
        <v>46</v>
      </c>
      <c r="C2346" s="21" t="s">
        <v>188</v>
      </c>
      <c r="D2346" s="22" t="s">
        <v>59</v>
      </c>
      <c r="E2346" s="66" t="s">
        <v>3004</v>
      </c>
      <c r="F2346" s="65" t="s">
        <v>3005</v>
      </c>
      <c r="G2346" s="26" t="s">
        <v>77</v>
      </c>
      <c r="H2346" s="45" t="s">
        <v>3006</v>
      </c>
      <c r="I2346" s="26" t="s">
        <v>78</v>
      </c>
      <c r="J2346" s="46" t="s">
        <v>3007</v>
      </c>
      <c r="K2346" s="47"/>
      <c r="L2346" s="48" t="s">
        <v>3008</v>
      </c>
      <c r="M2346" s="49">
        <v>45057</v>
      </c>
      <c r="N2346" s="47" t="s">
        <v>182</v>
      </c>
      <c r="O2346" s="61">
        <v>3520</v>
      </c>
      <c r="P2346" s="61">
        <v>1</v>
      </c>
      <c r="Q2346" s="51">
        <f t="shared" si="54"/>
        <v>3520</v>
      </c>
      <c r="R2346" s="31">
        <v>202310</v>
      </c>
      <c r="S2346" s="32" t="s">
        <v>3108</v>
      </c>
      <c r="T2346" s="33"/>
      <c r="U2346" s="32"/>
      <c r="V2346" s="33"/>
      <c r="W2346" s="67"/>
      <c r="X2346" s="67"/>
      <c r="Y2346" s="36">
        <v>44423</v>
      </c>
      <c r="Z2346" s="36">
        <v>46279</v>
      </c>
      <c r="AA2346" s="36"/>
      <c r="AB2346" s="36"/>
      <c r="AC2346" s="36"/>
      <c r="AD2346" s="36"/>
      <c r="AE2346" s="36"/>
      <c r="AF2346" s="53" t="s">
        <v>68</v>
      </c>
      <c r="AG2346" s="42"/>
      <c r="AH2346" s="42"/>
      <c r="AI2346" s="43"/>
      <c r="AJ2346" s="43"/>
      <c r="AK2346" s="43"/>
      <c r="AL2346" s="43"/>
      <c r="AM2346" s="43"/>
      <c r="AN2346" s="42"/>
      <c r="AO2346" s="42"/>
      <c r="AP2346" s="42"/>
      <c r="AQ2346" s="43"/>
      <c r="AR2346" s="42"/>
      <c r="AS2346" s="42"/>
    </row>
    <row r="2347" spans="1:45" ht="15" customHeight="1">
      <c r="A2347" s="65" t="s">
        <v>57</v>
      </c>
      <c r="B2347" s="22" t="s">
        <v>46</v>
      </c>
      <c r="C2347" s="21" t="s">
        <v>188</v>
      </c>
      <c r="D2347" s="22" t="s">
        <v>59</v>
      </c>
      <c r="E2347" s="66" t="s">
        <v>3004</v>
      </c>
      <c r="F2347" s="65" t="s">
        <v>3005</v>
      </c>
      <c r="G2347" s="26" t="s">
        <v>77</v>
      </c>
      <c r="H2347" s="45" t="s">
        <v>3006</v>
      </c>
      <c r="I2347" s="26" t="s">
        <v>78</v>
      </c>
      <c r="J2347" s="46" t="s">
        <v>3007</v>
      </c>
      <c r="K2347" s="47"/>
      <c r="L2347" s="48" t="s">
        <v>3008</v>
      </c>
      <c r="M2347" s="49">
        <v>45063</v>
      </c>
      <c r="N2347" s="47" t="s">
        <v>182</v>
      </c>
      <c r="O2347" s="61">
        <v>3520</v>
      </c>
      <c r="P2347" s="61">
        <v>4</v>
      </c>
      <c r="Q2347" s="51">
        <f t="shared" si="54"/>
        <v>14080</v>
      </c>
      <c r="R2347" s="31">
        <v>202310</v>
      </c>
      <c r="S2347" s="32" t="s">
        <v>3109</v>
      </c>
      <c r="T2347" s="33"/>
      <c r="U2347" s="32"/>
      <c r="V2347" s="33"/>
      <c r="W2347" s="67"/>
      <c r="X2347" s="67"/>
      <c r="Y2347" s="36">
        <v>44423</v>
      </c>
      <c r="Z2347" s="36">
        <v>46279</v>
      </c>
      <c r="AA2347" s="36"/>
      <c r="AB2347" s="36"/>
      <c r="AC2347" s="36"/>
      <c r="AD2347" s="36"/>
      <c r="AE2347" s="36"/>
      <c r="AF2347" s="53" t="s">
        <v>68</v>
      </c>
      <c r="AG2347" s="42"/>
      <c r="AH2347" s="42"/>
      <c r="AI2347" s="43"/>
      <c r="AJ2347" s="43"/>
      <c r="AK2347" s="43"/>
      <c r="AL2347" s="43"/>
      <c r="AM2347" s="43"/>
      <c r="AN2347" s="42"/>
      <c r="AO2347" s="42"/>
      <c r="AP2347" s="42"/>
      <c r="AQ2347" s="43"/>
      <c r="AR2347" s="42"/>
      <c r="AS2347" s="42"/>
    </row>
    <row r="2348" spans="1:45" ht="15" customHeight="1">
      <c r="A2348" s="65" t="s">
        <v>57</v>
      </c>
      <c r="B2348" s="22" t="s">
        <v>46</v>
      </c>
      <c r="C2348" s="21" t="s">
        <v>188</v>
      </c>
      <c r="D2348" s="22" t="s">
        <v>59</v>
      </c>
      <c r="E2348" s="66" t="s">
        <v>3004</v>
      </c>
      <c r="F2348" s="65" t="s">
        <v>3005</v>
      </c>
      <c r="G2348" s="26" t="s">
        <v>77</v>
      </c>
      <c r="H2348" s="45" t="s">
        <v>3006</v>
      </c>
      <c r="I2348" s="26" t="s">
        <v>78</v>
      </c>
      <c r="J2348" s="46" t="s">
        <v>3007</v>
      </c>
      <c r="K2348" s="47"/>
      <c r="L2348" s="48" t="s">
        <v>3008</v>
      </c>
      <c r="M2348" s="49">
        <v>45072</v>
      </c>
      <c r="N2348" s="47" t="s">
        <v>182</v>
      </c>
      <c r="O2348" s="61">
        <v>3520</v>
      </c>
      <c r="P2348" s="61">
        <v>1</v>
      </c>
      <c r="Q2348" s="51">
        <f>ROUND(O2348*P2348,2)</f>
        <v>3520</v>
      </c>
      <c r="R2348" s="31">
        <v>202310</v>
      </c>
      <c r="S2348" s="32" t="s">
        <v>3110</v>
      </c>
      <c r="T2348" s="33"/>
      <c r="U2348" s="32"/>
      <c r="V2348" s="33"/>
      <c r="W2348" s="67"/>
      <c r="X2348" s="67"/>
      <c r="Y2348" s="36">
        <v>44423</v>
      </c>
      <c r="Z2348" s="36">
        <v>46279</v>
      </c>
      <c r="AA2348" s="36"/>
      <c r="AB2348" s="36"/>
      <c r="AC2348" s="36"/>
      <c r="AD2348" s="36"/>
      <c r="AE2348" s="36"/>
      <c r="AF2348" s="53" t="s">
        <v>68</v>
      </c>
      <c r="AG2348" s="42"/>
      <c r="AH2348" s="42"/>
      <c r="AI2348" s="43"/>
      <c r="AJ2348" s="43"/>
      <c r="AK2348" s="43"/>
      <c r="AL2348" s="43"/>
      <c r="AM2348" s="43"/>
      <c r="AN2348" s="42"/>
      <c r="AO2348" s="42"/>
      <c r="AP2348" s="42"/>
      <c r="AQ2348" s="43"/>
      <c r="AR2348" s="42"/>
      <c r="AS2348" s="42"/>
    </row>
    <row r="2349" spans="1:45" ht="15" customHeight="1">
      <c r="A2349" s="65" t="s">
        <v>57</v>
      </c>
      <c r="B2349" s="22" t="s">
        <v>46</v>
      </c>
      <c r="C2349" s="21" t="s">
        <v>188</v>
      </c>
      <c r="D2349" s="22" t="s">
        <v>59</v>
      </c>
      <c r="E2349" s="66" t="s">
        <v>3004</v>
      </c>
      <c r="F2349" s="65" t="s">
        <v>3005</v>
      </c>
      <c r="G2349" s="26" t="s">
        <v>77</v>
      </c>
      <c r="H2349" s="45" t="s">
        <v>3006</v>
      </c>
      <c r="I2349" s="26" t="s">
        <v>78</v>
      </c>
      <c r="J2349" s="46" t="s">
        <v>3007</v>
      </c>
      <c r="K2349" s="47"/>
      <c r="L2349" s="48" t="s">
        <v>3027</v>
      </c>
      <c r="M2349" s="49">
        <v>45083</v>
      </c>
      <c r="N2349" s="47" t="s">
        <v>182</v>
      </c>
      <c r="O2349" s="61">
        <v>3520</v>
      </c>
      <c r="P2349" s="61">
        <v>1</v>
      </c>
      <c r="Q2349" s="51">
        <f t="shared" ref="Q2349:Q2365" si="55">ROUND(O2349*P2349,2)</f>
        <v>3520</v>
      </c>
      <c r="R2349" s="31">
        <v>202310</v>
      </c>
      <c r="S2349" s="32" t="s">
        <v>3111</v>
      </c>
      <c r="T2349" s="33"/>
      <c r="U2349" s="32"/>
      <c r="V2349" s="33"/>
      <c r="W2349" s="67"/>
      <c r="X2349" s="67"/>
      <c r="Y2349" s="36">
        <v>44423</v>
      </c>
      <c r="Z2349" s="36">
        <v>46279</v>
      </c>
      <c r="AA2349" s="36"/>
      <c r="AB2349" s="36"/>
      <c r="AC2349" s="36"/>
      <c r="AD2349" s="36"/>
      <c r="AE2349" s="36"/>
      <c r="AF2349" s="53" t="s">
        <v>68</v>
      </c>
      <c r="AG2349" s="42"/>
      <c r="AH2349" s="42"/>
      <c r="AI2349" s="43"/>
      <c r="AJ2349" s="43"/>
      <c r="AK2349" s="43"/>
      <c r="AL2349" s="43"/>
      <c r="AM2349" s="43"/>
      <c r="AN2349" s="42"/>
      <c r="AO2349" s="42"/>
      <c r="AP2349" s="42"/>
      <c r="AQ2349" s="43"/>
      <c r="AR2349" s="42"/>
      <c r="AS2349" s="42"/>
    </row>
    <row r="2350" spans="1:45" ht="15" customHeight="1">
      <c r="A2350" s="65" t="s">
        <v>57</v>
      </c>
      <c r="B2350" s="22" t="s">
        <v>46</v>
      </c>
      <c r="C2350" s="21" t="s">
        <v>188</v>
      </c>
      <c r="D2350" s="22" t="s">
        <v>59</v>
      </c>
      <c r="E2350" s="66" t="s">
        <v>3004</v>
      </c>
      <c r="F2350" s="65" t="s">
        <v>3005</v>
      </c>
      <c r="G2350" s="26" t="s">
        <v>77</v>
      </c>
      <c r="H2350" s="45" t="s">
        <v>3006</v>
      </c>
      <c r="I2350" s="26" t="s">
        <v>78</v>
      </c>
      <c r="J2350" s="46" t="s">
        <v>3007</v>
      </c>
      <c r="K2350" s="47"/>
      <c r="L2350" s="48" t="s">
        <v>3008</v>
      </c>
      <c r="M2350" s="49">
        <v>45082</v>
      </c>
      <c r="N2350" s="47" t="s">
        <v>182</v>
      </c>
      <c r="O2350" s="61">
        <v>3520</v>
      </c>
      <c r="P2350" s="61">
        <v>2</v>
      </c>
      <c r="Q2350" s="51">
        <f t="shared" si="55"/>
        <v>7040</v>
      </c>
      <c r="R2350" s="31">
        <v>202310</v>
      </c>
      <c r="S2350" s="32" t="s">
        <v>3112</v>
      </c>
      <c r="T2350" s="33"/>
      <c r="U2350" s="32"/>
      <c r="V2350" s="33"/>
      <c r="W2350" s="67"/>
      <c r="X2350" s="67"/>
      <c r="Y2350" s="36">
        <v>44423</v>
      </c>
      <c r="Z2350" s="36">
        <v>46279</v>
      </c>
      <c r="AA2350" s="36"/>
      <c r="AB2350" s="36"/>
      <c r="AC2350" s="36"/>
      <c r="AD2350" s="36"/>
      <c r="AE2350" s="36"/>
      <c r="AF2350" s="53" t="s">
        <v>68</v>
      </c>
      <c r="AG2350" s="42"/>
      <c r="AH2350" s="42"/>
      <c r="AI2350" s="43"/>
      <c r="AJ2350" s="43"/>
      <c r="AK2350" s="43"/>
      <c r="AL2350" s="43"/>
      <c r="AM2350" s="43"/>
      <c r="AN2350" s="42"/>
      <c r="AO2350" s="42"/>
      <c r="AP2350" s="42"/>
      <c r="AQ2350" s="43"/>
      <c r="AR2350" s="42"/>
      <c r="AS2350" s="42"/>
    </row>
    <row r="2351" spans="1:45" ht="15" customHeight="1">
      <c r="A2351" s="65" t="s">
        <v>57</v>
      </c>
      <c r="B2351" s="22" t="s">
        <v>46</v>
      </c>
      <c r="C2351" s="21" t="s">
        <v>188</v>
      </c>
      <c r="D2351" s="22" t="s">
        <v>59</v>
      </c>
      <c r="E2351" s="66" t="s">
        <v>3004</v>
      </c>
      <c r="F2351" s="65" t="s">
        <v>3005</v>
      </c>
      <c r="G2351" s="26" t="s">
        <v>77</v>
      </c>
      <c r="H2351" s="45" t="s">
        <v>3006</v>
      </c>
      <c r="I2351" s="26" t="s">
        <v>78</v>
      </c>
      <c r="J2351" s="46" t="s">
        <v>3007</v>
      </c>
      <c r="K2351" s="47"/>
      <c r="L2351" s="48" t="s">
        <v>3008</v>
      </c>
      <c r="M2351" s="49">
        <v>45084</v>
      </c>
      <c r="N2351" s="47" t="s">
        <v>182</v>
      </c>
      <c r="O2351" s="61">
        <v>3520</v>
      </c>
      <c r="P2351" s="61">
        <v>4</v>
      </c>
      <c r="Q2351" s="51">
        <f t="shared" si="55"/>
        <v>14080</v>
      </c>
      <c r="R2351" s="31">
        <v>202310</v>
      </c>
      <c r="S2351" s="32" t="s">
        <v>3113</v>
      </c>
      <c r="T2351" s="33"/>
      <c r="U2351" s="32"/>
      <c r="V2351" s="33"/>
      <c r="W2351" s="67"/>
      <c r="X2351" s="67"/>
      <c r="Y2351" s="36">
        <v>44423</v>
      </c>
      <c r="Z2351" s="36">
        <v>46279</v>
      </c>
      <c r="AA2351" s="36"/>
      <c r="AB2351" s="36"/>
      <c r="AC2351" s="36"/>
      <c r="AD2351" s="36"/>
      <c r="AE2351" s="36"/>
      <c r="AF2351" s="53" t="s">
        <v>68</v>
      </c>
      <c r="AG2351" s="42"/>
      <c r="AH2351" s="42"/>
      <c r="AI2351" s="43"/>
      <c r="AJ2351" s="43"/>
      <c r="AK2351" s="43"/>
      <c r="AL2351" s="43"/>
      <c r="AM2351" s="43"/>
      <c r="AN2351" s="42"/>
      <c r="AO2351" s="42"/>
      <c r="AP2351" s="42"/>
      <c r="AQ2351" s="43"/>
      <c r="AR2351" s="42"/>
      <c r="AS2351" s="42"/>
    </row>
    <row r="2352" spans="1:45" ht="15" customHeight="1">
      <c r="A2352" s="65" t="s">
        <v>57</v>
      </c>
      <c r="B2352" s="22" t="s">
        <v>46</v>
      </c>
      <c r="C2352" s="21" t="s">
        <v>188</v>
      </c>
      <c r="D2352" s="22" t="s">
        <v>59</v>
      </c>
      <c r="E2352" s="66" t="s">
        <v>3004</v>
      </c>
      <c r="F2352" s="65" t="s">
        <v>3005</v>
      </c>
      <c r="G2352" s="26" t="s">
        <v>77</v>
      </c>
      <c r="H2352" s="45" t="s">
        <v>3006</v>
      </c>
      <c r="I2352" s="26" t="s">
        <v>78</v>
      </c>
      <c r="J2352" s="46" t="s">
        <v>3007</v>
      </c>
      <c r="K2352" s="47"/>
      <c r="L2352" s="48" t="s">
        <v>3008</v>
      </c>
      <c r="M2352" s="49">
        <v>45086</v>
      </c>
      <c r="N2352" s="47" t="s">
        <v>182</v>
      </c>
      <c r="O2352" s="61">
        <v>3520</v>
      </c>
      <c r="P2352" s="61">
        <v>2</v>
      </c>
      <c r="Q2352" s="51">
        <f t="shared" si="55"/>
        <v>7040</v>
      </c>
      <c r="R2352" s="31">
        <v>202310</v>
      </c>
      <c r="S2352" s="32" t="s">
        <v>3114</v>
      </c>
      <c r="T2352" s="33"/>
      <c r="U2352" s="32"/>
      <c r="V2352" s="33"/>
      <c r="W2352" s="67"/>
      <c r="X2352" s="67"/>
      <c r="Y2352" s="36">
        <v>44423</v>
      </c>
      <c r="Z2352" s="36">
        <v>46279</v>
      </c>
      <c r="AA2352" s="36"/>
      <c r="AB2352" s="36"/>
      <c r="AC2352" s="36"/>
      <c r="AD2352" s="36"/>
      <c r="AE2352" s="36"/>
      <c r="AF2352" s="53" t="s">
        <v>68</v>
      </c>
      <c r="AG2352" s="42"/>
      <c r="AH2352" s="42"/>
      <c r="AI2352" s="43"/>
      <c r="AJ2352" s="43"/>
      <c r="AK2352" s="43"/>
      <c r="AL2352" s="43"/>
      <c r="AM2352" s="43"/>
      <c r="AN2352" s="42"/>
      <c r="AO2352" s="42"/>
      <c r="AP2352" s="42"/>
      <c r="AQ2352" s="43"/>
      <c r="AR2352" s="42"/>
      <c r="AS2352" s="42"/>
    </row>
    <row r="2353" spans="1:45" ht="15" customHeight="1">
      <c r="A2353" s="65" t="s">
        <v>57</v>
      </c>
      <c r="B2353" s="22" t="s">
        <v>46</v>
      </c>
      <c r="C2353" s="21" t="s">
        <v>188</v>
      </c>
      <c r="D2353" s="22" t="s">
        <v>59</v>
      </c>
      <c r="E2353" s="66" t="s">
        <v>3004</v>
      </c>
      <c r="F2353" s="65" t="s">
        <v>3005</v>
      </c>
      <c r="G2353" s="26" t="s">
        <v>77</v>
      </c>
      <c r="H2353" s="45" t="s">
        <v>3006</v>
      </c>
      <c r="I2353" s="26" t="s">
        <v>78</v>
      </c>
      <c r="J2353" s="46" t="s">
        <v>3007</v>
      </c>
      <c r="K2353" s="47"/>
      <c r="L2353" s="48" t="s">
        <v>3008</v>
      </c>
      <c r="M2353" s="49">
        <v>45097</v>
      </c>
      <c r="N2353" s="47" t="s">
        <v>182</v>
      </c>
      <c r="O2353" s="61">
        <v>3520</v>
      </c>
      <c r="P2353" s="61">
        <v>1</v>
      </c>
      <c r="Q2353" s="51">
        <f t="shared" si="55"/>
        <v>3520</v>
      </c>
      <c r="R2353" s="31">
        <v>202310</v>
      </c>
      <c r="S2353" s="32" t="s">
        <v>3115</v>
      </c>
      <c r="T2353" s="33"/>
      <c r="U2353" s="32"/>
      <c r="V2353" s="33"/>
      <c r="W2353" s="67"/>
      <c r="X2353" s="67"/>
      <c r="Y2353" s="36">
        <v>44423</v>
      </c>
      <c r="Z2353" s="36">
        <v>46279</v>
      </c>
      <c r="AA2353" s="36"/>
      <c r="AB2353" s="36"/>
      <c r="AC2353" s="36"/>
      <c r="AD2353" s="36"/>
      <c r="AE2353" s="36"/>
      <c r="AF2353" s="53" t="s">
        <v>68</v>
      </c>
      <c r="AG2353" s="42"/>
      <c r="AH2353" s="42"/>
      <c r="AI2353" s="43"/>
      <c r="AJ2353" s="43"/>
      <c r="AK2353" s="43"/>
      <c r="AL2353" s="43"/>
      <c r="AM2353" s="43"/>
      <c r="AN2353" s="42"/>
      <c r="AO2353" s="42"/>
      <c r="AP2353" s="42"/>
      <c r="AQ2353" s="43"/>
      <c r="AR2353" s="42"/>
      <c r="AS2353" s="42"/>
    </row>
    <row r="2354" spans="1:45" ht="15" customHeight="1">
      <c r="A2354" s="65" t="s">
        <v>57</v>
      </c>
      <c r="B2354" s="22" t="s">
        <v>46</v>
      </c>
      <c r="C2354" s="21" t="s">
        <v>188</v>
      </c>
      <c r="D2354" s="22" t="s">
        <v>59</v>
      </c>
      <c r="E2354" s="66" t="s">
        <v>3004</v>
      </c>
      <c r="F2354" s="65" t="s">
        <v>3005</v>
      </c>
      <c r="G2354" s="26" t="s">
        <v>77</v>
      </c>
      <c r="H2354" s="45" t="s">
        <v>3006</v>
      </c>
      <c r="I2354" s="26" t="s">
        <v>78</v>
      </c>
      <c r="J2354" s="46" t="s">
        <v>3007</v>
      </c>
      <c r="K2354" s="47"/>
      <c r="L2354" s="48" t="s">
        <v>3008</v>
      </c>
      <c r="M2354" s="49">
        <v>45100</v>
      </c>
      <c r="N2354" s="47" t="s">
        <v>182</v>
      </c>
      <c r="O2354" s="61">
        <v>3520</v>
      </c>
      <c r="P2354" s="61">
        <v>12</v>
      </c>
      <c r="Q2354" s="51">
        <f t="shared" si="55"/>
        <v>42240</v>
      </c>
      <c r="R2354" s="31">
        <v>202310</v>
      </c>
      <c r="S2354" s="32" t="s">
        <v>3116</v>
      </c>
      <c r="T2354" s="33"/>
      <c r="U2354" s="32"/>
      <c r="V2354" s="33"/>
      <c r="W2354" s="67"/>
      <c r="X2354" s="67"/>
      <c r="Y2354" s="36">
        <v>44423</v>
      </c>
      <c r="Z2354" s="36">
        <v>46279</v>
      </c>
      <c r="AA2354" s="36"/>
      <c r="AB2354" s="36"/>
      <c r="AC2354" s="36"/>
      <c r="AD2354" s="36"/>
      <c r="AE2354" s="36"/>
      <c r="AF2354" s="53" t="s">
        <v>68</v>
      </c>
      <c r="AG2354" s="42"/>
      <c r="AH2354" s="42"/>
      <c r="AI2354" s="43"/>
      <c r="AJ2354" s="43"/>
      <c r="AK2354" s="43"/>
      <c r="AL2354" s="43"/>
      <c r="AM2354" s="43"/>
      <c r="AN2354" s="42"/>
      <c r="AO2354" s="42"/>
      <c r="AP2354" s="42"/>
      <c r="AQ2354" s="43"/>
      <c r="AR2354" s="42"/>
      <c r="AS2354" s="42"/>
    </row>
    <row r="2355" spans="1:45" ht="15" customHeight="1">
      <c r="A2355" s="65" t="s">
        <v>57</v>
      </c>
      <c r="B2355" s="22" t="s">
        <v>46</v>
      </c>
      <c r="C2355" s="21" t="s">
        <v>188</v>
      </c>
      <c r="D2355" s="22" t="s">
        <v>59</v>
      </c>
      <c r="E2355" s="66" t="s">
        <v>3004</v>
      </c>
      <c r="F2355" s="65" t="s">
        <v>3005</v>
      </c>
      <c r="G2355" s="26" t="s">
        <v>77</v>
      </c>
      <c r="H2355" s="45" t="s">
        <v>3006</v>
      </c>
      <c r="I2355" s="26" t="s">
        <v>78</v>
      </c>
      <c r="J2355" s="46" t="s">
        <v>3007</v>
      </c>
      <c r="K2355" s="47"/>
      <c r="L2355" s="48" t="s">
        <v>3008</v>
      </c>
      <c r="M2355" s="49">
        <v>45102</v>
      </c>
      <c r="N2355" s="47" t="s">
        <v>182</v>
      </c>
      <c r="O2355" s="61">
        <v>3520</v>
      </c>
      <c r="P2355" s="61">
        <v>4</v>
      </c>
      <c r="Q2355" s="51">
        <f t="shared" si="55"/>
        <v>14080</v>
      </c>
      <c r="R2355" s="31">
        <v>202310</v>
      </c>
      <c r="S2355" s="32" t="s">
        <v>3117</v>
      </c>
      <c r="T2355" s="33"/>
      <c r="U2355" s="32"/>
      <c r="V2355" s="33"/>
      <c r="W2355" s="67"/>
      <c r="X2355" s="67"/>
      <c r="Y2355" s="36">
        <v>44423</v>
      </c>
      <c r="Z2355" s="36">
        <v>46279</v>
      </c>
      <c r="AA2355" s="36"/>
      <c r="AB2355" s="36"/>
      <c r="AC2355" s="36"/>
      <c r="AD2355" s="36"/>
      <c r="AE2355" s="36"/>
      <c r="AF2355" s="53" t="s">
        <v>68</v>
      </c>
      <c r="AG2355" s="42"/>
      <c r="AH2355" s="42"/>
      <c r="AI2355" s="43"/>
      <c r="AJ2355" s="43"/>
      <c r="AK2355" s="43"/>
      <c r="AL2355" s="43"/>
      <c r="AM2355" s="43"/>
      <c r="AN2355" s="42"/>
      <c r="AO2355" s="42"/>
      <c r="AP2355" s="42"/>
      <c r="AQ2355" s="43"/>
      <c r="AR2355" s="42"/>
      <c r="AS2355" s="42"/>
    </row>
    <row r="2356" spans="1:45" ht="15" customHeight="1">
      <c r="A2356" s="65" t="s">
        <v>57</v>
      </c>
      <c r="B2356" s="22" t="s">
        <v>46</v>
      </c>
      <c r="C2356" s="21" t="s">
        <v>188</v>
      </c>
      <c r="D2356" s="22" t="s">
        <v>59</v>
      </c>
      <c r="E2356" s="66" t="s">
        <v>3004</v>
      </c>
      <c r="F2356" s="65" t="s">
        <v>3005</v>
      </c>
      <c r="G2356" s="26" t="s">
        <v>77</v>
      </c>
      <c r="H2356" s="45" t="s">
        <v>3006</v>
      </c>
      <c r="I2356" s="26" t="s">
        <v>78</v>
      </c>
      <c r="J2356" s="46" t="s">
        <v>3007</v>
      </c>
      <c r="K2356" s="47"/>
      <c r="L2356" s="48" t="s">
        <v>3008</v>
      </c>
      <c r="M2356" s="49">
        <v>45114</v>
      </c>
      <c r="N2356" s="47" t="s">
        <v>182</v>
      </c>
      <c r="O2356" s="61">
        <v>3520</v>
      </c>
      <c r="P2356" s="61">
        <v>15</v>
      </c>
      <c r="Q2356" s="30">
        <f t="shared" si="55"/>
        <v>52800</v>
      </c>
      <c r="R2356" s="31">
        <v>202310</v>
      </c>
      <c r="S2356" s="32" t="s">
        <v>3118</v>
      </c>
      <c r="T2356" s="33"/>
      <c r="U2356" s="32"/>
      <c r="V2356" s="33"/>
      <c r="W2356" s="67"/>
      <c r="X2356" s="67"/>
      <c r="Y2356" s="36">
        <v>44423</v>
      </c>
      <c r="Z2356" s="36">
        <v>46279</v>
      </c>
      <c r="AA2356" s="36"/>
      <c r="AB2356" s="36"/>
      <c r="AC2356" s="36"/>
      <c r="AD2356" s="36"/>
      <c r="AE2356" s="36"/>
      <c r="AF2356" s="53" t="s">
        <v>68</v>
      </c>
      <c r="AG2356" s="42"/>
      <c r="AH2356" s="42"/>
      <c r="AI2356" s="43"/>
      <c r="AJ2356" s="43"/>
      <c r="AK2356" s="43"/>
      <c r="AL2356" s="43"/>
      <c r="AM2356" s="43"/>
      <c r="AN2356" s="42"/>
      <c r="AO2356" s="42"/>
      <c r="AP2356" s="42"/>
      <c r="AQ2356" s="43"/>
      <c r="AR2356" s="42"/>
      <c r="AS2356" s="42"/>
    </row>
    <row r="2357" spans="1:45" ht="15" customHeight="1">
      <c r="A2357" s="65" t="s">
        <v>57</v>
      </c>
      <c r="B2357" s="22" t="s">
        <v>46</v>
      </c>
      <c r="C2357" s="21" t="s">
        <v>188</v>
      </c>
      <c r="D2357" s="22" t="s">
        <v>59</v>
      </c>
      <c r="E2357" s="66" t="s">
        <v>3004</v>
      </c>
      <c r="F2357" s="65" t="s">
        <v>3005</v>
      </c>
      <c r="G2357" s="26" t="s">
        <v>77</v>
      </c>
      <c r="H2357" s="45" t="s">
        <v>3006</v>
      </c>
      <c r="I2357" s="26" t="s">
        <v>78</v>
      </c>
      <c r="J2357" s="46" t="s">
        <v>3007</v>
      </c>
      <c r="K2357" s="47"/>
      <c r="L2357" s="48" t="s">
        <v>3008</v>
      </c>
      <c r="M2357" s="49">
        <v>45115</v>
      </c>
      <c r="N2357" s="47" t="s">
        <v>182</v>
      </c>
      <c r="O2357" s="61">
        <v>3520</v>
      </c>
      <c r="P2357" s="61">
        <v>25</v>
      </c>
      <c r="Q2357" s="30">
        <f t="shared" si="55"/>
        <v>88000</v>
      </c>
      <c r="R2357" s="31">
        <v>202310</v>
      </c>
      <c r="S2357" s="32" t="s">
        <v>3119</v>
      </c>
      <c r="T2357" s="33"/>
      <c r="U2357" s="32"/>
      <c r="V2357" s="33"/>
      <c r="W2357" s="67"/>
      <c r="X2357" s="67"/>
      <c r="Y2357" s="36">
        <v>44423</v>
      </c>
      <c r="Z2357" s="36">
        <v>46279</v>
      </c>
      <c r="AA2357" s="36"/>
      <c r="AB2357" s="36"/>
      <c r="AC2357" s="36"/>
      <c r="AD2357" s="36"/>
      <c r="AE2357" s="36"/>
      <c r="AF2357" s="53" t="s">
        <v>68</v>
      </c>
      <c r="AG2357" s="42"/>
      <c r="AH2357" s="42"/>
      <c r="AI2357" s="43"/>
      <c r="AJ2357" s="43"/>
      <c r="AK2357" s="43"/>
      <c r="AL2357" s="43"/>
      <c r="AM2357" s="43"/>
      <c r="AN2357" s="42"/>
      <c r="AO2357" s="42"/>
      <c r="AP2357" s="42"/>
      <c r="AQ2357" s="43"/>
      <c r="AR2357" s="42"/>
      <c r="AS2357" s="42"/>
    </row>
    <row r="2358" spans="1:45" ht="15" customHeight="1">
      <c r="A2358" s="65" t="s">
        <v>57</v>
      </c>
      <c r="B2358" s="22" t="s">
        <v>46</v>
      </c>
      <c r="C2358" s="21" t="s">
        <v>188</v>
      </c>
      <c r="D2358" s="22" t="s">
        <v>59</v>
      </c>
      <c r="E2358" s="66" t="s">
        <v>3004</v>
      </c>
      <c r="F2358" s="65" t="s">
        <v>3005</v>
      </c>
      <c r="G2358" s="26" t="s">
        <v>77</v>
      </c>
      <c r="H2358" s="45" t="s">
        <v>3006</v>
      </c>
      <c r="I2358" s="26" t="s">
        <v>78</v>
      </c>
      <c r="J2358" s="46" t="s">
        <v>3007</v>
      </c>
      <c r="K2358" s="47"/>
      <c r="L2358" s="48" t="s">
        <v>3055</v>
      </c>
      <c r="M2358" s="49">
        <v>45146</v>
      </c>
      <c r="N2358" s="47" t="s">
        <v>182</v>
      </c>
      <c r="O2358" s="61">
        <v>3520</v>
      </c>
      <c r="P2358" s="61">
        <v>2</v>
      </c>
      <c r="Q2358" s="51">
        <f t="shared" si="55"/>
        <v>7040</v>
      </c>
      <c r="R2358" s="31">
        <v>202310</v>
      </c>
      <c r="S2358" s="32" t="s">
        <v>3120</v>
      </c>
      <c r="T2358" s="33"/>
      <c r="U2358" s="32"/>
      <c r="V2358" s="33"/>
      <c r="W2358" s="67"/>
      <c r="X2358" s="67"/>
      <c r="Y2358" s="36">
        <v>44423</v>
      </c>
      <c r="Z2358" s="36">
        <v>46279</v>
      </c>
      <c r="AA2358" s="36"/>
      <c r="AB2358" s="36"/>
      <c r="AC2358" s="36"/>
      <c r="AD2358" s="36"/>
      <c r="AE2358" s="36"/>
      <c r="AF2358" s="53" t="s">
        <v>68</v>
      </c>
      <c r="AG2358" s="42"/>
      <c r="AH2358" s="42"/>
      <c r="AI2358" s="43"/>
      <c r="AJ2358" s="43"/>
      <c r="AK2358" s="43"/>
      <c r="AL2358" s="43"/>
      <c r="AM2358" s="43"/>
      <c r="AN2358" s="42"/>
      <c r="AO2358" s="42"/>
      <c r="AP2358" s="42"/>
      <c r="AQ2358" s="43"/>
      <c r="AR2358" s="42"/>
      <c r="AS2358" s="42"/>
    </row>
    <row r="2359" spans="1:45" ht="15" customHeight="1">
      <c r="A2359" s="65" t="s">
        <v>57</v>
      </c>
      <c r="B2359" s="22" t="s">
        <v>46</v>
      </c>
      <c r="C2359" s="21" t="s">
        <v>188</v>
      </c>
      <c r="D2359" s="22" t="s">
        <v>59</v>
      </c>
      <c r="E2359" s="66" t="s">
        <v>3004</v>
      </c>
      <c r="F2359" s="65" t="s">
        <v>3005</v>
      </c>
      <c r="G2359" s="26" t="s">
        <v>77</v>
      </c>
      <c r="H2359" s="45" t="s">
        <v>3006</v>
      </c>
      <c r="I2359" s="26" t="s">
        <v>78</v>
      </c>
      <c r="J2359" s="46" t="s">
        <v>3007</v>
      </c>
      <c r="K2359" s="47"/>
      <c r="L2359" s="48" t="s">
        <v>3055</v>
      </c>
      <c r="M2359" s="49">
        <v>45154</v>
      </c>
      <c r="N2359" s="47" t="s">
        <v>182</v>
      </c>
      <c r="O2359" s="61">
        <v>3520</v>
      </c>
      <c r="P2359" s="61">
        <v>-2</v>
      </c>
      <c r="Q2359" s="51">
        <f t="shared" si="55"/>
        <v>-7040</v>
      </c>
      <c r="R2359" s="31">
        <v>202310</v>
      </c>
      <c r="S2359" s="32" t="s">
        <v>3120</v>
      </c>
      <c r="T2359" s="33"/>
      <c r="U2359" s="32"/>
      <c r="V2359" s="33"/>
      <c r="W2359" s="67"/>
      <c r="X2359" s="67"/>
      <c r="Y2359" s="36">
        <v>44423</v>
      </c>
      <c r="Z2359" s="36">
        <v>46279</v>
      </c>
      <c r="AA2359" s="36"/>
      <c r="AB2359" s="36"/>
      <c r="AC2359" s="36"/>
      <c r="AD2359" s="36"/>
      <c r="AE2359" s="36"/>
      <c r="AF2359" s="53" t="s">
        <v>68</v>
      </c>
      <c r="AG2359" s="42"/>
      <c r="AH2359" s="42"/>
      <c r="AI2359" s="43"/>
      <c r="AJ2359" s="43"/>
      <c r="AK2359" s="43"/>
      <c r="AL2359" s="43"/>
      <c r="AM2359" s="43"/>
      <c r="AN2359" s="42"/>
      <c r="AO2359" s="42"/>
      <c r="AP2359" s="42"/>
      <c r="AQ2359" s="43"/>
      <c r="AR2359" s="42"/>
      <c r="AS2359" s="42"/>
    </row>
    <row r="2360" spans="1:45" ht="15" customHeight="1">
      <c r="A2360" s="65" t="s">
        <v>57</v>
      </c>
      <c r="B2360" s="22" t="s">
        <v>46</v>
      </c>
      <c r="C2360" s="21" t="s">
        <v>188</v>
      </c>
      <c r="D2360" s="22" t="s">
        <v>59</v>
      </c>
      <c r="E2360" s="66" t="s">
        <v>3004</v>
      </c>
      <c r="F2360" s="65" t="s">
        <v>3005</v>
      </c>
      <c r="G2360" s="26" t="s">
        <v>77</v>
      </c>
      <c r="H2360" s="45" t="s">
        <v>3006</v>
      </c>
      <c r="I2360" s="26" t="s">
        <v>78</v>
      </c>
      <c r="J2360" s="46" t="s">
        <v>3007</v>
      </c>
      <c r="K2360" s="47"/>
      <c r="L2360" s="48" t="s">
        <v>3121</v>
      </c>
      <c r="M2360" s="49">
        <v>45155</v>
      </c>
      <c r="N2360" s="47" t="s">
        <v>182</v>
      </c>
      <c r="O2360" s="61">
        <v>3520</v>
      </c>
      <c r="P2360" s="61">
        <v>2</v>
      </c>
      <c r="Q2360" s="51">
        <f t="shared" si="55"/>
        <v>7040</v>
      </c>
      <c r="R2360" s="31">
        <v>202310</v>
      </c>
      <c r="S2360" s="32" t="s">
        <v>3122</v>
      </c>
      <c r="T2360" s="33"/>
      <c r="U2360" s="32"/>
      <c r="V2360" s="33"/>
      <c r="W2360" s="67"/>
      <c r="X2360" s="67"/>
      <c r="Y2360" s="36">
        <v>44423</v>
      </c>
      <c r="Z2360" s="36">
        <v>46279</v>
      </c>
      <c r="AA2360" s="36"/>
      <c r="AB2360" s="36"/>
      <c r="AC2360" s="36"/>
      <c r="AD2360" s="36"/>
      <c r="AE2360" s="36"/>
      <c r="AF2360" s="53" t="s">
        <v>68</v>
      </c>
      <c r="AG2360" s="42"/>
      <c r="AH2360" s="42"/>
      <c r="AI2360" s="43"/>
      <c r="AJ2360" s="43"/>
      <c r="AK2360" s="43"/>
      <c r="AL2360" s="43"/>
      <c r="AM2360" s="43"/>
      <c r="AN2360" s="42"/>
      <c r="AO2360" s="42"/>
      <c r="AP2360" s="42"/>
      <c r="AQ2360" s="43"/>
      <c r="AR2360" s="42"/>
      <c r="AS2360" s="42"/>
    </row>
    <row r="2361" spans="1:45" ht="15" customHeight="1">
      <c r="A2361" s="65" t="s">
        <v>57</v>
      </c>
      <c r="B2361" s="22" t="s">
        <v>46</v>
      </c>
      <c r="C2361" s="21" t="s">
        <v>188</v>
      </c>
      <c r="D2361" s="22" t="s">
        <v>59</v>
      </c>
      <c r="E2361" s="66" t="s">
        <v>3004</v>
      </c>
      <c r="F2361" s="65" t="s">
        <v>3005</v>
      </c>
      <c r="G2361" s="26" t="s">
        <v>77</v>
      </c>
      <c r="H2361" s="45" t="s">
        <v>3006</v>
      </c>
      <c r="I2361" s="26" t="s">
        <v>78</v>
      </c>
      <c r="J2361" s="46" t="s">
        <v>3007</v>
      </c>
      <c r="K2361" s="47"/>
      <c r="L2361" s="48" t="s">
        <v>3121</v>
      </c>
      <c r="M2361" s="49">
        <v>45161</v>
      </c>
      <c r="N2361" s="47" t="s">
        <v>182</v>
      </c>
      <c r="O2361" s="61">
        <v>3520</v>
      </c>
      <c r="P2361" s="61">
        <v>3</v>
      </c>
      <c r="Q2361" s="51">
        <f t="shared" si="55"/>
        <v>10560</v>
      </c>
      <c r="R2361" s="31">
        <v>202310</v>
      </c>
      <c r="S2361" s="32" t="s">
        <v>3123</v>
      </c>
      <c r="T2361" s="33"/>
      <c r="U2361" s="32"/>
      <c r="V2361" s="33"/>
      <c r="W2361" s="67"/>
      <c r="X2361" s="67"/>
      <c r="Y2361" s="36">
        <v>44423</v>
      </c>
      <c r="Z2361" s="36">
        <v>46279</v>
      </c>
      <c r="AA2361" s="36"/>
      <c r="AB2361" s="36"/>
      <c r="AC2361" s="36"/>
      <c r="AD2361" s="36"/>
      <c r="AE2361" s="36"/>
      <c r="AF2361" s="53" t="s">
        <v>68</v>
      </c>
      <c r="AG2361" s="42"/>
      <c r="AH2361" s="42"/>
      <c r="AI2361" s="43"/>
      <c r="AJ2361" s="43"/>
      <c r="AK2361" s="43"/>
      <c r="AL2361" s="43"/>
      <c r="AM2361" s="43"/>
      <c r="AN2361" s="42"/>
      <c r="AO2361" s="42"/>
      <c r="AP2361" s="42"/>
      <c r="AQ2361" s="43"/>
      <c r="AR2361" s="42"/>
      <c r="AS2361" s="42"/>
    </row>
    <row r="2362" spans="1:45" ht="15" customHeight="1">
      <c r="A2362" s="65" t="s">
        <v>57</v>
      </c>
      <c r="B2362" s="22" t="s">
        <v>46</v>
      </c>
      <c r="C2362" s="21" t="s">
        <v>188</v>
      </c>
      <c r="D2362" s="22" t="s">
        <v>59</v>
      </c>
      <c r="E2362" s="66" t="s">
        <v>3004</v>
      </c>
      <c r="F2362" s="65" t="s">
        <v>3005</v>
      </c>
      <c r="G2362" s="26" t="s">
        <v>77</v>
      </c>
      <c r="H2362" s="45" t="s">
        <v>3006</v>
      </c>
      <c r="I2362" s="26" t="s">
        <v>78</v>
      </c>
      <c r="J2362" s="46" t="s">
        <v>3007</v>
      </c>
      <c r="K2362" s="47"/>
      <c r="L2362" s="48" t="s">
        <v>3121</v>
      </c>
      <c r="M2362" s="49">
        <v>45176</v>
      </c>
      <c r="N2362" s="47" t="s">
        <v>182</v>
      </c>
      <c r="O2362" s="61">
        <v>3520</v>
      </c>
      <c r="P2362" s="61">
        <v>5</v>
      </c>
      <c r="Q2362" s="51">
        <f t="shared" si="55"/>
        <v>17600</v>
      </c>
      <c r="R2362" s="31">
        <v>202310</v>
      </c>
      <c r="S2362" s="32" t="s">
        <v>3124</v>
      </c>
      <c r="T2362" s="33"/>
      <c r="U2362" s="32"/>
      <c r="V2362" s="33"/>
      <c r="W2362" s="67"/>
      <c r="X2362" s="67"/>
      <c r="Y2362" s="36">
        <v>44423</v>
      </c>
      <c r="Z2362" s="36">
        <v>46279</v>
      </c>
      <c r="AA2362" s="36"/>
      <c r="AB2362" s="36"/>
      <c r="AC2362" s="36"/>
      <c r="AD2362" s="36"/>
      <c r="AE2362" s="36"/>
      <c r="AF2362" s="53" t="s">
        <v>68</v>
      </c>
      <c r="AG2362" s="42"/>
      <c r="AH2362" s="42"/>
      <c r="AI2362" s="43"/>
      <c r="AJ2362" s="43"/>
      <c r="AK2362" s="43"/>
      <c r="AL2362" s="43"/>
      <c r="AM2362" s="43"/>
      <c r="AN2362" s="42"/>
      <c r="AO2362" s="42"/>
      <c r="AP2362" s="42"/>
      <c r="AQ2362" s="43"/>
      <c r="AR2362" s="42"/>
      <c r="AS2362" s="42"/>
    </row>
    <row r="2363" spans="1:45" ht="15" customHeight="1">
      <c r="A2363" s="65" t="s">
        <v>57</v>
      </c>
      <c r="B2363" s="22" t="s">
        <v>46</v>
      </c>
      <c r="C2363" s="21" t="s">
        <v>188</v>
      </c>
      <c r="D2363" s="22" t="s">
        <v>59</v>
      </c>
      <c r="E2363" s="66" t="s">
        <v>3004</v>
      </c>
      <c r="F2363" s="65" t="s">
        <v>3005</v>
      </c>
      <c r="G2363" s="26" t="s">
        <v>77</v>
      </c>
      <c r="H2363" s="45" t="s">
        <v>3006</v>
      </c>
      <c r="I2363" s="26" t="s">
        <v>78</v>
      </c>
      <c r="J2363" s="46" t="s">
        <v>3007</v>
      </c>
      <c r="K2363" s="47"/>
      <c r="L2363" s="48" t="s">
        <v>3121</v>
      </c>
      <c r="M2363" s="49">
        <v>45184</v>
      </c>
      <c r="N2363" s="47" t="s">
        <v>182</v>
      </c>
      <c r="O2363" s="61">
        <v>3520</v>
      </c>
      <c r="P2363" s="61">
        <v>1</v>
      </c>
      <c r="Q2363" s="51">
        <f t="shared" si="55"/>
        <v>3520</v>
      </c>
      <c r="R2363" s="31">
        <v>202310</v>
      </c>
      <c r="S2363" s="32" t="s">
        <v>3125</v>
      </c>
      <c r="T2363" s="33"/>
      <c r="U2363" s="32"/>
      <c r="V2363" s="33"/>
      <c r="W2363" s="67"/>
      <c r="X2363" s="67"/>
      <c r="Y2363" s="36">
        <v>44423</v>
      </c>
      <c r="Z2363" s="36">
        <v>46279</v>
      </c>
      <c r="AA2363" s="36"/>
      <c r="AB2363" s="36"/>
      <c r="AC2363" s="36"/>
      <c r="AD2363" s="36"/>
      <c r="AE2363" s="36"/>
      <c r="AF2363" s="53" t="s">
        <v>68</v>
      </c>
      <c r="AG2363" s="42"/>
      <c r="AH2363" s="42"/>
      <c r="AI2363" s="43"/>
      <c r="AJ2363" s="43"/>
      <c r="AK2363" s="43"/>
      <c r="AL2363" s="43"/>
      <c r="AM2363" s="43"/>
      <c r="AN2363" s="42"/>
      <c r="AO2363" s="42"/>
      <c r="AP2363" s="42"/>
      <c r="AQ2363" s="43"/>
      <c r="AR2363" s="42"/>
      <c r="AS2363" s="42"/>
    </row>
    <row r="2364" spans="1:45" ht="15" customHeight="1">
      <c r="A2364" s="65" t="s">
        <v>57</v>
      </c>
      <c r="B2364" s="22" t="s">
        <v>46</v>
      </c>
      <c r="C2364" s="21" t="s">
        <v>188</v>
      </c>
      <c r="D2364" s="22" t="s">
        <v>59</v>
      </c>
      <c r="E2364" s="66" t="s">
        <v>3004</v>
      </c>
      <c r="F2364" s="65" t="s">
        <v>3005</v>
      </c>
      <c r="G2364" s="26" t="s">
        <v>77</v>
      </c>
      <c r="H2364" s="45" t="s">
        <v>3006</v>
      </c>
      <c r="I2364" s="26" t="s">
        <v>78</v>
      </c>
      <c r="J2364" s="46" t="s">
        <v>3007</v>
      </c>
      <c r="K2364" s="47"/>
      <c r="L2364" s="48" t="s">
        <v>3121</v>
      </c>
      <c r="M2364" s="49">
        <v>45190</v>
      </c>
      <c r="N2364" s="47" t="s">
        <v>182</v>
      </c>
      <c r="O2364" s="61">
        <v>3520</v>
      </c>
      <c r="P2364" s="61">
        <v>1</v>
      </c>
      <c r="Q2364" s="51">
        <f t="shared" si="55"/>
        <v>3520</v>
      </c>
      <c r="R2364" s="31">
        <v>202310</v>
      </c>
      <c r="S2364" s="32" t="s">
        <v>3126</v>
      </c>
      <c r="T2364" s="33"/>
      <c r="U2364" s="32"/>
      <c r="V2364" s="33"/>
      <c r="W2364" s="67"/>
      <c r="X2364" s="67"/>
      <c r="Y2364" s="36">
        <v>44423</v>
      </c>
      <c r="Z2364" s="36">
        <v>46279</v>
      </c>
      <c r="AA2364" s="36"/>
      <c r="AB2364" s="36"/>
      <c r="AC2364" s="36"/>
      <c r="AD2364" s="36"/>
      <c r="AE2364" s="36"/>
      <c r="AF2364" s="53" t="s">
        <v>68</v>
      </c>
      <c r="AG2364" s="42"/>
      <c r="AH2364" s="42"/>
      <c r="AI2364" s="43"/>
      <c r="AJ2364" s="43"/>
      <c r="AK2364" s="43"/>
      <c r="AL2364" s="43"/>
      <c r="AM2364" s="43"/>
      <c r="AN2364" s="42"/>
      <c r="AO2364" s="42"/>
      <c r="AP2364" s="42"/>
      <c r="AQ2364" s="43"/>
      <c r="AR2364" s="42"/>
      <c r="AS2364" s="42"/>
    </row>
    <row r="2365" spans="1:45" ht="15" customHeight="1">
      <c r="A2365" s="65" t="s">
        <v>57</v>
      </c>
      <c r="B2365" s="22" t="s">
        <v>46</v>
      </c>
      <c r="C2365" s="21" t="s">
        <v>188</v>
      </c>
      <c r="D2365" s="22" t="s">
        <v>59</v>
      </c>
      <c r="E2365" s="66" t="s">
        <v>3004</v>
      </c>
      <c r="F2365" s="65" t="s">
        <v>3005</v>
      </c>
      <c r="G2365" s="26" t="s">
        <v>77</v>
      </c>
      <c r="H2365" s="45" t="s">
        <v>3006</v>
      </c>
      <c r="I2365" s="26" t="s">
        <v>78</v>
      </c>
      <c r="J2365" s="46" t="s">
        <v>3007</v>
      </c>
      <c r="K2365" s="47"/>
      <c r="L2365" s="48" t="s">
        <v>3121</v>
      </c>
      <c r="M2365" s="49">
        <v>45177</v>
      </c>
      <c r="N2365" s="47" t="s">
        <v>182</v>
      </c>
      <c r="O2365" s="61">
        <v>3520</v>
      </c>
      <c r="P2365" s="61">
        <v>-1</v>
      </c>
      <c r="Q2365" s="51">
        <f t="shared" si="55"/>
        <v>-3520</v>
      </c>
      <c r="R2365" s="31">
        <v>202310</v>
      </c>
      <c r="S2365" s="32" t="s">
        <v>3127</v>
      </c>
      <c r="T2365" s="33"/>
      <c r="U2365" s="32"/>
      <c r="V2365" s="33"/>
      <c r="W2365" s="67"/>
      <c r="X2365" s="67"/>
      <c r="Y2365" s="36">
        <v>44423</v>
      </c>
      <c r="Z2365" s="36">
        <v>46279</v>
      </c>
      <c r="AA2365" s="36"/>
      <c r="AB2365" s="36"/>
      <c r="AC2365" s="36"/>
      <c r="AD2365" s="36"/>
      <c r="AE2365" s="36"/>
      <c r="AF2365" s="53" t="s">
        <v>68</v>
      </c>
      <c r="AG2365" s="42"/>
      <c r="AH2365" s="42"/>
      <c r="AI2365" s="43"/>
      <c r="AJ2365" s="43"/>
      <c r="AK2365" s="43"/>
      <c r="AL2365" s="43"/>
      <c r="AM2365" s="43"/>
      <c r="AN2365" s="42"/>
      <c r="AO2365" s="42"/>
      <c r="AP2365" s="42"/>
      <c r="AQ2365" s="43"/>
      <c r="AR2365" s="42"/>
      <c r="AS2365" s="42"/>
    </row>
    <row r="2366" spans="1:45" ht="15" customHeight="1">
      <c r="A2366" s="65" t="s">
        <v>57</v>
      </c>
      <c r="B2366" s="22" t="s">
        <v>46</v>
      </c>
      <c r="C2366" s="21" t="s">
        <v>188</v>
      </c>
      <c r="D2366" s="22" t="s">
        <v>59</v>
      </c>
      <c r="E2366" s="66" t="s">
        <v>3004</v>
      </c>
      <c r="F2366" s="65" t="s">
        <v>3005</v>
      </c>
      <c r="G2366" s="26" t="s">
        <v>77</v>
      </c>
      <c r="H2366" s="45" t="s">
        <v>3006</v>
      </c>
      <c r="I2366" s="26" t="s">
        <v>479</v>
      </c>
      <c r="J2366" s="46" t="s">
        <v>3007</v>
      </c>
      <c r="K2366" s="47" t="s">
        <v>3031</v>
      </c>
      <c r="L2366" s="48" t="s">
        <v>3032</v>
      </c>
      <c r="M2366" s="49">
        <v>45225</v>
      </c>
      <c r="N2366" s="47" t="s">
        <v>182</v>
      </c>
      <c r="O2366" s="61">
        <v>3520</v>
      </c>
      <c r="P2366" s="61">
        <v>-8</v>
      </c>
      <c r="Q2366" s="51">
        <f>ROUND(O2366*P2366*5/31,2)</f>
        <v>-4541.9399999999996</v>
      </c>
      <c r="R2366" s="31">
        <v>202310</v>
      </c>
      <c r="S2366" s="32" t="s">
        <v>3128</v>
      </c>
      <c r="T2366" s="33"/>
      <c r="U2366" s="32"/>
      <c r="V2366" s="33"/>
      <c r="W2366" s="67"/>
      <c r="X2366" s="67"/>
      <c r="Y2366" s="36">
        <v>44423</v>
      </c>
      <c r="Z2366" s="36">
        <v>46279</v>
      </c>
      <c r="AA2366" s="36"/>
      <c r="AB2366" s="36"/>
      <c r="AC2366" s="36"/>
      <c r="AD2366" s="36"/>
      <c r="AE2366" s="36"/>
      <c r="AF2366" s="40" t="s">
        <v>484</v>
      </c>
      <c r="AG2366" s="42"/>
      <c r="AH2366" s="42"/>
      <c r="AI2366" s="43"/>
      <c r="AJ2366" s="43"/>
      <c r="AK2366" s="43"/>
      <c r="AL2366" s="43"/>
      <c r="AM2366" s="43"/>
      <c r="AN2366" s="42"/>
      <c r="AO2366" s="42"/>
      <c r="AP2366" s="42"/>
      <c r="AQ2366" s="43"/>
      <c r="AR2366" s="42"/>
      <c r="AS2366" s="42"/>
    </row>
    <row r="2367" spans="1:45" ht="15" customHeight="1">
      <c r="A2367" s="65" t="s">
        <v>57</v>
      </c>
      <c r="B2367" s="22" t="s">
        <v>46</v>
      </c>
      <c r="C2367" s="21" t="s">
        <v>188</v>
      </c>
      <c r="D2367" s="22" t="s">
        <v>59</v>
      </c>
      <c r="E2367" s="66" t="s">
        <v>3004</v>
      </c>
      <c r="F2367" s="65" t="s">
        <v>3005</v>
      </c>
      <c r="G2367" s="26" t="s">
        <v>77</v>
      </c>
      <c r="H2367" s="45" t="s">
        <v>3006</v>
      </c>
      <c r="I2367" s="26" t="s">
        <v>78</v>
      </c>
      <c r="J2367" s="46" t="s">
        <v>3007</v>
      </c>
      <c r="K2367" s="47"/>
      <c r="L2367" s="48" t="s">
        <v>3121</v>
      </c>
      <c r="M2367" s="49">
        <v>45209</v>
      </c>
      <c r="N2367" s="47" t="s">
        <v>182</v>
      </c>
      <c r="O2367" s="61">
        <v>3520</v>
      </c>
      <c r="P2367" s="61">
        <v>4</v>
      </c>
      <c r="Q2367" s="51">
        <f>ROUND(O2367*P2367*22/31,2)</f>
        <v>9992.26</v>
      </c>
      <c r="R2367" s="31">
        <v>202310</v>
      </c>
      <c r="S2367" s="32" t="s">
        <v>3129</v>
      </c>
      <c r="T2367" s="33"/>
      <c r="U2367" s="32" t="s">
        <v>3130</v>
      </c>
      <c r="V2367" s="33"/>
      <c r="W2367" s="67"/>
      <c r="X2367" s="67"/>
      <c r="Y2367" s="36">
        <v>44423</v>
      </c>
      <c r="Z2367" s="36">
        <v>46279</v>
      </c>
      <c r="AA2367" s="36"/>
      <c r="AB2367" s="36"/>
      <c r="AC2367" s="36"/>
      <c r="AD2367" s="36"/>
      <c r="AE2367" s="36"/>
      <c r="AF2367" s="53" t="s">
        <v>68</v>
      </c>
      <c r="AG2367" s="42"/>
      <c r="AH2367" s="42"/>
      <c r="AI2367" s="43"/>
      <c r="AJ2367" s="43"/>
      <c r="AK2367" s="43"/>
      <c r="AL2367" s="43"/>
      <c r="AM2367" s="43"/>
      <c r="AN2367" s="42"/>
      <c r="AO2367" s="42"/>
      <c r="AP2367" s="42"/>
      <c r="AQ2367" s="43"/>
      <c r="AR2367" s="42"/>
      <c r="AS2367" s="42"/>
    </row>
    <row r="2368" spans="1:45" ht="15" customHeight="1">
      <c r="A2368" s="65" t="s">
        <v>57</v>
      </c>
      <c r="B2368" s="22" t="s">
        <v>46</v>
      </c>
      <c r="C2368" s="21" t="s">
        <v>188</v>
      </c>
      <c r="D2368" s="22" t="s">
        <v>59</v>
      </c>
      <c r="E2368" s="66" t="s">
        <v>3004</v>
      </c>
      <c r="F2368" s="65" t="s">
        <v>3005</v>
      </c>
      <c r="G2368" s="26" t="s">
        <v>77</v>
      </c>
      <c r="H2368" s="45" t="s">
        <v>3006</v>
      </c>
      <c r="I2368" s="26" t="s">
        <v>78</v>
      </c>
      <c r="J2368" s="46" t="s">
        <v>3007</v>
      </c>
      <c r="K2368" s="47"/>
      <c r="L2368" s="48" t="s">
        <v>3055</v>
      </c>
      <c r="M2368" s="49">
        <v>45209</v>
      </c>
      <c r="N2368" s="47" t="s">
        <v>182</v>
      </c>
      <c r="O2368" s="61">
        <v>3520</v>
      </c>
      <c r="P2368" s="61">
        <v>2</v>
      </c>
      <c r="Q2368" s="51">
        <f>ROUND(O2368*P2368*22/31,2)</f>
        <v>4996.13</v>
      </c>
      <c r="R2368" s="31">
        <v>202310</v>
      </c>
      <c r="S2368" s="32" t="s">
        <v>3120</v>
      </c>
      <c r="T2368" s="33"/>
      <c r="U2368" s="32" t="s">
        <v>3130</v>
      </c>
      <c r="V2368" s="33"/>
      <c r="W2368" s="67"/>
      <c r="X2368" s="67"/>
      <c r="Y2368" s="36">
        <v>44423</v>
      </c>
      <c r="Z2368" s="36">
        <v>46279</v>
      </c>
      <c r="AA2368" s="36"/>
      <c r="AB2368" s="36"/>
      <c r="AC2368" s="36"/>
      <c r="AD2368" s="36"/>
      <c r="AE2368" s="36"/>
      <c r="AF2368" s="53" t="s">
        <v>68</v>
      </c>
      <c r="AG2368" s="42"/>
      <c r="AH2368" s="42"/>
      <c r="AI2368" s="43"/>
      <c r="AJ2368" s="43"/>
      <c r="AK2368" s="43"/>
      <c r="AL2368" s="43"/>
      <c r="AM2368" s="43"/>
      <c r="AN2368" s="42"/>
      <c r="AO2368" s="42"/>
      <c r="AP2368" s="42"/>
      <c r="AQ2368" s="43"/>
      <c r="AR2368" s="42"/>
      <c r="AS2368" s="42"/>
    </row>
    <row r="2369" spans="1:45" ht="15" customHeight="1">
      <c r="A2369" s="65" t="s">
        <v>57</v>
      </c>
      <c r="B2369" s="22" t="s">
        <v>46</v>
      </c>
      <c r="C2369" s="21" t="s">
        <v>188</v>
      </c>
      <c r="D2369" s="22" t="s">
        <v>59</v>
      </c>
      <c r="E2369" s="66" t="s">
        <v>3004</v>
      </c>
      <c r="F2369" s="65" t="s">
        <v>3005</v>
      </c>
      <c r="G2369" s="26" t="s">
        <v>77</v>
      </c>
      <c r="H2369" s="45" t="s">
        <v>3006</v>
      </c>
      <c r="I2369" s="26" t="s">
        <v>78</v>
      </c>
      <c r="J2369" s="46" t="s">
        <v>3007</v>
      </c>
      <c r="K2369" s="47"/>
      <c r="L2369" s="48" t="s">
        <v>3121</v>
      </c>
      <c r="M2369" s="49">
        <v>45215</v>
      </c>
      <c r="N2369" s="47" t="s">
        <v>182</v>
      </c>
      <c r="O2369" s="61">
        <v>3520</v>
      </c>
      <c r="P2369" s="61">
        <v>18</v>
      </c>
      <c r="Q2369" s="51">
        <f>ROUND(O2369*P2369*16/31,2)</f>
        <v>32701.94</v>
      </c>
      <c r="R2369" s="31">
        <v>202310</v>
      </c>
      <c r="S2369" s="32" t="s">
        <v>3131</v>
      </c>
      <c r="T2369" s="33"/>
      <c r="U2369" s="32" t="s">
        <v>3130</v>
      </c>
      <c r="V2369" s="33"/>
      <c r="W2369" s="67"/>
      <c r="X2369" s="67"/>
      <c r="Y2369" s="36">
        <v>44423</v>
      </c>
      <c r="Z2369" s="36">
        <v>46279</v>
      </c>
      <c r="AA2369" s="36"/>
      <c r="AB2369" s="36"/>
      <c r="AC2369" s="36"/>
      <c r="AD2369" s="36"/>
      <c r="AE2369" s="36"/>
      <c r="AF2369" s="53" t="s">
        <v>68</v>
      </c>
      <c r="AG2369" s="42"/>
      <c r="AH2369" s="42"/>
      <c r="AI2369" s="43"/>
      <c r="AJ2369" s="43"/>
      <c r="AK2369" s="43"/>
      <c r="AL2369" s="43"/>
      <c r="AM2369" s="43"/>
      <c r="AN2369" s="42"/>
      <c r="AO2369" s="42"/>
      <c r="AP2369" s="42"/>
      <c r="AQ2369" s="43"/>
      <c r="AR2369" s="42"/>
      <c r="AS2369" s="42"/>
    </row>
    <row r="2370" spans="1:45" ht="15" customHeight="1">
      <c r="A2370" s="21" t="s">
        <v>57</v>
      </c>
      <c r="B2370" s="21" t="s">
        <v>46</v>
      </c>
      <c r="C2370" s="21" t="s">
        <v>188</v>
      </c>
      <c r="D2370" s="21" t="s">
        <v>59</v>
      </c>
      <c r="E2370" s="80" t="s">
        <v>3004</v>
      </c>
      <c r="F2370" s="21" t="s">
        <v>3005</v>
      </c>
      <c r="G2370" s="101" t="s">
        <v>77</v>
      </c>
      <c r="H2370" s="25" t="s">
        <v>3006</v>
      </c>
      <c r="I2370" s="102" t="s">
        <v>366</v>
      </c>
      <c r="J2370" s="46" t="s">
        <v>3007</v>
      </c>
      <c r="K2370" s="104"/>
      <c r="L2370" s="48" t="s">
        <v>3008</v>
      </c>
      <c r="M2370" s="27"/>
      <c r="N2370" s="105"/>
      <c r="O2370" s="106">
        <v>0.68</v>
      </c>
      <c r="P2370" s="106">
        <f>Q2370/0.68</f>
        <v>8088235.2941176463</v>
      </c>
      <c r="Q2370" s="51">
        <v>5500000</v>
      </c>
      <c r="R2370" s="31">
        <v>202310</v>
      </c>
      <c r="S2370" s="107" t="s">
        <v>3132</v>
      </c>
      <c r="T2370" s="33" t="s">
        <v>3133</v>
      </c>
      <c r="U2370" s="32"/>
      <c r="V2370" s="67"/>
      <c r="W2370" s="67"/>
      <c r="X2370" s="67"/>
      <c r="Y2370" s="36">
        <v>44423</v>
      </c>
      <c r="Z2370" s="36">
        <v>46279</v>
      </c>
      <c r="AA2370" s="36"/>
      <c r="AB2370" s="36"/>
      <c r="AC2370" s="36"/>
      <c r="AD2370" s="36"/>
      <c r="AE2370" s="36"/>
      <c r="AF2370" s="53" t="s">
        <v>68</v>
      </c>
      <c r="AG2370" s="42"/>
      <c r="AH2370" s="42"/>
      <c r="AI2370" s="43"/>
      <c r="AJ2370" s="43"/>
      <c r="AK2370" s="43"/>
      <c r="AL2370" s="43"/>
      <c r="AM2370" s="43"/>
      <c r="AN2370" s="42"/>
      <c r="AO2370" s="42"/>
      <c r="AP2370" s="42"/>
      <c r="AQ2370" s="43"/>
      <c r="AR2370" s="42"/>
      <c r="AS2370" s="42"/>
    </row>
    <row r="2371" spans="1:45" ht="15" customHeight="1">
      <c r="A2371" s="65" t="s">
        <v>57</v>
      </c>
      <c r="B2371" s="22" t="s">
        <v>46</v>
      </c>
      <c r="C2371" s="21" t="s">
        <v>188</v>
      </c>
      <c r="D2371" s="22" t="s">
        <v>59</v>
      </c>
      <c r="E2371" s="66" t="s">
        <v>3004</v>
      </c>
      <c r="F2371" s="65" t="s">
        <v>3005</v>
      </c>
      <c r="G2371" s="26" t="s">
        <v>77</v>
      </c>
      <c r="H2371" s="45" t="s">
        <v>3134</v>
      </c>
      <c r="I2371" s="26" t="s">
        <v>78</v>
      </c>
      <c r="J2371" s="46" t="s">
        <v>3135</v>
      </c>
      <c r="K2371" s="47"/>
      <c r="L2371" s="48" t="s">
        <v>3008</v>
      </c>
      <c r="M2371" s="49">
        <v>44809</v>
      </c>
      <c r="N2371" s="47" t="s">
        <v>177</v>
      </c>
      <c r="O2371" s="61">
        <v>1760</v>
      </c>
      <c r="P2371" s="61">
        <v>3</v>
      </c>
      <c r="Q2371" s="51">
        <f t="shared" ref="Q2371:Q2412" si="56">ROUND(O2371*P2371,2)</f>
        <v>5280</v>
      </c>
      <c r="R2371" s="31">
        <v>202310</v>
      </c>
      <c r="S2371" s="32" t="s">
        <v>3136</v>
      </c>
      <c r="T2371" s="33"/>
      <c r="U2371" s="32"/>
      <c r="V2371" s="33"/>
      <c r="W2371" s="67"/>
      <c r="X2371" s="67"/>
      <c r="Y2371" s="36">
        <v>44774</v>
      </c>
      <c r="Z2371" s="36">
        <v>46660</v>
      </c>
      <c r="AA2371" s="36"/>
      <c r="AB2371" s="36"/>
      <c r="AC2371" s="36"/>
      <c r="AD2371" s="36"/>
      <c r="AE2371" s="36"/>
      <c r="AF2371" s="53" t="s">
        <v>68</v>
      </c>
      <c r="AG2371" s="42"/>
      <c r="AH2371" s="42"/>
      <c r="AI2371" s="43"/>
      <c r="AJ2371" s="43"/>
      <c r="AK2371" s="43"/>
      <c r="AL2371" s="43"/>
      <c r="AM2371" s="43"/>
      <c r="AN2371" s="42"/>
      <c r="AO2371" s="42"/>
      <c r="AP2371" s="42"/>
      <c r="AQ2371" s="43"/>
      <c r="AR2371" s="42"/>
      <c r="AS2371" s="42"/>
    </row>
    <row r="2372" spans="1:45" ht="15" customHeight="1">
      <c r="A2372" s="65" t="s">
        <v>57</v>
      </c>
      <c r="B2372" s="22" t="s">
        <v>46</v>
      </c>
      <c r="C2372" s="21" t="s">
        <v>188</v>
      </c>
      <c r="D2372" s="22" t="s">
        <v>59</v>
      </c>
      <c r="E2372" s="66" t="s">
        <v>3004</v>
      </c>
      <c r="F2372" s="65" t="s">
        <v>3005</v>
      </c>
      <c r="G2372" s="26" t="s">
        <v>77</v>
      </c>
      <c r="H2372" s="45" t="s">
        <v>3134</v>
      </c>
      <c r="I2372" s="26" t="s">
        <v>78</v>
      </c>
      <c r="J2372" s="46" t="s">
        <v>3135</v>
      </c>
      <c r="K2372" s="47"/>
      <c r="L2372" s="48" t="s">
        <v>3008</v>
      </c>
      <c r="M2372" s="49">
        <v>44809</v>
      </c>
      <c r="N2372" s="47" t="s">
        <v>182</v>
      </c>
      <c r="O2372" s="61">
        <v>3520</v>
      </c>
      <c r="P2372" s="61">
        <v>2</v>
      </c>
      <c r="Q2372" s="51">
        <f t="shared" si="56"/>
        <v>7040</v>
      </c>
      <c r="R2372" s="31">
        <v>202310</v>
      </c>
      <c r="S2372" s="32" t="s">
        <v>3137</v>
      </c>
      <c r="T2372" s="33"/>
      <c r="U2372" s="32"/>
      <c r="V2372" s="33"/>
      <c r="W2372" s="67"/>
      <c r="X2372" s="67"/>
      <c r="Y2372" s="36">
        <v>44774</v>
      </c>
      <c r="Z2372" s="36">
        <v>46660</v>
      </c>
      <c r="AA2372" s="36"/>
      <c r="AB2372" s="36"/>
      <c r="AC2372" s="36"/>
      <c r="AD2372" s="36"/>
      <c r="AE2372" s="36"/>
      <c r="AF2372" s="53" t="s">
        <v>68</v>
      </c>
      <c r="AG2372" s="42"/>
      <c r="AH2372" s="42"/>
      <c r="AI2372" s="43"/>
      <c r="AJ2372" s="43"/>
      <c r="AK2372" s="43"/>
      <c r="AL2372" s="43"/>
      <c r="AM2372" s="43"/>
      <c r="AN2372" s="42"/>
      <c r="AO2372" s="42"/>
      <c r="AP2372" s="42"/>
      <c r="AQ2372" s="43"/>
      <c r="AR2372" s="42"/>
      <c r="AS2372" s="42"/>
    </row>
    <row r="2373" spans="1:45" ht="15" customHeight="1">
      <c r="A2373" s="65" t="s">
        <v>57</v>
      </c>
      <c r="B2373" s="22" t="s">
        <v>46</v>
      </c>
      <c r="C2373" s="21" t="s">
        <v>188</v>
      </c>
      <c r="D2373" s="22" t="s">
        <v>59</v>
      </c>
      <c r="E2373" s="66" t="s">
        <v>3004</v>
      </c>
      <c r="F2373" s="65" t="s">
        <v>3005</v>
      </c>
      <c r="G2373" s="26" t="s">
        <v>77</v>
      </c>
      <c r="H2373" s="45" t="s">
        <v>3134</v>
      </c>
      <c r="I2373" s="26" t="s">
        <v>78</v>
      </c>
      <c r="J2373" s="46" t="s">
        <v>3135</v>
      </c>
      <c r="K2373" s="47"/>
      <c r="L2373" s="48" t="s">
        <v>3008</v>
      </c>
      <c r="M2373" s="49">
        <v>44809</v>
      </c>
      <c r="N2373" s="47" t="s">
        <v>182</v>
      </c>
      <c r="O2373" s="61">
        <v>3520</v>
      </c>
      <c r="P2373" s="61">
        <v>8</v>
      </c>
      <c r="Q2373" s="51">
        <f t="shared" si="56"/>
        <v>28160</v>
      </c>
      <c r="R2373" s="31">
        <v>202310</v>
      </c>
      <c r="S2373" s="32" t="s">
        <v>3138</v>
      </c>
      <c r="T2373" s="33"/>
      <c r="U2373" s="32"/>
      <c r="V2373" s="33"/>
      <c r="W2373" s="67"/>
      <c r="X2373" s="67"/>
      <c r="Y2373" s="36">
        <v>44774</v>
      </c>
      <c r="Z2373" s="36">
        <v>46660</v>
      </c>
      <c r="AA2373" s="36"/>
      <c r="AB2373" s="36"/>
      <c r="AC2373" s="36"/>
      <c r="AD2373" s="36"/>
      <c r="AE2373" s="36"/>
      <c r="AF2373" s="53" t="s">
        <v>68</v>
      </c>
      <c r="AG2373" s="42"/>
      <c r="AH2373" s="42"/>
      <c r="AI2373" s="43"/>
      <c r="AJ2373" s="43"/>
      <c r="AK2373" s="43"/>
      <c r="AL2373" s="43"/>
      <c r="AM2373" s="43"/>
      <c r="AN2373" s="42"/>
      <c r="AO2373" s="42"/>
      <c r="AP2373" s="42"/>
      <c r="AQ2373" s="43"/>
      <c r="AR2373" s="42"/>
      <c r="AS2373" s="42"/>
    </row>
    <row r="2374" spans="1:45" ht="15" customHeight="1">
      <c r="A2374" s="65" t="s">
        <v>57</v>
      </c>
      <c r="B2374" s="22" t="s">
        <v>46</v>
      </c>
      <c r="C2374" s="21" t="s">
        <v>188</v>
      </c>
      <c r="D2374" s="22" t="s">
        <v>59</v>
      </c>
      <c r="E2374" s="66" t="s">
        <v>3004</v>
      </c>
      <c r="F2374" s="65" t="s">
        <v>3005</v>
      </c>
      <c r="G2374" s="26" t="s">
        <v>77</v>
      </c>
      <c r="H2374" s="45" t="s">
        <v>3134</v>
      </c>
      <c r="I2374" s="26" t="s">
        <v>78</v>
      </c>
      <c r="J2374" s="46" t="s">
        <v>3135</v>
      </c>
      <c r="K2374" s="47"/>
      <c r="L2374" s="48" t="s">
        <v>3008</v>
      </c>
      <c r="M2374" s="49">
        <v>44813</v>
      </c>
      <c r="N2374" s="47" t="s">
        <v>182</v>
      </c>
      <c r="O2374" s="61">
        <v>3520</v>
      </c>
      <c r="P2374" s="61">
        <v>47</v>
      </c>
      <c r="Q2374" s="51">
        <f t="shared" si="56"/>
        <v>165440</v>
      </c>
      <c r="R2374" s="31">
        <v>202310</v>
      </c>
      <c r="S2374" s="32" t="s">
        <v>3139</v>
      </c>
      <c r="T2374" s="33"/>
      <c r="U2374" s="32"/>
      <c r="V2374" s="33"/>
      <c r="W2374" s="67"/>
      <c r="X2374" s="67"/>
      <c r="Y2374" s="36">
        <v>44774</v>
      </c>
      <c r="Z2374" s="36">
        <v>46660</v>
      </c>
      <c r="AA2374" s="36"/>
      <c r="AB2374" s="36"/>
      <c r="AC2374" s="36"/>
      <c r="AD2374" s="36"/>
      <c r="AE2374" s="36"/>
      <c r="AF2374" s="53" t="s">
        <v>68</v>
      </c>
      <c r="AG2374" s="42"/>
      <c r="AH2374" s="42"/>
      <c r="AI2374" s="43"/>
      <c r="AJ2374" s="43"/>
      <c r="AK2374" s="43"/>
      <c r="AL2374" s="43"/>
      <c r="AM2374" s="43"/>
      <c r="AN2374" s="42"/>
      <c r="AO2374" s="42"/>
      <c r="AP2374" s="42"/>
      <c r="AQ2374" s="43"/>
      <c r="AR2374" s="42"/>
      <c r="AS2374" s="42"/>
    </row>
    <row r="2375" spans="1:45" ht="15" customHeight="1">
      <c r="A2375" s="65" t="s">
        <v>57</v>
      </c>
      <c r="B2375" s="22" t="s">
        <v>46</v>
      </c>
      <c r="C2375" s="21" t="s">
        <v>188</v>
      </c>
      <c r="D2375" s="22" t="s">
        <v>59</v>
      </c>
      <c r="E2375" s="66" t="s">
        <v>3004</v>
      </c>
      <c r="F2375" s="65" t="s">
        <v>3005</v>
      </c>
      <c r="G2375" s="26" t="s">
        <v>77</v>
      </c>
      <c r="H2375" s="45" t="s">
        <v>3134</v>
      </c>
      <c r="I2375" s="26" t="s">
        <v>78</v>
      </c>
      <c r="J2375" s="46" t="s">
        <v>3135</v>
      </c>
      <c r="K2375" s="47"/>
      <c r="L2375" s="48" t="s">
        <v>3008</v>
      </c>
      <c r="M2375" s="49">
        <v>44818</v>
      </c>
      <c r="N2375" s="47" t="s">
        <v>182</v>
      </c>
      <c r="O2375" s="61">
        <v>3520</v>
      </c>
      <c r="P2375" s="61">
        <v>40</v>
      </c>
      <c r="Q2375" s="51">
        <f t="shared" si="56"/>
        <v>140800</v>
      </c>
      <c r="R2375" s="31">
        <v>202310</v>
      </c>
      <c r="S2375" s="32" t="s">
        <v>3140</v>
      </c>
      <c r="T2375" s="33"/>
      <c r="U2375" s="32"/>
      <c r="V2375" s="33"/>
      <c r="W2375" s="67"/>
      <c r="X2375" s="67"/>
      <c r="Y2375" s="36">
        <v>44774</v>
      </c>
      <c r="Z2375" s="36">
        <v>46660</v>
      </c>
      <c r="AA2375" s="36"/>
      <c r="AB2375" s="36"/>
      <c r="AC2375" s="36"/>
      <c r="AD2375" s="36"/>
      <c r="AE2375" s="36"/>
      <c r="AF2375" s="53" t="s">
        <v>68</v>
      </c>
      <c r="AG2375" s="42"/>
      <c r="AH2375" s="42"/>
      <c r="AI2375" s="43"/>
      <c r="AJ2375" s="43"/>
      <c r="AK2375" s="43"/>
      <c r="AL2375" s="43"/>
      <c r="AM2375" s="43"/>
      <c r="AN2375" s="42"/>
      <c r="AO2375" s="42"/>
      <c r="AP2375" s="42"/>
      <c r="AQ2375" s="43"/>
      <c r="AR2375" s="42"/>
      <c r="AS2375" s="42"/>
    </row>
    <row r="2376" spans="1:45" ht="15" customHeight="1">
      <c r="A2376" s="65" t="s">
        <v>57</v>
      </c>
      <c r="B2376" s="22" t="s">
        <v>46</v>
      </c>
      <c r="C2376" s="21" t="s">
        <v>188</v>
      </c>
      <c r="D2376" s="22" t="s">
        <v>59</v>
      </c>
      <c r="E2376" s="66" t="s">
        <v>3004</v>
      </c>
      <c r="F2376" s="65" t="s">
        <v>3005</v>
      </c>
      <c r="G2376" s="26" t="s">
        <v>77</v>
      </c>
      <c r="H2376" s="45" t="s">
        <v>3134</v>
      </c>
      <c r="I2376" s="26" t="s">
        <v>78</v>
      </c>
      <c r="J2376" s="46" t="s">
        <v>3135</v>
      </c>
      <c r="K2376" s="47"/>
      <c r="L2376" s="48" t="s">
        <v>3008</v>
      </c>
      <c r="M2376" s="49">
        <v>44819</v>
      </c>
      <c r="N2376" s="47" t="s">
        <v>182</v>
      </c>
      <c r="O2376" s="61">
        <v>3520</v>
      </c>
      <c r="P2376" s="61">
        <v>47</v>
      </c>
      <c r="Q2376" s="51">
        <f t="shared" si="56"/>
        <v>165440</v>
      </c>
      <c r="R2376" s="31">
        <v>202310</v>
      </c>
      <c r="S2376" s="32" t="s">
        <v>3141</v>
      </c>
      <c r="T2376" s="33"/>
      <c r="U2376" s="32"/>
      <c r="V2376" s="33"/>
      <c r="W2376" s="67"/>
      <c r="X2376" s="67"/>
      <c r="Y2376" s="36">
        <v>44774</v>
      </c>
      <c r="Z2376" s="36">
        <v>46660</v>
      </c>
      <c r="AA2376" s="36"/>
      <c r="AB2376" s="36"/>
      <c r="AC2376" s="36"/>
      <c r="AD2376" s="36"/>
      <c r="AE2376" s="36"/>
      <c r="AF2376" s="53" t="s">
        <v>68</v>
      </c>
      <c r="AG2376" s="42"/>
      <c r="AH2376" s="42"/>
      <c r="AI2376" s="43"/>
      <c r="AJ2376" s="43"/>
      <c r="AK2376" s="43"/>
      <c r="AL2376" s="43"/>
      <c r="AM2376" s="43"/>
      <c r="AN2376" s="42"/>
      <c r="AO2376" s="42"/>
      <c r="AP2376" s="42"/>
      <c r="AQ2376" s="43"/>
      <c r="AR2376" s="42"/>
      <c r="AS2376" s="42"/>
    </row>
    <row r="2377" spans="1:45" ht="15" customHeight="1">
      <c r="A2377" s="65" t="s">
        <v>57</v>
      </c>
      <c r="B2377" s="22" t="s">
        <v>46</v>
      </c>
      <c r="C2377" s="21" t="s">
        <v>188</v>
      </c>
      <c r="D2377" s="22" t="s">
        <v>59</v>
      </c>
      <c r="E2377" s="66" t="s">
        <v>3004</v>
      </c>
      <c r="F2377" s="65" t="s">
        <v>3005</v>
      </c>
      <c r="G2377" s="26" t="s">
        <v>77</v>
      </c>
      <c r="H2377" s="45" t="s">
        <v>3134</v>
      </c>
      <c r="I2377" s="26" t="s">
        <v>78</v>
      </c>
      <c r="J2377" s="46" t="s">
        <v>3135</v>
      </c>
      <c r="K2377" s="47"/>
      <c r="L2377" s="48" t="s">
        <v>3008</v>
      </c>
      <c r="M2377" s="49">
        <v>44834</v>
      </c>
      <c r="N2377" s="47" t="s">
        <v>182</v>
      </c>
      <c r="O2377" s="61">
        <v>3520</v>
      </c>
      <c r="P2377" s="61">
        <v>36</v>
      </c>
      <c r="Q2377" s="51">
        <f t="shared" si="56"/>
        <v>126720</v>
      </c>
      <c r="R2377" s="31">
        <v>202310</v>
      </c>
      <c r="S2377" s="32" t="s">
        <v>3142</v>
      </c>
      <c r="T2377" s="33"/>
      <c r="U2377" s="32"/>
      <c r="V2377" s="33"/>
      <c r="W2377" s="67"/>
      <c r="X2377" s="67"/>
      <c r="Y2377" s="36">
        <v>44774</v>
      </c>
      <c r="Z2377" s="36">
        <v>46660</v>
      </c>
      <c r="AA2377" s="36"/>
      <c r="AB2377" s="36"/>
      <c r="AC2377" s="36"/>
      <c r="AD2377" s="36"/>
      <c r="AE2377" s="36"/>
      <c r="AF2377" s="53" t="s">
        <v>68</v>
      </c>
      <c r="AG2377" s="42"/>
      <c r="AH2377" s="42"/>
      <c r="AI2377" s="43"/>
      <c r="AJ2377" s="43"/>
      <c r="AK2377" s="43"/>
      <c r="AL2377" s="43"/>
      <c r="AM2377" s="43"/>
      <c r="AN2377" s="42"/>
      <c r="AO2377" s="42"/>
      <c r="AP2377" s="42"/>
      <c r="AQ2377" s="43"/>
      <c r="AR2377" s="42"/>
      <c r="AS2377" s="42"/>
    </row>
    <row r="2378" spans="1:45" ht="15" customHeight="1">
      <c r="A2378" s="65" t="s">
        <v>57</v>
      </c>
      <c r="B2378" s="22" t="s">
        <v>46</v>
      </c>
      <c r="C2378" s="21" t="s">
        <v>188</v>
      </c>
      <c r="D2378" s="22" t="s">
        <v>59</v>
      </c>
      <c r="E2378" s="66" t="s">
        <v>3004</v>
      </c>
      <c r="F2378" s="65" t="s">
        <v>3005</v>
      </c>
      <c r="G2378" s="26" t="s">
        <v>77</v>
      </c>
      <c r="H2378" s="45" t="s">
        <v>3134</v>
      </c>
      <c r="I2378" s="26" t="s">
        <v>78</v>
      </c>
      <c r="J2378" s="46" t="s">
        <v>3135</v>
      </c>
      <c r="K2378" s="47"/>
      <c r="L2378" s="48" t="s">
        <v>3008</v>
      </c>
      <c r="M2378" s="49">
        <v>44862</v>
      </c>
      <c r="N2378" s="47" t="s">
        <v>182</v>
      </c>
      <c r="O2378" s="61">
        <v>3520</v>
      </c>
      <c r="P2378" s="61">
        <v>2</v>
      </c>
      <c r="Q2378" s="51">
        <f t="shared" si="56"/>
        <v>7040</v>
      </c>
      <c r="R2378" s="31">
        <v>202310</v>
      </c>
      <c r="S2378" s="32" t="s">
        <v>3143</v>
      </c>
      <c r="T2378" s="33"/>
      <c r="U2378" s="32"/>
      <c r="V2378" s="33"/>
      <c r="W2378" s="67"/>
      <c r="X2378" s="67"/>
      <c r="Y2378" s="36">
        <v>44774</v>
      </c>
      <c r="Z2378" s="36">
        <v>46660</v>
      </c>
      <c r="AA2378" s="36"/>
      <c r="AB2378" s="36"/>
      <c r="AC2378" s="36"/>
      <c r="AD2378" s="36"/>
      <c r="AE2378" s="36"/>
      <c r="AF2378" s="53" t="s">
        <v>68</v>
      </c>
      <c r="AG2378" s="42"/>
      <c r="AH2378" s="42"/>
      <c r="AI2378" s="43"/>
      <c r="AJ2378" s="43"/>
      <c r="AK2378" s="43"/>
      <c r="AL2378" s="43"/>
      <c r="AM2378" s="43"/>
      <c r="AN2378" s="42"/>
      <c r="AO2378" s="42"/>
      <c r="AP2378" s="42"/>
      <c r="AQ2378" s="43"/>
      <c r="AR2378" s="42"/>
      <c r="AS2378" s="42"/>
    </row>
    <row r="2379" spans="1:45" ht="15" customHeight="1">
      <c r="A2379" s="65" t="s">
        <v>57</v>
      </c>
      <c r="B2379" s="22" t="s">
        <v>46</v>
      </c>
      <c r="C2379" s="21" t="s">
        <v>188</v>
      </c>
      <c r="D2379" s="22" t="s">
        <v>59</v>
      </c>
      <c r="E2379" s="66" t="s">
        <v>3004</v>
      </c>
      <c r="F2379" s="65" t="s">
        <v>3005</v>
      </c>
      <c r="G2379" s="26" t="s">
        <v>77</v>
      </c>
      <c r="H2379" s="45" t="s">
        <v>3134</v>
      </c>
      <c r="I2379" s="26" t="s">
        <v>78</v>
      </c>
      <c r="J2379" s="46" t="s">
        <v>3135</v>
      </c>
      <c r="K2379" s="47"/>
      <c r="L2379" s="48" t="s">
        <v>3008</v>
      </c>
      <c r="M2379" s="49">
        <v>44868</v>
      </c>
      <c r="N2379" s="47" t="s">
        <v>182</v>
      </c>
      <c r="O2379" s="61">
        <v>3520</v>
      </c>
      <c r="P2379" s="61">
        <v>6</v>
      </c>
      <c r="Q2379" s="51">
        <f t="shared" si="56"/>
        <v>21120</v>
      </c>
      <c r="R2379" s="31">
        <v>202310</v>
      </c>
      <c r="S2379" s="32" t="s">
        <v>3144</v>
      </c>
      <c r="T2379" s="33"/>
      <c r="U2379" s="32"/>
      <c r="V2379" s="33"/>
      <c r="W2379" s="67"/>
      <c r="X2379" s="67"/>
      <c r="Y2379" s="36">
        <v>44774</v>
      </c>
      <c r="Z2379" s="36">
        <v>46660</v>
      </c>
      <c r="AA2379" s="36"/>
      <c r="AB2379" s="36"/>
      <c r="AC2379" s="36"/>
      <c r="AD2379" s="36"/>
      <c r="AE2379" s="36"/>
      <c r="AF2379" s="53" t="s">
        <v>68</v>
      </c>
      <c r="AG2379" s="42"/>
      <c r="AH2379" s="42"/>
      <c r="AI2379" s="43"/>
      <c r="AJ2379" s="43"/>
      <c r="AK2379" s="43"/>
      <c r="AL2379" s="43"/>
      <c r="AM2379" s="43"/>
      <c r="AN2379" s="42"/>
      <c r="AO2379" s="42"/>
      <c r="AP2379" s="42"/>
      <c r="AQ2379" s="43"/>
      <c r="AR2379" s="42"/>
      <c r="AS2379" s="42"/>
    </row>
    <row r="2380" spans="1:45" ht="15" customHeight="1">
      <c r="A2380" s="65" t="s">
        <v>57</v>
      </c>
      <c r="B2380" s="22" t="s">
        <v>46</v>
      </c>
      <c r="C2380" s="21" t="s">
        <v>188</v>
      </c>
      <c r="D2380" s="22" t="s">
        <v>59</v>
      </c>
      <c r="E2380" s="66" t="s">
        <v>3004</v>
      </c>
      <c r="F2380" s="65" t="s">
        <v>3005</v>
      </c>
      <c r="G2380" s="26" t="s">
        <v>77</v>
      </c>
      <c r="H2380" s="45" t="s">
        <v>3134</v>
      </c>
      <c r="I2380" s="26" t="s">
        <v>78</v>
      </c>
      <c r="J2380" s="46" t="s">
        <v>3135</v>
      </c>
      <c r="K2380" s="47"/>
      <c r="L2380" s="48" t="s">
        <v>3008</v>
      </c>
      <c r="M2380" s="49">
        <v>44879</v>
      </c>
      <c r="N2380" s="47" t="s">
        <v>182</v>
      </c>
      <c r="O2380" s="61">
        <v>3520</v>
      </c>
      <c r="P2380" s="61">
        <v>9</v>
      </c>
      <c r="Q2380" s="51">
        <f t="shared" si="56"/>
        <v>31680</v>
      </c>
      <c r="R2380" s="31">
        <v>202310</v>
      </c>
      <c r="S2380" s="32" t="s">
        <v>3145</v>
      </c>
      <c r="T2380" s="33"/>
      <c r="U2380" s="32"/>
      <c r="V2380" s="33"/>
      <c r="W2380" s="67"/>
      <c r="X2380" s="67"/>
      <c r="Y2380" s="36">
        <v>44774</v>
      </c>
      <c r="Z2380" s="36">
        <v>46660</v>
      </c>
      <c r="AA2380" s="36"/>
      <c r="AB2380" s="36"/>
      <c r="AC2380" s="36"/>
      <c r="AD2380" s="36"/>
      <c r="AE2380" s="36"/>
      <c r="AF2380" s="53" t="s">
        <v>68</v>
      </c>
      <c r="AG2380" s="42"/>
      <c r="AH2380" s="42"/>
      <c r="AI2380" s="43"/>
      <c r="AJ2380" s="43"/>
      <c r="AK2380" s="43"/>
      <c r="AL2380" s="43"/>
      <c r="AM2380" s="43"/>
      <c r="AN2380" s="42"/>
      <c r="AO2380" s="42"/>
      <c r="AP2380" s="42"/>
      <c r="AQ2380" s="43"/>
      <c r="AR2380" s="42"/>
      <c r="AS2380" s="42"/>
    </row>
    <row r="2381" spans="1:45" ht="15" customHeight="1">
      <c r="A2381" s="65" t="s">
        <v>57</v>
      </c>
      <c r="B2381" s="22" t="s">
        <v>46</v>
      </c>
      <c r="C2381" s="21" t="s">
        <v>188</v>
      </c>
      <c r="D2381" s="22" t="s">
        <v>59</v>
      </c>
      <c r="E2381" s="66" t="s">
        <v>3004</v>
      </c>
      <c r="F2381" s="65" t="s">
        <v>3005</v>
      </c>
      <c r="G2381" s="26" t="s">
        <v>77</v>
      </c>
      <c r="H2381" s="45" t="s">
        <v>3134</v>
      </c>
      <c r="I2381" s="26" t="s">
        <v>78</v>
      </c>
      <c r="J2381" s="46" t="s">
        <v>3135</v>
      </c>
      <c r="K2381" s="47"/>
      <c r="L2381" s="48" t="s">
        <v>3008</v>
      </c>
      <c r="M2381" s="49">
        <v>44896</v>
      </c>
      <c r="N2381" s="47" t="s">
        <v>182</v>
      </c>
      <c r="O2381" s="61">
        <v>3520</v>
      </c>
      <c r="P2381" s="61">
        <v>5</v>
      </c>
      <c r="Q2381" s="51">
        <f t="shared" si="56"/>
        <v>17600</v>
      </c>
      <c r="R2381" s="31">
        <v>202310</v>
      </c>
      <c r="S2381" s="32" t="s">
        <v>3146</v>
      </c>
      <c r="T2381" s="33"/>
      <c r="U2381" s="32"/>
      <c r="V2381" s="33"/>
      <c r="W2381" s="67"/>
      <c r="X2381" s="67"/>
      <c r="Y2381" s="36">
        <v>44774</v>
      </c>
      <c r="Z2381" s="36">
        <v>46660</v>
      </c>
      <c r="AA2381" s="36"/>
      <c r="AB2381" s="36"/>
      <c r="AC2381" s="36"/>
      <c r="AD2381" s="36"/>
      <c r="AE2381" s="36"/>
      <c r="AF2381" s="53" t="s">
        <v>68</v>
      </c>
      <c r="AG2381" s="42"/>
      <c r="AH2381" s="42"/>
      <c r="AI2381" s="43"/>
      <c r="AJ2381" s="43"/>
      <c r="AK2381" s="43"/>
      <c r="AL2381" s="43"/>
      <c r="AM2381" s="43"/>
      <c r="AN2381" s="42"/>
      <c r="AO2381" s="42"/>
      <c r="AP2381" s="42"/>
      <c r="AQ2381" s="43"/>
      <c r="AR2381" s="42"/>
      <c r="AS2381" s="42"/>
    </row>
    <row r="2382" spans="1:45" ht="15" customHeight="1">
      <c r="A2382" s="65" t="s">
        <v>57</v>
      </c>
      <c r="B2382" s="22" t="s">
        <v>46</v>
      </c>
      <c r="C2382" s="21" t="s">
        <v>188</v>
      </c>
      <c r="D2382" s="22" t="s">
        <v>59</v>
      </c>
      <c r="E2382" s="66" t="s">
        <v>3004</v>
      </c>
      <c r="F2382" s="65" t="s">
        <v>3005</v>
      </c>
      <c r="G2382" s="26" t="s">
        <v>77</v>
      </c>
      <c r="H2382" s="45" t="s">
        <v>3134</v>
      </c>
      <c r="I2382" s="26" t="s">
        <v>78</v>
      </c>
      <c r="J2382" s="46" t="s">
        <v>3135</v>
      </c>
      <c r="K2382" s="47"/>
      <c r="L2382" s="48" t="s">
        <v>3008</v>
      </c>
      <c r="M2382" s="49">
        <v>44901</v>
      </c>
      <c r="N2382" s="47" t="s">
        <v>182</v>
      </c>
      <c r="O2382" s="61">
        <v>3520</v>
      </c>
      <c r="P2382" s="61">
        <v>6</v>
      </c>
      <c r="Q2382" s="51">
        <f t="shared" si="56"/>
        <v>21120</v>
      </c>
      <c r="R2382" s="31">
        <v>202310</v>
      </c>
      <c r="S2382" s="32" t="s">
        <v>3147</v>
      </c>
      <c r="T2382" s="33"/>
      <c r="U2382" s="32"/>
      <c r="V2382" s="33"/>
      <c r="W2382" s="67"/>
      <c r="X2382" s="67"/>
      <c r="Y2382" s="36">
        <v>44774</v>
      </c>
      <c r="Z2382" s="36">
        <v>46660</v>
      </c>
      <c r="AA2382" s="36"/>
      <c r="AB2382" s="36"/>
      <c r="AC2382" s="36"/>
      <c r="AD2382" s="36"/>
      <c r="AE2382" s="36"/>
      <c r="AF2382" s="53" t="s">
        <v>68</v>
      </c>
      <c r="AG2382" s="42"/>
      <c r="AH2382" s="42"/>
      <c r="AI2382" s="43"/>
      <c r="AJ2382" s="43"/>
      <c r="AK2382" s="43"/>
      <c r="AL2382" s="43"/>
      <c r="AM2382" s="43"/>
      <c r="AN2382" s="42"/>
      <c r="AO2382" s="42"/>
      <c r="AP2382" s="42"/>
      <c r="AQ2382" s="43"/>
      <c r="AR2382" s="42"/>
      <c r="AS2382" s="42"/>
    </row>
    <row r="2383" spans="1:45" ht="15" customHeight="1">
      <c r="A2383" s="65" t="s">
        <v>57</v>
      </c>
      <c r="B2383" s="22" t="s">
        <v>46</v>
      </c>
      <c r="C2383" s="21" t="s">
        <v>188</v>
      </c>
      <c r="D2383" s="22" t="s">
        <v>59</v>
      </c>
      <c r="E2383" s="66" t="s">
        <v>3004</v>
      </c>
      <c r="F2383" s="65" t="s">
        <v>3005</v>
      </c>
      <c r="G2383" s="26" t="s">
        <v>77</v>
      </c>
      <c r="H2383" s="45" t="s">
        <v>3134</v>
      </c>
      <c r="I2383" s="26" t="s">
        <v>78</v>
      </c>
      <c r="J2383" s="46" t="s">
        <v>3135</v>
      </c>
      <c r="K2383" s="47"/>
      <c r="L2383" s="48" t="s">
        <v>3008</v>
      </c>
      <c r="M2383" s="49">
        <v>44902</v>
      </c>
      <c r="N2383" s="47" t="s">
        <v>182</v>
      </c>
      <c r="O2383" s="61">
        <v>3520</v>
      </c>
      <c r="P2383" s="61">
        <v>9</v>
      </c>
      <c r="Q2383" s="51">
        <f t="shared" si="56"/>
        <v>31680</v>
      </c>
      <c r="R2383" s="31">
        <v>202310</v>
      </c>
      <c r="S2383" s="32" t="s">
        <v>3148</v>
      </c>
      <c r="T2383" s="33"/>
      <c r="U2383" s="32"/>
      <c r="V2383" s="33"/>
      <c r="W2383" s="67"/>
      <c r="X2383" s="67"/>
      <c r="Y2383" s="36">
        <v>44774</v>
      </c>
      <c r="Z2383" s="36">
        <v>46660</v>
      </c>
      <c r="AA2383" s="36"/>
      <c r="AB2383" s="36"/>
      <c r="AC2383" s="36"/>
      <c r="AD2383" s="36"/>
      <c r="AE2383" s="36"/>
      <c r="AF2383" s="53" t="s">
        <v>68</v>
      </c>
      <c r="AG2383" s="42"/>
      <c r="AH2383" s="42"/>
      <c r="AI2383" s="43"/>
      <c r="AJ2383" s="43"/>
      <c r="AK2383" s="43"/>
      <c r="AL2383" s="43"/>
      <c r="AM2383" s="43"/>
      <c r="AN2383" s="42"/>
      <c r="AO2383" s="42"/>
      <c r="AP2383" s="42"/>
      <c r="AQ2383" s="43"/>
      <c r="AR2383" s="42"/>
      <c r="AS2383" s="42"/>
    </row>
    <row r="2384" spans="1:45" ht="15" customHeight="1">
      <c r="A2384" s="65" t="s">
        <v>57</v>
      </c>
      <c r="B2384" s="22" t="s">
        <v>46</v>
      </c>
      <c r="C2384" s="21" t="s">
        <v>188</v>
      </c>
      <c r="D2384" s="22" t="s">
        <v>59</v>
      </c>
      <c r="E2384" s="66" t="s">
        <v>3004</v>
      </c>
      <c r="F2384" s="65" t="s">
        <v>3005</v>
      </c>
      <c r="G2384" s="26" t="s">
        <v>77</v>
      </c>
      <c r="H2384" s="45" t="s">
        <v>3134</v>
      </c>
      <c r="I2384" s="26" t="s">
        <v>78</v>
      </c>
      <c r="J2384" s="46" t="s">
        <v>3135</v>
      </c>
      <c r="K2384" s="47"/>
      <c r="L2384" s="48" t="s">
        <v>3008</v>
      </c>
      <c r="M2384" s="49">
        <v>44914</v>
      </c>
      <c r="N2384" s="47" t="s">
        <v>182</v>
      </c>
      <c r="O2384" s="61">
        <v>3520</v>
      </c>
      <c r="P2384" s="61">
        <v>2</v>
      </c>
      <c r="Q2384" s="51">
        <f t="shared" si="56"/>
        <v>7040</v>
      </c>
      <c r="R2384" s="31">
        <v>202310</v>
      </c>
      <c r="S2384" s="32" t="s">
        <v>3149</v>
      </c>
      <c r="T2384" s="33"/>
      <c r="U2384" s="32"/>
      <c r="V2384" s="33"/>
      <c r="W2384" s="67"/>
      <c r="X2384" s="67"/>
      <c r="Y2384" s="36">
        <v>44774</v>
      </c>
      <c r="Z2384" s="36">
        <v>46660</v>
      </c>
      <c r="AA2384" s="36"/>
      <c r="AB2384" s="36"/>
      <c r="AC2384" s="36"/>
      <c r="AD2384" s="36"/>
      <c r="AE2384" s="36"/>
      <c r="AF2384" s="53" t="s">
        <v>68</v>
      </c>
      <c r="AG2384" s="42"/>
      <c r="AH2384" s="42"/>
      <c r="AI2384" s="43"/>
      <c r="AJ2384" s="43"/>
      <c r="AK2384" s="43"/>
      <c r="AL2384" s="43"/>
      <c r="AM2384" s="43"/>
      <c r="AN2384" s="42"/>
      <c r="AO2384" s="42"/>
      <c r="AP2384" s="42"/>
      <c r="AQ2384" s="43"/>
      <c r="AR2384" s="42"/>
      <c r="AS2384" s="42"/>
    </row>
    <row r="2385" spans="1:45" ht="15" customHeight="1">
      <c r="A2385" s="65" t="s">
        <v>57</v>
      </c>
      <c r="B2385" s="22" t="s">
        <v>46</v>
      </c>
      <c r="C2385" s="21" t="s">
        <v>188</v>
      </c>
      <c r="D2385" s="22" t="s">
        <v>59</v>
      </c>
      <c r="E2385" s="66" t="s">
        <v>3004</v>
      </c>
      <c r="F2385" s="65" t="s">
        <v>3005</v>
      </c>
      <c r="G2385" s="26" t="s">
        <v>77</v>
      </c>
      <c r="H2385" s="45" t="s">
        <v>3134</v>
      </c>
      <c r="I2385" s="26" t="s">
        <v>78</v>
      </c>
      <c r="J2385" s="46" t="s">
        <v>3135</v>
      </c>
      <c r="K2385" s="47"/>
      <c r="L2385" s="48" t="s">
        <v>3008</v>
      </c>
      <c r="M2385" s="49">
        <v>44924</v>
      </c>
      <c r="N2385" s="47" t="s">
        <v>182</v>
      </c>
      <c r="O2385" s="61">
        <v>3520</v>
      </c>
      <c r="P2385" s="61">
        <v>8</v>
      </c>
      <c r="Q2385" s="51">
        <f t="shared" si="56"/>
        <v>28160</v>
      </c>
      <c r="R2385" s="31">
        <v>202310</v>
      </c>
      <c r="S2385" s="79" t="s">
        <v>3150</v>
      </c>
      <c r="T2385" s="33"/>
      <c r="U2385" s="32"/>
      <c r="V2385" s="33"/>
      <c r="W2385" s="67"/>
      <c r="X2385" s="67"/>
      <c r="Y2385" s="36">
        <v>44774</v>
      </c>
      <c r="Z2385" s="36">
        <v>46660</v>
      </c>
      <c r="AA2385" s="36"/>
      <c r="AB2385" s="36"/>
      <c r="AC2385" s="36"/>
      <c r="AD2385" s="36"/>
      <c r="AE2385" s="36"/>
      <c r="AF2385" s="53" t="s">
        <v>68</v>
      </c>
      <c r="AG2385" s="42"/>
      <c r="AH2385" s="42"/>
      <c r="AI2385" s="43"/>
      <c r="AJ2385" s="43"/>
      <c r="AK2385" s="43"/>
      <c r="AL2385" s="43"/>
      <c r="AM2385" s="43"/>
      <c r="AN2385" s="42"/>
      <c r="AO2385" s="42"/>
      <c r="AP2385" s="42"/>
      <c r="AQ2385" s="43"/>
      <c r="AR2385" s="42"/>
      <c r="AS2385" s="42"/>
    </row>
    <row r="2386" spans="1:45" ht="15" customHeight="1">
      <c r="A2386" s="65" t="s">
        <v>57</v>
      </c>
      <c r="B2386" s="22" t="s">
        <v>46</v>
      </c>
      <c r="C2386" s="21" t="s">
        <v>188</v>
      </c>
      <c r="D2386" s="22" t="s">
        <v>59</v>
      </c>
      <c r="E2386" s="66" t="s">
        <v>3004</v>
      </c>
      <c r="F2386" s="65" t="s">
        <v>3005</v>
      </c>
      <c r="G2386" s="26" t="s">
        <v>77</v>
      </c>
      <c r="H2386" s="45" t="s">
        <v>3134</v>
      </c>
      <c r="I2386" s="26" t="s">
        <v>78</v>
      </c>
      <c r="J2386" s="46" t="s">
        <v>3135</v>
      </c>
      <c r="K2386" s="47"/>
      <c r="L2386" s="48" t="s">
        <v>3008</v>
      </c>
      <c r="M2386" s="49">
        <v>44942</v>
      </c>
      <c r="N2386" s="47" t="s">
        <v>182</v>
      </c>
      <c r="O2386" s="61">
        <v>3520</v>
      </c>
      <c r="P2386" s="61">
        <v>1</v>
      </c>
      <c r="Q2386" s="51">
        <f t="shared" si="56"/>
        <v>3520</v>
      </c>
      <c r="R2386" s="31">
        <v>202310</v>
      </c>
      <c r="S2386" s="79" t="s">
        <v>3151</v>
      </c>
      <c r="T2386" s="33"/>
      <c r="U2386" s="32"/>
      <c r="V2386" s="33"/>
      <c r="W2386" s="67"/>
      <c r="X2386" s="67"/>
      <c r="Y2386" s="36">
        <v>44774</v>
      </c>
      <c r="Z2386" s="36">
        <v>46660</v>
      </c>
      <c r="AA2386" s="36"/>
      <c r="AB2386" s="36"/>
      <c r="AC2386" s="36"/>
      <c r="AD2386" s="36"/>
      <c r="AE2386" s="36"/>
      <c r="AF2386" s="53" t="s">
        <v>68</v>
      </c>
      <c r="AG2386" s="42"/>
      <c r="AH2386" s="42"/>
      <c r="AI2386" s="43"/>
      <c r="AJ2386" s="43"/>
      <c r="AK2386" s="43"/>
      <c r="AL2386" s="43"/>
      <c r="AM2386" s="43"/>
      <c r="AN2386" s="42"/>
      <c r="AO2386" s="42"/>
      <c r="AP2386" s="42"/>
      <c r="AQ2386" s="43"/>
      <c r="AR2386" s="42"/>
      <c r="AS2386" s="42"/>
    </row>
    <row r="2387" spans="1:45" ht="15" customHeight="1">
      <c r="A2387" s="65" t="s">
        <v>57</v>
      </c>
      <c r="B2387" s="22" t="s">
        <v>46</v>
      </c>
      <c r="C2387" s="21" t="s">
        <v>188</v>
      </c>
      <c r="D2387" s="22" t="s">
        <v>59</v>
      </c>
      <c r="E2387" s="66" t="s">
        <v>3004</v>
      </c>
      <c r="F2387" s="65" t="s">
        <v>3005</v>
      </c>
      <c r="G2387" s="26" t="s">
        <v>77</v>
      </c>
      <c r="H2387" s="45" t="s">
        <v>3134</v>
      </c>
      <c r="I2387" s="26" t="s">
        <v>78</v>
      </c>
      <c r="J2387" s="46" t="s">
        <v>3135</v>
      </c>
      <c r="K2387" s="47"/>
      <c r="L2387" s="48" t="s">
        <v>3008</v>
      </c>
      <c r="M2387" s="49">
        <v>45022</v>
      </c>
      <c r="N2387" s="47" t="s">
        <v>177</v>
      </c>
      <c r="O2387" s="61">
        <v>1760</v>
      </c>
      <c r="P2387" s="61">
        <v>4</v>
      </c>
      <c r="Q2387" s="51">
        <f t="shared" si="56"/>
        <v>7040</v>
      </c>
      <c r="R2387" s="31">
        <v>202310</v>
      </c>
      <c r="S2387" s="32" t="s">
        <v>3152</v>
      </c>
      <c r="T2387" s="33"/>
      <c r="U2387" s="32"/>
      <c r="V2387" s="33"/>
      <c r="W2387" s="67"/>
      <c r="X2387" s="67"/>
      <c r="Y2387" s="36">
        <v>44774</v>
      </c>
      <c r="Z2387" s="36">
        <v>46660</v>
      </c>
      <c r="AA2387" s="36"/>
      <c r="AB2387" s="36"/>
      <c r="AC2387" s="36"/>
      <c r="AD2387" s="36"/>
      <c r="AE2387" s="36"/>
      <c r="AF2387" s="53" t="s">
        <v>68</v>
      </c>
      <c r="AG2387" s="42"/>
      <c r="AH2387" s="42"/>
      <c r="AI2387" s="43"/>
      <c r="AJ2387" s="43"/>
      <c r="AK2387" s="43"/>
      <c r="AL2387" s="43"/>
      <c r="AM2387" s="43"/>
      <c r="AN2387" s="42"/>
      <c r="AO2387" s="42"/>
      <c r="AP2387" s="42"/>
      <c r="AQ2387" s="43"/>
      <c r="AR2387" s="42"/>
      <c r="AS2387" s="42"/>
    </row>
    <row r="2388" spans="1:45" ht="15" customHeight="1">
      <c r="A2388" s="65" t="s">
        <v>57</v>
      </c>
      <c r="B2388" s="22" t="s">
        <v>46</v>
      </c>
      <c r="C2388" s="21" t="s">
        <v>188</v>
      </c>
      <c r="D2388" s="22" t="s">
        <v>59</v>
      </c>
      <c r="E2388" s="66" t="s">
        <v>3004</v>
      </c>
      <c r="F2388" s="65" t="s">
        <v>3005</v>
      </c>
      <c r="G2388" s="26" t="s">
        <v>77</v>
      </c>
      <c r="H2388" s="45" t="s">
        <v>3134</v>
      </c>
      <c r="I2388" s="26" t="s">
        <v>78</v>
      </c>
      <c r="J2388" s="46" t="s">
        <v>3135</v>
      </c>
      <c r="K2388" s="47"/>
      <c r="L2388" s="48" t="s">
        <v>3008</v>
      </c>
      <c r="M2388" s="49">
        <v>45024</v>
      </c>
      <c r="N2388" s="47" t="s">
        <v>182</v>
      </c>
      <c r="O2388" s="61">
        <v>3520</v>
      </c>
      <c r="P2388" s="61">
        <v>68</v>
      </c>
      <c r="Q2388" s="51">
        <f t="shared" si="56"/>
        <v>239360</v>
      </c>
      <c r="R2388" s="31">
        <v>202310</v>
      </c>
      <c r="S2388" s="32" t="s">
        <v>3153</v>
      </c>
      <c r="T2388" s="33"/>
      <c r="U2388" s="32"/>
      <c r="V2388" s="33"/>
      <c r="W2388" s="67"/>
      <c r="X2388" s="67"/>
      <c r="Y2388" s="36">
        <v>44774</v>
      </c>
      <c r="Z2388" s="36">
        <v>46660</v>
      </c>
      <c r="AA2388" s="36"/>
      <c r="AB2388" s="36"/>
      <c r="AC2388" s="36"/>
      <c r="AD2388" s="36"/>
      <c r="AE2388" s="36"/>
      <c r="AF2388" s="53" t="s">
        <v>68</v>
      </c>
      <c r="AG2388" s="42"/>
      <c r="AH2388" s="42"/>
      <c r="AI2388" s="43"/>
      <c r="AJ2388" s="43"/>
      <c r="AK2388" s="43"/>
      <c r="AL2388" s="43"/>
      <c r="AM2388" s="43"/>
      <c r="AN2388" s="42"/>
      <c r="AO2388" s="42"/>
      <c r="AP2388" s="42"/>
      <c r="AQ2388" s="43"/>
      <c r="AR2388" s="42"/>
      <c r="AS2388" s="42"/>
    </row>
    <row r="2389" spans="1:45" ht="15" customHeight="1">
      <c r="A2389" s="65" t="s">
        <v>57</v>
      </c>
      <c r="B2389" s="22" t="s">
        <v>46</v>
      </c>
      <c r="C2389" s="21" t="s">
        <v>188</v>
      </c>
      <c r="D2389" s="22" t="s">
        <v>59</v>
      </c>
      <c r="E2389" s="66" t="s">
        <v>3004</v>
      </c>
      <c r="F2389" s="65" t="s">
        <v>3005</v>
      </c>
      <c r="G2389" s="26" t="s">
        <v>77</v>
      </c>
      <c r="H2389" s="45" t="s">
        <v>3134</v>
      </c>
      <c r="I2389" s="26" t="s">
        <v>78</v>
      </c>
      <c r="J2389" s="46" t="s">
        <v>3135</v>
      </c>
      <c r="K2389" s="47"/>
      <c r="L2389" s="48" t="s">
        <v>3008</v>
      </c>
      <c r="M2389" s="49">
        <v>45026</v>
      </c>
      <c r="N2389" s="47" t="s">
        <v>182</v>
      </c>
      <c r="O2389" s="61">
        <v>3520</v>
      </c>
      <c r="P2389" s="61">
        <v>56</v>
      </c>
      <c r="Q2389" s="51">
        <f t="shared" si="56"/>
        <v>197120</v>
      </c>
      <c r="R2389" s="31">
        <v>202310</v>
      </c>
      <c r="S2389" s="32" t="s">
        <v>3154</v>
      </c>
      <c r="T2389" s="33"/>
      <c r="U2389" s="32"/>
      <c r="V2389" s="33"/>
      <c r="W2389" s="67"/>
      <c r="X2389" s="67"/>
      <c r="Y2389" s="36">
        <v>44774</v>
      </c>
      <c r="Z2389" s="36">
        <v>46660</v>
      </c>
      <c r="AA2389" s="36"/>
      <c r="AB2389" s="36"/>
      <c r="AC2389" s="36"/>
      <c r="AD2389" s="36"/>
      <c r="AE2389" s="36"/>
      <c r="AF2389" s="53" t="s">
        <v>68</v>
      </c>
      <c r="AG2389" s="42"/>
      <c r="AH2389" s="42"/>
      <c r="AI2389" s="43"/>
      <c r="AJ2389" s="43"/>
      <c r="AK2389" s="43"/>
      <c r="AL2389" s="43"/>
      <c r="AM2389" s="43"/>
      <c r="AN2389" s="42"/>
      <c r="AO2389" s="42"/>
      <c r="AP2389" s="42"/>
      <c r="AQ2389" s="43"/>
      <c r="AR2389" s="42"/>
      <c r="AS2389" s="42"/>
    </row>
    <row r="2390" spans="1:45" ht="15" customHeight="1">
      <c r="A2390" s="65" t="s">
        <v>57</v>
      </c>
      <c r="B2390" s="22" t="s">
        <v>46</v>
      </c>
      <c r="C2390" s="21" t="s">
        <v>188</v>
      </c>
      <c r="D2390" s="22" t="s">
        <v>59</v>
      </c>
      <c r="E2390" s="66" t="s">
        <v>3004</v>
      </c>
      <c r="F2390" s="65" t="s">
        <v>3005</v>
      </c>
      <c r="G2390" s="26" t="s">
        <v>77</v>
      </c>
      <c r="H2390" s="45" t="s">
        <v>3134</v>
      </c>
      <c r="I2390" s="26" t="s">
        <v>78</v>
      </c>
      <c r="J2390" s="46" t="s">
        <v>3135</v>
      </c>
      <c r="K2390" s="47"/>
      <c r="L2390" s="48" t="s">
        <v>3008</v>
      </c>
      <c r="M2390" s="49">
        <v>45028</v>
      </c>
      <c r="N2390" s="47" t="s">
        <v>182</v>
      </c>
      <c r="O2390" s="61">
        <v>3520</v>
      </c>
      <c r="P2390" s="61">
        <v>117</v>
      </c>
      <c r="Q2390" s="51">
        <f t="shared" si="56"/>
        <v>411840</v>
      </c>
      <c r="R2390" s="31">
        <v>202310</v>
      </c>
      <c r="S2390" s="32" t="s">
        <v>3155</v>
      </c>
      <c r="T2390" s="33"/>
      <c r="U2390" s="32"/>
      <c r="V2390" s="33"/>
      <c r="W2390" s="67"/>
      <c r="X2390" s="67"/>
      <c r="Y2390" s="36">
        <v>44774</v>
      </c>
      <c r="Z2390" s="36">
        <v>46660</v>
      </c>
      <c r="AA2390" s="36"/>
      <c r="AB2390" s="36"/>
      <c r="AC2390" s="36"/>
      <c r="AD2390" s="36"/>
      <c r="AE2390" s="36"/>
      <c r="AF2390" s="53" t="s">
        <v>68</v>
      </c>
      <c r="AG2390" s="42"/>
      <c r="AH2390" s="42"/>
      <c r="AI2390" s="43"/>
      <c r="AJ2390" s="43"/>
      <c r="AK2390" s="43"/>
      <c r="AL2390" s="43"/>
      <c r="AM2390" s="43"/>
      <c r="AN2390" s="42"/>
      <c r="AO2390" s="42"/>
      <c r="AP2390" s="42"/>
      <c r="AQ2390" s="43"/>
      <c r="AR2390" s="42"/>
      <c r="AS2390" s="42"/>
    </row>
    <row r="2391" spans="1:45" ht="15" customHeight="1">
      <c r="A2391" s="65" t="s">
        <v>57</v>
      </c>
      <c r="B2391" s="22" t="s">
        <v>46</v>
      </c>
      <c r="C2391" s="21" t="s">
        <v>188</v>
      </c>
      <c r="D2391" s="22" t="s">
        <v>59</v>
      </c>
      <c r="E2391" s="66" t="s">
        <v>3004</v>
      </c>
      <c r="F2391" s="65" t="s">
        <v>3005</v>
      </c>
      <c r="G2391" s="26" t="s">
        <v>77</v>
      </c>
      <c r="H2391" s="45" t="s">
        <v>3134</v>
      </c>
      <c r="I2391" s="26" t="s">
        <v>78</v>
      </c>
      <c r="J2391" s="46" t="s">
        <v>3135</v>
      </c>
      <c r="K2391" s="47"/>
      <c r="L2391" s="48" t="s">
        <v>3008</v>
      </c>
      <c r="M2391" s="49">
        <v>45029</v>
      </c>
      <c r="N2391" s="47" t="s">
        <v>182</v>
      </c>
      <c r="O2391" s="61">
        <v>3520</v>
      </c>
      <c r="P2391" s="61">
        <v>68</v>
      </c>
      <c r="Q2391" s="51">
        <f t="shared" si="56"/>
        <v>239360</v>
      </c>
      <c r="R2391" s="31">
        <v>202310</v>
      </c>
      <c r="S2391" s="32" t="s">
        <v>3156</v>
      </c>
      <c r="T2391" s="33"/>
      <c r="U2391" s="32"/>
      <c r="V2391" s="33"/>
      <c r="W2391" s="67"/>
      <c r="X2391" s="67"/>
      <c r="Y2391" s="36">
        <v>44774</v>
      </c>
      <c r="Z2391" s="36">
        <v>46660</v>
      </c>
      <c r="AA2391" s="36"/>
      <c r="AB2391" s="36"/>
      <c r="AC2391" s="36"/>
      <c r="AD2391" s="36"/>
      <c r="AE2391" s="36"/>
      <c r="AF2391" s="53" t="s">
        <v>68</v>
      </c>
      <c r="AG2391" s="42"/>
      <c r="AH2391" s="42"/>
      <c r="AI2391" s="43"/>
      <c r="AJ2391" s="43"/>
      <c r="AK2391" s="43"/>
      <c r="AL2391" s="43"/>
      <c r="AM2391" s="43"/>
      <c r="AN2391" s="42"/>
      <c r="AO2391" s="42"/>
      <c r="AP2391" s="42"/>
      <c r="AQ2391" s="43"/>
      <c r="AR2391" s="42"/>
      <c r="AS2391" s="42"/>
    </row>
    <row r="2392" spans="1:45" ht="15" customHeight="1">
      <c r="A2392" s="65" t="s">
        <v>57</v>
      </c>
      <c r="B2392" s="22" t="s">
        <v>46</v>
      </c>
      <c r="C2392" s="21" t="s">
        <v>188</v>
      </c>
      <c r="D2392" s="22" t="s">
        <v>59</v>
      </c>
      <c r="E2392" s="66" t="s">
        <v>3004</v>
      </c>
      <c r="F2392" s="65" t="s">
        <v>3005</v>
      </c>
      <c r="G2392" s="26" t="s">
        <v>77</v>
      </c>
      <c r="H2392" s="45" t="s">
        <v>3134</v>
      </c>
      <c r="I2392" s="26" t="s">
        <v>78</v>
      </c>
      <c r="J2392" s="46" t="s">
        <v>3135</v>
      </c>
      <c r="K2392" s="47"/>
      <c r="L2392" s="48" t="s">
        <v>3008</v>
      </c>
      <c r="M2392" s="49">
        <v>45030</v>
      </c>
      <c r="N2392" s="47" t="s">
        <v>182</v>
      </c>
      <c r="O2392" s="61">
        <v>3520</v>
      </c>
      <c r="P2392" s="61">
        <v>84</v>
      </c>
      <c r="Q2392" s="51">
        <f t="shared" si="56"/>
        <v>295680</v>
      </c>
      <c r="R2392" s="31">
        <v>202310</v>
      </c>
      <c r="S2392" s="32" t="s">
        <v>3157</v>
      </c>
      <c r="T2392" s="33"/>
      <c r="U2392" s="32"/>
      <c r="V2392" s="33"/>
      <c r="W2392" s="67"/>
      <c r="X2392" s="67"/>
      <c r="Y2392" s="36">
        <v>44774</v>
      </c>
      <c r="Z2392" s="36">
        <v>46660</v>
      </c>
      <c r="AA2392" s="36"/>
      <c r="AB2392" s="36"/>
      <c r="AC2392" s="36"/>
      <c r="AD2392" s="36"/>
      <c r="AE2392" s="36"/>
      <c r="AF2392" s="53" t="s">
        <v>68</v>
      </c>
      <c r="AG2392" s="42"/>
      <c r="AH2392" s="42"/>
      <c r="AI2392" s="43"/>
      <c r="AJ2392" s="43"/>
      <c r="AK2392" s="43"/>
      <c r="AL2392" s="43"/>
      <c r="AM2392" s="43"/>
      <c r="AN2392" s="42"/>
      <c r="AO2392" s="42"/>
      <c r="AP2392" s="42"/>
      <c r="AQ2392" s="43"/>
      <c r="AR2392" s="42"/>
      <c r="AS2392" s="42"/>
    </row>
    <row r="2393" spans="1:45" ht="15" customHeight="1">
      <c r="A2393" s="65" t="s">
        <v>57</v>
      </c>
      <c r="B2393" s="22" t="s">
        <v>46</v>
      </c>
      <c r="C2393" s="21" t="s">
        <v>188</v>
      </c>
      <c r="D2393" s="22" t="s">
        <v>59</v>
      </c>
      <c r="E2393" s="66" t="s">
        <v>3004</v>
      </c>
      <c r="F2393" s="65" t="s">
        <v>3005</v>
      </c>
      <c r="G2393" s="26" t="s">
        <v>77</v>
      </c>
      <c r="H2393" s="45" t="s">
        <v>3134</v>
      </c>
      <c r="I2393" s="26" t="s">
        <v>78</v>
      </c>
      <c r="J2393" s="46" t="s">
        <v>3135</v>
      </c>
      <c r="K2393" s="47"/>
      <c r="L2393" s="48" t="s">
        <v>3008</v>
      </c>
      <c r="M2393" s="49">
        <v>45031</v>
      </c>
      <c r="N2393" s="47" t="s">
        <v>182</v>
      </c>
      <c r="O2393" s="61">
        <v>3520</v>
      </c>
      <c r="P2393" s="61">
        <v>2</v>
      </c>
      <c r="Q2393" s="51">
        <f t="shared" si="56"/>
        <v>7040</v>
      </c>
      <c r="R2393" s="31">
        <v>202310</v>
      </c>
      <c r="S2393" s="32" t="s">
        <v>3158</v>
      </c>
      <c r="T2393" s="33"/>
      <c r="U2393" s="32"/>
      <c r="V2393" s="33"/>
      <c r="W2393" s="67"/>
      <c r="X2393" s="67"/>
      <c r="Y2393" s="36">
        <v>44774</v>
      </c>
      <c r="Z2393" s="36">
        <v>46660</v>
      </c>
      <c r="AA2393" s="36"/>
      <c r="AB2393" s="36"/>
      <c r="AC2393" s="36"/>
      <c r="AD2393" s="36"/>
      <c r="AE2393" s="36"/>
      <c r="AF2393" s="53" t="s">
        <v>68</v>
      </c>
      <c r="AG2393" s="42"/>
      <c r="AH2393" s="42"/>
      <c r="AI2393" s="43"/>
      <c r="AJ2393" s="43"/>
      <c r="AK2393" s="43"/>
      <c r="AL2393" s="43"/>
      <c r="AM2393" s="43"/>
      <c r="AN2393" s="42"/>
      <c r="AO2393" s="42"/>
      <c r="AP2393" s="42"/>
      <c r="AQ2393" s="43"/>
      <c r="AR2393" s="42"/>
      <c r="AS2393" s="42"/>
    </row>
    <row r="2394" spans="1:45" ht="15" customHeight="1">
      <c r="A2394" s="65" t="s">
        <v>57</v>
      </c>
      <c r="B2394" s="22" t="s">
        <v>46</v>
      </c>
      <c r="C2394" s="21" t="s">
        <v>188</v>
      </c>
      <c r="D2394" s="22" t="s">
        <v>59</v>
      </c>
      <c r="E2394" s="66" t="s">
        <v>3004</v>
      </c>
      <c r="F2394" s="65" t="s">
        <v>3005</v>
      </c>
      <c r="G2394" s="26" t="s">
        <v>77</v>
      </c>
      <c r="H2394" s="45" t="s">
        <v>3134</v>
      </c>
      <c r="I2394" s="26" t="s">
        <v>78</v>
      </c>
      <c r="J2394" s="46" t="s">
        <v>3135</v>
      </c>
      <c r="K2394" s="47"/>
      <c r="L2394" s="48" t="s">
        <v>3008</v>
      </c>
      <c r="M2394" s="49">
        <v>45032</v>
      </c>
      <c r="N2394" s="47" t="s">
        <v>182</v>
      </c>
      <c r="O2394" s="61">
        <v>3520</v>
      </c>
      <c r="P2394" s="61">
        <v>14</v>
      </c>
      <c r="Q2394" s="51">
        <f t="shared" si="56"/>
        <v>49280</v>
      </c>
      <c r="R2394" s="31">
        <v>202310</v>
      </c>
      <c r="S2394" s="32" t="s">
        <v>3159</v>
      </c>
      <c r="T2394" s="33"/>
      <c r="U2394" s="32"/>
      <c r="V2394" s="33"/>
      <c r="W2394" s="67"/>
      <c r="X2394" s="67"/>
      <c r="Y2394" s="36">
        <v>44774</v>
      </c>
      <c r="Z2394" s="36">
        <v>46660</v>
      </c>
      <c r="AA2394" s="36"/>
      <c r="AB2394" s="36"/>
      <c r="AC2394" s="36"/>
      <c r="AD2394" s="36"/>
      <c r="AE2394" s="36"/>
      <c r="AF2394" s="53" t="s">
        <v>68</v>
      </c>
      <c r="AG2394" s="42"/>
      <c r="AH2394" s="42"/>
      <c r="AI2394" s="43"/>
      <c r="AJ2394" s="43"/>
      <c r="AK2394" s="43"/>
      <c r="AL2394" s="43"/>
      <c r="AM2394" s="43"/>
      <c r="AN2394" s="42"/>
      <c r="AO2394" s="42"/>
      <c r="AP2394" s="42"/>
      <c r="AQ2394" s="43"/>
      <c r="AR2394" s="42"/>
      <c r="AS2394" s="42"/>
    </row>
    <row r="2395" spans="1:45" ht="15" customHeight="1">
      <c r="A2395" s="65" t="s">
        <v>57</v>
      </c>
      <c r="B2395" s="22" t="s">
        <v>46</v>
      </c>
      <c r="C2395" s="21" t="s">
        <v>188</v>
      </c>
      <c r="D2395" s="22" t="s">
        <v>59</v>
      </c>
      <c r="E2395" s="66" t="s">
        <v>3004</v>
      </c>
      <c r="F2395" s="65" t="s">
        <v>3005</v>
      </c>
      <c r="G2395" s="26" t="s">
        <v>77</v>
      </c>
      <c r="H2395" s="45" t="s">
        <v>3134</v>
      </c>
      <c r="I2395" s="26" t="s">
        <v>78</v>
      </c>
      <c r="J2395" s="46" t="s">
        <v>3135</v>
      </c>
      <c r="K2395" s="47"/>
      <c r="L2395" s="48" t="s">
        <v>3008</v>
      </c>
      <c r="M2395" s="49">
        <v>45036</v>
      </c>
      <c r="N2395" s="47" t="s">
        <v>182</v>
      </c>
      <c r="O2395" s="61">
        <v>3520</v>
      </c>
      <c r="P2395" s="61">
        <v>1</v>
      </c>
      <c r="Q2395" s="51">
        <f t="shared" si="56"/>
        <v>3520</v>
      </c>
      <c r="R2395" s="31">
        <v>202310</v>
      </c>
      <c r="S2395" s="32" t="s">
        <v>3160</v>
      </c>
      <c r="T2395" s="33"/>
      <c r="U2395" s="32"/>
      <c r="V2395" s="33"/>
      <c r="W2395" s="67"/>
      <c r="X2395" s="67"/>
      <c r="Y2395" s="36">
        <v>44774</v>
      </c>
      <c r="Z2395" s="36">
        <v>46660</v>
      </c>
      <c r="AA2395" s="36"/>
      <c r="AB2395" s="36"/>
      <c r="AC2395" s="36"/>
      <c r="AD2395" s="36"/>
      <c r="AE2395" s="36"/>
      <c r="AF2395" s="53" t="s">
        <v>68</v>
      </c>
      <c r="AG2395" s="42"/>
      <c r="AH2395" s="42"/>
      <c r="AI2395" s="43"/>
      <c r="AJ2395" s="43"/>
      <c r="AK2395" s="43"/>
      <c r="AL2395" s="43"/>
      <c r="AM2395" s="43"/>
      <c r="AN2395" s="42"/>
      <c r="AO2395" s="42"/>
      <c r="AP2395" s="42"/>
      <c r="AQ2395" s="43"/>
      <c r="AR2395" s="42"/>
      <c r="AS2395" s="42"/>
    </row>
    <row r="2396" spans="1:45" ht="15" customHeight="1">
      <c r="A2396" s="65" t="s">
        <v>57</v>
      </c>
      <c r="B2396" s="22" t="s">
        <v>46</v>
      </c>
      <c r="C2396" s="21" t="s">
        <v>188</v>
      </c>
      <c r="D2396" s="22" t="s">
        <v>59</v>
      </c>
      <c r="E2396" s="66" t="s">
        <v>3004</v>
      </c>
      <c r="F2396" s="65" t="s">
        <v>3005</v>
      </c>
      <c r="G2396" s="26" t="s">
        <v>77</v>
      </c>
      <c r="H2396" s="45" t="s">
        <v>3134</v>
      </c>
      <c r="I2396" s="26" t="s">
        <v>78</v>
      </c>
      <c r="J2396" s="46" t="s">
        <v>3135</v>
      </c>
      <c r="K2396" s="47"/>
      <c r="L2396" s="48" t="s">
        <v>3008</v>
      </c>
      <c r="M2396" s="49">
        <v>45045</v>
      </c>
      <c r="N2396" s="47" t="s">
        <v>182</v>
      </c>
      <c r="O2396" s="61">
        <v>3520</v>
      </c>
      <c r="P2396" s="61">
        <v>25</v>
      </c>
      <c r="Q2396" s="51">
        <f t="shared" si="56"/>
        <v>88000</v>
      </c>
      <c r="R2396" s="31">
        <v>202310</v>
      </c>
      <c r="S2396" s="32" t="s">
        <v>3161</v>
      </c>
      <c r="T2396" s="33"/>
      <c r="U2396" s="32"/>
      <c r="V2396" s="33"/>
      <c r="W2396" s="67"/>
      <c r="X2396" s="67"/>
      <c r="Y2396" s="36">
        <v>44774</v>
      </c>
      <c r="Z2396" s="36">
        <v>46660</v>
      </c>
      <c r="AA2396" s="36"/>
      <c r="AB2396" s="36"/>
      <c r="AC2396" s="36"/>
      <c r="AD2396" s="36"/>
      <c r="AE2396" s="36"/>
      <c r="AF2396" s="53" t="s">
        <v>68</v>
      </c>
      <c r="AG2396" s="42"/>
      <c r="AH2396" s="42"/>
      <c r="AI2396" s="43"/>
      <c r="AJ2396" s="43"/>
      <c r="AK2396" s="43"/>
      <c r="AL2396" s="43"/>
      <c r="AM2396" s="43"/>
      <c r="AN2396" s="42"/>
      <c r="AO2396" s="42"/>
      <c r="AP2396" s="42"/>
      <c r="AQ2396" s="43"/>
      <c r="AR2396" s="42"/>
      <c r="AS2396" s="42"/>
    </row>
    <row r="2397" spans="1:45" ht="15" customHeight="1">
      <c r="A2397" s="65" t="s">
        <v>57</v>
      </c>
      <c r="B2397" s="22" t="s">
        <v>46</v>
      </c>
      <c r="C2397" s="21" t="s">
        <v>188</v>
      </c>
      <c r="D2397" s="22" t="s">
        <v>59</v>
      </c>
      <c r="E2397" s="66" t="s">
        <v>3004</v>
      </c>
      <c r="F2397" s="65" t="s">
        <v>3005</v>
      </c>
      <c r="G2397" s="26" t="s">
        <v>77</v>
      </c>
      <c r="H2397" s="45" t="s">
        <v>3134</v>
      </c>
      <c r="I2397" s="26" t="s">
        <v>78</v>
      </c>
      <c r="J2397" s="46" t="s">
        <v>3135</v>
      </c>
      <c r="K2397" s="47"/>
      <c r="L2397" s="48" t="s">
        <v>3008</v>
      </c>
      <c r="M2397" s="49">
        <v>45052</v>
      </c>
      <c r="N2397" s="47" t="s">
        <v>182</v>
      </c>
      <c r="O2397" s="61">
        <v>3520</v>
      </c>
      <c r="P2397" s="61">
        <v>12</v>
      </c>
      <c r="Q2397" s="51">
        <f t="shared" si="56"/>
        <v>42240</v>
      </c>
      <c r="R2397" s="31">
        <v>202310</v>
      </c>
      <c r="S2397" s="32" t="s">
        <v>3162</v>
      </c>
      <c r="T2397" s="33"/>
      <c r="U2397" s="32"/>
      <c r="V2397" s="33"/>
      <c r="W2397" s="67"/>
      <c r="X2397" s="67"/>
      <c r="Y2397" s="36">
        <v>44774</v>
      </c>
      <c r="Z2397" s="36">
        <v>46660</v>
      </c>
      <c r="AA2397" s="36"/>
      <c r="AB2397" s="36"/>
      <c r="AC2397" s="36"/>
      <c r="AD2397" s="36"/>
      <c r="AE2397" s="36"/>
      <c r="AF2397" s="53" t="s">
        <v>68</v>
      </c>
      <c r="AG2397" s="42"/>
      <c r="AH2397" s="42"/>
      <c r="AI2397" s="43"/>
      <c r="AJ2397" s="43"/>
      <c r="AK2397" s="43"/>
      <c r="AL2397" s="43"/>
      <c r="AM2397" s="43"/>
      <c r="AN2397" s="42"/>
      <c r="AO2397" s="42"/>
      <c r="AP2397" s="42"/>
      <c r="AQ2397" s="43"/>
      <c r="AR2397" s="42"/>
      <c r="AS2397" s="42"/>
    </row>
    <row r="2398" spans="1:45" ht="15" customHeight="1">
      <c r="A2398" s="65" t="s">
        <v>57</v>
      </c>
      <c r="B2398" s="22" t="s">
        <v>46</v>
      </c>
      <c r="C2398" s="21" t="s">
        <v>188</v>
      </c>
      <c r="D2398" s="22" t="s">
        <v>59</v>
      </c>
      <c r="E2398" s="66" t="s">
        <v>3004</v>
      </c>
      <c r="F2398" s="65" t="s">
        <v>3005</v>
      </c>
      <c r="G2398" s="26" t="s">
        <v>77</v>
      </c>
      <c r="H2398" s="45" t="s">
        <v>3134</v>
      </c>
      <c r="I2398" s="26" t="s">
        <v>78</v>
      </c>
      <c r="J2398" s="46" t="s">
        <v>3135</v>
      </c>
      <c r="K2398" s="47"/>
      <c r="L2398" s="48" t="s">
        <v>3008</v>
      </c>
      <c r="M2398" s="49">
        <v>45054</v>
      </c>
      <c r="N2398" s="47" t="s">
        <v>182</v>
      </c>
      <c r="O2398" s="61">
        <v>3520</v>
      </c>
      <c r="P2398" s="61">
        <v>39</v>
      </c>
      <c r="Q2398" s="51">
        <f t="shared" si="56"/>
        <v>137280</v>
      </c>
      <c r="R2398" s="31">
        <v>202310</v>
      </c>
      <c r="S2398" s="32" t="s">
        <v>3163</v>
      </c>
      <c r="T2398" s="33"/>
      <c r="U2398" s="32"/>
      <c r="V2398" s="33"/>
      <c r="W2398" s="67"/>
      <c r="X2398" s="67"/>
      <c r="Y2398" s="36">
        <v>44774</v>
      </c>
      <c r="Z2398" s="36">
        <v>46660</v>
      </c>
      <c r="AA2398" s="36"/>
      <c r="AB2398" s="36"/>
      <c r="AC2398" s="36"/>
      <c r="AD2398" s="36"/>
      <c r="AE2398" s="36"/>
      <c r="AF2398" s="53" t="s">
        <v>68</v>
      </c>
      <c r="AG2398" s="42"/>
      <c r="AH2398" s="42"/>
      <c r="AI2398" s="43"/>
      <c r="AJ2398" s="43"/>
      <c r="AK2398" s="43"/>
      <c r="AL2398" s="43"/>
      <c r="AM2398" s="43"/>
      <c r="AN2398" s="42"/>
      <c r="AO2398" s="42"/>
      <c r="AP2398" s="42"/>
      <c r="AQ2398" s="43"/>
      <c r="AR2398" s="42"/>
      <c r="AS2398" s="42"/>
    </row>
    <row r="2399" spans="1:45" ht="15" customHeight="1">
      <c r="A2399" s="65" t="s">
        <v>57</v>
      </c>
      <c r="B2399" s="22" t="s">
        <v>46</v>
      </c>
      <c r="C2399" s="21" t="s">
        <v>188</v>
      </c>
      <c r="D2399" s="22" t="s">
        <v>59</v>
      </c>
      <c r="E2399" s="66" t="s">
        <v>3004</v>
      </c>
      <c r="F2399" s="65" t="s">
        <v>3005</v>
      </c>
      <c r="G2399" s="26" t="s">
        <v>77</v>
      </c>
      <c r="H2399" s="45" t="s">
        <v>3134</v>
      </c>
      <c r="I2399" s="26" t="s">
        <v>78</v>
      </c>
      <c r="J2399" s="46" t="s">
        <v>3135</v>
      </c>
      <c r="K2399" s="47"/>
      <c r="L2399" s="48" t="s">
        <v>3008</v>
      </c>
      <c r="M2399" s="49">
        <v>45062</v>
      </c>
      <c r="N2399" s="47" t="s">
        <v>182</v>
      </c>
      <c r="O2399" s="61">
        <v>3520</v>
      </c>
      <c r="P2399" s="61">
        <v>-21</v>
      </c>
      <c r="Q2399" s="51">
        <f t="shared" si="56"/>
        <v>-73920</v>
      </c>
      <c r="R2399" s="31">
        <v>202310</v>
      </c>
      <c r="S2399" s="32" t="s">
        <v>3164</v>
      </c>
      <c r="T2399" s="33"/>
      <c r="U2399" s="32"/>
      <c r="V2399" s="33"/>
      <c r="W2399" s="67"/>
      <c r="X2399" s="67"/>
      <c r="Y2399" s="36">
        <v>44774</v>
      </c>
      <c r="Z2399" s="36">
        <v>46660</v>
      </c>
      <c r="AA2399" s="36"/>
      <c r="AB2399" s="36"/>
      <c r="AC2399" s="36"/>
      <c r="AD2399" s="36"/>
      <c r="AE2399" s="36"/>
      <c r="AF2399" s="53" t="s">
        <v>68</v>
      </c>
      <c r="AG2399" s="42"/>
      <c r="AH2399" s="42"/>
      <c r="AI2399" s="43"/>
      <c r="AJ2399" s="43"/>
      <c r="AK2399" s="43"/>
      <c r="AL2399" s="43"/>
      <c r="AM2399" s="43"/>
      <c r="AN2399" s="42"/>
      <c r="AO2399" s="42"/>
      <c r="AP2399" s="42"/>
      <c r="AQ2399" s="43"/>
      <c r="AR2399" s="42"/>
      <c r="AS2399" s="42"/>
    </row>
    <row r="2400" spans="1:45" ht="15" customHeight="1">
      <c r="A2400" s="65" t="s">
        <v>57</v>
      </c>
      <c r="B2400" s="22" t="s">
        <v>46</v>
      </c>
      <c r="C2400" s="21" t="s">
        <v>188</v>
      </c>
      <c r="D2400" s="22" t="s">
        <v>59</v>
      </c>
      <c r="E2400" s="66" t="s">
        <v>3004</v>
      </c>
      <c r="F2400" s="65" t="s">
        <v>3005</v>
      </c>
      <c r="G2400" s="26" t="s">
        <v>77</v>
      </c>
      <c r="H2400" s="45" t="s">
        <v>3134</v>
      </c>
      <c r="I2400" s="26" t="s">
        <v>78</v>
      </c>
      <c r="J2400" s="46" t="s">
        <v>3135</v>
      </c>
      <c r="K2400" s="47"/>
      <c r="L2400" s="48" t="s">
        <v>3008</v>
      </c>
      <c r="M2400" s="49">
        <v>45024</v>
      </c>
      <c r="N2400" s="47" t="s">
        <v>182</v>
      </c>
      <c r="O2400" s="61">
        <v>3520</v>
      </c>
      <c r="P2400" s="61">
        <v>4</v>
      </c>
      <c r="Q2400" s="51">
        <f t="shared" si="56"/>
        <v>14080</v>
      </c>
      <c r="R2400" s="31">
        <v>202310</v>
      </c>
      <c r="S2400" s="32" t="s">
        <v>3165</v>
      </c>
      <c r="T2400" s="33"/>
      <c r="U2400" s="32"/>
      <c r="V2400" s="33"/>
      <c r="W2400" s="67"/>
      <c r="X2400" s="67"/>
      <c r="Y2400" s="36">
        <v>44774</v>
      </c>
      <c r="Z2400" s="36">
        <v>46660</v>
      </c>
      <c r="AA2400" s="36"/>
      <c r="AB2400" s="36"/>
      <c r="AC2400" s="36"/>
      <c r="AD2400" s="36"/>
      <c r="AE2400" s="36"/>
      <c r="AF2400" s="53" t="s">
        <v>68</v>
      </c>
      <c r="AG2400" s="42"/>
      <c r="AH2400" s="42"/>
      <c r="AI2400" s="43"/>
      <c r="AJ2400" s="43"/>
      <c r="AK2400" s="43"/>
      <c r="AL2400" s="43"/>
      <c r="AM2400" s="43"/>
      <c r="AN2400" s="42"/>
      <c r="AO2400" s="42"/>
      <c r="AP2400" s="42"/>
      <c r="AQ2400" s="43"/>
      <c r="AR2400" s="42"/>
      <c r="AS2400" s="42"/>
    </row>
    <row r="2401" spans="1:45" ht="15" customHeight="1">
      <c r="A2401" s="65" t="s">
        <v>57</v>
      </c>
      <c r="B2401" s="22" t="s">
        <v>46</v>
      </c>
      <c r="C2401" s="21" t="s">
        <v>188</v>
      </c>
      <c r="D2401" s="22" t="s">
        <v>59</v>
      </c>
      <c r="E2401" s="66" t="s">
        <v>3004</v>
      </c>
      <c r="F2401" s="65" t="s">
        <v>3005</v>
      </c>
      <c r="G2401" s="26" t="s">
        <v>77</v>
      </c>
      <c r="H2401" s="45" t="s">
        <v>3134</v>
      </c>
      <c r="I2401" s="26" t="s">
        <v>78</v>
      </c>
      <c r="J2401" s="46" t="s">
        <v>3135</v>
      </c>
      <c r="K2401" s="47"/>
      <c r="L2401" s="48" t="s">
        <v>3008</v>
      </c>
      <c r="M2401" s="49">
        <v>45080</v>
      </c>
      <c r="N2401" s="47" t="s">
        <v>182</v>
      </c>
      <c r="O2401" s="61">
        <v>3520</v>
      </c>
      <c r="P2401" s="61">
        <v>6</v>
      </c>
      <c r="Q2401" s="51">
        <f t="shared" si="56"/>
        <v>21120</v>
      </c>
      <c r="R2401" s="31">
        <v>202310</v>
      </c>
      <c r="S2401" s="32" t="s">
        <v>3166</v>
      </c>
      <c r="T2401" s="33"/>
      <c r="U2401" s="32"/>
      <c r="V2401" s="33"/>
      <c r="W2401" s="67"/>
      <c r="X2401" s="67"/>
      <c r="Y2401" s="36">
        <v>44774</v>
      </c>
      <c r="Z2401" s="36">
        <v>46660</v>
      </c>
      <c r="AA2401" s="36"/>
      <c r="AB2401" s="36"/>
      <c r="AC2401" s="36"/>
      <c r="AD2401" s="36"/>
      <c r="AE2401" s="36"/>
      <c r="AF2401" s="53" t="s">
        <v>68</v>
      </c>
      <c r="AG2401" s="42"/>
      <c r="AH2401" s="42"/>
      <c r="AI2401" s="43"/>
      <c r="AJ2401" s="43"/>
      <c r="AK2401" s="43"/>
      <c r="AL2401" s="43"/>
      <c r="AM2401" s="43"/>
      <c r="AN2401" s="42"/>
      <c r="AO2401" s="42"/>
      <c r="AP2401" s="42"/>
      <c r="AQ2401" s="43"/>
      <c r="AR2401" s="42"/>
      <c r="AS2401" s="42"/>
    </row>
    <row r="2402" spans="1:45" ht="15" customHeight="1">
      <c r="A2402" s="65" t="s">
        <v>57</v>
      </c>
      <c r="B2402" s="22" t="s">
        <v>46</v>
      </c>
      <c r="C2402" s="21" t="s">
        <v>188</v>
      </c>
      <c r="D2402" s="22" t="s">
        <v>59</v>
      </c>
      <c r="E2402" s="66" t="s">
        <v>3004</v>
      </c>
      <c r="F2402" s="65" t="s">
        <v>3005</v>
      </c>
      <c r="G2402" s="26" t="s">
        <v>77</v>
      </c>
      <c r="H2402" s="45" t="s">
        <v>3134</v>
      </c>
      <c r="I2402" s="26" t="s">
        <v>78</v>
      </c>
      <c r="J2402" s="46" t="s">
        <v>3135</v>
      </c>
      <c r="K2402" s="47"/>
      <c r="L2402" s="48" t="s">
        <v>3008</v>
      </c>
      <c r="M2402" s="49">
        <v>45100</v>
      </c>
      <c r="N2402" s="47" t="s">
        <v>182</v>
      </c>
      <c r="O2402" s="61">
        <v>3520</v>
      </c>
      <c r="P2402" s="61">
        <v>18</v>
      </c>
      <c r="Q2402" s="51">
        <f t="shared" si="56"/>
        <v>63360</v>
      </c>
      <c r="R2402" s="31">
        <v>202310</v>
      </c>
      <c r="S2402" s="32" t="s">
        <v>3167</v>
      </c>
      <c r="T2402" s="33"/>
      <c r="U2402" s="32"/>
      <c r="V2402" s="33"/>
      <c r="W2402" s="67"/>
      <c r="X2402" s="67"/>
      <c r="Y2402" s="36">
        <v>44774</v>
      </c>
      <c r="Z2402" s="36">
        <v>46660</v>
      </c>
      <c r="AA2402" s="36"/>
      <c r="AB2402" s="36"/>
      <c r="AC2402" s="36"/>
      <c r="AD2402" s="36"/>
      <c r="AE2402" s="36"/>
      <c r="AF2402" s="53" t="s">
        <v>68</v>
      </c>
      <c r="AG2402" s="42"/>
      <c r="AH2402" s="42"/>
      <c r="AI2402" s="43"/>
      <c r="AJ2402" s="43"/>
      <c r="AK2402" s="43"/>
      <c r="AL2402" s="43"/>
      <c r="AM2402" s="43"/>
      <c r="AN2402" s="42"/>
      <c r="AO2402" s="42"/>
      <c r="AP2402" s="42"/>
      <c r="AQ2402" s="43"/>
      <c r="AR2402" s="42"/>
      <c r="AS2402" s="42"/>
    </row>
    <row r="2403" spans="1:45" ht="15" customHeight="1">
      <c r="A2403" s="65" t="s">
        <v>57</v>
      </c>
      <c r="B2403" s="22" t="s">
        <v>46</v>
      </c>
      <c r="C2403" s="21" t="s">
        <v>188</v>
      </c>
      <c r="D2403" s="22" t="s">
        <v>59</v>
      </c>
      <c r="E2403" s="66" t="s">
        <v>3004</v>
      </c>
      <c r="F2403" s="65" t="s">
        <v>3005</v>
      </c>
      <c r="G2403" s="26" t="s">
        <v>77</v>
      </c>
      <c r="H2403" s="45" t="s">
        <v>3134</v>
      </c>
      <c r="I2403" s="26" t="s">
        <v>78</v>
      </c>
      <c r="J2403" s="46" t="s">
        <v>3135</v>
      </c>
      <c r="K2403" s="47"/>
      <c r="L2403" s="48" t="s">
        <v>3008</v>
      </c>
      <c r="M2403" s="49">
        <v>45102</v>
      </c>
      <c r="N2403" s="47" t="s">
        <v>182</v>
      </c>
      <c r="O2403" s="61">
        <v>3520</v>
      </c>
      <c r="P2403" s="61">
        <v>23</v>
      </c>
      <c r="Q2403" s="51">
        <f t="shared" si="56"/>
        <v>80960</v>
      </c>
      <c r="R2403" s="31">
        <v>202310</v>
      </c>
      <c r="S2403" s="32" t="s">
        <v>3168</v>
      </c>
      <c r="T2403" s="33"/>
      <c r="U2403" s="32"/>
      <c r="V2403" s="33"/>
      <c r="W2403" s="67"/>
      <c r="X2403" s="67"/>
      <c r="Y2403" s="36">
        <v>44774</v>
      </c>
      <c r="Z2403" s="36">
        <v>46660</v>
      </c>
      <c r="AA2403" s="36"/>
      <c r="AB2403" s="36"/>
      <c r="AC2403" s="36"/>
      <c r="AD2403" s="36"/>
      <c r="AE2403" s="36"/>
      <c r="AF2403" s="53" t="s">
        <v>68</v>
      </c>
      <c r="AG2403" s="42"/>
      <c r="AH2403" s="42"/>
      <c r="AI2403" s="43"/>
      <c r="AJ2403" s="43"/>
      <c r="AK2403" s="43"/>
      <c r="AL2403" s="43"/>
      <c r="AM2403" s="43"/>
      <c r="AN2403" s="42"/>
      <c r="AO2403" s="42"/>
      <c r="AP2403" s="42"/>
      <c r="AQ2403" s="43"/>
      <c r="AR2403" s="42"/>
      <c r="AS2403" s="42"/>
    </row>
    <row r="2404" spans="1:45" ht="15" customHeight="1">
      <c r="A2404" s="65" t="s">
        <v>57</v>
      </c>
      <c r="B2404" s="22" t="s">
        <v>46</v>
      </c>
      <c r="C2404" s="21" t="s">
        <v>188</v>
      </c>
      <c r="D2404" s="22" t="s">
        <v>59</v>
      </c>
      <c r="E2404" s="66" t="s">
        <v>3004</v>
      </c>
      <c r="F2404" s="65" t="s">
        <v>3005</v>
      </c>
      <c r="G2404" s="26" t="s">
        <v>77</v>
      </c>
      <c r="H2404" s="45" t="s">
        <v>3134</v>
      </c>
      <c r="I2404" s="26" t="s">
        <v>78</v>
      </c>
      <c r="J2404" s="46" t="s">
        <v>3135</v>
      </c>
      <c r="K2404" s="47"/>
      <c r="L2404" s="48" t="s">
        <v>3008</v>
      </c>
      <c r="M2404" s="49">
        <v>45103</v>
      </c>
      <c r="N2404" s="47" t="s">
        <v>182</v>
      </c>
      <c r="O2404" s="61">
        <v>3520</v>
      </c>
      <c r="P2404" s="61">
        <v>43</v>
      </c>
      <c r="Q2404" s="51">
        <f t="shared" si="56"/>
        <v>151360</v>
      </c>
      <c r="R2404" s="31">
        <v>202310</v>
      </c>
      <c r="S2404" s="32" t="s">
        <v>3169</v>
      </c>
      <c r="T2404" s="33"/>
      <c r="U2404" s="32"/>
      <c r="V2404" s="33"/>
      <c r="W2404" s="67"/>
      <c r="X2404" s="67"/>
      <c r="Y2404" s="36">
        <v>44774</v>
      </c>
      <c r="Z2404" s="36">
        <v>46660</v>
      </c>
      <c r="AA2404" s="36"/>
      <c r="AB2404" s="36"/>
      <c r="AC2404" s="36"/>
      <c r="AD2404" s="36"/>
      <c r="AE2404" s="36"/>
      <c r="AF2404" s="53" t="s">
        <v>68</v>
      </c>
      <c r="AG2404" s="42"/>
      <c r="AH2404" s="42"/>
      <c r="AI2404" s="43"/>
      <c r="AJ2404" s="43"/>
      <c r="AK2404" s="43"/>
      <c r="AL2404" s="43"/>
      <c r="AM2404" s="43"/>
      <c r="AN2404" s="42"/>
      <c r="AO2404" s="42"/>
      <c r="AP2404" s="42"/>
      <c r="AQ2404" s="43"/>
      <c r="AR2404" s="42"/>
      <c r="AS2404" s="42"/>
    </row>
    <row r="2405" spans="1:45" ht="15" customHeight="1">
      <c r="A2405" s="65" t="s">
        <v>57</v>
      </c>
      <c r="B2405" s="22" t="s">
        <v>46</v>
      </c>
      <c r="C2405" s="21" t="s">
        <v>188</v>
      </c>
      <c r="D2405" s="22" t="s">
        <v>59</v>
      </c>
      <c r="E2405" s="66" t="s">
        <v>3004</v>
      </c>
      <c r="F2405" s="65" t="s">
        <v>3005</v>
      </c>
      <c r="G2405" s="26" t="s">
        <v>77</v>
      </c>
      <c r="H2405" s="45" t="s">
        <v>3134</v>
      </c>
      <c r="I2405" s="26" t="s">
        <v>78</v>
      </c>
      <c r="J2405" s="46" t="s">
        <v>3135</v>
      </c>
      <c r="K2405" s="47"/>
      <c r="L2405" s="48" t="s">
        <v>3008</v>
      </c>
      <c r="M2405" s="49">
        <v>45104</v>
      </c>
      <c r="N2405" s="47" t="s">
        <v>182</v>
      </c>
      <c r="O2405" s="61">
        <v>3520</v>
      </c>
      <c r="P2405" s="61">
        <v>41</v>
      </c>
      <c r="Q2405" s="51">
        <f t="shared" si="56"/>
        <v>144320</v>
      </c>
      <c r="R2405" s="31">
        <v>202310</v>
      </c>
      <c r="S2405" s="32" t="s">
        <v>3170</v>
      </c>
      <c r="T2405" s="33"/>
      <c r="U2405" s="32"/>
      <c r="V2405" s="33"/>
      <c r="W2405" s="67"/>
      <c r="X2405" s="67"/>
      <c r="Y2405" s="36">
        <v>44774</v>
      </c>
      <c r="Z2405" s="36">
        <v>46660</v>
      </c>
      <c r="AA2405" s="36"/>
      <c r="AB2405" s="36"/>
      <c r="AC2405" s="36"/>
      <c r="AD2405" s="36"/>
      <c r="AE2405" s="36"/>
      <c r="AF2405" s="53" t="s">
        <v>68</v>
      </c>
      <c r="AG2405" s="42"/>
      <c r="AH2405" s="42"/>
      <c r="AI2405" s="43"/>
      <c r="AJ2405" s="43"/>
      <c r="AK2405" s="43"/>
      <c r="AL2405" s="43"/>
      <c r="AM2405" s="43"/>
      <c r="AN2405" s="42"/>
      <c r="AO2405" s="42"/>
      <c r="AP2405" s="42"/>
      <c r="AQ2405" s="43"/>
      <c r="AR2405" s="42"/>
      <c r="AS2405" s="42"/>
    </row>
    <row r="2406" spans="1:45" ht="15" customHeight="1">
      <c r="A2406" s="65" t="s">
        <v>57</v>
      </c>
      <c r="B2406" s="22" t="s">
        <v>46</v>
      </c>
      <c r="C2406" s="21" t="s">
        <v>188</v>
      </c>
      <c r="D2406" s="22" t="s">
        <v>59</v>
      </c>
      <c r="E2406" s="66" t="s">
        <v>3004</v>
      </c>
      <c r="F2406" s="65" t="s">
        <v>3005</v>
      </c>
      <c r="G2406" s="26" t="s">
        <v>77</v>
      </c>
      <c r="H2406" s="45" t="s">
        <v>3134</v>
      </c>
      <c r="I2406" s="26" t="s">
        <v>78</v>
      </c>
      <c r="J2406" s="46" t="s">
        <v>3135</v>
      </c>
      <c r="K2406" s="47"/>
      <c r="L2406" s="48" t="s">
        <v>3008</v>
      </c>
      <c r="M2406" s="49">
        <v>45106</v>
      </c>
      <c r="N2406" s="47" t="s">
        <v>182</v>
      </c>
      <c r="O2406" s="61">
        <v>3520</v>
      </c>
      <c r="P2406" s="61">
        <v>54</v>
      </c>
      <c r="Q2406" s="51">
        <f t="shared" si="56"/>
        <v>190080</v>
      </c>
      <c r="R2406" s="31">
        <v>202310</v>
      </c>
      <c r="S2406" s="32" t="s">
        <v>3171</v>
      </c>
      <c r="T2406" s="33"/>
      <c r="U2406" s="32"/>
      <c r="V2406" s="33"/>
      <c r="W2406" s="67"/>
      <c r="X2406" s="67"/>
      <c r="Y2406" s="36">
        <v>44774</v>
      </c>
      <c r="Z2406" s="36">
        <v>46660</v>
      </c>
      <c r="AA2406" s="36"/>
      <c r="AB2406" s="36"/>
      <c r="AC2406" s="36"/>
      <c r="AD2406" s="36"/>
      <c r="AE2406" s="36"/>
      <c r="AF2406" s="53" t="s">
        <v>68</v>
      </c>
      <c r="AG2406" s="42"/>
      <c r="AH2406" s="42"/>
      <c r="AI2406" s="43"/>
      <c r="AJ2406" s="43"/>
      <c r="AK2406" s="43"/>
      <c r="AL2406" s="43"/>
      <c r="AM2406" s="43"/>
      <c r="AN2406" s="42"/>
      <c r="AO2406" s="42"/>
      <c r="AP2406" s="42"/>
      <c r="AQ2406" s="43"/>
      <c r="AR2406" s="42"/>
      <c r="AS2406" s="42"/>
    </row>
    <row r="2407" spans="1:45" ht="15" customHeight="1">
      <c r="A2407" s="65" t="s">
        <v>57</v>
      </c>
      <c r="B2407" s="22" t="s">
        <v>46</v>
      </c>
      <c r="C2407" s="21" t="s">
        <v>188</v>
      </c>
      <c r="D2407" s="22" t="s">
        <v>59</v>
      </c>
      <c r="E2407" s="66" t="s">
        <v>3004</v>
      </c>
      <c r="F2407" s="65" t="s">
        <v>3005</v>
      </c>
      <c r="G2407" s="26" t="s">
        <v>77</v>
      </c>
      <c r="H2407" s="45" t="s">
        <v>3134</v>
      </c>
      <c r="I2407" s="26" t="s">
        <v>78</v>
      </c>
      <c r="J2407" s="46" t="s">
        <v>3135</v>
      </c>
      <c r="K2407" s="47"/>
      <c r="L2407" s="48" t="s">
        <v>3008</v>
      </c>
      <c r="M2407" s="49">
        <v>45107</v>
      </c>
      <c r="N2407" s="47" t="s">
        <v>182</v>
      </c>
      <c r="O2407" s="61">
        <v>3520</v>
      </c>
      <c r="P2407" s="61">
        <v>36</v>
      </c>
      <c r="Q2407" s="51">
        <f t="shared" si="56"/>
        <v>126720</v>
      </c>
      <c r="R2407" s="31">
        <v>202310</v>
      </c>
      <c r="S2407" s="32" t="s">
        <v>3172</v>
      </c>
      <c r="T2407" s="33"/>
      <c r="U2407" s="32"/>
      <c r="V2407" s="33"/>
      <c r="W2407" s="67"/>
      <c r="X2407" s="67"/>
      <c r="Y2407" s="36">
        <v>44774</v>
      </c>
      <c r="Z2407" s="36">
        <v>46660</v>
      </c>
      <c r="AA2407" s="36"/>
      <c r="AB2407" s="36"/>
      <c r="AC2407" s="36"/>
      <c r="AD2407" s="36"/>
      <c r="AE2407" s="36"/>
      <c r="AF2407" s="53" t="s">
        <v>68</v>
      </c>
      <c r="AG2407" s="42"/>
      <c r="AH2407" s="42"/>
      <c r="AI2407" s="43"/>
      <c r="AJ2407" s="43"/>
      <c r="AK2407" s="43"/>
      <c r="AL2407" s="43"/>
      <c r="AM2407" s="43"/>
      <c r="AN2407" s="42"/>
      <c r="AO2407" s="42"/>
      <c r="AP2407" s="42"/>
      <c r="AQ2407" s="43"/>
      <c r="AR2407" s="42"/>
      <c r="AS2407" s="42"/>
    </row>
    <row r="2408" spans="1:45" ht="15" customHeight="1">
      <c r="A2408" s="65" t="s">
        <v>57</v>
      </c>
      <c r="B2408" s="22" t="s">
        <v>46</v>
      </c>
      <c r="C2408" s="21" t="s">
        <v>188</v>
      </c>
      <c r="D2408" s="22" t="s">
        <v>59</v>
      </c>
      <c r="E2408" s="66" t="s">
        <v>3004</v>
      </c>
      <c r="F2408" s="65" t="s">
        <v>3005</v>
      </c>
      <c r="G2408" s="26" t="s">
        <v>77</v>
      </c>
      <c r="H2408" s="45" t="s">
        <v>3134</v>
      </c>
      <c r="I2408" s="26" t="s">
        <v>78</v>
      </c>
      <c r="J2408" s="46" t="s">
        <v>3135</v>
      </c>
      <c r="K2408" s="47"/>
      <c r="L2408" s="48" t="s">
        <v>3008</v>
      </c>
      <c r="M2408" s="49">
        <v>45112</v>
      </c>
      <c r="N2408" s="47" t="s">
        <v>182</v>
      </c>
      <c r="O2408" s="61">
        <v>3520</v>
      </c>
      <c r="P2408" s="61">
        <v>1</v>
      </c>
      <c r="Q2408" s="30">
        <f t="shared" si="56"/>
        <v>3520</v>
      </c>
      <c r="R2408" s="31">
        <v>202310</v>
      </c>
      <c r="S2408" s="32" t="s">
        <v>3173</v>
      </c>
      <c r="T2408" s="33"/>
      <c r="U2408" s="32"/>
      <c r="V2408" s="33"/>
      <c r="W2408" s="67"/>
      <c r="X2408" s="67"/>
      <c r="Y2408" s="36">
        <v>44774</v>
      </c>
      <c r="Z2408" s="36">
        <v>46660</v>
      </c>
      <c r="AA2408" s="36"/>
      <c r="AB2408" s="36"/>
      <c r="AC2408" s="36"/>
      <c r="AD2408" s="36"/>
      <c r="AE2408" s="36"/>
      <c r="AF2408" s="53" t="s">
        <v>68</v>
      </c>
      <c r="AG2408" s="42"/>
      <c r="AH2408" s="42"/>
      <c r="AI2408" s="43"/>
      <c r="AJ2408" s="43"/>
      <c r="AK2408" s="43"/>
      <c r="AL2408" s="43"/>
      <c r="AM2408" s="43"/>
      <c r="AN2408" s="42"/>
      <c r="AO2408" s="42"/>
      <c r="AP2408" s="42"/>
      <c r="AQ2408" s="43"/>
      <c r="AR2408" s="42"/>
      <c r="AS2408" s="42"/>
    </row>
    <row r="2409" spans="1:45" ht="15" customHeight="1">
      <c r="A2409" s="65" t="s">
        <v>57</v>
      </c>
      <c r="B2409" s="22" t="s">
        <v>46</v>
      </c>
      <c r="C2409" s="21" t="s">
        <v>188</v>
      </c>
      <c r="D2409" s="22" t="s">
        <v>59</v>
      </c>
      <c r="E2409" s="66" t="s">
        <v>3004</v>
      </c>
      <c r="F2409" s="65" t="s">
        <v>3005</v>
      </c>
      <c r="G2409" s="26" t="s">
        <v>77</v>
      </c>
      <c r="H2409" s="45" t="s">
        <v>3134</v>
      </c>
      <c r="I2409" s="26" t="s">
        <v>78</v>
      </c>
      <c r="J2409" s="46" t="s">
        <v>3135</v>
      </c>
      <c r="K2409" s="47"/>
      <c r="L2409" s="48" t="s">
        <v>3008</v>
      </c>
      <c r="M2409" s="49">
        <v>45121</v>
      </c>
      <c r="N2409" s="47" t="s">
        <v>182</v>
      </c>
      <c r="O2409" s="61">
        <v>3520</v>
      </c>
      <c r="P2409" s="61">
        <v>2</v>
      </c>
      <c r="Q2409" s="30">
        <f t="shared" si="56"/>
        <v>7040</v>
      </c>
      <c r="R2409" s="31">
        <v>202310</v>
      </c>
      <c r="S2409" s="32" t="s">
        <v>3174</v>
      </c>
      <c r="T2409" s="33"/>
      <c r="U2409" s="32"/>
      <c r="V2409" s="33"/>
      <c r="W2409" s="67"/>
      <c r="X2409" s="67"/>
      <c r="Y2409" s="36">
        <v>44774</v>
      </c>
      <c r="Z2409" s="36">
        <v>46660</v>
      </c>
      <c r="AA2409" s="36"/>
      <c r="AB2409" s="36"/>
      <c r="AC2409" s="36"/>
      <c r="AD2409" s="36"/>
      <c r="AE2409" s="36"/>
      <c r="AF2409" s="53" t="s">
        <v>68</v>
      </c>
      <c r="AG2409" s="42"/>
      <c r="AH2409" s="42"/>
      <c r="AI2409" s="43"/>
      <c r="AJ2409" s="43"/>
      <c r="AK2409" s="43"/>
      <c r="AL2409" s="43"/>
      <c r="AM2409" s="43"/>
      <c r="AN2409" s="42"/>
      <c r="AO2409" s="42"/>
      <c r="AP2409" s="42"/>
      <c r="AQ2409" s="43"/>
      <c r="AR2409" s="42"/>
      <c r="AS2409" s="42"/>
    </row>
    <row r="2410" spans="1:45" ht="15" customHeight="1">
      <c r="A2410" s="65" t="s">
        <v>57</v>
      </c>
      <c r="B2410" s="22" t="s">
        <v>46</v>
      </c>
      <c r="C2410" s="21" t="s">
        <v>188</v>
      </c>
      <c r="D2410" s="22" t="s">
        <v>59</v>
      </c>
      <c r="E2410" s="66" t="s">
        <v>3004</v>
      </c>
      <c r="F2410" s="65" t="s">
        <v>3005</v>
      </c>
      <c r="G2410" s="26" t="s">
        <v>77</v>
      </c>
      <c r="H2410" s="45" t="s">
        <v>3134</v>
      </c>
      <c r="I2410" s="26" t="s">
        <v>78</v>
      </c>
      <c r="J2410" s="46" t="s">
        <v>3135</v>
      </c>
      <c r="K2410" s="47"/>
      <c r="L2410" s="48" t="s">
        <v>3008</v>
      </c>
      <c r="M2410" s="49">
        <v>45124</v>
      </c>
      <c r="N2410" s="47" t="s">
        <v>182</v>
      </c>
      <c r="O2410" s="61">
        <v>3520</v>
      </c>
      <c r="P2410" s="61">
        <v>3</v>
      </c>
      <c r="Q2410" s="30">
        <f t="shared" si="56"/>
        <v>10560</v>
      </c>
      <c r="R2410" s="31">
        <v>202310</v>
      </c>
      <c r="S2410" s="32" t="s">
        <v>3175</v>
      </c>
      <c r="T2410" s="33"/>
      <c r="U2410" s="32"/>
      <c r="V2410" s="33"/>
      <c r="W2410" s="67"/>
      <c r="X2410" s="67"/>
      <c r="Y2410" s="36">
        <v>44774</v>
      </c>
      <c r="Z2410" s="36">
        <v>46660</v>
      </c>
      <c r="AA2410" s="36"/>
      <c r="AB2410" s="36"/>
      <c r="AC2410" s="36"/>
      <c r="AD2410" s="36"/>
      <c r="AE2410" s="36"/>
      <c r="AF2410" s="53" t="s">
        <v>68</v>
      </c>
      <c r="AG2410" s="42"/>
      <c r="AH2410" s="42"/>
      <c r="AI2410" s="43"/>
      <c r="AJ2410" s="43"/>
      <c r="AK2410" s="43"/>
      <c r="AL2410" s="43"/>
      <c r="AM2410" s="43"/>
      <c r="AN2410" s="42"/>
      <c r="AO2410" s="42"/>
      <c r="AP2410" s="42"/>
      <c r="AQ2410" s="43"/>
      <c r="AR2410" s="42"/>
      <c r="AS2410" s="42"/>
    </row>
    <row r="2411" spans="1:45" ht="15" customHeight="1">
      <c r="A2411" s="65" t="s">
        <v>57</v>
      </c>
      <c r="B2411" s="22" t="s">
        <v>46</v>
      </c>
      <c r="C2411" s="21" t="s">
        <v>188</v>
      </c>
      <c r="D2411" s="22" t="s">
        <v>59</v>
      </c>
      <c r="E2411" s="66" t="s">
        <v>3004</v>
      </c>
      <c r="F2411" s="65" t="s">
        <v>3005</v>
      </c>
      <c r="G2411" s="26" t="s">
        <v>77</v>
      </c>
      <c r="H2411" s="45" t="s">
        <v>3134</v>
      </c>
      <c r="I2411" s="26" t="s">
        <v>78</v>
      </c>
      <c r="J2411" s="46" t="s">
        <v>3135</v>
      </c>
      <c r="K2411" s="47"/>
      <c r="L2411" s="48" t="s">
        <v>3008</v>
      </c>
      <c r="M2411" s="49">
        <v>45127</v>
      </c>
      <c r="N2411" s="47" t="s">
        <v>182</v>
      </c>
      <c r="O2411" s="61">
        <v>3520</v>
      </c>
      <c r="P2411" s="61">
        <v>6</v>
      </c>
      <c r="Q2411" s="30">
        <f t="shared" si="56"/>
        <v>21120</v>
      </c>
      <c r="R2411" s="31">
        <v>202310</v>
      </c>
      <c r="S2411" s="32" t="s">
        <v>3176</v>
      </c>
      <c r="T2411" s="33"/>
      <c r="U2411" s="32"/>
      <c r="V2411" s="33"/>
      <c r="W2411" s="67"/>
      <c r="X2411" s="67"/>
      <c r="Y2411" s="36">
        <v>44774</v>
      </c>
      <c r="Z2411" s="36">
        <v>46660</v>
      </c>
      <c r="AA2411" s="36"/>
      <c r="AB2411" s="36"/>
      <c r="AC2411" s="36"/>
      <c r="AD2411" s="36"/>
      <c r="AE2411" s="36"/>
      <c r="AF2411" s="53" t="s">
        <v>68</v>
      </c>
      <c r="AG2411" s="42"/>
      <c r="AH2411" s="42"/>
      <c r="AI2411" s="43"/>
      <c r="AJ2411" s="43"/>
      <c r="AK2411" s="43"/>
      <c r="AL2411" s="43"/>
      <c r="AM2411" s="43"/>
      <c r="AN2411" s="42"/>
      <c r="AO2411" s="42"/>
      <c r="AP2411" s="42"/>
      <c r="AQ2411" s="43"/>
      <c r="AR2411" s="42"/>
      <c r="AS2411" s="42"/>
    </row>
    <row r="2412" spans="1:45" ht="15" customHeight="1">
      <c r="A2412" s="65" t="s">
        <v>57</v>
      </c>
      <c r="B2412" s="22" t="s">
        <v>46</v>
      </c>
      <c r="C2412" s="21" t="s">
        <v>188</v>
      </c>
      <c r="D2412" s="22" t="s">
        <v>59</v>
      </c>
      <c r="E2412" s="66" t="s">
        <v>3004</v>
      </c>
      <c r="F2412" s="65" t="s">
        <v>3005</v>
      </c>
      <c r="G2412" s="26" t="s">
        <v>77</v>
      </c>
      <c r="H2412" s="45" t="s">
        <v>3134</v>
      </c>
      <c r="I2412" s="26" t="s">
        <v>78</v>
      </c>
      <c r="J2412" s="46" t="s">
        <v>3135</v>
      </c>
      <c r="K2412" s="47"/>
      <c r="L2412" s="48" t="s">
        <v>3008</v>
      </c>
      <c r="M2412" s="49">
        <v>45134</v>
      </c>
      <c r="N2412" s="47" t="s">
        <v>182</v>
      </c>
      <c r="O2412" s="61">
        <v>3520</v>
      </c>
      <c r="P2412" s="61">
        <v>1</v>
      </c>
      <c r="Q2412" s="30">
        <f t="shared" si="56"/>
        <v>3520</v>
      </c>
      <c r="R2412" s="31">
        <v>202310</v>
      </c>
      <c r="S2412" s="32" t="s">
        <v>3177</v>
      </c>
      <c r="T2412" s="33"/>
      <c r="U2412" s="32"/>
      <c r="V2412" s="33"/>
      <c r="W2412" s="67"/>
      <c r="X2412" s="67"/>
      <c r="Y2412" s="36">
        <v>44774</v>
      </c>
      <c r="Z2412" s="36">
        <v>46660</v>
      </c>
      <c r="AA2412" s="36"/>
      <c r="AB2412" s="36"/>
      <c r="AC2412" s="36"/>
      <c r="AD2412" s="36"/>
      <c r="AE2412" s="36"/>
      <c r="AF2412" s="53" t="s">
        <v>68</v>
      </c>
      <c r="AG2412" s="42"/>
      <c r="AH2412" s="42"/>
      <c r="AI2412" s="43"/>
      <c r="AJ2412" s="43"/>
      <c r="AK2412" s="43"/>
      <c r="AL2412" s="43"/>
      <c r="AM2412" s="43"/>
      <c r="AN2412" s="42"/>
      <c r="AO2412" s="42"/>
      <c r="AP2412" s="42"/>
      <c r="AQ2412" s="43"/>
      <c r="AR2412" s="42"/>
      <c r="AS2412" s="42"/>
    </row>
    <row r="2413" spans="1:45" ht="15" customHeight="1">
      <c r="A2413" s="65" t="s">
        <v>57</v>
      </c>
      <c r="B2413" s="22" t="s">
        <v>46</v>
      </c>
      <c r="C2413" s="21" t="s">
        <v>188</v>
      </c>
      <c r="D2413" s="22" t="s">
        <v>59</v>
      </c>
      <c r="E2413" s="66" t="s">
        <v>3004</v>
      </c>
      <c r="F2413" s="65" t="s">
        <v>3005</v>
      </c>
      <c r="G2413" s="26" t="s">
        <v>77</v>
      </c>
      <c r="H2413" s="45" t="s">
        <v>3134</v>
      </c>
      <c r="I2413" s="26" t="s">
        <v>78</v>
      </c>
      <c r="J2413" s="46" t="s">
        <v>3135</v>
      </c>
      <c r="K2413" s="47"/>
      <c r="L2413" s="48" t="s">
        <v>3008</v>
      </c>
      <c r="M2413" s="49">
        <v>45147</v>
      </c>
      <c r="N2413" s="47" t="s">
        <v>182</v>
      </c>
      <c r="O2413" s="61">
        <v>3520</v>
      </c>
      <c r="P2413" s="61">
        <v>3</v>
      </c>
      <c r="Q2413" s="51">
        <f>ROUND(O2413*P2413,2)</f>
        <v>10560</v>
      </c>
      <c r="R2413" s="31">
        <v>202310</v>
      </c>
      <c r="S2413" s="32" t="s">
        <v>3178</v>
      </c>
      <c r="T2413" s="33"/>
      <c r="U2413" s="32"/>
      <c r="V2413" s="33"/>
      <c r="W2413" s="67"/>
      <c r="X2413" s="67"/>
      <c r="Y2413" s="36">
        <v>44774</v>
      </c>
      <c r="Z2413" s="36">
        <v>46660</v>
      </c>
      <c r="AA2413" s="36"/>
      <c r="AB2413" s="36"/>
      <c r="AC2413" s="36"/>
      <c r="AD2413" s="36"/>
      <c r="AE2413" s="36"/>
      <c r="AF2413" s="53" t="s">
        <v>68</v>
      </c>
      <c r="AG2413" s="42"/>
      <c r="AH2413" s="42"/>
      <c r="AI2413" s="43"/>
      <c r="AJ2413" s="43"/>
      <c r="AK2413" s="43"/>
      <c r="AL2413" s="43"/>
      <c r="AM2413" s="43"/>
      <c r="AN2413" s="42"/>
      <c r="AO2413" s="42"/>
      <c r="AP2413" s="42"/>
      <c r="AQ2413" s="43"/>
      <c r="AR2413" s="42"/>
      <c r="AS2413" s="42"/>
    </row>
    <row r="2414" spans="1:45" ht="15" customHeight="1">
      <c r="A2414" s="65" t="s">
        <v>57</v>
      </c>
      <c r="B2414" s="22" t="s">
        <v>46</v>
      </c>
      <c r="C2414" s="21" t="s">
        <v>188</v>
      </c>
      <c r="D2414" s="22" t="s">
        <v>59</v>
      </c>
      <c r="E2414" s="66" t="s">
        <v>3004</v>
      </c>
      <c r="F2414" s="65" t="s">
        <v>3005</v>
      </c>
      <c r="G2414" s="26" t="s">
        <v>77</v>
      </c>
      <c r="H2414" s="45" t="s">
        <v>3134</v>
      </c>
      <c r="I2414" s="26" t="s">
        <v>78</v>
      </c>
      <c r="J2414" s="46" t="s">
        <v>3135</v>
      </c>
      <c r="K2414" s="47"/>
      <c r="L2414" s="48" t="s">
        <v>3008</v>
      </c>
      <c r="M2414" s="49">
        <v>45180</v>
      </c>
      <c r="N2414" s="47" t="s">
        <v>182</v>
      </c>
      <c r="O2414" s="61">
        <v>3520</v>
      </c>
      <c r="P2414" s="61">
        <v>8</v>
      </c>
      <c r="Q2414" s="51">
        <f t="shared" ref="Q2414:Q2417" si="57">ROUND(O2414*P2414,2)</f>
        <v>28160</v>
      </c>
      <c r="R2414" s="31">
        <v>202310</v>
      </c>
      <c r="S2414" s="32" t="s">
        <v>3179</v>
      </c>
      <c r="T2414" s="33"/>
      <c r="U2414" s="32"/>
      <c r="V2414" s="33"/>
      <c r="W2414" s="67"/>
      <c r="X2414" s="67"/>
      <c r="Y2414" s="36">
        <v>44774</v>
      </c>
      <c r="Z2414" s="36">
        <v>46660</v>
      </c>
      <c r="AA2414" s="36"/>
      <c r="AB2414" s="36"/>
      <c r="AC2414" s="36"/>
      <c r="AD2414" s="36"/>
      <c r="AE2414" s="36"/>
      <c r="AF2414" s="53" t="s">
        <v>68</v>
      </c>
      <c r="AG2414" s="42"/>
      <c r="AH2414" s="42"/>
      <c r="AI2414" s="43"/>
      <c r="AJ2414" s="43"/>
      <c r="AK2414" s="43"/>
      <c r="AL2414" s="43"/>
      <c r="AM2414" s="43"/>
      <c r="AN2414" s="42"/>
      <c r="AO2414" s="42"/>
      <c r="AP2414" s="42"/>
      <c r="AQ2414" s="43"/>
      <c r="AR2414" s="42"/>
      <c r="AS2414" s="42"/>
    </row>
    <row r="2415" spans="1:45" ht="15" customHeight="1">
      <c r="A2415" s="65" t="s">
        <v>57</v>
      </c>
      <c r="B2415" s="22" t="s">
        <v>46</v>
      </c>
      <c r="C2415" s="21" t="s">
        <v>188</v>
      </c>
      <c r="D2415" s="22" t="s">
        <v>59</v>
      </c>
      <c r="E2415" s="66" t="s">
        <v>3004</v>
      </c>
      <c r="F2415" s="65" t="s">
        <v>3005</v>
      </c>
      <c r="G2415" s="26" t="s">
        <v>77</v>
      </c>
      <c r="H2415" s="45" t="s">
        <v>3134</v>
      </c>
      <c r="I2415" s="26" t="s">
        <v>78</v>
      </c>
      <c r="J2415" s="46" t="s">
        <v>3135</v>
      </c>
      <c r="K2415" s="47"/>
      <c r="L2415" s="48" t="s">
        <v>3008</v>
      </c>
      <c r="M2415" s="49">
        <v>45184</v>
      </c>
      <c r="N2415" s="47" t="s">
        <v>182</v>
      </c>
      <c r="O2415" s="61">
        <v>3520</v>
      </c>
      <c r="P2415" s="61">
        <v>2</v>
      </c>
      <c r="Q2415" s="51">
        <f t="shared" si="57"/>
        <v>7040</v>
      </c>
      <c r="R2415" s="31">
        <v>202310</v>
      </c>
      <c r="S2415" s="32" t="s">
        <v>3180</v>
      </c>
      <c r="T2415" s="33"/>
      <c r="U2415" s="32"/>
      <c r="V2415" s="33"/>
      <c r="W2415" s="67"/>
      <c r="X2415" s="67"/>
      <c r="Y2415" s="36">
        <v>44774</v>
      </c>
      <c r="Z2415" s="36">
        <v>46660</v>
      </c>
      <c r="AA2415" s="36"/>
      <c r="AB2415" s="36"/>
      <c r="AC2415" s="36"/>
      <c r="AD2415" s="36"/>
      <c r="AE2415" s="36"/>
      <c r="AF2415" s="53" t="s">
        <v>68</v>
      </c>
      <c r="AG2415" s="42"/>
      <c r="AH2415" s="42"/>
      <c r="AI2415" s="43"/>
      <c r="AJ2415" s="43"/>
      <c r="AK2415" s="43"/>
      <c r="AL2415" s="43"/>
      <c r="AM2415" s="43"/>
      <c r="AN2415" s="42"/>
      <c r="AO2415" s="42"/>
      <c r="AP2415" s="42"/>
      <c r="AQ2415" s="43"/>
      <c r="AR2415" s="42"/>
      <c r="AS2415" s="42"/>
    </row>
    <row r="2416" spans="1:45" ht="15" customHeight="1">
      <c r="A2416" s="65" t="s">
        <v>57</v>
      </c>
      <c r="B2416" s="22" t="s">
        <v>46</v>
      </c>
      <c r="C2416" s="21" t="s">
        <v>188</v>
      </c>
      <c r="D2416" s="22" t="s">
        <v>59</v>
      </c>
      <c r="E2416" s="66" t="s">
        <v>3004</v>
      </c>
      <c r="F2416" s="65" t="s">
        <v>3005</v>
      </c>
      <c r="G2416" s="26" t="s">
        <v>77</v>
      </c>
      <c r="H2416" s="45" t="s">
        <v>3134</v>
      </c>
      <c r="I2416" s="26" t="s">
        <v>78</v>
      </c>
      <c r="J2416" s="46" t="s">
        <v>3135</v>
      </c>
      <c r="K2416" s="47"/>
      <c r="L2416" s="48" t="s">
        <v>3008</v>
      </c>
      <c r="M2416" s="49">
        <v>45187</v>
      </c>
      <c r="N2416" s="47" t="s">
        <v>182</v>
      </c>
      <c r="O2416" s="61">
        <v>3520</v>
      </c>
      <c r="P2416" s="61">
        <v>6</v>
      </c>
      <c r="Q2416" s="51">
        <f t="shared" si="57"/>
        <v>21120</v>
      </c>
      <c r="R2416" s="31">
        <v>202310</v>
      </c>
      <c r="S2416" s="32" t="s">
        <v>3181</v>
      </c>
      <c r="T2416" s="33"/>
      <c r="U2416" s="32"/>
      <c r="V2416" s="33"/>
      <c r="W2416" s="67"/>
      <c r="X2416" s="67"/>
      <c r="Y2416" s="36">
        <v>44774</v>
      </c>
      <c r="Z2416" s="36">
        <v>46660</v>
      </c>
      <c r="AA2416" s="36"/>
      <c r="AB2416" s="36"/>
      <c r="AC2416" s="36"/>
      <c r="AD2416" s="36"/>
      <c r="AE2416" s="36"/>
      <c r="AF2416" s="53" t="s">
        <v>68</v>
      </c>
      <c r="AG2416" s="42"/>
      <c r="AH2416" s="42"/>
      <c r="AI2416" s="43"/>
      <c r="AJ2416" s="43"/>
      <c r="AK2416" s="43"/>
      <c r="AL2416" s="43"/>
      <c r="AM2416" s="43"/>
      <c r="AN2416" s="42"/>
      <c r="AO2416" s="42"/>
      <c r="AP2416" s="42"/>
      <c r="AQ2416" s="43"/>
      <c r="AR2416" s="42"/>
      <c r="AS2416" s="42"/>
    </row>
    <row r="2417" spans="1:45" ht="15" customHeight="1">
      <c r="A2417" s="65" t="s">
        <v>57</v>
      </c>
      <c r="B2417" s="22" t="s">
        <v>46</v>
      </c>
      <c r="C2417" s="21" t="s">
        <v>188</v>
      </c>
      <c r="D2417" s="22" t="s">
        <v>59</v>
      </c>
      <c r="E2417" s="66" t="s">
        <v>3004</v>
      </c>
      <c r="F2417" s="65" t="s">
        <v>3005</v>
      </c>
      <c r="G2417" s="26" t="s">
        <v>77</v>
      </c>
      <c r="H2417" s="45" t="s">
        <v>3134</v>
      </c>
      <c r="I2417" s="26" t="s">
        <v>78</v>
      </c>
      <c r="J2417" s="46" t="s">
        <v>3135</v>
      </c>
      <c r="K2417" s="47"/>
      <c r="L2417" s="48" t="s">
        <v>3008</v>
      </c>
      <c r="M2417" s="49">
        <v>45188</v>
      </c>
      <c r="N2417" s="47" t="s">
        <v>182</v>
      </c>
      <c r="O2417" s="61">
        <v>3520</v>
      </c>
      <c r="P2417" s="61">
        <v>2</v>
      </c>
      <c r="Q2417" s="51">
        <f t="shared" si="57"/>
        <v>7040</v>
      </c>
      <c r="R2417" s="31">
        <v>202310</v>
      </c>
      <c r="S2417" s="32" t="s">
        <v>3182</v>
      </c>
      <c r="T2417" s="33"/>
      <c r="U2417" s="32"/>
      <c r="V2417" s="33"/>
      <c r="W2417" s="67"/>
      <c r="X2417" s="67"/>
      <c r="Y2417" s="36">
        <v>44774</v>
      </c>
      <c r="Z2417" s="36">
        <v>46660</v>
      </c>
      <c r="AA2417" s="36"/>
      <c r="AB2417" s="36"/>
      <c r="AC2417" s="36"/>
      <c r="AD2417" s="36"/>
      <c r="AE2417" s="36"/>
      <c r="AF2417" s="53" t="s">
        <v>68</v>
      </c>
      <c r="AG2417" s="42"/>
      <c r="AH2417" s="42"/>
      <c r="AI2417" s="43"/>
      <c r="AJ2417" s="43"/>
      <c r="AK2417" s="43"/>
      <c r="AL2417" s="43"/>
      <c r="AM2417" s="43"/>
      <c r="AN2417" s="42"/>
      <c r="AO2417" s="42"/>
      <c r="AP2417" s="42"/>
      <c r="AQ2417" s="43"/>
      <c r="AR2417" s="42"/>
      <c r="AS2417" s="42"/>
    </row>
    <row r="2418" spans="1:45" ht="15" customHeight="1">
      <c r="A2418" s="65" t="s">
        <v>57</v>
      </c>
      <c r="B2418" s="22" t="s">
        <v>46</v>
      </c>
      <c r="C2418" s="21" t="s">
        <v>188</v>
      </c>
      <c r="D2418" s="22" t="s">
        <v>59</v>
      </c>
      <c r="E2418" s="66" t="s">
        <v>3004</v>
      </c>
      <c r="F2418" s="65" t="s">
        <v>3005</v>
      </c>
      <c r="G2418" s="26" t="s">
        <v>77</v>
      </c>
      <c r="H2418" s="45" t="s">
        <v>3134</v>
      </c>
      <c r="I2418" s="26" t="s">
        <v>78</v>
      </c>
      <c r="J2418" s="46" t="s">
        <v>3135</v>
      </c>
      <c r="K2418" s="47"/>
      <c r="L2418" s="48" t="s">
        <v>3008</v>
      </c>
      <c r="M2418" s="49">
        <v>45209</v>
      </c>
      <c r="N2418" s="47" t="s">
        <v>182</v>
      </c>
      <c r="O2418" s="61">
        <v>3520</v>
      </c>
      <c r="P2418" s="61">
        <v>3</v>
      </c>
      <c r="Q2418" s="51">
        <f>ROUND(O2418*P2418*22/31,2)</f>
        <v>7494.19</v>
      </c>
      <c r="R2418" s="31">
        <v>202310</v>
      </c>
      <c r="S2418" s="32" t="s">
        <v>3183</v>
      </c>
      <c r="T2418" s="33"/>
      <c r="U2418" s="32"/>
      <c r="V2418" s="33"/>
      <c r="W2418" s="67"/>
      <c r="X2418" s="67"/>
      <c r="Y2418" s="36">
        <v>44774</v>
      </c>
      <c r="Z2418" s="36">
        <v>46660</v>
      </c>
      <c r="AA2418" s="36"/>
      <c r="AB2418" s="36"/>
      <c r="AC2418" s="36"/>
      <c r="AD2418" s="36"/>
      <c r="AE2418" s="36"/>
      <c r="AF2418" s="53" t="s">
        <v>68</v>
      </c>
      <c r="AG2418" s="42"/>
      <c r="AH2418" s="42"/>
      <c r="AI2418" s="43"/>
      <c r="AJ2418" s="43"/>
      <c r="AK2418" s="43"/>
      <c r="AL2418" s="43"/>
      <c r="AM2418" s="43"/>
      <c r="AN2418" s="42"/>
      <c r="AO2418" s="42"/>
      <c r="AP2418" s="42"/>
      <c r="AQ2418" s="43"/>
      <c r="AR2418" s="42"/>
      <c r="AS2418" s="42"/>
    </row>
    <row r="2419" spans="1:45" ht="15" customHeight="1">
      <c r="A2419" s="65" t="s">
        <v>57</v>
      </c>
      <c r="B2419" s="22" t="s">
        <v>46</v>
      </c>
      <c r="C2419" s="21" t="s">
        <v>188</v>
      </c>
      <c r="D2419" s="22" t="s">
        <v>59</v>
      </c>
      <c r="E2419" s="66" t="s">
        <v>3004</v>
      </c>
      <c r="F2419" s="65" t="s">
        <v>3005</v>
      </c>
      <c r="G2419" s="26" t="s">
        <v>77</v>
      </c>
      <c r="H2419" s="45" t="s">
        <v>3134</v>
      </c>
      <c r="I2419" s="26" t="s">
        <v>78</v>
      </c>
      <c r="J2419" s="46" t="s">
        <v>3135</v>
      </c>
      <c r="K2419" s="47"/>
      <c r="L2419" s="48" t="s">
        <v>3008</v>
      </c>
      <c r="M2419" s="49">
        <v>45210</v>
      </c>
      <c r="N2419" s="47" t="s">
        <v>182</v>
      </c>
      <c r="O2419" s="61">
        <v>3520</v>
      </c>
      <c r="P2419" s="61">
        <v>1</v>
      </c>
      <c r="Q2419" s="51">
        <f>ROUND(O2419*P2419*21/31,2)</f>
        <v>2384.52</v>
      </c>
      <c r="R2419" s="31">
        <v>202310</v>
      </c>
      <c r="S2419" s="32" t="s">
        <v>3184</v>
      </c>
      <c r="T2419" s="33"/>
      <c r="U2419" s="32"/>
      <c r="V2419" s="33"/>
      <c r="W2419" s="67"/>
      <c r="X2419" s="67"/>
      <c r="Y2419" s="36">
        <v>44774</v>
      </c>
      <c r="Z2419" s="36">
        <v>46660</v>
      </c>
      <c r="AA2419" s="36"/>
      <c r="AB2419" s="36"/>
      <c r="AC2419" s="36"/>
      <c r="AD2419" s="36"/>
      <c r="AE2419" s="36"/>
      <c r="AF2419" s="53" t="s">
        <v>68</v>
      </c>
      <c r="AG2419" s="42"/>
      <c r="AH2419" s="42"/>
      <c r="AI2419" s="43"/>
      <c r="AJ2419" s="43"/>
      <c r="AK2419" s="43"/>
      <c r="AL2419" s="43"/>
      <c r="AM2419" s="43"/>
      <c r="AN2419" s="42"/>
      <c r="AO2419" s="42"/>
      <c r="AP2419" s="42"/>
      <c r="AQ2419" s="43"/>
      <c r="AR2419" s="42"/>
      <c r="AS2419" s="42"/>
    </row>
    <row r="2420" spans="1:45" ht="15" customHeight="1">
      <c r="A2420" s="65" t="s">
        <v>57</v>
      </c>
      <c r="B2420" s="22" t="s">
        <v>46</v>
      </c>
      <c r="C2420" s="21" t="s">
        <v>188</v>
      </c>
      <c r="D2420" s="22" t="s">
        <v>59</v>
      </c>
      <c r="E2420" s="66" t="s">
        <v>3004</v>
      </c>
      <c r="F2420" s="65" t="s">
        <v>3005</v>
      </c>
      <c r="G2420" s="26" t="s">
        <v>77</v>
      </c>
      <c r="H2420" s="45" t="s">
        <v>3134</v>
      </c>
      <c r="I2420" s="26" t="s">
        <v>78</v>
      </c>
      <c r="J2420" s="46" t="s">
        <v>3135</v>
      </c>
      <c r="K2420" s="47"/>
      <c r="L2420" s="48" t="s">
        <v>3008</v>
      </c>
      <c r="M2420" s="49">
        <v>45211</v>
      </c>
      <c r="N2420" s="47" t="s">
        <v>182</v>
      </c>
      <c r="O2420" s="61">
        <v>3520</v>
      </c>
      <c r="P2420" s="61">
        <v>13</v>
      </c>
      <c r="Q2420" s="51">
        <f>ROUND(O2420*P2420*20/31,2)</f>
        <v>29522.58</v>
      </c>
      <c r="R2420" s="31">
        <v>202310</v>
      </c>
      <c r="S2420" s="32" t="s">
        <v>3185</v>
      </c>
      <c r="T2420" s="33"/>
      <c r="U2420" s="32"/>
      <c r="V2420" s="33"/>
      <c r="W2420" s="67"/>
      <c r="X2420" s="67"/>
      <c r="Y2420" s="36">
        <v>44774</v>
      </c>
      <c r="Z2420" s="36">
        <v>46660</v>
      </c>
      <c r="AA2420" s="36"/>
      <c r="AB2420" s="36"/>
      <c r="AC2420" s="36"/>
      <c r="AD2420" s="36"/>
      <c r="AE2420" s="36"/>
      <c r="AF2420" s="53" t="s">
        <v>68</v>
      </c>
      <c r="AG2420" s="42"/>
      <c r="AH2420" s="42"/>
      <c r="AI2420" s="43"/>
      <c r="AJ2420" s="43"/>
      <c r="AK2420" s="43"/>
      <c r="AL2420" s="43"/>
      <c r="AM2420" s="43"/>
      <c r="AN2420" s="42"/>
      <c r="AO2420" s="42"/>
      <c r="AP2420" s="42"/>
      <c r="AQ2420" s="43"/>
      <c r="AR2420" s="42"/>
      <c r="AS2420" s="42"/>
    </row>
    <row r="2421" spans="1:45" ht="15" customHeight="1">
      <c r="A2421" s="65" t="s">
        <v>57</v>
      </c>
      <c r="B2421" s="22" t="s">
        <v>46</v>
      </c>
      <c r="C2421" s="21" t="s">
        <v>188</v>
      </c>
      <c r="D2421" s="22" t="s">
        <v>59</v>
      </c>
      <c r="E2421" s="66" t="s">
        <v>3004</v>
      </c>
      <c r="F2421" s="65" t="s">
        <v>3005</v>
      </c>
      <c r="G2421" s="26" t="s">
        <v>77</v>
      </c>
      <c r="H2421" s="45" t="s">
        <v>3134</v>
      </c>
      <c r="I2421" s="26" t="s">
        <v>78</v>
      </c>
      <c r="J2421" s="46" t="s">
        <v>3135</v>
      </c>
      <c r="K2421" s="47"/>
      <c r="L2421" s="48" t="s">
        <v>3008</v>
      </c>
      <c r="M2421" s="49">
        <v>45213</v>
      </c>
      <c r="N2421" s="47" t="s">
        <v>182</v>
      </c>
      <c r="O2421" s="61">
        <v>3520</v>
      </c>
      <c r="P2421" s="61">
        <v>5</v>
      </c>
      <c r="Q2421" s="51">
        <f>ROUND(O2421*P2421*18/31,2)</f>
        <v>10219.35</v>
      </c>
      <c r="R2421" s="31">
        <v>202310</v>
      </c>
      <c r="S2421" s="32" t="s">
        <v>3186</v>
      </c>
      <c r="T2421" s="33"/>
      <c r="U2421" s="32"/>
      <c r="V2421" s="33"/>
      <c r="W2421" s="67"/>
      <c r="X2421" s="67"/>
      <c r="Y2421" s="36">
        <v>44774</v>
      </c>
      <c r="Z2421" s="36">
        <v>46660</v>
      </c>
      <c r="AA2421" s="36"/>
      <c r="AB2421" s="36"/>
      <c r="AC2421" s="36"/>
      <c r="AD2421" s="36"/>
      <c r="AE2421" s="36"/>
      <c r="AF2421" s="53" t="s">
        <v>68</v>
      </c>
      <c r="AG2421" s="42"/>
      <c r="AH2421" s="42"/>
      <c r="AI2421" s="43"/>
      <c r="AJ2421" s="43"/>
      <c r="AK2421" s="43"/>
      <c r="AL2421" s="43"/>
      <c r="AM2421" s="43"/>
      <c r="AN2421" s="42"/>
      <c r="AO2421" s="42"/>
      <c r="AP2421" s="42"/>
      <c r="AQ2421" s="43"/>
      <c r="AR2421" s="42"/>
      <c r="AS2421" s="42"/>
    </row>
    <row r="2422" spans="1:45" ht="15" customHeight="1">
      <c r="A2422" s="21" t="s">
        <v>57</v>
      </c>
      <c r="B2422" s="21" t="s">
        <v>46</v>
      </c>
      <c r="C2422" s="21" t="s">
        <v>188</v>
      </c>
      <c r="D2422" s="21" t="s">
        <v>59</v>
      </c>
      <c r="E2422" s="80" t="s">
        <v>3004</v>
      </c>
      <c r="F2422" s="21" t="s">
        <v>3005</v>
      </c>
      <c r="G2422" s="101" t="s">
        <v>77</v>
      </c>
      <c r="H2422" s="45" t="s">
        <v>3134</v>
      </c>
      <c r="I2422" s="102" t="s">
        <v>366</v>
      </c>
      <c r="J2422" s="65" t="s">
        <v>3135</v>
      </c>
      <c r="K2422" s="104"/>
      <c r="L2422" s="48" t="s">
        <v>3008</v>
      </c>
      <c r="M2422" s="27"/>
      <c r="N2422" s="105"/>
      <c r="O2422" s="106">
        <v>0.68</v>
      </c>
      <c r="P2422" s="106">
        <f>Q2422/0.68</f>
        <v>6617647.0588235287</v>
      </c>
      <c r="Q2422" s="51">
        <v>4500000</v>
      </c>
      <c r="R2422" s="31">
        <v>202310</v>
      </c>
      <c r="S2422" s="32" t="s">
        <v>3187</v>
      </c>
      <c r="T2422" s="33" t="s">
        <v>3188</v>
      </c>
      <c r="U2422" s="32"/>
      <c r="V2422" s="67"/>
      <c r="W2422" s="67"/>
      <c r="X2422" s="67"/>
      <c r="Y2422" s="36">
        <v>44774</v>
      </c>
      <c r="Z2422" s="36">
        <v>46660</v>
      </c>
      <c r="AA2422" s="36"/>
      <c r="AB2422" s="36"/>
      <c r="AC2422" s="36"/>
      <c r="AD2422" s="36"/>
      <c r="AE2422" s="36"/>
      <c r="AF2422" s="53" t="s">
        <v>68</v>
      </c>
      <c r="AG2422" s="42"/>
      <c r="AH2422" s="42"/>
      <c r="AI2422" s="43"/>
      <c r="AJ2422" s="43"/>
      <c r="AK2422" s="43"/>
      <c r="AL2422" s="43"/>
      <c r="AM2422" s="43"/>
      <c r="AN2422" s="42"/>
      <c r="AO2422" s="42"/>
      <c r="AP2422" s="42"/>
      <c r="AQ2422" s="43"/>
      <c r="AR2422" s="42"/>
      <c r="AS2422" s="42"/>
    </row>
    <row r="2423" spans="1:45" ht="15" customHeight="1">
      <c r="A2423" s="56" t="s">
        <v>57</v>
      </c>
      <c r="B2423" s="21" t="s">
        <v>46</v>
      </c>
      <c r="C2423" s="57" t="s">
        <v>58</v>
      </c>
      <c r="D2423" s="22" t="s">
        <v>71</v>
      </c>
      <c r="E2423" s="58" t="s">
        <v>808</v>
      </c>
      <c r="F2423" s="56" t="s">
        <v>809</v>
      </c>
      <c r="G2423" s="26" t="s">
        <v>62</v>
      </c>
      <c r="H2423" s="25" t="s">
        <v>3189</v>
      </c>
      <c r="I2423" s="26" t="s">
        <v>64</v>
      </c>
      <c r="J2423" s="56" t="s">
        <v>47</v>
      </c>
      <c r="K2423" s="59"/>
      <c r="L2423" s="48"/>
      <c r="M2423" s="49">
        <v>43936</v>
      </c>
      <c r="N2423" s="49" t="s">
        <v>66</v>
      </c>
      <c r="O2423" s="60">
        <v>25533</v>
      </c>
      <c r="P2423" s="61">
        <v>1</v>
      </c>
      <c r="Q2423" s="51">
        <f>ROUND(O2423*P2423,2)</f>
        <v>25533</v>
      </c>
      <c r="R2423" s="31">
        <v>202310</v>
      </c>
      <c r="S2423" s="58" t="s">
        <v>3190</v>
      </c>
      <c r="T2423" s="33"/>
      <c r="U2423" s="58"/>
      <c r="V2423" s="58"/>
      <c r="W2423" s="63"/>
      <c r="X2423" s="63"/>
      <c r="Y2423" s="36">
        <v>43936</v>
      </c>
      <c r="Z2423" s="36">
        <v>44665</v>
      </c>
      <c r="AA2423" s="36"/>
      <c r="AB2423" s="36"/>
      <c r="AC2423" s="36"/>
      <c r="AD2423" s="36"/>
      <c r="AE2423" s="36"/>
      <c r="AF2423" s="53" t="s">
        <v>68</v>
      </c>
      <c r="AG2423" s="42"/>
      <c r="AH2423" s="42"/>
      <c r="AI2423" s="43"/>
      <c r="AJ2423" s="43"/>
      <c r="AK2423" s="43"/>
      <c r="AL2423" s="43"/>
      <c r="AM2423" s="43"/>
      <c r="AN2423" s="42"/>
      <c r="AO2423" s="42"/>
      <c r="AP2423" s="42"/>
      <c r="AQ2423" s="43"/>
      <c r="AR2423" s="42"/>
      <c r="AS2423" s="42"/>
    </row>
    <row r="2424" spans="1:45" ht="15" customHeight="1">
      <c r="A2424" s="56" t="s">
        <v>57</v>
      </c>
      <c r="B2424" s="21" t="s">
        <v>46</v>
      </c>
      <c r="C2424" s="57" t="s">
        <v>58</v>
      </c>
      <c r="D2424" s="22" t="s">
        <v>71</v>
      </c>
      <c r="E2424" s="58" t="s">
        <v>808</v>
      </c>
      <c r="F2424" s="56" t="s">
        <v>809</v>
      </c>
      <c r="G2424" s="26" t="s">
        <v>62</v>
      </c>
      <c r="H2424" s="25" t="s">
        <v>3189</v>
      </c>
      <c r="I2424" s="26" t="s">
        <v>64</v>
      </c>
      <c r="J2424" s="56" t="s">
        <v>47</v>
      </c>
      <c r="K2424" s="59"/>
      <c r="L2424" s="48"/>
      <c r="M2424" s="49">
        <v>44418</v>
      </c>
      <c r="N2424" s="49" t="s">
        <v>66</v>
      </c>
      <c r="O2424" s="60">
        <v>25533</v>
      </c>
      <c r="P2424" s="61">
        <v>-1</v>
      </c>
      <c r="Q2424" s="51">
        <f>ROUND(O2424*P2424,2)</f>
        <v>-25533</v>
      </c>
      <c r="R2424" s="31">
        <v>202310</v>
      </c>
      <c r="S2424" s="58" t="s">
        <v>3191</v>
      </c>
      <c r="T2424" s="33"/>
      <c r="U2424" s="58"/>
      <c r="V2424" s="58"/>
      <c r="W2424" s="63"/>
      <c r="X2424" s="63"/>
      <c r="Y2424" s="36">
        <v>43936</v>
      </c>
      <c r="Z2424" s="36">
        <v>44665</v>
      </c>
      <c r="AA2424" s="36"/>
      <c r="AB2424" s="36"/>
      <c r="AC2424" s="36"/>
      <c r="AD2424" s="36"/>
      <c r="AE2424" s="36"/>
      <c r="AF2424" s="53" t="s">
        <v>68</v>
      </c>
      <c r="AG2424" s="42"/>
      <c r="AH2424" s="42"/>
      <c r="AI2424" s="43"/>
      <c r="AJ2424" s="43"/>
      <c r="AK2424" s="43"/>
      <c r="AL2424" s="43"/>
      <c r="AM2424" s="43"/>
      <c r="AN2424" s="42"/>
      <c r="AO2424" s="42"/>
      <c r="AP2424" s="42"/>
      <c r="AQ2424" s="43"/>
      <c r="AR2424" s="42"/>
      <c r="AS2424" s="42"/>
    </row>
    <row r="2425" spans="1:45" ht="15" customHeight="1">
      <c r="A2425" s="56" t="s">
        <v>57</v>
      </c>
      <c r="B2425" s="21" t="s">
        <v>46</v>
      </c>
      <c r="C2425" s="57" t="s">
        <v>58</v>
      </c>
      <c r="D2425" s="22" t="s">
        <v>71</v>
      </c>
      <c r="E2425" s="58" t="s">
        <v>808</v>
      </c>
      <c r="F2425" s="56" t="s">
        <v>809</v>
      </c>
      <c r="G2425" s="26" t="s">
        <v>114</v>
      </c>
      <c r="H2425" s="25" t="s">
        <v>3192</v>
      </c>
      <c r="I2425" s="26" t="s">
        <v>114</v>
      </c>
      <c r="J2425" s="56" t="s">
        <v>3193</v>
      </c>
      <c r="K2425" s="59"/>
      <c r="L2425" s="48"/>
      <c r="M2425" s="49">
        <v>43986</v>
      </c>
      <c r="N2425" s="49" t="s">
        <v>3194</v>
      </c>
      <c r="O2425" s="60">
        <v>3000</v>
      </c>
      <c r="P2425" s="61">
        <v>1</v>
      </c>
      <c r="Q2425" s="51">
        <f>ROUND(O2425*P2425,2)</f>
        <v>3000</v>
      </c>
      <c r="R2425" s="31">
        <v>202310</v>
      </c>
      <c r="S2425" s="58" t="s">
        <v>3195</v>
      </c>
      <c r="T2425" s="33"/>
      <c r="U2425" s="58"/>
      <c r="V2425" s="58"/>
      <c r="W2425" s="63"/>
      <c r="X2425" s="63"/>
      <c r="Y2425" s="36">
        <v>45047</v>
      </c>
      <c r="Z2425" s="36">
        <v>45412</v>
      </c>
      <c r="AA2425" s="36"/>
      <c r="AB2425" s="36"/>
      <c r="AC2425" s="36"/>
      <c r="AD2425" s="36"/>
      <c r="AE2425" s="36"/>
      <c r="AF2425" s="53" t="s">
        <v>68</v>
      </c>
      <c r="AG2425" s="42"/>
      <c r="AH2425" s="42"/>
      <c r="AI2425" s="43"/>
      <c r="AJ2425" s="43"/>
      <c r="AK2425" s="43"/>
      <c r="AL2425" s="43"/>
      <c r="AM2425" s="43"/>
      <c r="AN2425" s="42"/>
      <c r="AO2425" s="42"/>
      <c r="AP2425" s="42"/>
      <c r="AQ2425" s="43" t="s">
        <v>3196</v>
      </c>
      <c r="AR2425" s="42"/>
      <c r="AS2425" s="42"/>
    </row>
    <row r="2426" spans="1:45" ht="15" customHeight="1">
      <c r="A2426" s="56" t="s">
        <v>57</v>
      </c>
      <c r="B2426" s="21" t="s">
        <v>46</v>
      </c>
      <c r="C2426" s="57" t="s">
        <v>58</v>
      </c>
      <c r="D2426" s="22" t="s">
        <v>71</v>
      </c>
      <c r="E2426" s="58" t="s">
        <v>808</v>
      </c>
      <c r="F2426" s="56" t="s">
        <v>809</v>
      </c>
      <c r="G2426" s="26" t="s">
        <v>62</v>
      </c>
      <c r="H2426" s="133" t="s">
        <v>3192</v>
      </c>
      <c r="I2426" s="26" t="s">
        <v>64</v>
      </c>
      <c r="J2426" s="56" t="s">
        <v>3197</v>
      </c>
      <c r="K2426" s="59"/>
      <c r="L2426" s="48"/>
      <c r="M2426" s="49">
        <v>41170</v>
      </c>
      <c r="N2426" s="49" t="s">
        <v>66</v>
      </c>
      <c r="O2426" s="60">
        <v>399</v>
      </c>
      <c r="P2426" s="61">
        <v>15</v>
      </c>
      <c r="Q2426" s="51">
        <f>ROUND(O2426*P2426,2)</f>
        <v>5985</v>
      </c>
      <c r="R2426" s="31">
        <v>202310</v>
      </c>
      <c r="S2426" s="58" t="s">
        <v>3198</v>
      </c>
      <c r="T2426" s="33"/>
      <c r="U2426" s="58"/>
      <c r="V2426" s="58"/>
      <c r="W2426" s="63"/>
      <c r="X2426" s="63"/>
      <c r="Y2426" s="36">
        <v>45047</v>
      </c>
      <c r="Z2426" s="36">
        <v>45412</v>
      </c>
      <c r="AA2426" s="36"/>
      <c r="AB2426" s="36"/>
      <c r="AC2426" s="36"/>
      <c r="AD2426" s="36"/>
      <c r="AE2426" s="36"/>
      <c r="AF2426" s="53" t="s">
        <v>68</v>
      </c>
      <c r="AG2426" s="42"/>
      <c r="AH2426" s="42"/>
      <c r="AI2426" s="43"/>
      <c r="AJ2426" s="43"/>
      <c r="AK2426" s="43"/>
      <c r="AL2426" s="43"/>
      <c r="AM2426" s="43"/>
      <c r="AN2426" s="42"/>
      <c r="AO2426" s="42"/>
      <c r="AP2426" s="42"/>
      <c r="AQ2426" s="43" t="s">
        <v>3196</v>
      </c>
      <c r="AR2426" s="42"/>
      <c r="AS2426" s="42"/>
    </row>
    <row r="2427" spans="1:45" ht="15" customHeight="1">
      <c r="A2427" s="56" t="s">
        <v>57</v>
      </c>
      <c r="B2427" s="21" t="s">
        <v>46</v>
      </c>
      <c r="C2427" s="57" t="s">
        <v>58</v>
      </c>
      <c r="D2427" s="22" t="s">
        <v>71</v>
      </c>
      <c r="E2427" s="58" t="s">
        <v>808</v>
      </c>
      <c r="F2427" s="56" t="s">
        <v>809</v>
      </c>
      <c r="G2427" s="26" t="s">
        <v>62</v>
      </c>
      <c r="H2427" s="133" t="s">
        <v>3192</v>
      </c>
      <c r="I2427" s="26" t="s">
        <v>64</v>
      </c>
      <c r="J2427" s="56" t="s">
        <v>3199</v>
      </c>
      <c r="K2427" s="59"/>
      <c r="L2427" s="48"/>
      <c r="M2427" s="49">
        <v>41170</v>
      </c>
      <c r="N2427" s="49" t="s">
        <v>66</v>
      </c>
      <c r="O2427" s="60">
        <v>880</v>
      </c>
      <c r="P2427" s="61">
        <v>0.5</v>
      </c>
      <c r="Q2427" s="51">
        <f>ROUND(O2427*1,2)</f>
        <v>880</v>
      </c>
      <c r="R2427" s="31">
        <v>202310</v>
      </c>
      <c r="S2427" s="58" t="s">
        <v>3200</v>
      </c>
      <c r="T2427" s="33"/>
      <c r="U2427" s="58"/>
      <c r="V2427" s="58"/>
      <c r="W2427" s="63"/>
      <c r="X2427" s="63"/>
      <c r="Y2427" s="36">
        <v>45047</v>
      </c>
      <c r="Z2427" s="36">
        <v>45412</v>
      </c>
      <c r="AA2427" s="36"/>
      <c r="AB2427" s="36"/>
      <c r="AC2427" s="36"/>
      <c r="AD2427" s="36"/>
      <c r="AE2427" s="36"/>
      <c r="AF2427" s="53" t="s">
        <v>68</v>
      </c>
      <c r="AG2427" s="42"/>
      <c r="AH2427" s="42"/>
      <c r="AI2427" s="43"/>
      <c r="AJ2427" s="43"/>
      <c r="AK2427" s="43"/>
      <c r="AL2427" s="43"/>
      <c r="AM2427" s="43"/>
      <c r="AN2427" s="42"/>
      <c r="AO2427" s="42"/>
      <c r="AP2427" s="42"/>
      <c r="AQ2427" s="43" t="s">
        <v>3196</v>
      </c>
      <c r="AR2427" s="42"/>
      <c r="AS2427" s="42"/>
    </row>
    <row r="2428" spans="1:45" ht="15" customHeight="1">
      <c r="A2428" s="56" t="s">
        <v>57</v>
      </c>
      <c r="B2428" s="21" t="s">
        <v>46</v>
      </c>
      <c r="C2428" s="57" t="s">
        <v>58</v>
      </c>
      <c r="D2428" s="22" t="s">
        <v>71</v>
      </c>
      <c r="E2428" s="58" t="s">
        <v>808</v>
      </c>
      <c r="F2428" s="56" t="s">
        <v>809</v>
      </c>
      <c r="G2428" s="26" t="s">
        <v>62</v>
      </c>
      <c r="H2428" s="133" t="s">
        <v>3192</v>
      </c>
      <c r="I2428" s="26" t="s">
        <v>64</v>
      </c>
      <c r="J2428" s="56" t="s">
        <v>3201</v>
      </c>
      <c r="K2428" s="59"/>
      <c r="L2428" s="48"/>
      <c r="M2428" s="49">
        <v>40360</v>
      </c>
      <c r="N2428" s="49" t="s">
        <v>66</v>
      </c>
      <c r="O2428" s="60">
        <v>399</v>
      </c>
      <c r="P2428" s="61">
        <v>26.5</v>
      </c>
      <c r="Q2428" s="51">
        <f t="shared" ref="Q2428:Q2491" si="58">ROUND(O2428*P2428,2)</f>
        <v>10573.5</v>
      </c>
      <c r="R2428" s="31">
        <v>202310</v>
      </c>
      <c r="S2428" s="58" t="s">
        <v>3202</v>
      </c>
      <c r="T2428" s="33"/>
      <c r="U2428" s="58"/>
      <c r="V2428" s="58"/>
      <c r="W2428" s="63"/>
      <c r="X2428" s="63"/>
      <c r="Y2428" s="36">
        <v>45047</v>
      </c>
      <c r="Z2428" s="36">
        <v>45412</v>
      </c>
      <c r="AA2428" s="36"/>
      <c r="AB2428" s="36"/>
      <c r="AC2428" s="36"/>
      <c r="AD2428" s="36"/>
      <c r="AE2428" s="36"/>
      <c r="AF2428" s="53" t="s">
        <v>68</v>
      </c>
      <c r="AG2428" s="42"/>
      <c r="AH2428" s="42"/>
      <c r="AI2428" s="43"/>
      <c r="AJ2428" s="43"/>
      <c r="AK2428" s="43"/>
      <c r="AL2428" s="43"/>
      <c r="AM2428" s="43"/>
      <c r="AN2428" s="42"/>
      <c r="AO2428" s="42"/>
      <c r="AP2428" s="42"/>
      <c r="AQ2428" s="43" t="s">
        <v>3196</v>
      </c>
      <c r="AR2428" s="42"/>
      <c r="AS2428" s="42"/>
    </row>
    <row r="2429" spans="1:45" ht="15" customHeight="1">
      <c r="A2429" s="56" t="s">
        <v>57</v>
      </c>
      <c r="B2429" s="21" t="s">
        <v>46</v>
      </c>
      <c r="C2429" s="57" t="s">
        <v>58</v>
      </c>
      <c r="D2429" s="22" t="s">
        <v>71</v>
      </c>
      <c r="E2429" s="58" t="s">
        <v>808</v>
      </c>
      <c r="F2429" s="56" t="s">
        <v>809</v>
      </c>
      <c r="G2429" s="26" t="s">
        <v>62</v>
      </c>
      <c r="H2429" s="133" t="s">
        <v>3192</v>
      </c>
      <c r="I2429" s="26" t="s">
        <v>64</v>
      </c>
      <c r="J2429" s="56" t="s">
        <v>3203</v>
      </c>
      <c r="K2429" s="59"/>
      <c r="L2429" s="48"/>
      <c r="M2429" s="49">
        <v>40360</v>
      </c>
      <c r="N2429" s="49" t="s">
        <v>66</v>
      </c>
      <c r="O2429" s="60">
        <v>880</v>
      </c>
      <c r="P2429" s="61">
        <v>2.5</v>
      </c>
      <c r="Q2429" s="51">
        <f t="shared" si="58"/>
        <v>2200</v>
      </c>
      <c r="R2429" s="31">
        <v>202310</v>
      </c>
      <c r="S2429" s="58" t="s">
        <v>3204</v>
      </c>
      <c r="T2429" s="33"/>
      <c r="U2429" s="58"/>
      <c r="V2429" s="58"/>
      <c r="W2429" s="63"/>
      <c r="X2429" s="63"/>
      <c r="Y2429" s="36">
        <v>45047</v>
      </c>
      <c r="Z2429" s="36">
        <v>45412</v>
      </c>
      <c r="AA2429" s="36"/>
      <c r="AB2429" s="36"/>
      <c r="AC2429" s="36"/>
      <c r="AD2429" s="36"/>
      <c r="AE2429" s="36"/>
      <c r="AF2429" s="53" t="s">
        <v>68</v>
      </c>
      <c r="AG2429" s="42"/>
      <c r="AH2429" s="42"/>
      <c r="AI2429" s="43"/>
      <c r="AJ2429" s="43"/>
      <c r="AK2429" s="43"/>
      <c r="AL2429" s="43"/>
      <c r="AM2429" s="43"/>
      <c r="AN2429" s="42"/>
      <c r="AO2429" s="42"/>
      <c r="AP2429" s="42"/>
      <c r="AQ2429" s="43" t="s">
        <v>3196</v>
      </c>
      <c r="AR2429" s="42"/>
      <c r="AS2429" s="42"/>
    </row>
    <row r="2430" spans="1:45" ht="15" customHeight="1">
      <c r="A2430" s="56" t="s">
        <v>57</v>
      </c>
      <c r="B2430" s="21" t="s">
        <v>46</v>
      </c>
      <c r="C2430" s="57" t="s">
        <v>58</v>
      </c>
      <c r="D2430" s="22" t="s">
        <v>71</v>
      </c>
      <c r="E2430" s="58" t="s">
        <v>808</v>
      </c>
      <c r="F2430" s="56" t="s">
        <v>809</v>
      </c>
      <c r="G2430" s="26" t="s">
        <v>62</v>
      </c>
      <c r="H2430" s="133" t="s">
        <v>3192</v>
      </c>
      <c r="I2430" s="26" t="s">
        <v>64</v>
      </c>
      <c r="J2430" s="56" t="s">
        <v>3205</v>
      </c>
      <c r="K2430" s="59"/>
      <c r="L2430" s="48"/>
      <c r="M2430" s="49">
        <v>40817</v>
      </c>
      <c r="N2430" s="49" t="s">
        <v>66</v>
      </c>
      <c r="O2430" s="60">
        <v>399</v>
      </c>
      <c r="P2430" s="61">
        <v>69</v>
      </c>
      <c r="Q2430" s="51">
        <f t="shared" si="58"/>
        <v>27531</v>
      </c>
      <c r="R2430" s="31">
        <v>202310</v>
      </c>
      <c r="S2430" s="58" t="s">
        <v>3206</v>
      </c>
      <c r="T2430" s="33"/>
      <c r="U2430" s="58"/>
      <c r="V2430" s="58"/>
      <c r="W2430" s="63"/>
      <c r="X2430" s="63"/>
      <c r="Y2430" s="36">
        <v>45047</v>
      </c>
      <c r="Z2430" s="36">
        <v>45412</v>
      </c>
      <c r="AA2430" s="36"/>
      <c r="AB2430" s="36"/>
      <c r="AC2430" s="36"/>
      <c r="AD2430" s="36"/>
      <c r="AE2430" s="36"/>
      <c r="AF2430" s="53" t="s">
        <v>68</v>
      </c>
      <c r="AG2430" s="42"/>
      <c r="AH2430" s="42"/>
      <c r="AI2430" s="43"/>
      <c r="AJ2430" s="43"/>
      <c r="AK2430" s="43"/>
      <c r="AL2430" s="43"/>
      <c r="AM2430" s="43"/>
      <c r="AN2430" s="42"/>
      <c r="AO2430" s="42"/>
      <c r="AP2430" s="42"/>
      <c r="AQ2430" s="43" t="s">
        <v>3196</v>
      </c>
      <c r="AR2430" s="42"/>
      <c r="AS2430" s="42"/>
    </row>
    <row r="2431" spans="1:45" ht="15" customHeight="1">
      <c r="A2431" s="56" t="s">
        <v>57</v>
      </c>
      <c r="B2431" s="21" t="s">
        <v>46</v>
      </c>
      <c r="C2431" s="57" t="s">
        <v>58</v>
      </c>
      <c r="D2431" s="22" t="s">
        <v>71</v>
      </c>
      <c r="E2431" s="58" t="s">
        <v>808</v>
      </c>
      <c r="F2431" s="56" t="s">
        <v>809</v>
      </c>
      <c r="G2431" s="26" t="s">
        <v>62</v>
      </c>
      <c r="H2431" s="133" t="s">
        <v>3192</v>
      </c>
      <c r="I2431" s="26" t="s">
        <v>64</v>
      </c>
      <c r="J2431" s="56" t="s">
        <v>3207</v>
      </c>
      <c r="K2431" s="59"/>
      <c r="L2431" s="48"/>
      <c r="M2431" s="49">
        <v>40817</v>
      </c>
      <c r="N2431" s="49" t="s">
        <v>66</v>
      </c>
      <c r="O2431" s="60">
        <v>399</v>
      </c>
      <c r="P2431" s="61">
        <v>72</v>
      </c>
      <c r="Q2431" s="51">
        <f t="shared" si="58"/>
        <v>28728</v>
      </c>
      <c r="R2431" s="31">
        <v>202310</v>
      </c>
      <c r="S2431" s="58" t="s">
        <v>3208</v>
      </c>
      <c r="T2431" s="33"/>
      <c r="U2431" s="58"/>
      <c r="V2431" s="58"/>
      <c r="W2431" s="63"/>
      <c r="X2431" s="63"/>
      <c r="Y2431" s="36">
        <v>45047</v>
      </c>
      <c r="Z2431" s="36">
        <v>45412</v>
      </c>
      <c r="AA2431" s="36"/>
      <c r="AB2431" s="36"/>
      <c r="AC2431" s="36"/>
      <c r="AD2431" s="36"/>
      <c r="AE2431" s="36"/>
      <c r="AF2431" s="53" t="s">
        <v>68</v>
      </c>
      <c r="AG2431" s="42"/>
      <c r="AH2431" s="42"/>
      <c r="AI2431" s="43"/>
      <c r="AJ2431" s="43"/>
      <c r="AK2431" s="43"/>
      <c r="AL2431" s="43"/>
      <c r="AM2431" s="43"/>
      <c r="AN2431" s="42"/>
      <c r="AO2431" s="42"/>
      <c r="AP2431" s="42"/>
      <c r="AQ2431" s="43" t="s">
        <v>3196</v>
      </c>
      <c r="AR2431" s="42"/>
      <c r="AS2431" s="42"/>
    </row>
    <row r="2432" spans="1:45" ht="15" customHeight="1">
      <c r="A2432" s="56" t="s">
        <v>57</v>
      </c>
      <c r="B2432" s="21" t="s">
        <v>46</v>
      </c>
      <c r="C2432" s="57" t="s">
        <v>58</v>
      </c>
      <c r="D2432" s="22" t="s">
        <v>71</v>
      </c>
      <c r="E2432" s="58" t="s">
        <v>808</v>
      </c>
      <c r="F2432" s="56" t="s">
        <v>809</v>
      </c>
      <c r="G2432" s="26" t="s">
        <v>62</v>
      </c>
      <c r="H2432" s="133" t="s">
        <v>3192</v>
      </c>
      <c r="I2432" s="26" t="s">
        <v>64</v>
      </c>
      <c r="J2432" s="56" t="s">
        <v>3209</v>
      </c>
      <c r="K2432" s="59"/>
      <c r="L2432" s="48"/>
      <c r="M2432" s="49">
        <v>40817</v>
      </c>
      <c r="N2432" s="49" t="s">
        <v>66</v>
      </c>
      <c r="O2432" s="60">
        <v>399</v>
      </c>
      <c r="P2432" s="61">
        <v>57</v>
      </c>
      <c r="Q2432" s="51">
        <f t="shared" si="58"/>
        <v>22743</v>
      </c>
      <c r="R2432" s="31">
        <v>202310</v>
      </c>
      <c r="S2432" s="58" t="s">
        <v>3210</v>
      </c>
      <c r="T2432" s="33"/>
      <c r="U2432" s="58"/>
      <c r="V2432" s="58"/>
      <c r="W2432" s="63"/>
      <c r="X2432" s="63"/>
      <c r="Y2432" s="36">
        <v>45047</v>
      </c>
      <c r="Z2432" s="36">
        <v>45412</v>
      </c>
      <c r="AA2432" s="36"/>
      <c r="AB2432" s="36"/>
      <c r="AC2432" s="36"/>
      <c r="AD2432" s="36"/>
      <c r="AE2432" s="36"/>
      <c r="AF2432" s="53" t="s">
        <v>68</v>
      </c>
      <c r="AG2432" s="42"/>
      <c r="AH2432" s="42"/>
      <c r="AI2432" s="43"/>
      <c r="AJ2432" s="43"/>
      <c r="AK2432" s="43"/>
      <c r="AL2432" s="43"/>
      <c r="AM2432" s="43"/>
      <c r="AN2432" s="42"/>
      <c r="AO2432" s="42"/>
      <c r="AP2432" s="42"/>
      <c r="AQ2432" s="43" t="s">
        <v>3196</v>
      </c>
      <c r="AR2432" s="42"/>
      <c r="AS2432" s="42"/>
    </row>
    <row r="2433" spans="1:45" ht="15" customHeight="1">
      <c r="A2433" s="56" t="s">
        <v>57</v>
      </c>
      <c r="B2433" s="21" t="s">
        <v>46</v>
      </c>
      <c r="C2433" s="57" t="s">
        <v>58</v>
      </c>
      <c r="D2433" s="22" t="s">
        <v>71</v>
      </c>
      <c r="E2433" s="58" t="s">
        <v>808</v>
      </c>
      <c r="F2433" s="56" t="s">
        <v>809</v>
      </c>
      <c r="G2433" s="26" t="s">
        <v>62</v>
      </c>
      <c r="H2433" s="133" t="s">
        <v>3192</v>
      </c>
      <c r="I2433" s="26" t="s">
        <v>64</v>
      </c>
      <c r="J2433" s="56" t="s">
        <v>3211</v>
      </c>
      <c r="K2433" s="59"/>
      <c r="L2433" s="48"/>
      <c r="M2433" s="49">
        <v>43824</v>
      </c>
      <c r="N2433" s="49" t="s">
        <v>66</v>
      </c>
      <c r="O2433" s="60">
        <v>399</v>
      </c>
      <c r="P2433" s="61">
        <v>17.8</v>
      </c>
      <c r="Q2433" s="51">
        <f t="shared" si="58"/>
        <v>7102.2</v>
      </c>
      <c r="R2433" s="31">
        <v>202310</v>
      </c>
      <c r="S2433" s="58" t="s">
        <v>3212</v>
      </c>
      <c r="T2433" s="33"/>
      <c r="U2433" s="58"/>
      <c r="V2433" s="58"/>
      <c r="W2433" s="63"/>
      <c r="X2433" s="63"/>
      <c r="Y2433" s="36">
        <v>45047</v>
      </c>
      <c r="Z2433" s="36">
        <v>45412</v>
      </c>
      <c r="AA2433" s="36"/>
      <c r="AB2433" s="36"/>
      <c r="AC2433" s="36"/>
      <c r="AD2433" s="36"/>
      <c r="AE2433" s="36"/>
      <c r="AF2433" s="53" t="s">
        <v>68</v>
      </c>
      <c r="AG2433" s="42"/>
      <c r="AH2433" s="42"/>
      <c r="AI2433" s="43"/>
      <c r="AJ2433" s="43"/>
      <c r="AK2433" s="43"/>
      <c r="AL2433" s="43"/>
      <c r="AM2433" s="43"/>
      <c r="AN2433" s="42"/>
      <c r="AO2433" s="42"/>
      <c r="AP2433" s="42"/>
      <c r="AQ2433" s="43" t="s">
        <v>3196</v>
      </c>
      <c r="AR2433" s="42"/>
      <c r="AS2433" s="42"/>
    </row>
    <row r="2434" spans="1:45" ht="15" customHeight="1">
      <c r="A2434" s="56" t="s">
        <v>57</v>
      </c>
      <c r="B2434" s="21" t="s">
        <v>46</v>
      </c>
      <c r="C2434" s="57" t="s">
        <v>58</v>
      </c>
      <c r="D2434" s="22" t="s">
        <v>71</v>
      </c>
      <c r="E2434" s="58" t="s">
        <v>808</v>
      </c>
      <c r="F2434" s="56" t="s">
        <v>809</v>
      </c>
      <c r="G2434" s="26" t="s">
        <v>62</v>
      </c>
      <c r="H2434" s="133" t="s">
        <v>3192</v>
      </c>
      <c r="I2434" s="26" t="s">
        <v>64</v>
      </c>
      <c r="J2434" s="56" t="s">
        <v>3213</v>
      </c>
      <c r="K2434" s="59"/>
      <c r="L2434" s="48"/>
      <c r="M2434" s="49">
        <v>43824</v>
      </c>
      <c r="N2434" s="49" t="s">
        <v>66</v>
      </c>
      <c r="O2434" s="60">
        <v>399</v>
      </c>
      <c r="P2434" s="61">
        <v>36.700000000000003</v>
      </c>
      <c r="Q2434" s="51">
        <f t="shared" si="58"/>
        <v>14643.3</v>
      </c>
      <c r="R2434" s="31">
        <v>202310</v>
      </c>
      <c r="S2434" s="58" t="s">
        <v>3214</v>
      </c>
      <c r="T2434" s="33"/>
      <c r="U2434" s="58"/>
      <c r="V2434" s="58"/>
      <c r="W2434" s="63"/>
      <c r="X2434" s="63"/>
      <c r="Y2434" s="36">
        <v>45047</v>
      </c>
      <c r="Z2434" s="36">
        <v>45412</v>
      </c>
      <c r="AA2434" s="36"/>
      <c r="AB2434" s="36"/>
      <c r="AC2434" s="36"/>
      <c r="AD2434" s="36"/>
      <c r="AE2434" s="36"/>
      <c r="AF2434" s="53" t="s">
        <v>68</v>
      </c>
      <c r="AG2434" s="42"/>
      <c r="AH2434" s="42"/>
      <c r="AI2434" s="43"/>
      <c r="AJ2434" s="43"/>
      <c r="AK2434" s="43"/>
      <c r="AL2434" s="43"/>
      <c r="AM2434" s="43"/>
      <c r="AN2434" s="42"/>
      <c r="AO2434" s="42"/>
      <c r="AP2434" s="42"/>
      <c r="AQ2434" s="43" t="s">
        <v>3196</v>
      </c>
      <c r="AR2434" s="42"/>
      <c r="AS2434" s="42"/>
    </row>
    <row r="2435" spans="1:45" ht="15" customHeight="1">
      <c r="A2435" s="56" t="s">
        <v>57</v>
      </c>
      <c r="B2435" s="21" t="s">
        <v>46</v>
      </c>
      <c r="C2435" s="57" t="s">
        <v>58</v>
      </c>
      <c r="D2435" s="22" t="s">
        <v>71</v>
      </c>
      <c r="E2435" s="58" t="s">
        <v>808</v>
      </c>
      <c r="F2435" s="56" t="s">
        <v>809</v>
      </c>
      <c r="G2435" s="26" t="s">
        <v>62</v>
      </c>
      <c r="H2435" s="133" t="s">
        <v>3192</v>
      </c>
      <c r="I2435" s="26" t="s">
        <v>64</v>
      </c>
      <c r="J2435" s="56" t="s">
        <v>3215</v>
      </c>
      <c r="K2435" s="59"/>
      <c r="L2435" s="48"/>
      <c r="M2435" s="49">
        <v>43824</v>
      </c>
      <c r="N2435" s="49" t="s">
        <v>66</v>
      </c>
      <c r="O2435" s="60">
        <v>399</v>
      </c>
      <c r="P2435" s="61">
        <v>5.7</v>
      </c>
      <c r="Q2435" s="51">
        <f t="shared" si="58"/>
        <v>2274.3000000000002</v>
      </c>
      <c r="R2435" s="31">
        <v>202310</v>
      </c>
      <c r="S2435" s="58" t="s">
        <v>3216</v>
      </c>
      <c r="T2435" s="33"/>
      <c r="U2435" s="58"/>
      <c r="V2435" s="58"/>
      <c r="W2435" s="63"/>
      <c r="X2435" s="63"/>
      <c r="Y2435" s="36">
        <v>45047</v>
      </c>
      <c r="Z2435" s="36">
        <v>45412</v>
      </c>
      <c r="AA2435" s="36"/>
      <c r="AB2435" s="36"/>
      <c r="AC2435" s="36"/>
      <c r="AD2435" s="36"/>
      <c r="AE2435" s="36"/>
      <c r="AF2435" s="53" t="s">
        <v>68</v>
      </c>
      <c r="AG2435" s="42"/>
      <c r="AH2435" s="42"/>
      <c r="AI2435" s="43"/>
      <c r="AJ2435" s="43"/>
      <c r="AK2435" s="43"/>
      <c r="AL2435" s="43"/>
      <c r="AM2435" s="43"/>
      <c r="AN2435" s="42"/>
      <c r="AO2435" s="42"/>
      <c r="AP2435" s="42"/>
      <c r="AQ2435" s="43" t="s">
        <v>3196</v>
      </c>
      <c r="AR2435" s="42"/>
      <c r="AS2435" s="42"/>
    </row>
    <row r="2436" spans="1:45" ht="15" customHeight="1">
      <c r="A2436" s="56" t="s">
        <v>57</v>
      </c>
      <c r="B2436" s="21" t="s">
        <v>46</v>
      </c>
      <c r="C2436" s="57" t="s">
        <v>58</v>
      </c>
      <c r="D2436" s="22" t="s">
        <v>71</v>
      </c>
      <c r="E2436" s="58" t="s">
        <v>808</v>
      </c>
      <c r="F2436" s="56" t="s">
        <v>809</v>
      </c>
      <c r="G2436" s="26" t="s">
        <v>62</v>
      </c>
      <c r="H2436" s="133" t="s">
        <v>3192</v>
      </c>
      <c r="I2436" s="26" t="s">
        <v>64</v>
      </c>
      <c r="J2436" s="56" t="s">
        <v>3217</v>
      </c>
      <c r="K2436" s="59"/>
      <c r="L2436" s="48"/>
      <c r="M2436" s="49">
        <v>43824</v>
      </c>
      <c r="N2436" s="49" t="s">
        <v>66</v>
      </c>
      <c r="O2436" s="60">
        <v>399</v>
      </c>
      <c r="P2436" s="61">
        <v>11.2</v>
      </c>
      <c r="Q2436" s="51">
        <f t="shared" si="58"/>
        <v>4468.8</v>
      </c>
      <c r="R2436" s="31">
        <v>202310</v>
      </c>
      <c r="S2436" s="58" t="s">
        <v>3218</v>
      </c>
      <c r="T2436" s="33"/>
      <c r="U2436" s="58"/>
      <c r="V2436" s="58"/>
      <c r="W2436" s="63"/>
      <c r="X2436" s="63"/>
      <c r="Y2436" s="36">
        <v>45047</v>
      </c>
      <c r="Z2436" s="36">
        <v>45412</v>
      </c>
      <c r="AA2436" s="36"/>
      <c r="AB2436" s="36"/>
      <c r="AC2436" s="36"/>
      <c r="AD2436" s="36"/>
      <c r="AE2436" s="36"/>
      <c r="AF2436" s="53" t="s">
        <v>68</v>
      </c>
      <c r="AG2436" s="42"/>
      <c r="AH2436" s="42"/>
      <c r="AI2436" s="43"/>
      <c r="AJ2436" s="43"/>
      <c r="AK2436" s="43"/>
      <c r="AL2436" s="43"/>
      <c r="AM2436" s="43"/>
      <c r="AN2436" s="42"/>
      <c r="AO2436" s="42"/>
      <c r="AP2436" s="42"/>
      <c r="AQ2436" s="43" t="s">
        <v>3196</v>
      </c>
      <c r="AR2436" s="42"/>
      <c r="AS2436" s="42"/>
    </row>
    <row r="2437" spans="1:45" ht="15" customHeight="1">
      <c r="A2437" s="56" t="s">
        <v>57</v>
      </c>
      <c r="B2437" s="21" t="s">
        <v>46</v>
      </c>
      <c r="C2437" s="57" t="s">
        <v>58</v>
      </c>
      <c r="D2437" s="22" t="s">
        <v>71</v>
      </c>
      <c r="E2437" s="58" t="s">
        <v>808</v>
      </c>
      <c r="F2437" s="56" t="s">
        <v>809</v>
      </c>
      <c r="G2437" s="26" t="s">
        <v>114</v>
      </c>
      <c r="H2437" s="25" t="s">
        <v>3219</v>
      </c>
      <c r="I2437" s="26" t="s">
        <v>114</v>
      </c>
      <c r="J2437" s="56" t="s">
        <v>3220</v>
      </c>
      <c r="K2437" s="59"/>
      <c r="L2437" s="48"/>
      <c r="M2437" s="49">
        <v>43983</v>
      </c>
      <c r="N2437" s="49" t="s">
        <v>3221</v>
      </c>
      <c r="O2437" s="60">
        <v>594400</v>
      </c>
      <c r="P2437" s="61">
        <v>1</v>
      </c>
      <c r="Q2437" s="51">
        <f t="shared" si="58"/>
        <v>594400</v>
      </c>
      <c r="R2437" s="31">
        <v>202310</v>
      </c>
      <c r="S2437" s="58" t="s">
        <v>3222</v>
      </c>
      <c r="T2437" s="33"/>
      <c r="U2437" s="58"/>
      <c r="V2437" s="58"/>
      <c r="W2437" s="63"/>
      <c r="X2437" s="63"/>
      <c r="Y2437" s="36">
        <v>43983</v>
      </c>
      <c r="Z2437" s="36">
        <v>45508</v>
      </c>
      <c r="AA2437" s="36"/>
      <c r="AB2437" s="36"/>
      <c r="AC2437" s="36"/>
      <c r="AD2437" s="36"/>
      <c r="AE2437" s="36"/>
      <c r="AF2437" s="53" t="s">
        <v>68</v>
      </c>
      <c r="AG2437" s="42"/>
      <c r="AH2437" s="42"/>
      <c r="AI2437" s="43"/>
      <c r="AJ2437" s="43"/>
      <c r="AK2437" s="43"/>
      <c r="AL2437" s="43"/>
      <c r="AM2437" s="43"/>
      <c r="AN2437" s="42"/>
      <c r="AO2437" s="42"/>
      <c r="AP2437" s="42"/>
      <c r="AQ2437" s="43"/>
      <c r="AR2437" s="42"/>
      <c r="AS2437" s="42"/>
    </row>
    <row r="2438" spans="1:45" ht="15" customHeight="1">
      <c r="A2438" s="56" t="s">
        <v>57</v>
      </c>
      <c r="B2438" s="21" t="s">
        <v>46</v>
      </c>
      <c r="C2438" s="57" t="s">
        <v>58</v>
      </c>
      <c r="D2438" s="22" t="s">
        <v>71</v>
      </c>
      <c r="E2438" s="58" t="s">
        <v>808</v>
      </c>
      <c r="F2438" s="56" t="s">
        <v>809</v>
      </c>
      <c r="G2438" s="26" t="s">
        <v>114</v>
      </c>
      <c r="H2438" s="25" t="s">
        <v>3223</v>
      </c>
      <c r="I2438" s="26" t="s">
        <v>114</v>
      </c>
      <c r="J2438" s="56" t="s">
        <v>3224</v>
      </c>
      <c r="K2438" s="59"/>
      <c r="L2438" s="48"/>
      <c r="M2438" s="49">
        <v>43983</v>
      </c>
      <c r="N2438" s="49" t="s">
        <v>3225</v>
      </c>
      <c r="O2438" s="60">
        <v>29898</v>
      </c>
      <c r="P2438" s="61">
        <v>1</v>
      </c>
      <c r="Q2438" s="51">
        <f t="shared" si="58"/>
        <v>29898</v>
      </c>
      <c r="R2438" s="31">
        <v>202310</v>
      </c>
      <c r="S2438" s="58" t="s">
        <v>3226</v>
      </c>
      <c r="T2438" s="33"/>
      <c r="U2438" s="58"/>
      <c r="V2438" s="58"/>
      <c r="W2438" s="63"/>
      <c r="X2438" s="63"/>
      <c r="Y2438" s="36">
        <v>43983</v>
      </c>
      <c r="Z2438" s="36">
        <v>45508</v>
      </c>
      <c r="AA2438" s="36"/>
      <c r="AB2438" s="36"/>
      <c r="AC2438" s="36"/>
      <c r="AD2438" s="36"/>
      <c r="AE2438" s="36"/>
      <c r="AF2438" s="53" t="s">
        <v>68</v>
      </c>
      <c r="AG2438" s="42"/>
      <c r="AH2438" s="42"/>
      <c r="AI2438" s="43"/>
      <c r="AJ2438" s="43"/>
      <c r="AK2438" s="43"/>
      <c r="AL2438" s="43"/>
      <c r="AM2438" s="43"/>
      <c r="AN2438" s="42"/>
      <c r="AO2438" s="42"/>
      <c r="AP2438" s="42"/>
      <c r="AQ2438" s="43"/>
      <c r="AR2438" s="42"/>
      <c r="AS2438" s="42"/>
    </row>
    <row r="2439" spans="1:45" ht="15" customHeight="1">
      <c r="A2439" s="56" t="s">
        <v>57</v>
      </c>
      <c r="B2439" s="21" t="s">
        <v>46</v>
      </c>
      <c r="C2439" s="57" t="s">
        <v>58</v>
      </c>
      <c r="D2439" s="22" t="s">
        <v>71</v>
      </c>
      <c r="E2439" s="58" t="s">
        <v>808</v>
      </c>
      <c r="F2439" s="56" t="s">
        <v>809</v>
      </c>
      <c r="G2439" s="26" t="s">
        <v>114</v>
      </c>
      <c r="H2439" s="25" t="s">
        <v>3227</v>
      </c>
      <c r="I2439" s="26" t="s">
        <v>114</v>
      </c>
      <c r="J2439" s="56" t="s">
        <v>3228</v>
      </c>
      <c r="K2439" s="59"/>
      <c r="L2439" s="48"/>
      <c r="M2439" s="49">
        <v>44136</v>
      </c>
      <c r="N2439" s="49" t="s">
        <v>3229</v>
      </c>
      <c r="O2439" s="60">
        <v>235840</v>
      </c>
      <c r="P2439" s="61">
        <v>1</v>
      </c>
      <c r="Q2439" s="51">
        <f t="shared" si="58"/>
        <v>235840</v>
      </c>
      <c r="R2439" s="31">
        <v>202310</v>
      </c>
      <c r="S2439" s="58" t="s">
        <v>3230</v>
      </c>
      <c r="T2439" s="33"/>
      <c r="U2439" s="58"/>
      <c r="V2439" s="58"/>
      <c r="W2439" s="63"/>
      <c r="X2439" s="63"/>
      <c r="Y2439" s="36">
        <v>44136</v>
      </c>
      <c r="Z2439" s="36">
        <v>45508</v>
      </c>
      <c r="AA2439" s="36"/>
      <c r="AB2439" s="36"/>
      <c r="AC2439" s="36"/>
      <c r="AD2439" s="36"/>
      <c r="AE2439" s="36"/>
      <c r="AF2439" s="53" t="s">
        <v>68</v>
      </c>
      <c r="AG2439" s="42"/>
      <c r="AH2439" s="42"/>
      <c r="AI2439" s="43"/>
      <c r="AJ2439" s="43"/>
      <c r="AK2439" s="43"/>
      <c r="AL2439" s="43"/>
      <c r="AM2439" s="43"/>
      <c r="AN2439" s="42"/>
      <c r="AO2439" s="42"/>
      <c r="AP2439" s="42"/>
      <c r="AQ2439" s="43"/>
      <c r="AR2439" s="42"/>
      <c r="AS2439" s="42"/>
    </row>
    <row r="2440" spans="1:45" ht="15" customHeight="1">
      <c r="A2440" s="56" t="s">
        <v>57</v>
      </c>
      <c r="B2440" s="21" t="s">
        <v>46</v>
      </c>
      <c r="C2440" s="57" t="s">
        <v>58</v>
      </c>
      <c r="D2440" s="22" t="s">
        <v>71</v>
      </c>
      <c r="E2440" s="58" t="s">
        <v>808</v>
      </c>
      <c r="F2440" s="56" t="s">
        <v>809</v>
      </c>
      <c r="G2440" s="26" t="s">
        <v>114</v>
      </c>
      <c r="H2440" s="25" t="s">
        <v>3231</v>
      </c>
      <c r="I2440" s="26" t="s">
        <v>114</v>
      </c>
      <c r="J2440" s="56" t="s">
        <v>3232</v>
      </c>
      <c r="K2440" s="59"/>
      <c r="L2440" s="48"/>
      <c r="M2440" s="49">
        <v>44013</v>
      </c>
      <c r="N2440" s="49" t="s">
        <v>3233</v>
      </c>
      <c r="O2440" s="60">
        <v>1474128</v>
      </c>
      <c r="P2440" s="61">
        <v>1</v>
      </c>
      <c r="Q2440" s="51">
        <f t="shared" si="58"/>
        <v>1474128</v>
      </c>
      <c r="R2440" s="31">
        <v>202310</v>
      </c>
      <c r="S2440" s="58" t="s">
        <v>3234</v>
      </c>
      <c r="T2440" s="33"/>
      <c r="U2440" s="58"/>
      <c r="V2440" s="58"/>
      <c r="W2440" s="63"/>
      <c r="X2440" s="63"/>
      <c r="Y2440" s="36">
        <v>44013</v>
      </c>
      <c r="Z2440" s="36">
        <v>45508</v>
      </c>
      <c r="AA2440" s="36"/>
      <c r="AB2440" s="36"/>
      <c r="AC2440" s="36"/>
      <c r="AD2440" s="36"/>
      <c r="AE2440" s="36"/>
      <c r="AF2440" s="53" t="s">
        <v>68</v>
      </c>
      <c r="AG2440" s="42"/>
      <c r="AH2440" s="42"/>
      <c r="AI2440" s="43"/>
      <c r="AJ2440" s="43"/>
      <c r="AK2440" s="43"/>
      <c r="AL2440" s="43"/>
      <c r="AM2440" s="43"/>
      <c r="AN2440" s="42"/>
      <c r="AO2440" s="42"/>
      <c r="AP2440" s="42"/>
      <c r="AQ2440" s="43"/>
      <c r="AR2440" s="42"/>
      <c r="AS2440" s="42"/>
    </row>
    <row r="2441" spans="1:45" ht="15" customHeight="1">
      <c r="A2441" s="56" t="s">
        <v>57</v>
      </c>
      <c r="B2441" s="21" t="s">
        <v>46</v>
      </c>
      <c r="C2441" s="57" t="s">
        <v>58</v>
      </c>
      <c r="D2441" s="22" t="s">
        <v>71</v>
      </c>
      <c r="E2441" s="58" t="s">
        <v>808</v>
      </c>
      <c r="F2441" s="56" t="s">
        <v>809</v>
      </c>
      <c r="G2441" s="26" t="s">
        <v>114</v>
      </c>
      <c r="H2441" s="25" t="s">
        <v>3235</v>
      </c>
      <c r="I2441" s="26" t="s">
        <v>114</v>
      </c>
      <c r="J2441" s="56" t="s">
        <v>3236</v>
      </c>
      <c r="K2441" s="59"/>
      <c r="L2441" s="48"/>
      <c r="M2441" s="49">
        <v>44141</v>
      </c>
      <c r="N2441" s="49" t="s">
        <v>3237</v>
      </c>
      <c r="O2441" s="60">
        <v>742520</v>
      </c>
      <c r="P2441" s="61">
        <v>1</v>
      </c>
      <c r="Q2441" s="51">
        <f t="shared" si="58"/>
        <v>742520</v>
      </c>
      <c r="R2441" s="31">
        <v>202310</v>
      </c>
      <c r="S2441" s="58" t="s">
        <v>3238</v>
      </c>
      <c r="T2441" s="33"/>
      <c r="U2441" s="58"/>
      <c r="V2441" s="58"/>
      <c r="W2441" s="63"/>
      <c r="X2441" s="63"/>
      <c r="Y2441" s="36">
        <v>44141</v>
      </c>
      <c r="Z2441" s="36">
        <v>45508</v>
      </c>
      <c r="AA2441" s="36"/>
      <c r="AB2441" s="36"/>
      <c r="AC2441" s="36"/>
      <c r="AD2441" s="36"/>
      <c r="AE2441" s="36"/>
      <c r="AF2441" s="53" t="s">
        <v>68</v>
      </c>
      <c r="AG2441" s="42"/>
      <c r="AH2441" s="42"/>
      <c r="AI2441" s="43"/>
      <c r="AJ2441" s="43"/>
      <c r="AK2441" s="43"/>
      <c r="AL2441" s="43"/>
      <c r="AM2441" s="43"/>
      <c r="AN2441" s="42"/>
      <c r="AO2441" s="42"/>
      <c r="AP2441" s="42"/>
      <c r="AQ2441" s="43"/>
      <c r="AR2441" s="42"/>
      <c r="AS2441" s="42"/>
    </row>
    <row r="2442" spans="1:45" ht="15" customHeight="1">
      <c r="A2442" s="56" t="s">
        <v>57</v>
      </c>
      <c r="B2442" s="22" t="s">
        <v>83</v>
      </c>
      <c r="C2442" s="57" t="s">
        <v>58</v>
      </c>
      <c r="D2442" s="22" t="s">
        <v>71</v>
      </c>
      <c r="E2442" s="58" t="s">
        <v>808</v>
      </c>
      <c r="F2442" s="56" t="s">
        <v>809</v>
      </c>
      <c r="G2442" s="26" t="s">
        <v>62</v>
      </c>
      <c r="H2442" s="133" t="s">
        <v>3239</v>
      </c>
      <c r="I2442" s="26" t="s">
        <v>64</v>
      </c>
      <c r="J2442" s="56" t="s">
        <v>3240</v>
      </c>
      <c r="K2442" s="59"/>
      <c r="L2442" s="48"/>
      <c r="M2442" s="49">
        <v>44166</v>
      </c>
      <c r="N2442" s="49" t="s">
        <v>66</v>
      </c>
      <c r="O2442" s="60">
        <v>1481</v>
      </c>
      <c r="P2442" s="61">
        <v>3.8</v>
      </c>
      <c r="Q2442" s="51">
        <f t="shared" si="58"/>
        <v>5627.8</v>
      </c>
      <c r="R2442" s="31">
        <v>202310</v>
      </c>
      <c r="S2442" s="58" t="s">
        <v>3241</v>
      </c>
      <c r="T2442" s="33"/>
      <c r="U2442" s="58"/>
      <c r="V2442" s="58"/>
      <c r="W2442" s="63"/>
      <c r="X2442" s="63"/>
      <c r="Y2442" s="36">
        <v>44166</v>
      </c>
      <c r="Z2442" s="36">
        <v>45281</v>
      </c>
      <c r="AA2442" s="36"/>
      <c r="AB2442" s="36"/>
      <c r="AC2442" s="36"/>
      <c r="AD2442" s="36"/>
      <c r="AE2442" s="36"/>
      <c r="AF2442" s="53" t="s">
        <v>68</v>
      </c>
      <c r="AG2442" s="42"/>
      <c r="AH2442" s="42"/>
      <c r="AI2442" s="43"/>
      <c r="AJ2442" s="43"/>
      <c r="AK2442" s="43"/>
      <c r="AL2442" s="43"/>
      <c r="AM2442" s="43"/>
      <c r="AN2442" s="42"/>
      <c r="AO2442" s="42"/>
      <c r="AP2442" s="42"/>
      <c r="AQ2442" s="43"/>
      <c r="AR2442" s="42"/>
      <c r="AS2442" s="42"/>
    </row>
    <row r="2443" spans="1:45" ht="15" customHeight="1">
      <c r="A2443" s="56" t="s">
        <v>57</v>
      </c>
      <c r="B2443" s="22" t="s">
        <v>83</v>
      </c>
      <c r="C2443" s="57" t="s">
        <v>58</v>
      </c>
      <c r="D2443" s="22" t="s">
        <v>71</v>
      </c>
      <c r="E2443" s="58" t="s">
        <v>808</v>
      </c>
      <c r="F2443" s="56" t="s">
        <v>809</v>
      </c>
      <c r="G2443" s="26" t="s">
        <v>62</v>
      </c>
      <c r="H2443" s="133" t="s">
        <v>3239</v>
      </c>
      <c r="I2443" s="26" t="s">
        <v>64</v>
      </c>
      <c r="J2443" s="56" t="s">
        <v>3240</v>
      </c>
      <c r="K2443" s="59"/>
      <c r="L2443" s="48"/>
      <c r="M2443" s="49">
        <v>44166</v>
      </c>
      <c r="N2443" s="49" t="s">
        <v>66</v>
      </c>
      <c r="O2443" s="60">
        <v>1481</v>
      </c>
      <c r="P2443" s="61">
        <v>4.7</v>
      </c>
      <c r="Q2443" s="51">
        <f t="shared" si="58"/>
        <v>6960.7</v>
      </c>
      <c r="R2443" s="31">
        <v>202310</v>
      </c>
      <c r="S2443" s="58" t="s">
        <v>3241</v>
      </c>
      <c r="T2443" s="33"/>
      <c r="U2443" s="58"/>
      <c r="V2443" s="58"/>
      <c r="W2443" s="63"/>
      <c r="X2443" s="63"/>
      <c r="Y2443" s="36">
        <v>44166</v>
      </c>
      <c r="Z2443" s="36">
        <v>45281</v>
      </c>
      <c r="AA2443" s="36"/>
      <c r="AB2443" s="36"/>
      <c r="AC2443" s="36"/>
      <c r="AD2443" s="36"/>
      <c r="AE2443" s="36"/>
      <c r="AF2443" s="53" t="s">
        <v>68</v>
      </c>
      <c r="AG2443" s="42"/>
      <c r="AH2443" s="42"/>
      <c r="AI2443" s="43"/>
      <c r="AJ2443" s="43"/>
      <c r="AK2443" s="43"/>
      <c r="AL2443" s="43"/>
      <c r="AM2443" s="43"/>
      <c r="AN2443" s="42"/>
      <c r="AO2443" s="42"/>
      <c r="AP2443" s="42"/>
      <c r="AQ2443" s="43"/>
      <c r="AR2443" s="42"/>
      <c r="AS2443" s="42"/>
    </row>
    <row r="2444" spans="1:45" ht="15" customHeight="1">
      <c r="A2444" s="56" t="s">
        <v>57</v>
      </c>
      <c r="B2444" s="21" t="s">
        <v>46</v>
      </c>
      <c r="C2444" s="57" t="s">
        <v>58</v>
      </c>
      <c r="D2444" s="22" t="s">
        <v>71</v>
      </c>
      <c r="E2444" s="58" t="s">
        <v>808</v>
      </c>
      <c r="F2444" s="56" t="s">
        <v>809</v>
      </c>
      <c r="G2444" s="26" t="s">
        <v>62</v>
      </c>
      <c r="H2444" s="133" t="s">
        <v>3239</v>
      </c>
      <c r="I2444" s="26" t="s">
        <v>64</v>
      </c>
      <c r="J2444" s="56" t="s">
        <v>793</v>
      </c>
      <c r="K2444" s="59"/>
      <c r="L2444" s="48"/>
      <c r="M2444" s="49">
        <v>44166</v>
      </c>
      <c r="N2444" s="49" t="s">
        <v>2735</v>
      </c>
      <c r="O2444" s="60">
        <v>28287.35</v>
      </c>
      <c r="P2444" s="61">
        <v>1</v>
      </c>
      <c r="Q2444" s="51">
        <f t="shared" si="58"/>
        <v>28287.35</v>
      </c>
      <c r="R2444" s="31">
        <v>202310</v>
      </c>
      <c r="S2444" s="58" t="s">
        <v>3242</v>
      </c>
      <c r="T2444" s="33"/>
      <c r="U2444" s="58"/>
      <c r="V2444" s="58"/>
      <c r="W2444" s="63"/>
      <c r="X2444" s="63"/>
      <c r="Y2444" s="36">
        <v>44166</v>
      </c>
      <c r="Z2444" s="36">
        <v>45281</v>
      </c>
      <c r="AA2444" s="36"/>
      <c r="AB2444" s="36"/>
      <c r="AC2444" s="36"/>
      <c r="AD2444" s="36"/>
      <c r="AE2444" s="36"/>
      <c r="AF2444" s="53" t="s">
        <v>68</v>
      </c>
      <c r="AG2444" s="42"/>
      <c r="AH2444" s="42"/>
      <c r="AI2444" s="43"/>
      <c r="AJ2444" s="43"/>
      <c r="AK2444" s="43"/>
      <c r="AL2444" s="43"/>
      <c r="AM2444" s="43"/>
      <c r="AN2444" s="42"/>
      <c r="AO2444" s="42"/>
      <c r="AP2444" s="42"/>
      <c r="AQ2444" s="43"/>
      <c r="AR2444" s="42"/>
      <c r="AS2444" s="42"/>
    </row>
    <row r="2445" spans="1:45" ht="15" customHeight="1">
      <c r="A2445" s="56" t="s">
        <v>57</v>
      </c>
      <c r="B2445" s="21" t="s">
        <v>46</v>
      </c>
      <c r="C2445" s="57" t="s">
        <v>58</v>
      </c>
      <c r="D2445" s="22" t="s">
        <v>71</v>
      </c>
      <c r="E2445" s="58" t="s">
        <v>808</v>
      </c>
      <c r="F2445" s="56" t="s">
        <v>809</v>
      </c>
      <c r="G2445" s="26" t="s">
        <v>62</v>
      </c>
      <c r="H2445" s="133" t="s">
        <v>3239</v>
      </c>
      <c r="I2445" s="26" t="s">
        <v>64</v>
      </c>
      <c r="J2445" s="56" t="s">
        <v>3243</v>
      </c>
      <c r="K2445" s="59"/>
      <c r="L2445" s="48"/>
      <c r="M2445" s="49">
        <v>44187</v>
      </c>
      <c r="N2445" s="49" t="s">
        <v>2735</v>
      </c>
      <c r="O2445" s="60">
        <v>8144.2</v>
      </c>
      <c r="P2445" s="61">
        <v>1</v>
      </c>
      <c r="Q2445" s="51">
        <f t="shared" si="58"/>
        <v>8144.2</v>
      </c>
      <c r="R2445" s="31">
        <v>202310</v>
      </c>
      <c r="S2445" s="58" t="s">
        <v>3244</v>
      </c>
      <c r="T2445" s="33"/>
      <c r="U2445" s="58"/>
      <c r="V2445" s="58"/>
      <c r="W2445" s="63"/>
      <c r="X2445" s="63"/>
      <c r="Y2445" s="36">
        <v>44166</v>
      </c>
      <c r="Z2445" s="36">
        <v>45281</v>
      </c>
      <c r="AA2445" s="36"/>
      <c r="AB2445" s="36"/>
      <c r="AC2445" s="36"/>
      <c r="AD2445" s="36"/>
      <c r="AE2445" s="36"/>
      <c r="AF2445" s="53" t="s">
        <v>68</v>
      </c>
      <c r="AG2445" s="42"/>
      <c r="AH2445" s="42"/>
      <c r="AI2445" s="43"/>
      <c r="AJ2445" s="43"/>
      <c r="AK2445" s="43"/>
      <c r="AL2445" s="43"/>
      <c r="AM2445" s="43"/>
      <c r="AN2445" s="42"/>
      <c r="AO2445" s="42"/>
      <c r="AP2445" s="42"/>
      <c r="AQ2445" s="43"/>
      <c r="AR2445" s="42"/>
      <c r="AS2445" s="42"/>
    </row>
    <row r="2446" spans="1:45" ht="15" customHeight="1">
      <c r="A2446" s="56" t="s">
        <v>57</v>
      </c>
      <c r="B2446" s="21" t="s">
        <v>46</v>
      </c>
      <c r="C2446" s="57" t="s">
        <v>58</v>
      </c>
      <c r="D2446" s="22" t="s">
        <v>71</v>
      </c>
      <c r="E2446" s="58" t="s">
        <v>808</v>
      </c>
      <c r="F2446" s="56" t="s">
        <v>809</v>
      </c>
      <c r="G2446" s="26" t="s">
        <v>62</v>
      </c>
      <c r="H2446" s="133" t="s">
        <v>3239</v>
      </c>
      <c r="I2446" s="26" t="s">
        <v>64</v>
      </c>
      <c r="J2446" s="56" t="s">
        <v>3243</v>
      </c>
      <c r="K2446" s="59"/>
      <c r="L2446" s="48"/>
      <c r="M2446" s="49">
        <v>44530</v>
      </c>
      <c r="N2446" s="49" t="s">
        <v>2735</v>
      </c>
      <c r="O2446" s="60">
        <v>8144.2</v>
      </c>
      <c r="P2446" s="61">
        <v>-1</v>
      </c>
      <c r="Q2446" s="51">
        <f t="shared" si="58"/>
        <v>-8144.2</v>
      </c>
      <c r="R2446" s="31">
        <v>202310</v>
      </c>
      <c r="S2446" s="58" t="s">
        <v>2118</v>
      </c>
      <c r="T2446" s="33"/>
      <c r="U2446" s="58"/>
      <c r="V2446" s="58"/>
      <c r="W2446" s="63"/>
      <c r="X2446" s="63"/>
      <c r="Y2446" s="36">
        <v>44166</v>
      </c>
      <c r="Z2446" s="36">
        <v>45281</v>
      </c>
      <c r="AA2446" s="36"/>
      <c r="AB2446" s="36"/>
      <c r="AC2446" s="36"/>
      <c r="AD2446" s="36"/>
      <c r="AE2446" s="36"/>
      <c r="AF2446" s="53" t="s">
        <v>68</v>
      </c>
      <c r="AG2446" s="42"/>
      <c r="AH2446" s="42"/>
      <c r="AI2446" s="43"/>
      <c r="AJ2446" s="43"/>
      <c r="AK2446" s="43"/>
      <c r="AL2446" s="43"/>
      <c r="AM2446" s="43"/>
      <c r="AN2446" s="42"/>
      <c r="AO2446" s="42"/>
      <c r="AP2446" s="42"/>
      <c r="AQ2446" s="43"/>
      <c r="AR2446" s="42"/>
      <c r="AS2446" s="42"/>
    </row>
    <row r="2447" spans="1:45" ht="15" customHeight="1">
      <c r="A2447" s="56" t="s">
        <v>57</v>
      </c>
      <c r="B2447" s="21" t="s">
        <v>46</v>
      </c>
      <c r="C2447" s="57" t="s">
        <v>58</v>
      </c>
      <c r="D2447" s="22" t="s">
        <v>71</v>
      </c>
      <c r="E2447" s="58" t="s">
        <v>808</v>
      </c>
      <c r="F2447" s="56" t="s">
        <v>809</v>
      </c>
      <c r="G2447" s="26" t="s">
        <v>62</v>
      </c>
      <c r="H2447" s="133" t="s">
        <v>3239</v>
      </c>
      <c r="I2447" s="26" t="s">
        <v>64</v>
      </c>
      <c r="J2447" s="56" t="s">
        <v>3245</v>
      </c>
      <c r="K2447" s="59"/>
      <c r="L2447" s="48"/>
      <c r="M2447" s="49">
        <v>44279</v>
      </c>
      <c r="N2447" s="49" t="s">
        <v>66</v>
      </c>
      <c r="O2447" s="60">
        <v>390</v>
      </c>
      <c r="P2447" s="61">
        <v>8</v>
      </c>
      <c r="Q2447" s="51">
        <f t="shared" si="58"/>
        <v>3120</v>
      </c>
      <c r="R2447" s="31">
        <v>202310</v>
      </c>
      <c r="S2447" s="58" t="s">
        <v>3246</v>
      </c>
      <c r="T2447" s="33"/>
      <c r="U2447" s="58"/>
      <c r="V2447" s="58"/>
      <c r="W2447" s="63"/>
      <c r="X2447" s="63"/>
      <c r="Y2447" s="36">
        <v>44166</v>
      </c>
      <c r="Z2447" s="36">
        <v>45281</v>
      </c>
      <c r="AA2447" s="36"/>
      <c r="AB2447" s="36"/>
      <c r="AC2447" s="36"/>
      <c r="AD2447" s="36"/>
      <c r="AE2447" s="36"/>
      <c r="AF2447" s="53" t="s">
        <v>68</v>
      </c>
      <c r="AG2447" s="42"/>
      <c r="AH2447" s="42"/>
      <c r="AI2447" s="43"/>
      <c r="AJ2447" s="43"/>
      <c r="AK2447" s="43"/>
      <c r="AL2447" s="43"/>
      <c r="AM2447" s="43"/>
      <c r="AN2447" s="42"/>
      <c r="AO2447" s="42"/>
      <c r="AP2447" s="42"/>
      <c r="AQ2447" s="43"/>
      <c r="AR2447" s="42"/>
      <c r="AS2447" s="42"/>
    </row>
    <row r="2448" spans="1:45" ht="15" customHeight="1">
      <c r="A2448" s="56" t="s">
        <v>57</v>
      </c>
      <c r="B2448" s="21" t="s">
        <v>46</v>
      </c>
      <c r="C2448" s="57" t="s">
        <v>58</v>
      </c>
      <c r="D2448" s="22" t="s">
        <v>71</v>
      </c>
      <c r="E2448" s="58" t="s">
        <v>808</v>
      </c>
      <c r="F2448" s="56" t="s">
        <v>809</v>
      </c>
      <c r="G2448" s="26" t="s">
        <v>62</v>
      </c>
      <c r="H2448" s="133" t="s">
        <v>3239</v>
      </c>
      <c r="I2448" s="26" t="s">
        <v>64</v>
      </c>
      <c r="J2448" s="56" t="s">
        <v>3247</v>
      </c>
      <c r="K2448" s="59"/>
      <c r="L2448" s="48"/>
      <c r="M2448" s="49">
        <v>44317</v>
      </c>
      <c r="N2448" s="49" t="s">
        <v>66</v>
      </c>
      <c r="O2448" s="60">
        <v>494</v>
      </c>
      <c r="P2448" s="61">
        <v>124.61</v>
      </c>
      <c r="Q2448" s="51">
        <f t="shared" si="58"/>
        <v>61557.34</v>
      </c>
      <c r="R2448" s="31">
        <v>202310</v>
      </c>
      <c r="S2448" s="58" t="s">
        <v>3248</v>
      </c>
      <c r="T2448" s="33"/>
      <c r="U2448" s="58"/>
      <c r="V2448" s="58"/>
      <c r="W2448" s="63"/>
      <c r="X2448" s="63"/>
      <c r="Y2448" s="36">
        <v>44166</v>
      </c>
      <c r="Z2448" s="36">
        <v>45281</v>
      </c>
      <c r="AA2448" s="36"/>
      <c r="AB2448" s="36"/>
      <c r="AC2448" s="36"/>
      <c r="AD2448" s="36"/>
      <c r="AE2448" s="36"/>
      <c r="AF2448" s="53" t="s">
        <v>68</v>
      </c>
      <c r="AG2448" s="42"/>
      <c r="AH2448" s="42"/>
      <c r="AI2448" s="43"/>
      <c r="AJ2448" s="43"/>
      <c r="AK2448" s="43"/>
      <c r="AL2448" s="43"/>
      <c r="AM2448" s="43"/>
      <c r="AN2448" s="42"/>
      <c r="AO2448" s="42"/>
      <c r="AP2448" s="42"/>
      <c r="AQ2448" s="43"/>
      <c r="AR2448" s="42"/>
      <c r="AS2448" s="42"/>
    </row>
    <row r="2449" spans="1:45" ht="15" customHeight="1">
      <c r="A2449" s="56" t="s">
        <v>57</v>
      </c>
      <c r="B2449" s="21" t="s">
        <v>46</v>
      </c>
      <c r="C2449" s="57" t="s">
        <v>58</v>
      </c>
      <c r="D2449" s="22" t="s">
        <v>71</v>
      </c>
      <c r="E2449" s="58" t="s">
        <v>808</v>
      </c>
      <c r="F2449" s="56" t="s">
        <v>809</v>
      </c>
      <c r="G2449" s="26" t="s">
        <v>62</v>
      </c>
      <c r="H2449" s="133" t="s">
        <v>3239</v>
      </c>
      <c r="I2449" s="26" t="s">
        <v>64</v>
      </c>
      <c r="J2449" s="56" t="s">
        <v>3247</v>
      </c>
      <c r="K2449" s="59"/>
      <c r="L2449" s="48"/>
      <c r="M2449" s="49">
        <v>44317</v>
      </c>
      <c r="N2449" s="49" t="s">
        <v>66</v>
      </c>
      <c r="O2449" s="60">
        <v>494</v>
      </c>
      <c r="P2449" s="61">
        <v>124.61</v>
      </c>
      <c r="Q2449" s="51">
        <f t="shared" si="58"/>
        <v>61557.34</v>
      </c>
      <c r="R2449" s="31">
        <v>202310</v>
      </c>
      <c r="S2449" s="58" t="s">
        <v>3249</v>
      </c>
      <c r="T2449" s="33"/>
      <c r="U2449" s="58"/>
      <c r="V2449" s="58"/>
      <c r="W2449" s="63"/>
      <c r="X2449" s="63"/>
      <c r="Y2449" s="36">
        <v>44166</v>
      </c>
      <c r="Z2449" s="36">
        <v>45281</v>
      </c>
      <c r="AA2449" s="36"/>
      <c r="AB2449" s="36"/>
      <c r="AC2449" s="36"/>
      <c r="AD2449" s="36"/>
      <c r="AE2449" s="36"/>
      <c r="AF2449" s="53" t="s">
        <v>68</v>
      </c>
      <c r="AG2449" s="42"/>
      <c r="AH2449" s="42"/>
      <c r="AI2449" s="43"/>
      <c r="AJ2449" s="43"/>
      <c r="AK2449" s="43"/>
      <c r="AL2449" s="43"/>
      <c r="AM2449" s="43"/>
      <c r="AN2449" s="42"/>
      <c r="AO2449" s="42"/>
      <c r="AP2449" s="42"/>
      <c r="AQ2449" s="43"/>
      <c r="AR2449" s="42"/>
      <c r="AS2449" s="42"/>
    </row>
    <row r="2450" spans="1:45" ht="15" customHeight="1">
      <c r="A2450" s="56" t="s">
        <v>57</v>
      </c>
      <c r="B2450" s="21" t="s">
        <v>46</v>
      </c>
      <c r="C2450" s="57" t="s">
        <v>58</v>
      </c>
      <c r="D2450" s="22" t="s">
        <v>71</v>
      </c>
      <c r="E2450" s="58" t="s">
        <v>808</v>
      </c>
      <c r="F2450" s="56" t="s">
        <v>809</v>
      </c>
      <c r="G2450" s="26" t="s">
        <v>77</v>
      </c>
      <c r="H2450" s="133" t="s">
        <v>3239</v>
      </c>
      <c r="I2450" s="26" t="s">
        <v>78</v>
      </c>
      <c r="J2450" s="56" t="s">
        <v>3247</v>
      </c>
      <c r="K2450" s="59"/>
      <c r="L2450" s="48" t="s">
        <v>3250</v>
      </c>
      <c r="M2450" s="49">
        <v>44317</v>
      </c>
      <c r="N2450" s="49" t="s">
        <v>1425</v>
      </c>
      <c r="O2450" s="60">
        <v>8000</v>
      </c>
      <c r="P2450" s="61">
        <v>1</v>
      </c>
      <c r="Q2450" s="51">
        <f t="shared" si="58"/>
        <v>8000</v>
      </c>
      <c r="R2450" s="31">
        <v>202310</v>
      </c>
      <c r="S2450" s="58" t="s">
        <v>3251</v>
      </c>
      <c r="T2450" s="33"/>
      <c r="U2450" s="58"/>
      <c r="V2450" s="58"/>
      <c r="W2450" s="63"/>
      <c r="X2450" s="63"/>
      <c r="Y2450" s="36">
        <v>44166</v>
      </c>
      <c r="Z2450" s="36">
        <v>45281</v>
      </c>
      <c r="AA2450" s="36"/>
      <c r="AB2450" s="36"/>
      <c r="AC2450" s="36"/>
      <c r="AD2450" s="36"/>
      <c r="AE2450" s="36"/>
      <c r="AF2450" s="53" t="s">
        <v>68</v>
      </c>
      <c r="AG2450" s="42"/>
      <c r="AH2450" s="42"/>
      <c r="AI2450" s="43"/>
      <c r="AJ2450" s="43"/>
      <c r="AK2450" s="43"/>
      <c r="AL2450" s="43"/>
      <c r="AM2450" s="43"/>
      <c r="AN2450" s="42"/>
      <c r="AO2450" s="42"/>
      <c r="AP2450" s="42"/>
      <c r="AQ2450" s="43"/>
      <c r="AR2450" s="42"/>
      <c r="AS2450" s="42"/>
    </row>
    <row r="2451" spans="1:45" ht="15" customHeight="1">
      <c r="A2451" s="56" t="s">
        <v>57</v>
      </c>
      <c r="B2451" s="21" t="s">
        <v>46</v>
      </c>
      <c r="C2451" s="57" t="s">
        <v>58</v>
      </c>
      <c r="D2451" s="22" t="s">
        <v>71</v>
      </c>
      <c r="E2451" s="58" t="s">
        <v>808</v>
      </c>
      <c r="F2451" s="56" t="s">
        <v>809</v>
      </c>
      <c r="G2451" s="26" t="s">
        <v>62</v>
      </c>
      <c r="H2451" s="133" t="s">
        <v>3239</v>
      </c>
      <c r="I2451" s="26" t="s">
        <v>64</v>
      </c>
      <c r="J2451" s="56" t="s">
        <v>3252</v>
      </c>
      <c r="K2451" s="59"/>
      <c r="L2451" s="48"/>
      <c r="M2451" s="49">
        <v>44317</v>
      </c>
      <c r="N2451" s="49" t="s">
        <v>66</v>
      </c>
      <c r="O2451" s="60">
        <v>440</v>
      </c>
      <c r="P2451" s="61">
        <v>76</v>
      </c>
      <c r="Q2451" s="51">
        <f t="shared" si="58"/>
        <v>33440</v>
      </c>
      <c r="R2451" s="31">
        <v>202310</v>
      </c>
      <c r="S2451" s="58" t="s">
        <v>3253</v>
      </c>
      <c r="T2451" s="33"/>
      <c r="U2451" s="58"/>
      <c r="V2451" s="58"/>
      <c r="W2451" s="63"/>
      <c r="X2451" s="63"/>
      <c r="Y2451" s="36">
        <v>44166</v>
      </c>
      <c r="Z2451" s="36">
        <v>45281</v>
      </c>
      <c r="AA2451" s="36"/>
      <c r="AB2451" s="36"/>
      <c r="AC2451" s="36"/>
      <c r="AD2451" s="36"/>
      <c r="AE2451" s="36"/>
      <c r="AF2451" s="53" t="s">
        <v>68</v>
      </c>
      <c r="AG2451" s="42"/>
      <c r="AH2451" s="42"/>
      <c r="AI2451" s="43"/>
      <c r="AJ2451" s="43"/>
      <c r="AK2451" s="43"/>
      <c r="AL2451" s="43"/>
      <c r="AM2451" s="43"/>
      <c r="AN2451" s="42"/>
      <c r="AO2451" s="42"/>
      <c r="AP2451" s="42"/>
      <c r="AQ2451" s="43"/>
      <c r="AR2451" s="42"/>
      <c r="AS2451" s="42"/>
    </row>
    <row r="2452" spans="1:45" ht="15" customHeight="1">
      <c r="A2452" s="56" t="s">
        <v>57</v>
      </c>
      <c r="B2452" s="21" t="s">
        <v>46</v>
      </c>
      <c r="C2452" s="57" t="s">
        <v>58</v>
      </c>
      <c r="D2452" s="22" t="s">
        <v>71</v>
      </c>
      <c r="E2452" s="58" t="s">
        <v>808</v>
      </c>
      <c r="F2452" s="56" t="s">
        <v>809</v>
      </c>
      <c r="G2452" s="26" t="s">
        <v>62</v>
      </c>
      <c r="H2452" s="133" t="s">
        <v>3239</v>
      </c>
      <c r="I2452" s="26" t="s">
        <v>64</v>
      </c>
      <c r="J2452" s="56" t="s">
        <v>3252</v>
      </c>
      <c r="K2452" s="59"/>
      <c r="L2452" s="48"/>
      <c r="M2452" s="49">
        <v>44317</v>
      </c>
      <c r="N2452" s="49" t="s">
        <v>66</v>
      </c>
      <c r="O2452" s="60">
        <v>440</v>
      </c>
      <c r="P2452" s="61">
        <v>51</v>
      </c>
      <c r="Q2452" s="51">
        <f t="shared" si="58"/>
        <v>22440</v>
      </c>
      <c r="R2452" s="31">
        <v>202310</v>
      </c>
      <c r="S2452" s="58" t="s">
        <v>3253</v>
      </c>
      <c r="T2452" s="33"/>
      <c r="U2452" s="58"/>
      <c r="V2452" s="58"/>
      <c r="W2452" s="63"/>
      <c r="X2452" s="63"/>
      <c r="Y2452" s="36">
        <v>44166</v>
      </c>
      <c r="Z2452" s="36">
        <v>45281</v>
      </c>
      <c r="AA2452" s="36"/>
      <c r="AB2452" s="36"/>
      <c r="AC2452" s="36"/>
      <c r="AD2452" s="36"/>
      <c r="AE2452" s="36"/>
      <c r="AF2452" s="53" t="s">
        <v>68</v>
      </c>
      <c r="AG2452" s="42"/>
      <c r="AH2452" s="42"/>
      <c r="AI2452" s="43"/>
      <c r="AJ2452" s="43"/>
      <c r="AK2452" s="43"/>
      <c r="AL2452" s="43"/>
      <c r="AM2452" s="43"/>
      <c r="AN2452" s="42"/>
      <c r="AO2452" s="42"/>
      <c r="AP2452" s="42"/>
      <c r="AQ2452" s="43"/>
      <c r="AR2452" s="42"/>
      <c r="AS2452" s="42"/>
    </row>
    <row r="2453" spans="1:45" ht="15" customHeight="1">
      <c r="A2453" s="56" t="s">
        <v>57</v>
      </c>
      <c r="B2453" s="21" t="s">
        <v>46</v>
      </c>
      <c r="C2453" s="57" t="s">
        <v>58</v>
      </c>
      <c r="D2453" s="22" t="s">
        <v>71</v>
      </c>
      <c r="E2453" s="58" t="s">
        <v>808</v>
      </c>
      <c r="F2453" s="56" t="s">
        <v>809</v>
      </c>
      <c r="G2453" s="26" t="s">
        <v>62</v>
      </c>
      <c r="H2453" s="133" t="s">
        <v>3239</v>
      </c>
      <c r="I2453" s="26" t="s">
        <v>64</v>
      </c>
      <c r="J2453" s="56" t="s">
        <v>3254</v>
      </c>
      <c r="K2453" s="59"/>
      <c r="L2453" s="48"/>
      <c r="M2453" s="49">
        <v>44317</v>
      </c>
      <c r="N2453" s="49" t="s">
        <v>66</v>
      </c>
      <c r="O2453" s="60">
        <v>440</v>
      </c>
      <c r="P2453" s="61">
        <v>47</v>
      </c>
      <c r="Q2453" s="51">
        <f t="shared" si="58"/>
        <v>20680</v>
      </c>
      <c r="R2453" s="31">
        <v>202310</v>
      </c>
      <c r="S2453" s="58" t="s">
        <v>3255</v>
      </c>
      <c r="T2453" s="33"/>
      <c r="U2453" s="58"/>
      <c r="V2453" s="58"/>
      <c r="W2453" s="63"/>
      <c r="X2453" s="63"/>
      <c r="Y2453" s="36">
        <v>44166</v>
      </c>
      <c r="Z2453" s="36">
        <v>45281</v>
      </c>
      <c r="AA2453" s="36"/>
      <c r="AB2453" s="36"/>
      <c r="AC2453" s="36"/>
      <c r="AD2453" s="36"/>
      <c r="AE2453" s="36"/>
      <c r="AF2453" s="53" t="s">
        <v>68</v>
      </c>
      <c r="AG2453" s="42"/>
      <c r="AH2453" s="42"/>
      <c r="AI2453" s="43"/>
      <c r="AJ2453" s="43"/>
      <c r="AK2453" s="43"/>
      <c r="AL2453" s="43"/>
      <c r="AM2453" s="43"/>
      <c r="AN2453" s="42"/>
      <c r="AO2453" s="42"/>
      <c r="AP2453" s="42"/>
      <c r="AQ2453" s="43"/>
      <c r="AR2453" s="42"/>
      <c r="AS2453" s="42"/>
    </row>
    <row r="2454" spans="1:45" ht="15" customHeight="1">
      <c r="A2454" s="56" t="s">
        <v>57</v>
      </c>
      <c r="B2454" s="21" t="s">
        <v>46</v>
      </c>
      <c r="C2454" s="57" t="s">
        <v>58</v>
      </c>
      <c r="D2454" s="22" t="s">
        <v>71</v>
      </c>
      <c r="E2454" s="58" t="s">
        <v>808</v>
      </c>
      <c r="F2454" s="56" t="s">
        <v>809</v>
      </c>
      <c r="G2454" s="26" t="s">
        <v>62</v>
      </c>
      <c r="H2454" s="133" t="s">
        <v>3239</v>
      </c>
      <c r="I2454" s="26" t="s">
        <v>64</v>
      </c>
      <c r="J2454" s="56" t="s">
        <v>3254</v>
      </c>
      <c r="K2454" s="59"/>
      <c r="L2454" s="48"/>
      <c r="M2454" s="49">
        <v>44317</v>
      </c>
      <c r="N2454" s="49" t="s">
        <v>66</v>
      </c>
      <c r="O2454" s="60">
        <v>440</v>
      </c>
      <c r="P2454" s="61">
        <v>49</v>
      </c>
      <c r="Q2454" s="51">
        <f t="shared" si="58"/>
        <v>21560</v>
      </c>
      <c r="R2454" s="31">
        <v>202310</v>
      </c>
      <c r="S2454" s="58" t="s">
        <v>3255</v>
      </c>
      <c r="T2454" s="33"/>
      <c r="U2454" s="58"/>
      <c r="V2454" s="58"/>
      <c r="W2454" s="63"/>
      <c r="X2454" s="63"/>
      <c r="Y2454" s="36">
        <v>44166</v>
      </c>
      <c r="Z2454" s="36">
        <v>45281</v>
      </c>
      <c r="AA2454" s="36"/>
      <c r="AB2454" s="36"/>
      <c r="AC2454" s="36"/>
      <c r="AD2454" s="36"/>
      <c r="AE2454" s="36"/>
      <c r="AF2454" s="53" t="s">
        <v>68</v>
      </c>
      <c r="AG2454" s="42"/>
      <c r="AH2454" s="42"/>
      <c r="AI2454" s="43"/>
      <c r="AJ2454" s="43"/>
      <c r="AK2454" s="43"/>
      <c r="AL2454" s="43"/>
      <c r="AM2454" s="43"/>
      <c r="AN2454" s="42"/>
      <c r="AO2454" s="42"/>
      <c r="AP2454" s="42"/>
      <c r="AQ2454" s="43"/>
      <c r="AR2454" s="42"/>
      <c r="AS2454" s="42"/>
    </row>
    <row r="2455" spans="1:45" ht="15" customHeight="1">
      <c r="A2455" s="56" t="s">
        <v>57</v>
      </c>
      <c r="B2455" s="21" t="s">
        <v>46</v>
      </c>
      <c r="C2455" s="57" t="s">
        <v>58</v>
      </c>
      <c r="D2455" s="22" t="s">
        <v>71</v>
      </c>
      <c r="E2455" s="58" t="s">
        <v>808</v>
      </c>
      <c r="F2455" s="56" t="s">
        <v>809</v>
      </c>
      <c r="G2455" s="26" t="s">
        <v>62</v>
      </c>
      <c r="H2455" s="133" t="s">
        <v>3239</v>
      </c>
      <c r="I2455" s="26" t="s">
        <v>64</v>
      </c>
      <c r="J2455" s="56" t="s">
        <v>3256</v>
      </c>
      <c r="K2455" s="59"/>
      <c r="L2455" s="48"/>
      <c r="M2455" s="49">
        <v>44317</v>
      </c>
      <c r="N2455" s="49" t="s">
        <v>66</v>
      </c>
      <c r="O2455" s="60">
        <v>440</v>
      </c>
      <c r="P2455" s="61">
        <v>81.5</v>
      </c>
      <c r="Q2455" s="51">
        <f t="shared" si="58"/>
        <v>35860</v>
      </c>
      <c r="R2455" s="31">
        <v>202310</v>
      </c>
      <c r="S2455" s="58" t="s">
        <v>3257</v>
      </c>
      <c r="T2455" s="33"/>
      <c r="U2455" s="58"/>
      <c r="V2455" s="58"/>
      <c r="W2455" s="63"/>
      <c r="X2455" s="63"/>
      <c r="Y2455" s="36">
        <v>44166</v>
      </c>
      <c r="Z2455" s="36">
        <v>45281</v>
      </c>
      <c r="AA2455" s="36"/>
      <c r="AB2455" s="36"/>
      <c r="AC2455" s="36"/>
      <c r="AD2455" s="36"/>
      <c r="AE2455" s="36"/>
      <c r="AF2455" s="53" t="s">
        <v>68</v>
      </c>
      <c r="AG2455" s="42"/>
      <c r="AH2455" s="42"/>
      <c r="AI2455" s="43"/>
      <c r="AJ2455" s="43"/>
      <c r="AK2455" s="43"/>
      <c r="AL2455" s="43"/>
      <c r="AM2455" s="43"/>
      <c r="AN2455" s="42"/>
      <c r="AO2455" s="42"/>
      <c r="AP2455" s="42"/>
      <c r="AQ2455" s="43"/>
      <c r="AR2455" s="42"/>
      <c r="AS2455" s="42"/>
    </row>
    <row r="2456" spans="1:45" ht="15" customHeight="1">
      <c r="A2456" s="56" t="s">
        <v>57</v>
      </c>
      <c r="B2456" s="21" t="s">
        <v>46</v>
      </c>
      <c r="C2456" s="57" t="s">
        <v>58</v>
      </c>
      <c r="D2456" s="22" t="s">
        <v>71</v>
      </c>
      <c r="E2456" s="58" t="s">
        <v>808</v>
      </c>
      <c r="F2456" s="56" t="s">
        <v>809</v>
      </c>
      <c r="G2456" s="26" t="s">
        <v>62</v>
      </c>
      <c r="H2456" s="133" t="s">
        <v>3239</v>
      </c>
      <c r="I2456" s="26" t="s">
        <v>64</v>
      </c>
      <c r="J2456" s="56" t="s">
        <v>3258</v>
      </c>
      <c r="K2456" s="59"/>
      <c r="L2456" s="48"/>
      <c r="M2456" s="49">
        <v>44317</v>
      </c>
      <c r="N2456" s="49" t="s">
        <v>66</v>
      </c>
      <c r="O2456" s="60">
        <v>1320</v>
      </c>
      <c r="P2456" s="61">
        <v>5</v>
      </c>
      <c r="Q2456" s="51">
        <f t="shared" si="58"/>
        <v>6600</v>
      </c>
      <c r="R2456" s="31">
        <v>202310</v>
      </c>
      <c r="S2456" s="58" t="s">
        <v>3259</v>
      </c>
      <c r="T2456" s="33"/>
      <c r="U2456" s="58"/>
      <c r="V2456" s="58"/>
      <c r="W2456" s="63"/>
      <c r="X2456" s="63"/>
      <c r="Y2456" s="36">
        <v>44166</v>
      </c>
      <c r="Z2456" s="36">
        <v>45281</v>
      </c>
      <c r="AA2456" s="36"/>
      <c r="AB2456" s="36"/>
      <c r="AC2456" s="36"/>
      <c r="AD2456" s="36"/>
      <c r="AE2456" s="36"/>
      <c r="AF2456" s="53" t="s">
        <v>68</v>
      </c>
      <c r="AG2456" s="42"/>
      <c r="AH2456" s="42"/>
      <c r="AI2456" s="43"/>
      <c r="AJ2456" s="43"/>
      <c r="AK2456" s="43"/>
      <c r="AL2456" s="43"/>
      <c r="AM2456" s="43"/>
      <c r="AN2456" s="42"/>
      <c r="AO2456" s="42"/>
      <c r="AP2456" s="42"/>
      <c r="AQ2456" s="43"/>
      <c r="AR2456" s="42"/>
      <c r="AS2456" s="42"/>
    </row>
    <row r="2457" spans="1:45" ht="15" customHeight="1">
      <c r="A2457" s="56" t="s">
        <v>57</v>
      </c>
      <c r="B2457" s="21" t="s">
        <v>46</v>
      </c>
      <c r="C2457" s="57" t="s">
        <v>58</v>
      </c>
      <c r="D2457" s="22" t="s">
        <v>71</v>
      </c>
      <c r="E2457" s="58" t="s">
        <v>808</v>
      </c>
      <c r="F2457" s="56" t="s">
        <v>809</v>
      </c>
      <c r="G2457" s="26" t="s">
        <v>62</v>
      </c>
      <c r="H2457" s="133" t="s">
        <v>3239</v>
      </c>
      <c r="I2457" s="26" t="s">
        <v>64</v>
      </c>
      <c r="J2457" s="56" t="s">
        <v>3256</v>
      </c>
      <c r="K2457" s="59"/>
      <c r="L2457" s="48"/>
      <c r="M2457" s="49">
        <v>44317</v>
      </c>
      <c r="N2457" s="49" t="s">
        <v>66</v>
      </c>
      <c r="O2457" s="60">
        <v>440</v>
      </c>
      <c r="P2457" s="61">
        <v>78.3</v>
      </c>
      <c r="Q2457" s="51">
        <f t="shared" si="58"/>
        <v>34452</v>
      </c>
      <c r="R2457" s="31">
        <v>202310</v>
      </c>
      <c r="S2457" s="58" t="s">
        <v>3257</v>
      </c>
      <c r="T2457" s="33"/>
      <c r="U2457" s="58"/>
      <c r="V2457" s="58"/>
      <c r="W2457" s="63"/>
      <c r="X2457" s="63"/>
      <c r="Y2457" s="36">
        <v>44166</v>
      </c>
      <c r="Z2457" s="36">
        <v>45281</v>
      </c>
      <c r="AA2457" s="36"/>
      <c r="AB2457" s="36"/>
      <c r="AC2457" s="36"/>
      <c r="AD2457" s="36"/>
      <c r="AE2457" s="36"/>
      <c r="AF2457" s="53" t="s">
        <v>68</v>
      </c>
      <c r="AG2457" s="42"/>
      <c r="AH2457" s="42"/>
      <c r="AI2457" s="43"/>
      <c r="AJ2457" s="43"/>
      <c r="AK2457" s="43"/>
      <c r="AL2457" s="43"/>
      <c r="AM2457" s="43"/>
      <c r="AN2457" s="42"/>
      <c r="AO2457" s="42"/>
      <c r="AP2457" s="42"/>
      <c r="AQ2457" s="43"/>
      <c r="AR2457" s="42"/>
      <c r="AS2457" s="42"/>
    </row>
    <row r="2458" spans="1:45" ht="15" customHeight="1">
      <c r="A2458" s="56" t="s">
        <v>57</v>
      </c>
      <c r="B2458" s="21" t="s">
        <v>46</v>
      </c>
      <c r="C2458" s="57" t="s">
        <v>58</v>
      </c>
      <c r="D2458" s="22" t="s">
        <v>71</v>
      </c>
      <c r="E2458" s="58" t="s">
        <v>808</v>
      </c>
      <c r="F2458" s="56" t="s">
        <v>809</v>
      </c>
      <c r="G2458" s="26" t="s">
        <v>62</v>
      </c>
      <c r="H2458" s="133" t="s">
        <v>3239</v>
      </c>
      <c r="I2458" s="26" t="s">
        <v>64</v>
      </c>
      <c r="J2458" s="56" t="s">
        <v>3258</v>
      </c>
      <c r="K2458" s="59"/>
      <c r="L2458" s="48"/>
      <c r="M2458" s="49">
        <v>44317</v>
      </c>
      <c r="N2458" s="49" t="s">
        <v>66</v>
      </c>
      <c r="O2458" s="60">
        <v>1320</v>
      </c>
      <c r="P2458" s="61">
        <v>6.2</v>
      </c>
      <c r="Q2458" s="51">
        <f t="shared" si="58"/>
        <v>8184</v>
      </c>
      <c r="R2458" s="31">
        <v>202310</v>
      </c>
      <c r="S2458" s="58" t="s">
        <v>3259</v>
      </c>
      <c r="T2458" s="33"/>
      <c r="U2458" s="58"/>
      <c r="V2458" s="58"/>
      <c r="W2458" s="63"/>
      <c r="X2458" s="63"/>
      <c r="Y2458" s="36">
        <v>44166</v>
      </c>
      <c r="Z2458" s="36">
        <v>45281</v>
      </c>
      <c r="AA2458" s="36"/>
      <c r="AB2458" s="36"/>
      <c r="AC2458" s="36"/>
      <c r="AD2458" s="36"/>
      <c r="AE2458" s="36"/>
      <c r="AF2458" s="53" t="s">
        <v>68</v>
      </c>
      <c r="AG2458" s="42"/>
      <c r="AH2458" s="42"/>
      <c r="AI2458" s="43"/>
      <c r="AJ2458" s="43"/>
      <c r="AK2458" s="43"/>
      <c r="AL2458" s="43"/>
      <c r="AM2458" s="43"/>
      <c r="AN2458" s="42"/>
      <c r="AO2458" s="42"/>
      <c r="AP2458" s="42"/>
      <c r="AQ2458" s="43"/>
      <c r="AR2458" s="42"/>
      <c r="AS2458" s="42"/>
    </row>
    <row r="2459" spans="1:45" ht="15" customHeight="1">
      <c r="A2459" s="56" t="s">
        <v>57</v>
      </c>
      <c r="B2459" s="21" t="s">
        <v>46</v>
      </c>
      <c r="C2459" s="57" t="s">
        <v>58</v>
      </c>
      <c r="D2459" s="22" t="s">
        <v>71</v>
      </c>
      <c r="E2459" s="58" t="s">
        <v>808</v>
      </c>
      <c r="F2459" s="56" t="s">
        <v>809</v>
      </c>
      <c r="G2459" s="26" t="s">
        <v>62</v>
      </c>
      <c r="H2459" s="133" t="s">
        <v>3239</v>
      </c>
      <c r="I2459" s="26" t="s">
        <v>64</v>
      </c>
      <c r="J2459" s="56" t="s">
        <v>3260</v>
      </c>
      <c r="K2459" s="59"/>
      <c r="L2459" s="48"/>
      <c r="M2459" s="49">
        <v>44317</v>
      </c>
      <c r="N2459" s="49" t="s">
        <v>66</v>
      </c>
      <c r="O2459" s="60">
        <v>440</v>
      </c>
      <c r="P2459" s="61">
        <v>63</v>
      </c>
      <c r="Q2459" s="51">
        <f t="shared" si="58"/>
        <v>27720</v>
      </c>
      <c r="R2459" s="31">
        <v>202310</v>
      </c>
      <c r="S2459" s="58" t="s">
        <v>3261</v>
      </c>
      <c r="T2459" s="33"/>
      <c r="U2459" s="58"/>
      <c r="V2459" s="58"/>
      <c r="W2459" s="63"/>
      <c r="X2459" s="63"/>
      <c r="Y2459" s="36">
        <v>44166</v>
      </c>
      <c r="Z2459" s="36">
        <v>45281</v>
      </c>
      <c r="AA2459" s="36"/>
      <c r="AB2459" s="36"/>
      <c r="AC2459" s="36"/>
      <c r="AD2459" s="36"/>
      <c r="AE2459" s="36"/>
      <c r="AF2459" s="53" t="s">
        <v>68</v>
      </c>
      <c r="AG2459" s="42"/>
      <c r="AH2459" s="42"/>
      <c r="AI2459" s="43"/>
      <c r="AJ2459" s="43"/>
      <c r="AK2459" s="43"/>
      <c r="AL2459" s="43"/>
      <c r="AM2459" s="43"/>
      <c r="AN2459" s="42"/>
      <c r="AO2459" s="42"/>
      <c r="AP2459" s="42"/>
      <c r="AQ2459" s="43"/>
      <c r="AR2459" s="42"/>
      <c r="AS2459" s="42"/>
    </row>
    <row r="2460" spans="1:45" ht="15" customHeight="1">
      <c r="A2460" s="56" t="s">
        <v>57</v>
      </c>
      <c r="B2460" s="21" t="s">
        <v>46</v>
      </c>
      <c r="C2460" s="57" t="s">
        <v>58</v>
      </c>
      <c r="D2460" s="22" t="s">
        <v>71</v>
      </c>
      <c r="E2460" s="58" t="s">
        <v>808</v>
      </c>
      <c r="F2460" s="56" t="s">
        <v>809</v>
      </c>
      <c r="G2460" s="26" t="s">
        <v>62</v>
      </c>
      <c r="H2460" s="133" t="s">
        <v>3239</v>
      </c>
      <c r="I2460" s="26" t="s">
        <v>64</v>
      </c>
      <c r="J2460" s="56" t="s">
        <v>3262</v>
      </c>
      <c r="K2460" s="59"/>
      <c r="L2460" s="48"/>
      <c r="M2460" s="49">
        <v>44317</v>
      </c>
      <c r="N2460" s="49" t="s">
        <v>66</v>
      </c>
      <c r="O2460" s="60">
        <v>1320</v>
      </c>
      <c r="P2460" s="61">
        <v>5</v>
      </c>
      <c r="Q2460" s="51">
        <f t="shared" si="58"/>
        <v>6600</v>
      </c>
      <c r="R2460" s="31">
        <v>202310</v>
      </c>
      <c r="S2460" s="58" t="s">
        <v>3263</v>
      </c>
      <c r="T2460" s="33"/>
      <c r="U2460" s="58"/>
      <c r="V2460" s="58"/>
      <c r="W2460" s="63"/>
      <c r="X2460" s="63"/>
      <c r="Y2460" s="36">
        <v>44166</v>
      </c>
      <c r="Z2460" s="36">
        <v>45281</v>
      </c>
      <c r="AA2460" s="36"/>
      <c r="AB2460" s="36"/>
      <c r="AC2460" s="36"/>
      <c r="AD2460" s="36"/>
      <c r="AE2460" s="36"/>
      <c r="AF2460" s="53" t="s">
        <v>68</v>
      </c>
      <c r="AG2460" s="42"/>
      <c r="AH2460" s="42"/>
      <c r="AI2460" s="43"/>
      <c r="AJ2460" s="43"/>
      <c r="AK2460" s="43"/>
      <c r="AL2460" s="43"/>
      <c r="AM2460" s="43"/>
      <c r="AN2460" s="42"/>
      <c r="AO2460" s="42"/>
      <c r="AP2460" s="42"/>
      <c r="AQ2460" s="43"/>
      <c r="AR2460" s="42"/>
      <c r="AS2460" s="42"/>
    </row>
    <row r="2461" spans="1:45" ht="15" customHeight="1">
      <c r="A2461" s="56" t="s">
        <v>57</v>
      </c>
      <c r="B2461" s="21" t="s">
        <v>46</v>
      </c>
      <c r="C2461" s="57" t="s">
        <v>58</v>
      </c>
      <c r="D2461" s="22" t="s">
        <v>71</v>
      </c>
      <c r="E2461" s="58" t="s">
        <v>808</v>
      </c>
      <c r="F2461" s="56" t="s">
        <v>809</v>
      </c>
      <c r="G2461" s="26" t="s">
        <v>62</v>
      </c>
      <c r="H2461" s="133" t="s">
        <v>3239</v>
      </c>
      <c r="I2461" s="26" t="s">
        <v>64</v>
      </c>
      <c r="J2461" s="56" t="s">
        <v>3260</v>
      </c>
      <c r="K2461" s="59"/>
      <c r="L2461" s="48"/>
      <c r="M2461" s="49">
        <v>44317</v>
      </c>
      <c r="N2461" s="49" t="s">
        <v>66</v>
      </c>
      <c r="O2461" s="60">
        <v>440</v>
      </c>
      <c r="P2461" s="61">
        <v>73</v>
      </c>
      <c r="Q2461" s="51">
        <f t="shared" si="58"/>
        <v>32120</v>
      </c>
      <c r="R2461" s="31">
        <v>202310</v>
      </c>
      <c r="S2461" s="58" t="s">
        <v>3261</v>
      </c>
      <c r="T2461" s="33"/>
      <c r="U2461" s="58"/>
      <c r="V2461" s="58"/>
      <c r="W2461" s="63"/>
      <c r="X2461" s="63"/>
      <c r="Y2461" s="36">
        <v>44166</v>
      </c>
      <c r="Z2461" s="36">
        <v>45281</v>
      </c>
      <c r="AA2461" s="36"/>
      <c r="AB2461" s="36"/>
      <c r="AC2461" s="36"/>
      <c r="AD2461" s="36"/>
      <c r="AE2461" s="36"/>
      <c r="AF2461" s="53" t="s">
        <v>68</v>
      </c>
      <c r="AG2461" s="42"/>
      <c r="AH2461" s="42"/>
      <c r="AI2461" s="43"/>
      <c r="AJ2461" s="43"/>
      <c r="AK2461" s="43"/>
      <c r="AL2461" s="43"/>
      <c r="AM2461" s="43"/>
      <c r="AN2461" s="42"/>
      <c r="AO2461" s="42"/>
      <c r="AP2461" s="42"/>
      <c r="AQ2461" s="43"/>
      <c r="AR2461" s="42"/>
      <c r="AS2461" s="42"/>
    </row>
    <row r="2462" spans="1:45" ht="15" customHeight="1">
      <c r="A2462" s="56" t="s">
        <v>57</v>
      </c>
      <c r="B2462" s="21" t="s">
        <v>46</v>
      </c>
      <c r="C2462" s="57" t="s">
        <v>58</v>
      </c>
      <c r="D2462" s="22" t="s">
        <v>71</v>
      </c>
      <c r="E2462" s="58" t="s">
        <v>808</v>
      </c>
      <c r="F2462" s="56" t="s">
        <v>809</v>
      </c>
      <c r="G2462" s="26" t="s">
        <v>62</v>
      </c>
      <c r="H2462" s="133" t="s">
        <v>3239</v>
      </c>
      <c r="I2462" s="26" t="s">
        <v>64</v>
      </c>
      <c r="J2462" s="56" t="s">
        <v>3262</v>
      </c>
      <c r="K2462" s="59"/>
      <c r="L2462" s="48"/>
      <c r="M2462" s="49">
        <v>44317</v>
      </c>
      <c r="N2462" s="49" t="s">
        <v>66</v>
      </c>
      <c r="O2462" s="60">
        <v>1320</v>
      </c>
      <c r="P2462" s="61">
        <v>6.2</v>
      </c>
      <c r="Q2462" s="51">
        <f t="shared" si="58"/>
        <v>8184</v>
      </c>
      <c r="R2462" s="31">
        <v>202310</v>
      </c>
      <c r="S2462" s="58" t="s">
        <v>3263</v>
      </c>
      <c r="T2462" s="33"/>
      <c r="U2462" s="58"/>
      <c r="V2462" s="58"/>
      <c r="W2462" s="63"/>
      <c r="X2462" s="63"/>
      <c r="Y2462" s="36">
        <v>44166</v>
      </c>
      <c r="Z2462" s="36">
        <v>45281</v>
      </c>
      <c r="AA2462" s="36"/>
      <c r="AB2462" s="36"/>
      <c r="AC2462" s="36"/>
      <c r="AD2462" s="36"/>
      <c r="AE2462" s="36"/>
      <c r="AF2462" s="53" t="s">
        <v>68</v>
      </c>
      <c r="AG2462" s="42"/>
      <c r="AH2462" s="42"/>
      <c r="AI2462" s="43"/>
      <c r="AJ2462" s="43"/>
      <c r="AK2462" s="43"/>
      <c r="AL2462" s="43"/>
      <c r="AM2462" s="43"/>
      <c r="AN2462" s="42"/>
      <c r="AO2462" s="42"/>
      <c r="AP2462" s="42"/>
      <c r="AQ2462" s="43"/>
      <c r="AR2462" s="42"/>
      <c r="AS2462" s="42"/>
    </row>
    <row r="2463" spans="1:45" ht="15" customHeight="1">
      <c r="A2463" s="56" t="s">
        <v>57</v>
      </c>
      <c r="B2463" s="21" t="s">
        <v>46</v>
      </c>
      <c r="C2463" s="57" t="s">
        <v>58</v>
      </c>
      <c r="D2463" s="22" t="s">
        <v>71</v>
      </c>
      <c r="E2463" s="58" t="s">
        <v>808</v>
      </c>
      <c r="F2463" s="56" t="s">
        <v>809</v>
      </c>
      <c r="G2463" s="26" t="s">
        <v>62</v>
      </c>
      <c r="H2463" s="133" t="s">
        <v>3239</v>
      </c>
      <c r="I2463" s="26" t="s">
        <v>64</v>
      </c>
      <c r="J2463" s="56" t="s">
        <v>3264</v>
      </c>
      <c r="K2463" s="59"/>
      <c r="L2463" s="48"/>
      <c r="M2463" s="49">
        <v>44340</v>
      </c>
      <c r="N2463" s="49" t="s">
        <v>66</v>
      </c>
      <c r="O2463" s="60">
        <v>432</v>
      </c>
      <c r="P2463" s="61">
        <v>3</v>
      </c>
      <c r="Q2463" s="51">
        <f t="shared" si="58"/>
        <v>1296</v>
      </c>
      <c r="R2463" s="31">
        <v>202310</v>
      </c>
      <c r="S2463" s="58" t="s">
        <v>3265</v>
      </c>
      <c r="T2463" s="33"/>
      <c r="U2463" s="58"/>
      <c r="V2463" s="58"/>
      <c r="W2463" s="63"/>
      <c r="X2463" s="63"/>
      <c r="Y2463" s="36">
        <v>44166</v>
      </c>
      <c r="Z2463" s="36">
        <v>45281</v>
      </c>
      <c r="AA2463" s="36"/>
      <c r="AB2463" s="36"/>
      <c r="AC2463" s="36"/>
      <c r="AD2463" s="36"/>
      <c r="AE2463" s="36"/>
      <c r="AF2463" s="53" t="s">
        <v>68</v>
      </c>
      <c r="AG2463" s="42"/>
      <c r="AH2463" s="42"/>
      <c r="AI2463" s="43"/>
      <c r="AJ2463" s="43"/>
      <c r="AK2463" s="43"/>
      <c r="AL2463" s="43"/>
      <c r="AM2463" s="43"/>
      <c r="AN2463" s="42"/>
      <c r="AO2463" s="42"/>
      <c r="AP2463" s="42"/>
      <c r="AQ2463" s="43"/>
      <c r="AR2463" s="42"/>
      <c r="AS2463" s="42"/>
    </row>
    <row r="2464" spans="1:45" ht="15" customHeight="1">
      <c r="A2464" s="56" t="s">
        <v>57</v>
      </c>
      <c r="B2464" s="21" t="s">
        <v>46</v>
      </c>
      <c r="C2464" s="57" t="s">
        <v>58</v>
      </c>
      <c r="D2464" s="22" t="s">
        <v>71</v>
      </c>
      <c r="E2464" s="58" t="s">
        <v>808</v>
      </c>
      <c r="F2464" s="56" t="s">
        <v>809</v>
      </c>
      <c r="G2464" s="26" t="s">
        <v>62</v>
      </c>
      <c r="H2464" s="133" t="s">
        <v>3239</v>
      </c>
      <c r="I2464" s="26" t="s">
        <v>64</v>
      </c>
      <c r="J2464" s="56" t="s">
        <v>3264</v>
      </c>
      <c r="K2464" s="59"/>
      <c r="L2464" s="48"/>
      <c r="M2464" s="49">
        <v>44340</v>
      </c>
      <c r="N2464" s="49" t="s">
        <v>66</v>
      </c>
      <c r="O2464" s="60">
        <v>432</v>
      </c>
      <c r="P2464" s="61">
        <v>1.2</v>
      </c>
      <c r="Q2464" s="51">
        <f t="shared" si="58"/>
        <v>518.4</v>
      </c>
      <c r="R2464" s="31">
        <v>202310</v>
      </c>
      <c r="S2464" s="58" t="s">
        <v>3265</v>
      </c>
      <c r="T2464" s="33"/>
      <c r="U2464" s="58"/>
      <c r="V2464" s="58"/>
      <c r="W2464" s="63"/>
      <c r="X2464" s="63"/>
      <c r="Y2464" s="36">
        <v>44166</v>
      </c>
      <c r="Z2464" s="36">
        <v>45281</v>
      </c>
      <c r="AA2464" s="36"/>
      <c r="AB2464" s="36"/>
      <c r="AC2464" s="36"/>
      <c r="AD2464" s="36"/>
      <c r="AE2464" s="36"/>
      <c r="AF2464" s="53" t="s">
        <v>68</v>
      </c>
      <c r="AG2464" s="42"/>
      <c r="AH2464" s="42"/>
      <c r="AI2464" s="43"/>
      <c r="AJ2464" s="43"/>
      <c r="AK2464" s="43"/>
      <c r="AL2464" s="43"/>
      <c r="AM2464" s="43"/>
      <c r="AN2464" s="42"/>
      <c r="AO2464" s="42"/>
      <c r="AP2464" s="42"/>
      <c r="AQ2464" s="43"/>
      <c r="AR2464" s="42"/>
      <c r="AS2464" s="42"/>
    </row>
    <row r="2465" spans="1:45" ht="15" customHeight="1">
      <c r="A2465" s="56" t="s">
        <v>57</v>
      </c>
      <c r="B2465" s="21" t="s">
        <v>46</v>
      </c>
      <c r="C2465" s="57" t="s">
        <v>58</v>
      </c>
      <c r="D2465" s="22" t="s">
        <v>71</v>
      </c>
      <c r="E2465" s="58" t="s">
        <v>808</v>
      </c>
      <c r="F2465" s="56" t="s">
        <v>809</v>
      </c>
      <c r="G2465" s="26" t="s">
        <v>297</v>
      </c>
      <c r="H2465" s="133" t="s">
        <v>3239</v>
      </c>
      <c r="I2465" s="26" t="s">
        <v>3266</v>
      </c>
      <c r="J2465" s="56" t="s">
        <v>3267</v>
      </c>
      <c r="K2465" s="59"/>
      <c r="L2465" s="48"/>
      <c r="M2465" s="49">
        <v>44340</v>
      </c>
      <c r="N2465" s="49"/>
      <c r="O2465" s="60">
        <v>1851</v>
      </c>
      <c r="P2465" s="61">
        <v>1</v>
      </c>
      <c r="Q2465" s="51">
        <f t="shared" si="58"/>
        <v>1851</v>
      </c>
      <c r="R2465" s="31">
        <v>202310</v>
      </c>
      <c r="S2465" s="58" t="s">
        <v>3268</v>
      </c>
      <c r="T2465" s="33"/>
      <c r="U2465" s="58"/>
      <c r="V2465" s="58"/>
      <c r="W2465" s="63"/>
      <c r="X2465" s="63"/>
      <c r="Y2465" s="36">
        <v>44166</v>
      </c>
      <c r="Z2465" s="36">
        <v>45281</v>
      </c>
      <c r="AA2465" s="36"/>
      <c r="AB2465" s="36"/>
      <c r="AC2465" s="36"/>
      <c r="AD2465" s="36"/>
      <c r="AE2465" s="36"/>
      <c r="AF2465" s="53" t="s">
        <v>68</v>
      </c>
      <c r="AG2465" s="42"/>
      <c r="AH2465" s="42"/>
      <c r="AI2465" s="43"/>
      <c r="AJ2465" s="43"/>
      <c r="AK2465" s="43"/>
      <c r="AL2465" s="43"/>
      <c r="AM2465" s="43"/>
      <c r="AN2465" s="42"/>
      <c r="AO2465" s="42"/>
      <c r="AP2465" s="42"/>
      <c r="AQ2465" s="43"/>
      <c r="AR2465" s="42"/>
      <c r="AS2465" s="42"/>
    </row>
    <row r="2466" spans="1:45" ht="15" customHeight="1">
      <c r="A2466" s="56" t="s">
        <v>57</v>
      </c>
      <c r="B2466" s="21" t="s">
        <v>46</v>
      </c>
      <c r="C2466" s="57" t="s">
        <v>58</v>
      </c>
      <c r="D2466" s="22" t="s">
        <v>71</v>
      </c>
      <c r="E2466" s="58" t="s">
        <v>808</v>
      </c>
      <c r="F2466" s="56" t="s">
        <v>809</v>
      </c>
      <c r="G2466" s="26" t="s">
        <v>62</v>
      </c>
      <c r="H2466" s="133" t="s">
        <v>3239</v>
      </c>
      <c r="I2466" s="26" t="s">
        <v>64</v>
      </c>
      <c r="J2466" s="56" t="s">
        <v>3264</v>
      </c>
      <c r="K2466" s="59"/>
      <c r="L2466" s="48"/>
      <c r="M2466" s="49">
        <v>44592</v>
      </c>
      <c r="N2466" s="49" t="s">
        <v>66</v>
      </c>
      <c r="O2466" s="60">
        <v>432</v>
      </c>
      <c r="P2466" s="61">
        <v>-3</v>
      </c>
      <c r="Q2466" s="51">
        <f t="shared" si="58"/>
        <v>-1296</v>
      </c>
      <c r="R2466" s="31">
        <v>202310</v>
      </c>
      <c r="S2466" s="58" t="s">
        <v>3265</v>
      </c>
      <c r="T2466" s="33"/>
      <c r="U2466" s="58"/>
      <c r="V2466" s="58"/>
      <c r="W2466" s="63"/>
      <c r="X2466" s="63"/>
      <c r="Y2466" s="36">
        <v>44166</v>
      </c>
      <c r="Z2466" s="36">
        <v>45281</v>
      </c>
      <c r="AA2466" s="36"/>
      <c r="AB2466" s="36"/>
      <c r="AC2466" s="36"/>
      <c r="AD2466" s="36"/>
      <c r="AE2466" s="36"/>
      <c r="AF2466" s="53" t="s">
        <v>68</v>
      </c>
      <c r="AG2466" s="42"/>
      <c r="AH2466" s="42"/>
      <c r="AI2466" s="43"/>
      <c r="AJ2466" s="43"/>
      <c r="AK2466" s="43"/>
      <c r="AL2466" s="43"/>
      <c r="AM2466" s="43"/>
      <c r="AN2466" s="42"/>
      <c r="AO2466" s="42"/>
      <c r="AP2466" s="42"/>
      <c r="AQ2466" s="43"/>
      <c r="AR2466" s="42"/>
      <c r="AS2466" s="42"/>
    </row>
    <row r="2467" spans="1:45" ht="15" customHeight="1">
      <c r="A2467" s="56" t="s">
        <v>57</v>
      </c>
      <c r="B2467" s="21" t="s">
        <v>46</v>
      </c>
      <c r="C2467" s="57" t="s">
        <v>58</v>
      </c>
      <c r="D2467" s="22" t="s">
        <v>71</v>
      </c>
      <c r="E2467" s="58" t="s">
        <v>808</v>
      </c>
      <c r="F2467" s="56" t="s">
        <v>809</v>
      </c>
      <c r="G2467" s="26" t="s">
        <v>62</v>
      </c>
      <c r="H2467" s="133" t="s">
        <v>3239</v>
      </c>
      <c r="I2467" s="26" t="s">
        <v>64</v>
      </c>
      <c r="J2467" s="56" t="s">
        <v>3264</v>
      </c>
      <c r="K2467" s="59"/>
      <c r="L2467" s="48"/>
      <c r="M2467" s="49">
        <v>44592</v>
      </c>
      <c r="N2467" s="49" t="s">
        <v>66</v>
      </c>
      <c r="O2467" s="60">
        <v>432</v>
      </c>
      <c r="P2467" s="61">
        <v>-1.2</v>
      </c>
      <c r="Q2467" s="51">
        <f t="shared" si="58"/>
        <v>-518.4</v>
      </c>
      <c r="R2467" s="31">
        <v>202310</v>
      </c>
      <c r="S2467" s="58" t="s">
        <v>3265</v>
      </c>
      <c r="T2467" s="33"/>
      <c r="U2467" s="58"/>
      <c r="V2467" s="58"/>
      <c r="W2467" s="63"/>
      <c r="X2467" s="63"/>
      <c r="Y2467" s="36">
        <v>44166</v>
      </c>
      <c r="Z2467" s="36">
        <v>45281</v>
      </c>
      <c r="AA2467" s="36"/>
      <c r="AB2467" s="36"/>
      <c r="AC2467" s="36"/>
      <c r="AD2467" s="36"/>
      <c r="AE2467" s="36"/>
      <c r="AF2467" s="53" t="s">
        <v>68</v>
      </c>
      <c r="AG2467" s="42"/>
      <c r="AH2467" s="42"/>
      <c r="AI2467" s="43"/>
      <c r="AJ2467" s="43"/>
      <c r="AK2467" s="43"/>
      <c r="AL2467" s="43"/>
      <c r="AM2467" s="43"/>
      <c r="AN2467" s="42"/>
      <c r="AO2467" s="42"/>
      <c r="AP2467" s="42"/>
      <c r="AQ2467" s="43"/>
      <c r="AR2467" s="42"/>
      <c r="AS2467" s="42"/>
    </row>
    <row r="2468" spans="1:45" ht="15" customHeight="1">
      <c r="A2468" s="56" t="s">
        <v>57</v>
      </c>
      <c r="B2468" s="21" t="s">
        <v>46</v>
      </c>
      <c r="C2468" s="57" t="s">
        <v>58</v>
      </c>
      <c r="D2468" s="22" t="s">
        <v>71</v>
      </c>
      <c r="E2468" s="58" t="s">
        <v>808</v>
      </c>
      <c r="F2468" s="56" t="s">
        <v>809</v>
      </c>
      <c r="G2468" s="26" t="s">
        <v>297</v>
      </c>
      <c r="H2468" s="133" t="s">
        <v>3239</v>
      </c>
      <c r="I2468" s="26" t="s">
        <v>3266</v>
      </c>
      <c r="J2468" s="56" t="s">
        <v>3267</v>
      </c>
      <c r="K2468" s="59"/>
      <c r="L2468" s="48"/>
      <c r="M2468" s="49">
        <v>44592</v>
      </c>
      <c r="N2468" s="49"/>
      <c r="O2468" s="60">
        <v>1851</v>
      </c>
      <c r="P2468" s="61">
        <v>-1</v>
      </c>
      <c r="Q2468" s="51">
        <f t="shared" si="58"/>
        <v>-1851</v>
      </c>
      <c r="R2468" s="31">
        <v>202310</v>
      </c>
      <c r="S2468" s="58" t="s">
        <v>3269</v>
      </c>
      <c r="T2468" s="33"/>
      <c r="U2468" s="58"/>
      <c r="V2468" s="58"/>
      <c r="W2468" s="63"/>
      <c r="X2468" s="63"/>
      <c r="Y2468" s="36">
        <v>44166</v>
      </c>
      <c r="Z2468" s="36">
        <v>45281</v>
      </c>
      <c r="AA2468" s="36"/>
      <c r="AB2468" s="36"/>
      <c r="AC2468" s="36"/>
      <c r="AD2468" s="36"/>
      <c r="AE2468" s="36"/>
      <c r="AF2468" s="53" t="s">
        <v>68</v>
      </c>
      <c r="AG2468" s="42"/>
      <c r="AH2468" s="42"/>
      <c r="AI2468" s="43"/>
      <c r="AJ2468" s="43"/>
      <c r="AK2468" s="43"/>
      <c r="AL2468" s="43"/>
      <c r="AM2468" s="43"/>
      <c r="AN2468" s="42"/>
      <c r="AO2468" s="42"/>
      <c r="AP2468" s="42"/>
      <c r="AQ2468" s="43"/>
      <c r="AR2468" s="42"/>
      <c r="AS2468" s="42"/>
    </row>
    <row r="2469" spans="1:45" ht="15" customHeight="1">
      <c r="A2469" s="56" t="s">
        <v>57</v>
      </c>
      <c r="B2469" s="21" t="s">
        <v>46</v>
      </c>
      <c r="C2469" s="57" t="s">
        <v>58</v>
      </c>
      <c r="D2469" s="22" t="s">
        <v>71</v>
      </c>
      <c r="E2469" s="58" t="s">
        <v>808</v>
      </c>
      <c r="F2469" s="56" t="s">
        <v>809</v>
      </c>
      <c r="G2469" s="26" t="s">
        <v>62</v>
      </c>
      <c r="H2469" s="133" t="s">
        <v>3239</v>
      </c>
      <c r="I2469" s="26" t="s">
        <v>64</v>
      </c>
      <c r="J2469" s="56" t="s">
        <v>3270</v>
      </c>
      <c r="K2469" s="59"/>
      <c r="L2469" s="48"/>
      <c r="M2469" s="49">
        <v>44340</v>
      </c>
      <c r="N2469" s="49" t="s">
        <v>66</v>
      </c>
      <c r="O2469" s="60">
        <v>432</v>
      </c>
      <c r="P2469" s="61">
        <v>49</v>
      </c>
      <c r="Q2469" s="51">
        <f t="shared" si="58"/>
        <v>21168</v>
      </c>
      <c r="R2469" s="31">
        <v>202310</v>
      </c>
      <c r="S2469" s="58" t="s">
        <v>3271</v>
      </c>
      <c r="T2469" s="33"/>
      <c r="U2469" s="58"/>
      <c r="V2469" s="58"/>
      <c r="W2469" s="63"/>
      <c r="X2469" s="63"/>
      <c r="Y2469" s="36">
        <v>44166</v>
      </c>
      <c r="Z2469" s="36">
        <v>45281</v>
      </c>
      <c r="AA2469" s="36"/>
      <c r="AB2469" s="36"/>
      <c r="AC2469" s="36"/>
      <c r="AD2469" s="36"/>
      <c r="AE2469" s="36"/>
      <c r="AF2469" s="53" t="s">
        <v>68</v>
      </c>
      <c r="AG2469" s="42"/>
      <c r="AH2469" s="42"/>
      <c r="AI2469" s="43"/>
      <c r="AJ2469" s="43"/>
      <c r="AK2469" s="43"/>
      <c r="AL2469" s="43"/>
      <c r="AM2469" s="43"/>
      <c r="AN2469" s="42"/>
      <c r="AO2469" s="42"/>
      <c r="AP2469" s="42"/>
      <c r="AQ2469" s="43"/>
      <c r="AR2469" s="42"/>
      <c r="AS2469" s="42"/>
    </row>
    <row r="2470" spans="1:45" ht="15" customHeight="1">
      <c r="A2470" s="56" t="s">
        <v>57</v>
      </c>
      <c r="B2470" s="21" t="s">
        <v>46</v>
      </c>
      <c r="C2470" s="57" t="s">
        <v>58</v>
      </c>
      <c r="D2470" s="22" t="s">
        <v>71</v>
      </c>
      <c r="E2470" s="58" t="s">
        <v>808</v>
      </c>
      <c r="F2470" s="56" t="s">
        <v>809</v>
      </c>
      <c r="G2470" s="26" t="s">
        <v>62</v>
      </c>
      <c r="H2470" s="133" t="s">
        <v>3239</v>
      </c>
      <c r="I2470" s="26" t="s">
        <v>64</v>
      </c>
      <c r="J2470" s="56" t="s">
        <v>3270</v>
      </c>
      <c r="K2470" s="59"/>
      <c r="L2470" s="48"/>
      <c r="M2470" s="49">
        <v>44340</v>
      </c>
      <c r="N2470" s="49" t="s">
        <v>66</v>
      </c>
      <c r="O2470" s="60">
        <v>432</v>
      </c>
      <c r="P2470" s="61">
        <v>58.8</v>
      </c>
      <c r="Q2470" s="51">
        <f t="shared" si="58"/>
        <v>25401.599999999999</v>
      </c>
      <c r="R2470" s="31">
        <v>202310</v>
      </c>
      <c r="S2470" s="58" t="s">
        <v>3271</v>
      </c>
      <c r="T2470" s="33"/>
      <c r="U2470" s="58"/>
      <c r="V2470" s="58"/>
      <c r="W2470" s="63"/>
      <c r="X2470" s="63"/>
      <c r="Y2470" s="36">
        <v>44166</v>
      </c>
      <c r="Z2470" s="36">
        <v>45281</v>
      </c>
      <c r="AA2470" s="36"/>
      <c r="AB2470" s="36"/>
      <c r="AC2470" s="36"/>
      <c r="AD2470" s="36"/>
      <c r="AE2470" s="36"/>
      <c r="AF2470" s="53" t="s">
        <v>68</v>
      </c>
      <c r="AG2470" s="42"/>
      <c r="AH2470" s="42"/>
      <c r="AI2470" s="43"/>
      <c r="AJ2470" s="43"/>
      <c r="AK2470" s="43"/>
      <c r="AL2470" s="43"/>
      <c r="AM2470" s="43"/>
      <c r="AN2470" s="42"/>
      <c r="AO2470" s="42"/>
      <c r="AP2470" s="42"/>
      <c r="AQ2470" s="43"/>
      <c r="AR2470" s="42"/>
      <c r="AS2470" s="42"/>
    </row>
    <row r="2471" spans="1:45" ht="15" customHeight="1">
      <c r="A2471" s="56" t="s">
        <v>57</v>
      </c>
      <c r="B2471" s="21" t="s">
        <v>46</v>
      </c>
      <c r="C2471" s="57" t="s">
        <v>58</v>
      </c>
      <c r="D2471" s="22" t="s">
        <v>71</v>
      </c>
      <c r="E2471" s="58" t="s">
        <v>808</v>
      </c>
      <c r="F2471" s="56" t="s">
        <v>809</v>
      </c>
      <c r="G2471" s="26" t="s">
        <v>62</v>
      </c>
      <c r="H2471" s="133" t="s">
        <v>3239</v>
      </c>
      <c r="I2471" s="26" t="s">
        <v>64</v>
      </c>
      <c r="J2471" s="56" t="s">
        <v>3272</v>
      </c>
      <c r="K2471" s="59"/>
      <c r="L2471" s="48"/>
      <c r="M2471" s="49">
        <v>44340</v>
      </c>
      <c r="N2471" s="49" t="s">
        <v>66</v>
      </c>
      <c r="O2471" s="60">
        <v>432</v>
      </c>
      <c r="P2471" s="61">
        <v>35</v>
      </c>
      <c r="Q2471" s="51">
        <f t="shared" si="58"/>
        <v>15120</v>
      </c>
      <c r="R2471" s="31">
        <v>202310</v>
      </c>
      <c r="S2471" s="58" t="s">
        <v>3271</v>
      </c>
      <c r="T2471" s="33"/>
      <c r="U2471" s="58"/>
      <c r="V2471" s="58"/>
      <c r="W2471" s="63"/>
      <c r="X2471" s="63"/>
      <c r="Y2471" s="36">
        <v>44166</v>
      </c>
      <c r="Z2471" s="36">
        <v>45281</v>
      </c>
      <c r="AA2471" s="36"/>
      <c r="AB2471" s="36"/>
      <c r="AC2471" s="36"/>
      <c r="AD2471" s="36"/>
      <c r="AE2471" s="36"/>
      <c r="AF2471" s="53" t="s">
        <v>68</v>
      </c>
      <c r="AG2471" s="42"/>
      <c r="AH2471" s="42"/>
      <c r="AI2471" s="43"/>
      <c r="AJ2471" s="43"/>
      <c r="AK2471" s="43"/>
      <c r="AL2471" s="43"/>
      <c r="AM2471" s="43"/>
      <c r="AN2471" s="42"/>
      <c r="AO2471" s="42"/>
      <c r="AP2471" s="42"/>
      <c r="AQ2471" s="43"/>
      <c r="AR2471" s="42"/>
      <c r="AS2471" s="42"/>
    </row>
    <row r="2472" spans="1:45" ht="15" customHeight="1">
      <c r="A2472" s="56" t="s">
        <v>57</v>
      </c>
      <c r="B2472" s="21" t="s">
        <v>46</v>
      </c>
      <c r="C2472" s="57" t="s">
        <v>58</v>
      </c>
      <c r="D2472" s="22" t="s">
        <v>71</v>
      </c>
      <c r="E2472" s="58" t="s">
        <v>808</v>
      </c>
      <c r="F2472" s="56" t="s">
        <v>809</v>
      </c>
      <c r="G2472" s="26" t="s">
        <v>62</v>
      </c>
      <c r="H2472" s="133" t="s">
        <v>3239</v>
      </c>
      <c r="I2472" s="26" t="s">
        <v>64</v>
      </c>
      <c r="J2472" s="56" t="s">
        <v>3272</v>
      </c>
      <c r="K2472" s="59"/>
      <c r="L2472" s="48"/>
      <c r="M2472" s="49">
        <v>44530</v>
      </c>
      <c r="N2472" s="49" t="s">
        <v>66</v>
      </c>
      <c r="O2472" s="60">
        <v>432</v>
      </c>
      <c r="P2472" s="61">
        <v>-35</v>
      </c>
      <c r="Q2472" s="51">
        <f t="shared" si="58"/>
        <v>-15120</v>
      </c>
      <c r="R2472" s="31">
        <v>202310</v>
      </c>
      <c r="S2472" s="58" t="s">
        <v>2118</v>
      </c>
      <c r="T2472" s="33"/>
      <c r="U2472" s="58"/>
      <c r="V2472" s="58"/>
      <c r="W2472" s="63"/>
      <c r="X2472" s="63"/>
      <c r="Y2472" s="36">
        <v>44166</v>
      </c>
      <c r="Z2472" s="36">
        <v>45281</v>
      </c>
      <c r="AA2472" s="36"/>
      <c r="AB2472" s="36"/>
      <c r="AC2472" s="36"/>
      <c r="AD2472" s="36"/>
      <c r="AE2472" s="36"/>
      <c r="AF2472" s="53" t="s">
        <v>68</v>
      </c>
      <c r="AG2472" s="42"/>
      <c r="AH2472" s="42"/>
      <c r="AI2472" s="43"/>
      <c r="AJ2472" s="43"/>
      <c r="AK2472" s="43"/>
      <c r="AL2472" s="43"/>
      <c r="AM2472" s="43"/>
      <c r="AN2472" s="42"/>
      <c r="AO2472" s="42"/>
      <c r="AP2472" s="42"/>
      <c r="AQ2472" s="43"/>
      <c r="AR2472" s="42"/>
      <c r="AS2472" s="42"/>
    </row>
    <row r="2473" spans="1:45" ht="15" customHeight="1">
      <c r="A2473" s="56" t="s">
        <v>57</v>
      </c>
      <c r="B2473" s="21" t="s">
        <v>46</v>
      </c>
      <c r="C2473" s="57" t="s">
        <v>58</v>
      </c>
      <c r="D2473" s="22" t="s">
        <v>71</v>
      </c>
      <c r="E2473" s="58" t="s">
        <v>808</v>
      </c>
      <c r="F2473" s="56" t="s">
        <v>809</v>
      </c>
      <c r="G2473" s="26" t="s">
        <v>62</v>
      </c>
      <c r="H2473" s="133" t="s">
        <v>3239</v>
      </c>
      <c r="I2473" s="26" t="s">
        <v>64</v>
      </c>
      <c r="J2473" s="56" t="s">
        <v>3272</v>
      </c>
      <c r="K2473" s="59"/>
      <c r="L2473" s="48"/>
      <c r="M2473" s="49">
        <v>44340</v>
      </c>
      <c r="N2473" s="49" t="s">
        <v>66</v>
      </c>
      <c r="O2473" s="60">
        <v>432</v>
      </c>
      <c r="P2473" s="61">
        <v>59</v>
      </c>
      <c r="Q2473" s="51">
        <f t="shared" si="58"/>
        <v>25488</v>
      </c>
      <c r="R2473" s="31">
        <v>202310</v>
      </c>
      <c r="S2473" s="58" t="s">
        <v>3271</v>
      </c>
      <c r="T2473" s="33"/>
      <c r="U2473" s="58"/>
      <c r="V2473" s="58"/>
      <c r="W2473" s="63"/>
      <c r="X2473" s="63"/>
      <c r="Y2473" s="36">
        <v>44166</v>
      </c>
      <c r="Z2473" s="36">
        <v>45281</v>
      </c>
      <c r="AA2473" s="36"/>
      <c r="AB2473" s="36"/>
      <c r="AC2473" s="36"/>
      <c r="AD2473" s="36"/>
      <c r="AE2473" s="36"/>
      <c r="AF2473" s="53" t="s">
        <v>68</v>
      </c>
      <c r="AG2473" s="42"/>
      <c r="AH2473" s="42"/>
      <c r="AI2473" s="43"/>
      <c r="AJ2473" s="43"/>
      <c r="AK2473" s="43"/>
      <c r="AL2473" s="43"/>
      <c r="AM2473" s="43"/>
      <c r="AN2473" s="42"/>
      <c r="AO2473" s="42"/>
      <c r="AP2473" s="42"/>
      <c r="AQ2473" s="43"/>
      <c r="AR2473" s="42"/>
      <c r="AS2473" s="42"/>
    </row>
    <row r="2474" spans="1:45" ht="15" customHeight="1">
      <c r="A2474" s="56" t="s">
        <v>57</v>
      </c>
      <c r="B2474" s="21" t="s">
        <v>46</v>
      </c>
      <c r="C2474" s="57" t="s">
        <v>58</v>
      </c>
      <c r="D2474" s="22" t="s">
        <v>71</v>
      </c>
      <c r="E2474" s="58" t="s">
        <v>808</v>
      </c>
      <c r="F2474" s="56" t="s">
        <v>809</v>
      </c>
      <c r="G2474" s="26" t="s">
        <v>62</v>
      </c>
      <c r="H2474" s="133" t="s">
        <v>3239</v>
      </c>
      <c r="I2474" s="26" t="s">
        <v>64</v>
      </c>
      <c r="J2474" s="56" t="s">
        <v>3272</v>
      </c>
      <c r="K2474" s="59"/>
      <c r="L2474" s="48"/>
      <c r="M2474" s="49">
        <v>44530</v>
      </c>
      <c r="N2474" s="49" t="s">
        <v>66</v>
      </c>
      <c r="O2474" s="60">
        <v>432</v>
      </c>
      <c r="P2474" s="61">
        <v>-59</v>
      </c>
      <c r="Q2474" s="51">
        <f t="shared" si="58"/>
        <v>-25488</v>
      </c>
      <c r="R2474" s="31">
        <v>202310</v>
      </c>
      <c r="S2474" s="58" t="s">
        <v>2118</v>
      </c>
      <c r="T2474" s="33"/>
      <c r="U2474" s="58"/>
      <c r="V2474" s="58"/>
      <c r="W2474" s="63"/>
      <c r="X2474" s="63"/>
      <c r="Y2474" s="36">
        <v>44166</v>
      </c>
      <c r="Z2474" s="36">
        <v>45281</v>
      </c>
      <c r="AA2474" s="36"/>
      <c r="AB2474" s="36"/>
      <c r="AC2474" s="36"/>
      <c r="AD2474" s="36"/>
      <c r="AE2474" s="36"/>
      <c r="AF2474" s="53" t="s">
        <v>68</v>
      </c>
      <c r="AG2474" s="42"/>
      <c r="AH2474" s="42"/>
      <c r="AI2474" s="43"/>
      <c r="AJ2474" s="43"/>
      <c r="AK2474" s="43"/>
      <c r="AL2474" s="43"/>
      <c r="AM2474" s="43"/>
      <c r="AN2474" s="42"/>
      <c r="AO2474" s="42"/>
      <c r="AP2474" s="42"/>
      <c r="AQ2474" s="43"/>
      <c r="AR2474" s="42"/>
      <c r="AS2474" s="42"/>
    </row>
    <row r="2475" spans="1:45" ht="15" customHeight="1">
      <c r="A2475" s="56" t="s">
        <v>57</v>
      </c>
      <c r="B2475" s="21" t="s">
        <v>46</v>
      </c>
      <c r="C2475" s="57" t="s">
        <v>58</v>
      </c>
      <c r="D2475" s="22" t="s">
        <v>71</v>
      </c>
      <c r="E2475" s="58" t="s">
        <v>808</v>
      </c>
      <c r="F2475" s="56" t="s">
        <v>809</v>
      </c>
      <c r="G2475" s="26" t="s">
        <v>62</v>
      </c>
      <c r="H2475" s="133" t="s">
        <v>3239</v>
      </c>
      <c r="I2475" s="26" t="s">
        <v>64</v>
      </c>
      <c r="J2475" s="56" t="s">
        <v>3273</v>
      </c>
      <c r="K2475" s="59"/>
      <c r="L2475" s="48"/>
      <c r="M2475" s="49">
        <v>44340</v>
      </c>
      <c r="N2475" s="49" t="s">
        <v>66</v>
      </c>
      <c r="O2475" s="60">
        <v>432</v>
      </c>
      <c r="P2475" s="61">
        <v>19.8</v>
      </c>
      <c r="Q2475" s="51">
        <f t="shared" si="58"/>
        <v>8553.6</v>
      </c>
      <c r="R2475" s="31">
        <v>202310</v>
      </c>
      <c r="S2475" s="58" t="s">
        <v>3271</v>
      </c>
      <c r="T2475" s="33"/>
      <c r="U2475" s="58"/>
      <c r="V2475" s="58"/>
      <c r="W2475" s="63"/>
      <c r="X2475" s="63"/>
      <c r="Y2475" s="36">
        <v>44166</v>
      </c>
      <c r="Z2475" s="36">
        <v>45281</v>
      </c>
      <c r="AA2475" s="36"/>
      <c r="AB2475" s="36"/>
      <c r="AC2475" s="36"/>
      <c r="AD2475" s="36"/>
      <c r="AE2475" s="36"/>
      <c r="AF2475" s="53" t="s">
        <v>68</v>
      </c>
      <c r="AG2475" s="42"/>
      <c r="AH2475" s="42"/>
      <c r="AI2475" s="43"/>
      <c r="AJ2475" s="43"/>
      <c r="AK2475" s="43"/>
      <c r="AL2475" s="43"/>
      <c r="AM2475" s="43"/>
      <c r="AN2475" s="42"/>
      <c r="AO2475" s="42"/>
      <c r="AP2475" s="42"/>
      <c r="AQ2475" s="43"/>
      <c r="AR2475" s="42"/>
      <c r="AS2475" s="42"/>
    </row>
    <row r="2476" spans="1:45" ht="15" customHeight="1">
      <c r="A2476" s="56" t="s">
        <v>57</v>
      </c>
      <c r="B2476" s="21" t="s">
        <v>46</v>
      </c>
      <c r="C2476" s="57" t="s">
        <v>58</v>
      </c>
      <c r="D2476" s="22" t="s">
        <v>71</v>
      </c>
      <c r="E2476" s="58" t="s">
        <v>808</v>
      </c>
      <c r="F2476" s="56" t="s">
        <v>809</v>
      </c>
      <c r="G2476" s="26" t="s">
        <v>62</v>
      </c>
      <c r="H2476" s="133" t="s">
        <v>3239</v>
      </c>
      <c r="I2476" s="26" t="s">
        <v>64</v>
      </c>
      <c r="J2476" s="56" t="s">
        <v>3273</v>
      </c>
      <c r="K2476" s="59"/>
      <c r="L2476" s="48"/>
      <c r="M2476" s="49">
        <v>44340</v>
      </c>
      <c r="N2476" s="49" t="s">
        <v>66</v>
      </c>
      <c r="O2476" s="60">
        <v>432</v>
      </c>
      <c r="P2476" s="61">
        <v>18.3</v>
      </c>
      <c r="Q2476" s="51">
        <f t="shared" si="58"/>
        <v>7905.6</v>
      </c>
      <c r="R2476" s="31">
        <v>202310</v>
      </c>
      <c r="S2476" s="58" t="s">
        <v>3271</v>
      </c>
      <c r="T2476" s="33"/>
      <c r="U2476" s="58"/>
      <c r="V2476" s="58"/>
      <c r="W2476" s="63"/>
      <c r="X2476" s="63"/>
      <c r="Y2476" s="36">
        <v>44166</v>
      </c>
      <c r="Z2476" s="36">
        <v>45281</v>
      </c>
      <c r="AA2476" s="36"/>
      <c r="AB2476" s="36"/>
      <c r="AC2476" s="36"/>
      <c r="AD2476" s="36"/>
      <c r="AE2476" s="36"/>
      <c r="AF2476" s="53" t="s">
        <v>68</v>
      </c>
      <c r="AG2476" s="42"/>
      <c r="AH2476" s="42"/>
      <c r="AI2476" s="43"/>
      <c r="AJ2476" s="43"/>
      <c r="AK2476" s="43"/>
      <c r="AL2476" s="43"/>
      <c r="AM2476" s="43"/>
      <c r="AN2476" s="42"/>
      <c r="AO2476" s="42"/>
      <c r="AP2476" s="42"/>
      <c r="AQ2476" s="43"/>
      <c r="AR2476" s="42"/>
      <c r="AS2476" s="42"/>
    </row>
    <row r="2477" spans="1:45" ht="15" customHeight="1">
      <c r="A2477" s="56" t="s">
        <v>57</v>
      </c>
      <c r="B2477" s="21" t="s">
        <v>46</v>
      </c>
      <c r="C2477" s="57" t="s">
        <v>58</v>
      </c>
      <c r="D2477" s="22" t="s">
        <v>71</v>
      </c>
      <c r="E2477" s="58" t="s">
        <v>808</v>
      </c>
      <c r="F2477" s="56" t="s">
        <v>809</v>
      </c>
      <c r="G2477" s="26" t="s">
        <v>297</v>
      </c>
      <c r="H2477" s="25" t="s">
        <v>3239</v>
      </c>
      <c r="I2477" s="26" t="s">
        <v>3266</v>
      </c>
      <c r="J2477" s="56" t="s">
        <v>3274</v>
      </c>
      <c r="K2477" s="59"/>
      <c r="L2477" s="48"/>
      <c r="M2477" s="49">
        <v>44340</v>
      </c>
      <c r="N2477" s="49"/>
      <c r="O2477" s="60">
        <v>3702</v>
      </c>
      <c r="P2477" s="61">
        <v>1</v>
      </c>
      <c r="Q2477" s="51">
        <f t="shared" si="58"/>
        <v>3702</v>
      </c>
      <c r="R2477" s="31">
        <v>202310</v>
      </c>
      <c r="S2477" s="58" t="s">
        <v>3275</v>
      </c>
      <c r="T2477" s="33" t="s">
        <v>3276</v>
      </c>
      <c r="U2477" s="58"/>
      <c r="V2477" s="58"/>
      <c r="W2477" s="63"/>
      <c r="X2477" s="63"/>
      <c r="Y2477" s="36">
        <v>44166</v>
      </c>
      <c r="Z2477" s="36">
        <v>45281</v>
      </c>
      <c r="AA2477" s="36"/>
      <c r="AB2477" s="36"/>
      <c r="AC2477" s="36"/>
      <c r="AD2477" s="36"/>
      <c r="AE2477" s="36"/>
      <c r="AF2477" s="53" t="s">
        <v>68</v>
      </c>
      <c r="AG2477" s="42"/>
      <c r="AH2477" s="42"/>
      <c r="AI2477" s="43"/>
      <c r="AJ2477" s="43"/>
      <c r="AK2477" s="43"/>
      <c r="AL2477" s="43"/>
      <c r="AM2477" s="43"/>
      <c r="AN2477" s="42"/>
      <c r="AO2477" s="42"/>
      <c r="AP2477" s="42"/>
      <c r="AQ2477" s="43"/>
      <c r="AR2477" s="42"/>
      <c r="AS2477" s="42"/>
    </row>
    <row r="2478" spans="1:45" ht="15" customHeight="1">
      <c r="A2478" s="56" t="s">
        <v>57</v>
      </c>
      <c r="B2478" s="21" t="s">
        <v>46</v>
      </c>
      <c r="C2478" s="57" t="s">
        <v>58</v>
      </c>
      <c r="D2478" s="22" t="s">
        <v>71</v>
      </c>
      <c r="E2478" s="58" t="s">
        <v>808</v>
      </c>
      <c r="F2478" s="56" t="s">
        <v>809</v>
      </c>
      <c r="G2478" s="26" t="s">
        <v>62</v>
      </c>
      <c r="H2478" s="133" t="s">
        <v>3239</v>
      </c>
      <c r="I2478" s="26" t="s">
        <v>64</v>
      </c>
      <c r="J2478" s="56" t="s">
        <v>3277</v>
      </c>
      <c r="K2478" s="59"/>
      <c r="L2478" s="48"/>
      <c r="M2478" s="49">
        <v>44340</v>
      </c>
      <c r="N2478" s="49" t="s">
        <v>66</v>
      </c>
      <c r="O2478" s="60">
        <v>432</v>
      </c>
      <c r="P2478" s="61">
        <v>37</v>
      </c>
      <c r="Q2478" s="51">
        <f t="shared" si="58"/>
        <v>15984</v>
      </c>
      <c r="R2478" s="31">
        <v>202310</v>
      </c>
      <c r="S2478" s="58" t="s">
        <v>3278</v>
      </c>
      <c r="T2478" s="33"/>
      <c r="U2478" s="58"/>
      <c r="V2478" s="58"/>
      <c r="W2478" s="63"/>
      <c r="X2478" s="63"/>
      <c r="Y2478" s="36">
        <v>44166</v>
      </c>
      <c r="Z2478" s="36">
        <v>45281</v>
      </c>
      <c r="AA2478" s="36"/>
      <c r="AB2478" s="36"/>
      <c r="AC2478" s="36"/>
      <c r="AD2478" s="36"/>
      <c r="AE2478" s="36"/>
      <c r="AF2478" s="53" t="s">
        <v>68</v>
      </c>
      <c r="AG2478" s="42"/>
      <c r="AH2478" s="42"/>
      <c r="AI2478" s="43"/>
      <c r="AJ2478" s="43"/>
      <c r="AK2478" s="43"/>
      <c r="AL2478" s="43"/>
      <c r="AM2478" s="43"/>
      <c r="AN2478" s="42"/>
      <c r="AO2478" s="42"/>
      <c r="AP2478" s="42"/>
      <c r="AQ2478" s="43"/>
      <c r="AR2478" s="42"/>
      <c r="AS2478" s="42"/>
    </row>
    <row r="2479" spans="1:45" ht="15" customHeight="1">
      <c r="A2479" s="56" t="s">
        <v>57</v>
      </c>
      <c r="B2479" s="21" t="s">
        <v>46</v>
      </c>
      <c r="C2479" s="57" t="s">
        <v>58</v>
      </c>
      <c r="D2479" s="22" t="s">
        <v>71</v>
      </c>
      <c r="E2479" s="58" t="s">
        <v>808</v>
      </c>
      <c r="F2479" s="56" t="s">
        <v>809</v>
      </c>
      <c r="G2479" s="26" t="s">
        <v>62</v>
      </c>
      <c r="H2479" s="133" t="s">
        <v>3239</v>
      </c>
      <c r="I2479" s="26" t="s">
        <v>64</v>
      </c>
      <c r="J2479" s="56" t="s">
        <v>3277</v>
      </c>
      <c r="K2479" s="59"/>
      <c r="L2479" s="48"/>
      <c r="M2479" s="49">
        <v>44340</v>
      </c>
      <c r="N2479" s="49" t="s">
        <v>66</v>
      </c>
      <c r="O2479" s="60">
        <v>432</v>
      </c>
      <c r="P2479" s="61">
        <v>58</v>
      </c>
      <c r="Q2479" s="51">
        <f t="shared" si="58"/>
        <v>25056</v>
      </c>
      <c r="R2479" s="31">
        <v>202310</v>
      </c>
      <c r="S2479" s="58" t="s">
        <v>3278</v>
      </c>
      <c r="T2479" s="33"/>
      <c r="U2479" s="58"/>
      <c r="V2479" s="58"/>
      <c r="W2479" s="63"/>
      <c r="X2479" s="63"/>
      <c r="Y2479" s="36">
        <v>44166</v>
      </c>
      <c r="Z2479" s="36">
        <v>45281</v>
      </c>
      <c r="AA2479" s="36"/>
      <c r="AB2479" s="36"/>
      <c r="AC2479" s="36"/>
      <c r="AD2479" s="36"/>
      <c r="AE2479" s="36"/>
      <c r="AF2479" s="53" t="s">
        <v>68</v>
      </c>
      <c r="AG2479" s="42"/>
      <c r="AH2479" s="42"/>
      <c r="AI2479" s="43"/>
      <c r="AJ2479" s="43"/>
      <c r="AK2479" s="43"/>
      <c r="AL2479" s="43"/>
      <c r="AM2479" s="43"/>
      <c r="AN2479" s="42"/>
      <c r="AO2479" s="42"/>
      <c r="AP2479" s="42"/>
      <c r="AQ2479" s="43"/>
      <c r="AR2479" s="42"/>
      <c r="AS2479" s="42"/>
    </row>
    <row r="2480" spans="1:45" ht="15" customHeight="1">
      <c r="A2480" s="56" t="s">
        <v>57</v>
      </c>
      <c r="B2480" s="21" t="s">
        <v>46</v>
      </c>
      <c r="C2480" s="57" t="s">
        <v>58</v>
      </c>
      <c r="D2480" s="22" t="s">
        <v>71</v>
      </c>
      <c r="E2480" s="58" t="s">
        <v>808</v>
      </c>
      <c r="F2480" s="56" t="s">
        <v>809</v>
      </c>
      <c r="G2480" s="26" t="s">
        <v>297</v>
      </c>
      <c r="H2480" s="25" t="s">
        <v>3239</v>
      </c>
      <c r="I2480" s="26" t="s">
        <v>3266</v>
      </c>
      <c r="J2480" s="56" t="s">
        <v>3279</v>
      </c>
      <c r="K2480" s="59"/>
      <c r="L2480" s="48"/>
      <c r="M2480" s="49">
        <v>44340</v>
      </c>
      <c r="N2480" s="49"/>
      <c r="O2480" s="60">
        <v>740</v>
      </c>
      <c r="P2480" s="61">
        <v>1</v>
      </c>
      <c r="Q2480" s="51">
        <f t="shared" si="58"/>
        <v>740</v>
      </c>
      <c r="R2480" s="31">
        <v>202310</v>
      </c>
      <c r="S2480" s="58" t="s">
        <v>3280</v>
      </c>
      <c r="T2480" s="33" t="s">
        <v>3281</v>
      </c>
      <c r="U2480" s="58"/>
      <c r="V2480" s="58"/>
      <c r="W2480" s="63"/>
      <c r="X2480" s="63"/>
      <c r="Y2480" s="36">
        <v>44166</v>
      </c>
      <c r="Z2480" s="36">
        <v>45281</v>
      </c>
      <c r="AA2480" s="36"/>
      <c r="AB2480" s="36"/>
      <c r="AC2480" s="36"/>
      <c r="AD2480" s="36"/>
      <c r="AE2480" s="36"/>
      <c r="AF2480" s="53" t="s">
        <v>68</v>
      </c>
      <c r="AG2480" s="42"/>
      <c r="AH2480" s="42"/>
      <c r="AI2480" s="43"/>
      <c r="AJ2480" s="43"/>
      <c r="AK2480" s="43"/>
      <c r="AL2480" s="43"/>
      <c r="AM2480" s="43"/>
      <c r="AN2480" s="42"/>
      <c r="AO2480" s="42"/>
      <c r="AP2480" s="42"/>
      <c r="AQ2480" s="43"/>
      <c r="AR2480" s="42"/>
      <c r="AS2480" s="42"/>
    </row>
    <row r="2481" spans="1:45" ht="15" customHeight="1">
      <c r="A2481" s="56" t="s">
        <v>57</v>
      </c>
      <c r="B2481" s="21" t="s">
        <v>46</v>
      </c>
      <c r="C2481" s="57" t="s">
        <v>58</v>
      </c>
      <c r="D2481" s="22" t="s">
        <v>71</v>
      </c>
      <c r="E2481" s="58" t="s">
        <v>808</v>
      </c>
      <c r="F2481" s="56" t="s">
        <v>809</v>
      </c>
      <c r="G2481" s="26" t="s">
        <v>62</v>
      </c>
      <c r="H2481" s="25" t="s">
        <v>3282</v>
      </c>
      <c r="I2481" s="26" t="s">
        <v>64</v>
      </c>
      <c r="J2481" s="56" t="s">
        <v>3283</v>
      </c>
      <c r="K2481" s="59"/>
      <c r="L2481" s="48"/>
      <c r="M2481" s="49">
        <v>44537</v>
      </c>
      <c r="N2481" s="49" t="s">
        <v>66</v>
      </c>
      <c r="O2481" s="60">
        <v>396</v>
      </c>
      <c r="P2481" s="61">
        <v>20</v>
      </c>
      <c r="Q2481" s="51">
        <f t="shared" si="58"/>
        <v>7920</v>
      </c>
      <c r="R2481" s="31">
        <v>202310</v>
      </c>
      <c r="S2481" s="58" t="s">
        <v>3283</v>
      </c>
      <c r="T2481" s="33"/>
      <c r="U2481" s="58"/>
      <c r="V2481" s="58"/>
      <c r="W2481" s="63"/>
      <c r="X2481" s="63"/>
      <c r="Y2481" s="36">
        <v>44457</v>
      </c>
      <c r="Z2481" s="36">
        <v>45322</v>
      </c>
      <c r="AA2481" s="36"/>
      <c r="AB2481" s="36"/>
      <c r="AC2481" s="36"/>
      <c r="AD2481" s="36"/>
      <c r="AE2481" s="36"/>
      <c r="AF2481" s="53" t="s">
        <v>68</v>
      </c>
      <c r="AG2481" s="42"/>
      <c r="AH2481" s="42"/>
      <c r="AI2481" s="43"/>
      <c r="AJ2481" s="43"/>
      <c r="AK2481" s="43"/>
      <c r="AL2481" s="43"/>
      <c r="AM2481" s="43"/>
      <c r="AN2481" s="42"/>
      <c r="AO2481" s="42"/>
      <c r="AP2481" s="42"/>
      <c r="AQ2481" s="43"/>
      <c r="AR2481" s="42"/>
      <c r="AS2481" s="42"/>
    </row>
    <row r="2482" spans="1:45" ht="15" customHeight="1">
      <c r="A2482" s="56" t="s">
        <v>57</v>
      </c>
      <c r="B2482" s="21" t="s">
        <v>46</v>
      </c>
      <c r="C2482" s="57" t="s">
        <v>58</v>
      </c>
      <c r="D2482" s="22" t="s">
        <v>71</v>
      </c>
      <c r="E2482" s="58" t="s">
        <v>808</v>
      </c>
      <c r="F2482" s="56" t="s">
        <v>809</v>
      </c>
      <c r="G2482" s="26" t="s">
        <v>62</v>
      </c>
      <c r="H2482" s="25" t="s">
        <v>3282</v>
      </c>
      <c r="I2482" s="26" t="s">
        <v>64</v>
      </c>
      <c r="J2482" s="56" t="s">
        <v>3284</v>
      </c>
      <c r="K2482" s="59"/>
      <c r="L2482" s="48"/>
      <c r="M2482" s="49">
        <v>44537</v>
      </c>
      <c r="N2482" s="49" t="s">
        <v>66</v>
      </c>
      <c r="O2482" s="60">
        <v>396</v>
      </c>
      <c r="P2482" s="61">
        <v>2.9</v>
      </c>
      <c r="Q2482" s="51">
        <f t="shared" si="58"/>
        <v>1148.4000000000001</v>
      </c>
      <c r="R2482" s="31">
        <v>202310</v>
      </c>
      <c r="S2482" s="58" t="s">
        <v>3284</v>
      </c>
      <c r="T2482" s="33"/>
      <c r="U2482" s="58"/>
      <c r="V2482" s="58"/>
      <c r="W2482" s="63"/>
      <c r="X2482" s="63"/>
      <c r="Y2482" s="36">
        <v>44457</v>
      </c>
      <c r="Z2482" s="36">
        <v>45322</v>
      </c>
      <c r="AA2482" s="36"/>
      <c r="AB2482" s="36"/>
      <c r="AC2482" s="36"/>
      <c r="AD2482" s="36"/>
      <c r="AE2482" s="36"/>
      <c r="AF2482" s="53" t="s">
        <v>68</v>
      </c>
      <c r="AG2482" s="42"/>
      <c r="AH2482" s="42"/>
      <c r="AI2482" s="43"/>
      <c r="AJ2482" s="43"/>
      <c r="AK2482" s="43"/>
      <c r="AL2482" s="43"/>
      <c r="AM2482" s="43"/>
      <c r="AN2482" s="42"/>
      <c r="AO2482" s="42"/>
      <c r="AP2482" s="42"/>
      <c r="AQ2482" s="43"/>
      <c r="AR2482" s="42"/>
      <c r="AS2482" s="42"/>
    </row>
    <row r="2483" spans="1:45" ht="15" customHeight="1">
      <c r="A2483" s="56" t="s">
        <v>57</v>
      </c>
      <c r="B2483" s="21" t="s">
        <v>46</v>
      </c>
      <c r="C2483" s="57" t="s">
        <v>58</v>
      </c>
      <c r="D2483" s="22" t="s">
        <v>71</v>
      </c>
      <c r="E2483" s="58" t="s">
        <v>808</v>
      </c>
      <c r="F2483" s="56" t="s">
        <v>809</v>
      </c>
      <c r="G2483" s="26" t="s">
        <v>62</v>
      </c>
      <c r="H2483" s="25" t="s">
        <v>3282</v>
      </c>
      <c r="I2483" s="26" t="s">
        <v>64</v>
      </c>
      <c r="J2483" s="56" t="s">
        <v>3285</v>
      </c>
      <c r="K2483" s="59"/>
      <c r="L2483" s="48"/>
      <c r="M2483" s="49">
        <v>44457</v>
      </c>
      <c r="N2483" s="49" t="s">
        <v>66</v>
      </c>
      <c r="O2483" s="60">
        <v>396</v>
      </c>
      <c r="P2483" s="61">
        <v>2.2999999999999998</v>
      </c>
      <c r="Q2483" s="51">
        <f t="shared" si="58"/>
        <v>910.8</v>
      </c>
      <c r="R2483" s="31">
        <v>202310</v>
      </c>
      <c r="S2483" s="58" t="s">
        <v>3285</v>
      </c>
      <c r="T2483" s="33"/>
      <c r="U2483" s="58"/>
      <c r="V2483" s="58"/>
      <c r="W2483" s="63"/>
      <c r="X2483" s="63"/>
      <c r="Y2483" s="36">
        <v>44457</v>
      </c>
      <c r="Z2483" s="36">
        <v>45322</v>
      </c>
      <c r="AA2483" s="36"/>
      <c r="AB2483" s="36"/>
      <c r="AC2483" s="36"/>
      <c r="AD2483" s="36"/>
      <c r="AE2483" s="36"/>
      <c r="AF2483" s="53" t="s">
        <v>68</v>
      </c>
      <c r="AG2483" s="42"/>
      <c r="AH2483" s="42"/>
      <c r="AI2483" s="43"/>
      <c r="AJ2483" s="43"/>
      <c r="AK2483" s="43"/>
      <c r="AL2483" s="43"/>
      <c r="AM2483" s="43"/>
      <c r="AN2483" s="42"/>
      <c r="AO2483" s="42"/>
      <c r="AP2483" s="42"/>
      <c r="AQ2483" s="43"/>
      <c r="AR2483" s="42"/>
      <c r="AS2483" s="42"/>
    </row>
    <row r="2484" spans="1:45" ht="15" customHeight="1">
      <c r="A2484" s="56" t="s">
        <v>57</v>
      </c>
      <c r="B2484" s="21" t="s">
        <v>46</v>
      </c>
      <c r="C2484" s="57" t="s">
        <v>58</v>
      </c>
      <c r="D2484" s="22" t="s">
        <v>71</v>
      </c>
      <c r="E2484" s="58" t="s">
        <v>808</v>
      </c>
      <c r="F2484" s="56" t="s">
        <v>809</v>
      </c>
      <c r="G2484" s="26" t="s">
        <v>62</v>
      </c>
      <c r="H2484" s="25" t="s">
        <v>3282</v>
      </c>
      <c r="I2484" s="26" t="s">
        <v>64</v>
      </c>
      <c r="J2484" s="56" t="s">
        <v>3285</v>
      </c>
      <c r="K2484" s="59"/>
      <c r="L2484" s="48"/>
      <c r="M2484" s="49">
        <v>44957</v>
      </c>
      <c r="N2484" s="49" t="s">
        <v>66</v>
      </c>
      <c r="O2484" s="60">
        <v>396</v>
      </c>
      <c r="P2484" s="61">
        <v>-2.2999999999999998</v>
      </c>
      <c r="Q2484" s="51">
        <f t="shared" si="58"/>
        <v>-910.8</v>
      </c>
      <c r="R2484" s="31">
        <v>202310</v>
      </c>
      <c r="S2484" s="58" t="s">
        <v>3286</v>
      </c>
      <c r="T2484" s="33"/>
      <c r="U2484" s="58"/>
      <c r="V2484" s="58"/>
      <c r="W2484" s="63"/>
      <c r="X2484" s="63"/>
      <c r="Y2484" s="36">
        <v>44457</v>
      </c>
      <c r="Z2484" s="36">
        <v>45322</v>
      </c>
      <c r="AA2484" s="36"/>
      <c r="AB2484" s="36"/>
      <c r="AC2484" s="36"/>
      <c r="AD2484" s="36"/>
      <c r="AE2484" s="36"/>
      <c r="AF2484" s="53" t="s">
        <v>68</v>
      </c>
      <c r="AG2484" s="42"/>
      <c r="AH2484" s="42"/>
      <c r="AI2484" s="43"/>
      <c r="AJ2484" s="43"/>
      <c r="AK2484" s="43"/>
      <c r="AL2484" s="43"/>
      <c r="AM2484" s="43"/>
      <c r="AN2484" s="42"/>
      <c r="AO2484" s="42"/>
      <c r="AP2484" s="42"/>
      <c r="AQ2484" s="43"/>
      <c r="AR2484" s="42"/>
      <c r="AS2484" s="42"/>
    </row>
    <row r="2485" spans="1:45" ht="15" customHeight="1">
      <c r="A2485" s="56" t="s">
        <v>57</v>
      </c>
      <c r="B2485" s="21" t="s">
        <v>46</v>
      </c>
      <c r="C2485" s="57" t="s">
        <v>58</v>
      </c>
      <c r="D2485" s="22" t="s">
        <v>71</v>
      </c>
      <c r="E2485" s="58" t="s">
        <v>808</v>
      </c>
      <c r="F2485" s="56" t="s">
        <v>809</v>
      </c>
      <c r="G2485" s="26" t="s">
        <v>62</v>
      </c>
      <c r="H2485" s="25" t="s">
        <v>3282</v>
      </c>
      <c r="I2485" s="26" t="s">
        <v>64</v>
      </c>
      <c r="J2485" s="56" t="s">
        <v>3287</v>
      </c>
      <c r="K2485" s="59"/>
      <c r="L2485" s="48"/>
      <c r="M2485" s="49">
        <v>44575</v>
      </c>
      <c r="N2485" s="49" t="s">
        <v>66</v>
      </c>
      <c r="O2485" s="60">
        <v>396</v>
      </c>
      <c r="P2485" s="61">
        <v>12.93</v>
      </c>
      <c r="Q2485" s="51">
        <f t="shared" si="58"/>
        <v>5120.28</v>
      </c>
      <c r="R2485" s="31">
        <v>202310</v>
      </c>
      <c r="S2485" s="58" t="s">
        <v>3287</v>
      </c>
      <c r="T2485" s="33"/>
      <c r="U2485" s="58"/>
      <c r="V2485" s="58"/>
      <c r="W2485" s="63"/>
      <c r="X2485" s="63"/>
      <c r="Y2485" s="36">
        <v>44457</v>
      </c>
      <c r="Z2485" s="36">
        <v>45322</v>
      </c>
      <c r="AA2485" s="36"/>
      <c r="AB2485" s="36"/>
      <c r="AC2485" s="36"/>
      <c r="AD2485" s="36"/>
      <c r="AE2485" s="36"/>
      <c r="AF2485" s="53" t="s">
        <v>68</v>
      </c>
      <c r="AG2485" s="42"/>
      <c r="AH2485" s="42"/>
      <c r="AI2485" s="43"/>
      <c r="AJ2485" s="43"/>
      <c r="AK2485" s="43"/>
      <c r="AL2485" s="43"/>
      <c r="AM2485" s="43"/>
      <c r="AN2485" s="42"/>
      <c r="AO2485" s="42"/>
      <c r="AP2485" s="42"/>
      <c r="AQ2485" s="43"/>
      <c r="AR2485" s="42"/>
      <c r="AS2485" s="42"/>
    </row>
    <row r="2486" spans="1:45" ht="15" customHeight="1">
      <c r="A2486" s="56" t="s">
        <v>57</v>
      </c>
      <c r="B2486" s="21" t="s">
        <v>46</v>
      </c>
      <c r="C2486" s="57" t="s">
        <v>58</v>
      </c>
      <c r="D2486" s="22" t="s">
        <v>71</v>
      </c>
      <c r="E2486" s="58" t="s">
        <v>808</v>
      </c>
      <c r="F2486" s="56" t="s">
        <v>809</v>
      </c>
      <c r="G2486" s="26" t="s">
        <v>62</v>
      </c>
      <c r="H2486" s="25" t="s">
        <v>3282</v>
      </c>
      <c r="I2486" s="26" t="s">
        <v>64</v>
      </c>
      <c r="J2486" s="56" t="s">
        <v>3288</v>
      </c>
      <c r="K2486" s="59"/>
      <c r="L2486" s="48"/>
      <c r="M2486" s="49">
        <v>44575</v>
      </c>
      <c r="N2486" s="49" t="s">
        <v>66</v>
      </c>
      <c r="O2486" s="60">
        <v>396</v>
      </c>
      <c r="P2486" s="61">
        <v>11.6</v>
      </c>
      <c r="Q2486" s="51">
        <f t="shared" si="58"/>
        <v>4593.6000000000004</v>
      </c>
      <c r="R2486" s="31">
        <v>202310</v>
      </c>
      <c r="S2486" s="62" t="s">
        <v>3287</v>
      </c>
      <c r="T2486" s="33"/>
      <c r="U2486" s="58"/>
      <c r="V2486" s="58"/>
      <c r="W2486" s="63"/>
      <c r="X2486" s="63"/>
      <c r="Y2486" s="36">
        <v>44457</v>
      </c>
      <c r="Z2486" s="36">
        <v>45322</v>
      </c>
      <c r="AA2486" s="36"/>
      <c r="AB2486" s="36"/>
      <c r="AC2486" s="36"/>
      <c r="AD2486" s="36"/>
      <c r="AE2486" s="36"/>
      <c r="AF2486" s="53" t="s">
        <v>68</v>
      </c>
      <c r="AG2486" s="42"/>
      <c r="AH2486" s="42"/>
      <c r="AI2486" s="43"/>
      <c r="AJ2486" s="43"/>
      <c r="AK2486" s="43"/>
      <c r="AL2486" s="43"/>
      <c r="AM2486" s="43"/>
      <c r="AN2486" s="42"/>
      <c r="AO2486" s="42"/>
      <c r="AP2486" s="42"/>
      <c r="AQ2486" s="43"/>
      <c r="AR2486" s="42"/>
      <c r="AS2486" s="42"/>
    </row>
    <row r="2487" spans="1:45" ht="15" customHeight="1">
      <c r="A2487" s="56" t="s">
        <v>57</v>
      </c>
      <c r="B2487" s="21" t="s">
        <v>46</v>
      </c>
      <c r="C2487" s="57" t="s">
        <v>58</v>
      </c>
      <c r="D2487" s="22" t="s">
        <v>71</v>
      </c>
      <c r="E2487" s="58" t="s">
        <v>808</v>
      </c>
      <c r="F2487" s="56" t="s">
        <v>809</v>
      </c>
      <c r="G2487" s="26" t="s">
        <v>62</v>
      </c>
      <c r="H2487" s="25" t="s">
        <v>3282</v>
      </c>
      <c r="I2487" s="26" t="s">
        <v>64</v>
      </c>
      <c r="J2487" s="56" t="s">
        <v>3289</v>
      </c>
      <c r="K2487" s="59"/>
      <c r="L2487" s="48"/>
      <c r="M2487" s="49">
        <v>44593</v>
      </c>
      <c r="N2487" s="49" t="s">
        <v>66</v>
      </c>
      <c r="O2487" s="60">
        <v>339.34</v>
      </c>
      <c r="P2487" s="61">
        <v>128</v>
      </c>
      <c r="Q2487" s="51">
        <f t="shared" si="58"/>
        <v>43435.519999999997</v>
      </c>
      <c r="R2487" s="31">
        <v>202310</v>
      </c>
      <c r="S2487" s="62" t="s">
        <v>3290</v>
      </c>
      <c r="T2487" s="33"/>
      <c r="U2487" s="58"/>
      <c r="V2487" s="58"/>
      <c r="W2487" s="63"/>
      <c r="X2487" s="63"/>
      <c r="Y2487" s="36">
        <v>44457</v>
      </c>
      <c r="Z2487" s="36">
        <v>45322</v>
      </c>
      <c r="AA2487" s="36"/>
      <c r="AB2487" s="36"/>
      <c r="AC2487" s="36"/>
      <c r="AD2487" s="36"/>
      <c r="AE2487" s="36"/>
      <c r="AF2487" s="53" t="s">
        <v>68</v>
      </c>
      <c r="AG2487" s="42"/>
      <c r="AH2487" s="42"/>
      <c r="AI2487" s="43"/>
      <c r="AJ2487" s="43"/>
      <c r="AK2487" s="43"/>
      <c r="AL2487" s="43"/>
      <c r="AM2487" s="43"/>
      <c r="AN2487" s="42"/>
      <c r="AO2487" s="42"/>
      <c r="AP2487" s="42"/>
      <c r="AQ2487" s="43"/>
      <c r="AR2487" s="42"/>
      <c r="AS2487" s="42"/>
    </row>
    <row r="2488" spans="1:45" ht="15" customHeight="1">
      <c r="A2488" s="56" t="s">
        <v>57</v>
      </c>
      <c r="B2488" s="21" t="s">
        <v>46</v>
      </c>
      <c r="C2488" s="57" t="s">
        <v>58</v>
      </c>
      <c r="D2488" s="22" t="s">
        <v>71</v>
      </c>
      <c r="E2488" s="58" t="s">
        <v>808</v>
      </c>
      <c r="F2488" s="56" t="s">
        <v>809</v>
      </c>
      <c r="G2488" s="26" t="s">
        <v>62</v>
      </c>
      <c r="H2488" s="25" t="s">
        <v>3282</v>
      </c>
      <c r="I2488" s="26" t="s">
        <v>64</v>
      </c>
      <c r="J2488" s="56" t="s">
        <v>3291</v>
      </c>
      <c r="K2488" s="59"/>
      <c r="L2488" s="48"/>
      <c r="M2488" s="49">
        <v>44593</v>
      </c>
      <c r="N2488" s="49" t="s">
        <v>66</v>
      </c>
      <c r="O2488" s="60">
        <v>1357.36</v>
      </c>
      <c r="P2488" s="61">
        <v>2</v>
      </c>
      <c r="Q2488" s="51">
        <f t="shared" si="58"/>
        <v>2714.72</v>
      </c>
      <c r="R2488" s="31">
        <v>202310</v>
      </c>
      <c r="S2488" s="62" t="s">
        <v>3292</v>
      </c>
      <c r="T2488" s="33"/>
      <c r="U2488" s="58"/>
      <c r="V2488" s="58"/>
      <c r="W2488" s="63"/>
      <c r="X2488" s="63"/>
      <c r="Y2488" s="36">
        <v>44457</v>
      </c>
      <c r="Z2488" s="36">
        <v>45322</v>
      </c>
      <c r="AA2488" s="36"/>
      <c r="AB2488" s="36"/>
      <c r="AC2488" s="36"/>
      <c r="AD2488" s="36"/>
      <c r="AE2488" s="36"/>
      <c r="AF2488" s="53" t="s">
        <v>68</v>
      </c>
      <c r="AG2488" s="42"/>
      <c r="AH2488" s="42"/>
      <c r="AI2488" s="43"/>
      <c r="AJ2488" s="43"/>
      <c r="AK2488" s="43"/>
      <c r="AL2488" s="43"/>
      <c r="AM2488" s="43"/>
      <c r="AN2488" s="42"/>
      <c r="AO2488" s="42"/>
      <c r="AP2488" s="42"/>
      <c r="AQ2488" s="43"/>
      <c r="AR2488" s="42"/>
      <c r="AS2488" s="42"/>
    </row>
    <row r="2489" spans="1:45" ht="15" customHeight="1">
      <c r="A2489" s="56" t="s">
        <v>57</v>
      </c>
      <c r="B2489" s="21" t="s">
        <v>46</v>
      </c>
      <c r="C2489" s="57" t="s">
        <v>58</v>
      </c>
      <c r="D2489" s="22" t="s">
        <v>71</v>
      </c>
      <c r="E2489" s="58" t="s">
        <v>808</v>
      </c>
      <c r="F2489" s="56" t="s">
        <v>809</v>
      </c>
      <c r="G2489" s="26" t="s">
        <v>62</v>
      </c>
      <c r="H2489" s="25" t="s">
        <v>3282</v>
      </c>
      <c r="I2489" s="26" t="s">
        <v>64</v>
      </c>
      <c r="J2489" s="56" t="s">
        <v>3293</v>
      </c>
      <c r="K2489" s="59"/>
      <c r="L2489" s="48"/>
      <c r="M2489" s="49">
        <v>44593</v>
      </c>
      <c r="N2489" s="49" t="s">
        <v>66</v>
      </c>
      <c r="O2489" s="60">
        <v>339.34</v>
      </c>
      <c r="P2489" s="61">
        <v>167</v>
      </c>
      <c r="Q2489" s="51">
        <f t="shared" si="58"/>
        <v>56669.78</v>
      </c>
      <c r="R2489" s="31">
        <v>202310</v>
      </c>
      <c r="S2489" s="62" t="s">
        <v>3294</v>
      </c>
      <c r="T2489" s="33"/>
      <c r="U2489" s="58"/>
      <c r="V2489" s="58"/>
      <c r="W2489" s="63"/>
      <c r="X2489" s="63"/>
      <c r="Y2489" s="36">
        <v>44457</v>
      </c>
      <c r="Z2489" s="36">
        <v>45322</v>
      </c>
      <c r="AA2489" s="36"/>
      <c r="AB2489" s="36"/>
      <c r="AC2489" s="36"/>
      <c r="AD2489" s="36"/>
      <c r="AE2489" s="36"/>
      <c r="AF2489" s="53" t="s">
        <v>68</v>
      </c>
      <c r="AG2489" s="42"/>
      <c r="AH2489" s="42"/>
      <c r="AI2489" s="43"/>
      <c r="AJ2489" s="43"/>
      <c r="AK2489" s="43"/>
      <c r="AL2489" s="43"/>
      <c r="AM2489" s="43"/>
      <c r="AN2489" s="42"/>
      <c r="AO2489" s="42"/>
      <c r="AP2489" s="42"/>
      <c r="AQ2489" s="43"/>
      <c r="AR2489" s="42"/>
      <c r="AS2489" s="42"/>
    </row>
    <row r="2490" spans="1:45" ht="15" customHeight="1">
      <c r="A2490" s="56" t="s">
        <v>57</v>
      </c>
      <c r="B2490" s="21" t="s">
        <v>46</v>
      </c>
      <c r="C2490" s="57" t="s">
        <v>58</v>
      </c>
      <c r="D2490" s="22" t="s">
        <v>71</v>
      </c>
      <c r="E2490" s="58" t="s">
        <v>808</v>
      </c>
      <c r="F2490" s="56" t="s">
        <v>809</v>
      </c>
      <c r="G2490" s="26" t="s">
        <v>62</v>
      </c>
      <c r="H2490" s="25" t="s">
        <v>3282</v>
      </c>
      <c r="I2490" s="26" t="s">
        <v>64</v>
      </c>
      <c r="J2490" s="56" t="s">
        <v>3295</v>
      </c>
      <c r="K2490" s="59"/>
      <c r="L2490" s="48"/>
      <c r="M2490" s="49">
        <v>44593</v>
      </c>
      <c r="N2490" s="49" t="s">
        <v>66</v>
      </c>
      <c r="O2490" s="60">
        <v>1357.36</v>
      </c>
      <c r="P2490" s="61">
        <v>2</v>
      </c>
      <c r="Q2490" s="51">
        <f t="shared" si="58"/>
        <v>2714.72</v>
      </c>
      <c r="R2490" s="31">
        <v>202310</v>
      </c>
      <c r="S2490" s="62" t="s">
        <v>3296</v>
      </c>
      <c r="T2490" s="33"/>
      <c r="U2490" s="58"/>
      <c r="V2490" s="58"/>
      <c r="W2490" s="63"/>
      <c r="X2490" s="63"/>
      <c r="Y2490" s="36">
        <v>44457</v>
      </c>
      <c r="Z2490" s="36">
        <v>45322</v>
      </c>
      <c r="AA2490" s="36"/>
      <c r="AB2490" s="36"/>
      <c r="AC2490" s="36"/>
      <c r="AD2490" s="36"/>
      <c r="AE2490" s="36"/>
      <c r="AF2490" s="53" t="s">
        <v>68</v>
      </c>
      <c r="AG2490" s="42"/>
      <c r="AH2490" s="42"/>
      <c r="AI2490" s="43"/>
      <c r="AJ2490" s="43"/>
      <c r="AK2490" s="43"/>
      <c r="AL2490" s="43"/>
      <c r="AM2490" s="43"/>
      <c r="AN2490" s="42"/>
      <c r="AO2490" s="42"/>
      <c r="AP2490" s="42"/>
      <c r="AQ2490" s="43"/>
      <c r="AR2490" s="42"/>
      <c r="AS2490" s="42"/>
    </row>
    <row r="2491" spans="1:45" ht="15" customHeight="1">
      <c r="A2491" s="56" t="s">
        <v>57</v>
      </c>
      <c r="B2491" s="21" t="s">
        <v>46</v>
      </c>
      <c r="C2491" s="57" t="s">
        <v>58</v>
      </c>
      <c r="D2491" s="22" t="s">
        <v>71</v>
      </c>
      <c r="E2491" s="58" t="s">
        <v>808</v>
      </c>
      <c r="F2491" s="56" t="s">
        <v>809</v>
      </c>
      <c r="G2491" s="26" t="s">
        <v>114</v>
      </c>
      <c r="H2491" s="25" t="s">
        <v>3297</v>
      </c>
      <c r="I2491" s="26" t="s">
        <v>114</v>
      </c>
      <c r="J2491" s="56"/>
      <c r="K2491" s="59"/>
      <c r="L2491" s="48"/>
      <c r="M2491" s="49">
        <v>43983</v>
      </c>
      <c r="N2491" s="49" t="s">
        <v>3221</v>
      </c>
      <c r="O2491" s="60">
        <v>6613902</v>
      </c>
      <c r="P2491" s="61">
        <v>1</v>
      </c>
      <c r="Q2491" s="51">
        <f t="shared" si="58"/>
        <v>6613902</v>
      </c>
      <c r="R2491" s="31">
        <v>202310</v>
      </c>
      <c r="S2491" s="222" t="s">
        <v>3298</v>
      </c>
      <c r="T2491" s="33"/>
      <c r="U2491" s="58"/>
      <c r="V2491" s="58"/>
      <c r="W2491" s="63"/>
      <c r="X2491" s="63"/>
      <c r="Y2491" s="36">
        <v>44662</v>
      </c>
      <c r="Z2491" s="36">
        <v>45508</v>
      </c>
      <c r="AA2491" s="36"/>
      <c r="AB2491" s="36"/>
      <c r="AC2491" s="36"/>
      <c r="AD2491" s="36"/>
      <c r="AE2491" s="36"/>
      <c r="AF2491" s="53" t="s">
        <v>68</v>
      </c>
      <c r="AG2491" s="42"/>
      <c r="AH2491" s="42"/>
      <c r="AI2491" s="43"/>
      <c r="AJ2491" s="43"/>
      <c r="AK2491" s="43"/>
      <c r="AL2491" s="43"/>
      <c r="AM2491" s="43"/>
      <c r="AN2491" s="42"/>
      <c r="AO2491" s="42"/>
      <c r="AP2491" s="42"/>
      <c r="AQ2491" s="43"/>
      <c r="AR2491" s="42"/>
      <c r="AS2491" s="42"/>
    </row>
    <row r="2492" spans="1:45" ht="15" customHeight="1">
      <c r="A2492" s="56" t="s">
        <v>57</v>
      </c>
      <c r="B2492" s="21" t="s">
        <v>46</v>
      </c>
      <c r="C2492" s="57" t="s">
        <v>58</v>
      </c>
      <c r="D2492" s="22" t="s">
        <v>71</v>
      </c>
      <c r="E2492" s="58" t="s">
        <v>808</v>
      </c>
      <c r="F2492" s="56" t="s">
        <v>809</v>
      </c>
      <c r="G2492" s="26" t="s">
        <v>114</v>
      </c>
      <c r="H2492" s="25" t="s">
        <v>3297</v>
      </c>
      <c r="I2492" s="26" t="s">
        <v>114</v>
      </c>
      <c r="J2492" s="56"/>
      <c r="K2492" s="59"/>
      <c r="L2492" s="48"/>
      <c r="M2492" s="49">
        <v>44661</v>
      </c>
      <c r="N2492" s="49" t="s">
        <v>3221</v>
      </c>
      <c r="O2492" s="60">
        <f>515*308/1.06*1.09</f>
        <v>163109.24528301888</v>
      </c>
      <c r="P2492" s="61"/>
      <c r="Q2492" s="51">
        <f>ROUND(O2492*-1,2)</f>
        <v>-163109.25</v>
      </c>
      <c r="R2492" s="31">
        <v>202310</v>
      </c>
      <c r="S2492" s="58" t="s">
        <v>3299</v>
      </c>
      <c r="T2492" s="33"/>
      <c r="U2492" s="58"/>
      <c r="V2492" s="58"/>
      <c r="W2492" s="63"/>
      <c r="X2492" s="63"/>
      <c r="Y2492" s="36">
        <v>44662</v>
      </c>
      <c r="Z2492" s="36">
        <v>45508</v>
      </c>
      <c r="AA2492" s="36"/>
      <c r="AB2492" s="36"/>
      <c r="AC2492" s="36"/>
      <c r="AD2492" s="36"/>
      <c r="AE2492" s="36"/>
      <c r="AF2492" s="53" t="s">
        <v>68</v>
      </c>
      <c r="AG2492" s="42"/>
      <c r="AH2492" s="42"/>
      <c r="AI2492" s="43"/>
      <c r="AJ2492" s="43"/>
      <c r="AK2492" s="43"/>
      <c r="AL2492" s="43"/>
      <c r="AM2492" s="43"/>
      <c r="AN2492" s="42"/>
      <c r="AO2492" s="42"/>
      <c r="AP2492" s="42"/>
      <c r="AQ2492" s="43"/>
      <c r="AR2492" s="42"/>
      <c r="AS2492" s="42"/>
    </row>
    <row r="2493" spans="1:45" ht="15" customHeight="1">
      <c r="A2493" s="56" t="s">
        <v>57</v>
      </c>
      <c r="B2493" s="21" t="s">
        <v>46</v>
      </c>
      <c r="C2493" s="57" t="s">
        <v>58</v>
      </c>
      <c r="D2493" s="22" t="s">
        <v>71</v>
      </c>
      <c r="E2493" s="58" t="s">
        <v>808</v>
      </c>
      <c r="F2493" s="56" t="s">
        <v>809</v>
      </c>
      <c r="G2493" s="26" t="s">
        <v>62</v>
      </c>
      <c r="H2493" s="25" t="s">
        <v>3300</v>
      </c>
      <c r="I2493" s="26" t="s">
        <v>64</v>
      </c>
      <c r="J2493" s="56" t="s">
        <v>58</v>
      </c>
      <c r="K2493" s="59"/>
      <c r="L2493" s="48"/>
      <c r="M2493" s="49">
        <v>43891</v>
      </c>
      <c r="N2493" s="49" t="s">
        <v>66</v>
      </c>
      <c r="O2493" s="60">
        <v>400</v>
      </c>
      <c r="P2493" s="61">
        <v>43.6</v>
      </c>
      <c r="Q2493" s="51">
        <f t="shared" ref="Q2493:Q2535" si="59">ROUND(O2493*P2493,2)</f>
        <v>17440</v>
      </c>
      <c r="R2493" s="31">
        <v>202310</v>
      </c>
      <c r="S2493" s="58" t="s">
        <v>3301</v>
      </c>
      <c r="T2493" s="33"/>
      <c r="U2493" s="58"/>
      <c r="V2493" s="58"/>
      <c r="W2493" s="63"/>
      <c r="X2493" s="63"/>
      <c r="Y2493" s="36"/>
      <c r="Z2493" s="36"/>
      <c r="AA2493" s="36"/>
      <c r="AB2493" s="36"/>
      <c r="AC2493" s="36"/>
      <c r="AD2493" s="36"/>
      <c r="AE2493" s="36"/>
      <c r="AF2493" s="53" t="s">
        <v>68</v>
      </c>
      <c r="AG2493" s="42"/>
      <c r="AH2493" s="42"/>
      <c r="AI2493" s="43"/>
      <c r="AJ2493" s="43"/>
      <c r="AK2493" s="43"/>
      <c r="AL2493" s="43"/>
      <c r="AM2493" s="43"/>
      <c r="AN2493" s="42"/>
      <c r="AO2493" s="42"/>
      <c r="AP2493" s="42"/>
      <c r="AQ2493" s="43"/>
      <c r="AR2493" s="42"/>
      <c r="AS2493" s="42"/>
    </row>
    <row r="2494" spans="1:45" ht="15" customHeight="1">
      <c r="A2494" s="56" t="s">
        <v>57</v>
      </c>
      <c r="B2494" s="21" t="s">
        <v>46</v>
      </c>
      <c r="C2494" s="57" t="s">
        <v>58</v>
      </c>
      <c r="D2494" s="22" t="s">
        <v>71</v>
      </c>
      <c r="E2494" s="58" t="s">
        <v>808</v>
      </c>
      <c r="F2494" s="56" t="s">
        <v>809</v>
      </c>
      <c r="G2494" s="26" t="s">
        <v>62</v>
      </c>
      <c r="H2494" s="25" t="s">
        <v>3300</v>
      </c>
      <c r="I2494" s="26" t="s">
        <v>64</v>
      </c>
      <c r="J2494" s="56" t="s">
        <v>58</v>
      </c>
      <c r="K2494" s="59"/>
      <c r="L2494" s="48"/>
      <c r="M2494" s="49">
        <v>43891</v>
      </c>
      <c r="N2494" s="49" t="s">
        <v>66</v>
      </c>
      <c r="O2494" s="60">
        <v>400</v>
      </c>
      <c r="P2494" s="61">
        <v>24.8</v>
      </c>
      <c r="Q2494" s="51">
        <f t="shared" si="59"/>
        <v>9920</v>
      </c>
      <c r="R2494" s="31">
        <v>202310</v>
      </c>
      <c r="S2494" s="58" t="s">
        <v>3301</v>
      </c>
      <c r="T2494" s="33"/>
      <c r="U2494" s="58"/>
      <c r="V2494" s="58"/>
      <c r="W2494" s="63"/>
      <c r="X2494" s="63"/>
      <c r="Y2494" s="36"/>
      <c r="Z2494" s="36"/>
      <c r="AA2494" s="36"/>
      <c r="AB2494" s="36"/>
      <c r="AC2494" s="36"/>
      <c r="AD2494" s="36"/>
      <c r="AE2494" s="36"/>
      <c r="AF2494" s="53" t="s">
        <v>68</v>
      </c>
      <c r="AG2494" s="42"/>
      <c r="AH2494" s="42"/>
      <c r="AI2494" s="43"/>
      <c r="AJ2494" s="43"/>
      <c r="AK2494" s="43"/>
      <c r="AL2494" s="43"/>
      <c r="AM2494" s="43"/>
      <c r="AN2494" s="42"/>
      <c r="AO2494" s="42"/>
      <c r="AP2494" s="42"/>
      <c r="AQ2494" s="43"/>
      <c r="AR2494" s="42"/>
      <c r="AS2494" s="42"/>
    </row>
    <row r="2495" spans="1:45" ht="15" customHeight="1">
      <c r="A2495" s="56" t="s">
        <v>57</v>
      </c>
      <c r="B2495" s="21" t="s">
        <v>46</v>
      </c>
      <c r="C2495" s="57" t="s">
        <v>58</v>
      </c>
      <c r="D2495" s="22" t="s">
        <v>71</v>
      </c>
      <c r="E2495" s="58" t="s">
        <v>808</v>
      </c>
      <c r="F2495" s="56" t="s">
        <v>809</v>
      </c>
      <c r="G2495" s="26" t="s">
        <v>62</v>
      </c>
      <c r="H2495" s="25" t="s">
        <v>3300</v>
      </c>
      <c r="I2495" s="26" t="s">
        <v>64</v>
      </c>
      <c r="J2495" s="56" t="s">
        <v>58</v>
      </c>
      <c r="K2495" s="59"/>
      <c r="L2495" s="48"/>
      <c r="M2495" s="49">
        <v>43891</v>
      </c>
      <c r="N2495" s="49" t="s">
        <v>66</v>
      </c>
      <c r="O2495" s="60">
        <v>400</v>
      </c>
      <c r="P2495" s="61">
        <v>56.9</v>
      </c>
      <c r="Q2495" s="51">
        <f t="shared" si="59"/>
        <v>22760</v>
      </c>
      <c r="R2495" s="31">
        <v>202310</v>
      </c>
      <c r="S2495" s="58" t="s">
        <v>3302</v>
      </c>
      <c r="T2495" s="33"/>
      <c r="U2495" s="58"/>
      <c r="V2495" s="58"/>
      <c r="W2495" s="63"/>
      <c r="X2495" s="63"/>
      <c r="Y2495" s="36"/>
      <c r="Z2495" s="36"/>
      <c r="AA2495" s="36"/>
      <c r="AB2495" s="36"/>
      <c r="AC2495" s="36"/>
      <c r="AD2495" s="36"/>
      <c r="AE2495" s="36"/>
      <c r="AF2495" s="53" t="s">
        <v>68</v>
      </c>
      <c r="AG2495" s="42"/>
      <c r="AH2495" s="42"/>
      <c r="AI2495" s="43"/>
      <c r="AJ2495" s="43"/>
      <c r="AK2495" s="43"/>
      <c r="AL2495" s="43"/>
      <c r="AM2495" s="43"/>
      <c r="AN2495" s="42"/>
      <c r="AO2495" s="42"/>
      <c r="AP2495" s="42"/>
      <c r="AQ2495" s="43"/>
      <c r="AR2495" s="42"/>
      <c r="AS2495" s="42"/>
    </row>
    <row r="2496" spans="1:45" ht="15" customHeight="1">
      <c r="A2496" s="56" t="s">
        <v>57</v>
      </c>
      <c r="B2496" s="21" t="s">
        <v>46</v>
      </c>
      <c r="C2496" s="57" t="s">
        <v>58</v>
      </c>
      <c r="D2496" s="22" t="s">
        <v>71</v>
      </c>
      <c r="E2496" s="58" t="s">
        <v>808</v>
      </c>
      <c r="F2496" s="56" t="s">
        <v>809</v>
      </c>
      <c r="G2496" s="26" t="s">
        <v>62</v>
      </c>
      <c r="H2496" s="25" t="s">
        <v>3300</v>
      </c>
      <c r="I2496" s="26" t="s">
        <v>64</v>
      </c>
      <c r="J2496" s="56" t="s">
        <v>58</v>
      </c>
      <c r="K2496" s="59"/>
      <c r="L2496" s="48"/>
      <c r="M2496" s="49">
        <v>43891</v>
      </c>
      <c r="N2496" s="49" t="s">
        <v>66</v>
      </c>
      <c r="O2496" s="60">
        <v>400</v>
      </c>
      <c r="P2496" s="61">
        <v>61</v>
      </c>
      <c r="Q2496" s="51">
        <f t="shared" si="59"/>
        <v>24400</v>
      </c>
      <c r="R2496" s="31">
        <v>202310</v>
      </c>
      <c r="S2496" s="58" t="s">
        <v>3302</v>
      </c>
      <c r="T2496" s="33"/>
      <c r="U2496" s="58"/>
      <c r="V2496" s="58"/>
      <c r="W2496" s="63"/>
      <c r="X2496" s="63"/>
      <c r="Y2496" s="36"/>
      <c r="Z2496" s="36"/>
      <c r="AA2496" s="36"/>
      <c r="AB2496" s="36"/>
      <c r="AC2496" s="36"/>
      <c r="AD2496" s="36"/>
      <c r="AE2496" s="36"/>
      <c r="AF2496" s="53" t="s">
        <v>68</v>
      </c>
      <c r="AG2496" s="42"/>
      <c r="AH2496" s="42"/>
      <c r="AI2496" s="43"/>
      <c r="AJ2496" s="43"/>
      <c r="AK2496" s="43"/>
      <c r="AL2496" s="43"/>
      <c r="AM2496" s="43"/>
      <c r="AN2496" s="42"/>
      <c r="AO2496" s="42"/>
      <c r="AP2496" s="42"/>
      <c r="AQ2496" s="43"/>
      <c r="AR2496" s="42"/>
      <c r="AS2496" s="42"/>
    </row>
    <row r="2497" spans="1:45" ht="15" customHeight="1">
      <c r="A2497" s="56" t="s">
        <v>57</v>
      </c>
      <c r="B2497" s="21" t="s">
        <v>46</v>
      </c>
      <c r="C2497" s="57" t="s">
        <v>58</v>
      </c>
      <c r="D2497" s="22" t="s">
        <v>71</v>
      </c>
      <c r="E2497" s="58" t="s">
        <v>808</v>
      </c>
      <c r="F2497" s="56" t="s">
        <v>809</v>
      </c>
      <c r="G2497" s="26" t="s">
        <v>62</v>
      </c>
      <c r="H2497" s="25" t="s">
        <v>3300</v>
      </c>
      <c r="I2497" s="26" t="s">
        <v>64</v>
      </c>
      <c r="J2497" s="56" t="s">
        <v>58</v>
      </c>
      <c r="K2497" s="59"/>
      <c r="L2497" s="48"/>
      <c r="M2497" s="49">
        <v>43891</v>
      </c>
      <c r="N2497" s="49" t="s">
        <v>66</v>
      </c>
      <c r="O2497" s="60">
        <v>400</v>
      </c>
      <c r="P2497" s="61">
        <v>8.2899999999999991</v>
      </c>
      <c r="Q2497" s="51">
        <f t="shared" si="59"/>
        <v>3316</v>
      </c>
      <c r="R2497" s="31">
        <v>202310</v>
      </c>
      <c r="S2497" s="58" t="s">
        <v>3303</v>
      </c>
      <c r="T2497" s="33"/>
      <c r="U2497" s="58"/>
      <c r="V2497" s="58"/>
      <c r="W2497" s="63"/>
      <c r="X2497" s="63"/>
      <c r="Y2497" s="36"/>
      <c r="Z2497" s="36"/>
      <c r="AA2497" s="36"/>
      <c r="AB2497" s="36"/>
      <c r="AC2497" s="36"/>
      <c r="AD2497" s="36"/>
      <c r="AE2497" s="36"/>
      <c r="AF2497" s="53" t="s">
        <v>68</v>
      </c>
      <c r="AG2497" s="42"/>
      <c r="AH2497" s="42"/>
      <c r="AI2497" s="43"/>
      <c r="AJ2497" s="43"/>
      <c r="AK2497" s="43"/>
      <c r="AL2497" s="43"/>
      <c r="AM2497" s="43"/>
      <c r="AN2497" s="42"/>
      <c r="AO2497" s="42"/>
      <c r="AP2497" s="42"/>
      <c r="AQ2497" s="43"/>
      <c r="AR2497" s="42"/>
      <c r="AS2497" s="42"/>
    </row>
    <row r="2498" spans="1:45" ht="15" customHeight="1">
      <c r="A2498" s="56" t="s">
        <v>57</v>
      </c>
      <c r="B2498" s="21" t="s">
        <v>46</v>
      </c>
      <c r="C2498" s="57" t="s">
        <v>58</v>
      </c>
      <c r="D2498" s="22" t="s">
        <v>71</v>
      </c>
      <c r="E2498" s="58" t="s">
        <v>808</v>
      </c>
      <c r="F2498" s="56" t="s">
        <v>809</v>
      </c>
      <c r="G2498" s="26" t="s">
        <v>62</v>
      </c>
      <c r="H2498" s="25" t="s">
        <v>3300</v>
      </c>
      <c r="I2498" s="26" t="s">
        <v>64</v>
      </c>
      <c r="J2498" s="56" t="s">
        <v>58</v>
      </c>
      <c r="K2498" s="59"/>
      <c r="L2498" s="48"/>
      <c r="M2498" s="49">
        <v>43891</v>
      </c>
      <c r="N2498" s="49" t="s">
        <v>66</v>
      </c>
      <c r="O2498" s="60">
        <v>400</v>
      </c>
      <c r="P2498" s="61">
        <v>8.2200000000000006</v>
      </c>
      <c r="Q2498" s="51">
        <f t="shared" si="59"/>
        <v>3288</v>
      </c>
      <c r="R2498" s="31">
        <v>202310</v>
      </c>
      <c r="S2498" s="58" t="s">
        <v>3303</v>
      </c>
      <c r="T2498" s="33"/>
      <c r="U2498" s="58"/>
      <c r="V2498" s="58"/>
      <c r="W2498" s="63"/>
      <c r="X2498" s="63"/>
      <c r="Y2498" s="36"/>
      <c r="Z2498" s="36"/>
      <c r="AA2498" s="36"/>
      <c r="AB2498" s="36"/>
      <c r="AC2498" s="36"/>
      <c r="AD2498" s="36"/>
      <c r="AE2498" s="36"/>
      <c r="AF2498" s="53" t="s">
        <v>68</v>
      </c>
      <c r="AG2498" s="42"/>
      <c r="AH2498" s="42"/>
      <c r="AI2498" s="43"/>
      <c r="AJ2498" s="43"/>
      <c r="AK2498" s="43"/>
      <c r="AL2498" s="43"/>
      <c r="AM2498" s="43"/>
      <c r="AN2498" s="42"/>
      <c r="AO2498" s="42"/>
      <c r="AP2498" s="42"/>
      <c r="AQ2498" s="43"/>
      <c r="AR2498" s="42"/>
      <c r="AS2498" s="42"/>
    </row>
    <row r="2499" spans="1:45" ht="15" customHeight="1">
      <c r="A2499" s="56" t="s">
        <v>57</v>
      </c>
      <c r="B2499" s="21" t="s">
        <v>46</v>
      </c>
      <c r="C2499" s="57" t="s">
        <v>58</v>
      </c>
      <c r="D2499" s="22" t="s">
        <v>71</v>
      </c>
      <c r="E2499" s="58" t="s">
        <v>808</v>
      </c>
      <c r="F2499" s="56" t="s">
        <v>809</v>
      </c>
      <c r="G2499" s="26" t="s">
        <v>62</v>
      </c>
      <c r="H2499" s="25" t="s">
        <v>3300</v>
      </c>
      <c r="I2499" s="26" t="s">
        <v>64</v>
      </c>
      <c r="J2499" s="56" t="s">
        <v>58</v>
      </c>
      <c r="K2499" s="59"/>
      <c r="L2499" s="48"/>
      <c r="M2499" s="49">
        <v>43891</v>
      </c>
      <c r="N2499" s="49" t="s">
        <v>66</v>
      </c>
      <c r="O2499" s="60">
        <v>400</v>
      </c>
      <c r="P2499" s="61">
        <v>11.4</v>
      </c>
      <c r="Q2499" s="51">
        <f t="shared" si="59"/>
        <v>4560</v>
      </c>
      <c r="R2499" s="31">
        <v>202310</v>
      </c>
      <c r="S2499" s="58" t="s">
        <v>3304</v>
      </c>
      <c r="T2499" s="33"/>
      <c r="U2499" s="58"/>
      <c r="V2499" s="58"/>
      <c r="W2499" s="63"/>
      <c r="X2499" s="63"/>
      <c r="Y2499" s="36"/>
      <c r="Z2499" s="36"/>
      <c r="AA2499" s="36"/>
      <c r="AB2499" s="36"/>
      <c r="AC2499" s="36"/>
      <c r="AD2499" s="36"/>
      <c r="AE2499" s="36"/>
      <c r="AF2499" s="53" t="s">
        <v>68</v>
      </c>
      <c r="AG2499" s="42"/>
      <c r="AH2499" s="42"/>
      <c r="AI2499" s="43"/>
      <c r="AJ2499" s="43"/>
      <c r="AK2499" s="43"/>
      <c r="AL2499" s="43"/>
      <c r="AM2499" s="43"/>
      <c r="AN2499" s="42"/>
      <c r="AO2499" s="42"/>
      <c r="AP2499" s="42"/>
      <c r="AQ2499" s="43"/>
      <c r="AR2499" s="42"/>
      <c r="AS2499" s="42"/>
    </row>
    <row r="2500" spans="1:45" ht="15" customHeight="1">
      <c r="A2500" s="56" t="s">
        <v>57</v>
      </c>
      <c r="B2500" s="21" t="s">
        <v>46</v>
      </c>
      <c r="C2500" s="57" t="s">
        <v>58</v>
      </c>
      <c r="D2500" s="22" t="s">
        <v>71</v>
      </c>
      <c r="E2500" s="58" t="s">
        <v>808</v>
      </c>
      <c r="F2500" s="56" t="s">
        <v>809</v>
      </c>
      <c r="G2500" s="26" t="s">
        <v>62</v>
      </c>
      <c r="H2500" s="25" t="s">
        <v>3300</v>
      </c>
      <c r="I2500" s="26" t="s">
        <v>64</v>
      </c>
      <c r="J2500" s="56" t="s">
        <v>58</v>
      </c>
      <c r="K2500" s="59"/>
      <c r="L2500" s="48"/>
      <c r="M2500" s="49">
        <v>43891</v>
      </c>
      <c r="N2500" s="49" t="s">
        <v>66</v>
      </c>
      <c r="O2500" s="60">
        <v>400</v>
      </c>
      <c r="P2500" s="61">
        <v>5.56</v>
      </c>
      <c r="Q2500" s="51">
        <f t="shared" si="59"/>
        <v>2224</v>
      </c>
      <c r="R2500" s="31">
        <v>202310</v>
      </c>
      <c r="S2500" s="58" t="s">
        <v>3304</v>
      </c>
      <c r="T2500" s="33"/>
      <c r="U2500" s="58"/>
      <c r="V2500" s="58"/>
      <c r="W2500" s="63"/>
      <c r="X2500" s="63"/>
      <c r="Y2500" s="36"/>
      <c r="Z2500" s="36"/>
      <c r="AA2500" s="36"/>
      <c r="AB2500" s="36"/>
      <c r="AC2500" s="36"/>
      <c r="AD2500" s="36"/>
      <c r="AE2500" s="36"/>
      <c r="AF2500" s="53" t="s">
        <v>68</v>
      </c>
      <c r="AG2500" s="42"/>
      <c r="AH2500" s="42"/>
      <c r="AI2500" s="43"/>
      <c r="AJ2500" s="43"/>
      <c r="AK2500" s="43"/>
      <c r="AL2500" s="43"/>
      <c r="AM2500" s="43"/>
      <c r="AN2500" s="42"/>
      <c r="AO2500" s="42"/>
      <c r="AP2500" s="42"/>
      <c r="AQ2500" s="43"/>
      <c r="AR2500" s="42"/>
      <c r="AS2500" s="42"/>
    </row>
    <row r="2501" spans="1:45" ht="15" customHeight="1">
      <c r="A2501" s="56" t="s">
        <v>57</v>
      </c>
      <c r="B2501" s="21" t="s">
        <v>46</v>
      </c>
      <c r="C2501" s="57" t="s">
        <v>58</v>
      </c>
      <c r="D2501" s="22" t="s">
        <v>71</v>
      </c>
      <c r="E2501" s="58" t="s">
        <v>808</v>
      </c>
      <c r="F2501" s="56" t="s">
        <v>809</v>
      </c>
      <c r="G2501" s="26" t="s">
        <v>62</v>
      </c>
      <c r="H2501" s="25" t="s">
        <v>3300</v>
      </c>
      <c r="I2501" s="26" t="s">
        <v>64</v>
      </c>
      <c r="J2501" s="56" t="s">
        <v>58</v>
      </c>
      <c r="K2501" s="59"/>
      <c r="L2501" s="48"/>
      <c r="M2501" s="49">
        <v>44985</v>
      </c>
      <c r="N2501" s="49" t="s">
        <v>66</v>
      </c>
      <c r="O2501" s="60">
        <v>400</v>
      </c>
      <c r="P2501" s="61">
        <v>-11.4</v>
      </c>
      <c r="Q2501" s="51">
        <f t="shared" si="59"/>
        <v>-4560</v>
      </c>
      <c r="R2501" s="31">
        <v>202310</v>
      </c>
      <c r="S2501" s="58" t="s">
        <v>3305</v>
      </c>
      <c r="T2501" s="33"/>
      <c r="U2501" s="58"/>
      <c r="V2501" s="58"/>
      <c r="W2501" s="63"/>
      <c r="X2501" s="63"/>
      <c r="Y2501" s="36"/>
      <c r="Z2501" s="36"/>
      <c r="AA2501" s="36"/>
      <c r="AB2501" s="36"/>
      <c r="AC2501" s="36"/>
      <c r="AD2501" s="36"/>
      <c r="AE2501" s="36"/>
      <c r="AF2501" s="53" t="s">
        <v>68</v>
      </c>
      <c r="AG2501" s="42"/>
      <c r="AH2501" s="42"/>
      <c r="AI2501" s="43"/>
      <c r="AJ2501" s="43"/>
      <c r="AK2501" s="43"/>
      <c r="AL2501" s="43"/>
      <c r="AM2501" s="43"/>
      <c r="AN2501" s="42"/>
      <c r="AO2501" s="42"/>
      <c r="AP2501" s="42"/>
      <c r="AQ2501" s="43"/>
      <c r="AR2501" s="42"/>
      <c r="AS2501" s="42"/>
    </row>
    <row r="2502" spans="1:45" ht="15" customHeight="1">
      <c r="A2502" s="56" t="s">
        <v>57</v>
      </c>
      <c r="B2502" s="21" t="s">
        <v>46</v>
      </c>
      <c r="C2502" s="57" t="s">
        <v>58</v>
      </c>
      <c r="D2502" s="22" t="s">
        <v>71</v>
      </c>
      <c r="E2502" s="58" t="s">
        <v>808</v>
      </c>
      <c r="F2502" s="56" t="s">
        <v>809</v>
      </c>
      <c r="G2502" s="26" t="s">
        <v>62</v>
      </c>
      <c r="H2502" s="25" t="s">
        <v>3300</v>
      </c>
      <c r="I2502" s="26" t="s">
        <v>64</v>
      </c>
      <c r="J2502" s="56" t="s">
        <v>58</v>
      </c>
      <c r="K2502" s="59"/>
      <c r="L2502" s="48"/>
      <c r="M2502" s="49">
        <v>44985</v>
      </c>
      <c r="N2502" s="49" t="s">
        <v>66</v>
      </c>
      <c r="O2502" s="60">
        <v>400</v>
      </c>
      <c r="P2502" s="61">
        <v>-5.56</v>
      </c>
      <c r="Q2502" s="51">
        <f t="shared" si="59"/>
        <v>-2224</v>
      </c>
      <c r="R2502" s="31">
        <v>202310</v>
      </c>
      <c r="S2502" s="58" t="s">
        <v>3305</v>
      </c>
      <c r="T2502" s="33"/>
      <c r="U2502" s="58"/>
      <c r="V2502" s="58"/>
      <c r="W2502" s="63"/>
      <c r="X2502" s="63"/>
      <c r="Y2502" s="36"/>
      <c r="Z2502" s="36"/>
      <c r="AA2502" s="36"/>
      <c r="AB2502" s="36"/>
      <c r="AC2502" s="36"/>
      <c r="AD2502" s="36"/>
      <c r="AE2502" s="36"/>
      <c r="AF2502" s="53" t="s">
        <v>68</v>
      </c>
      <c r="AG2502" s="42"/>
      <c r="AH2502" s="42"/>
      <c r="AI2502" s="43"/>
      <c r="AJ2502" s="43"/>
      <c r="AK2502" s="43"/>
      <c r="AL2502" s="43"/>
      <c r="AM2502" s="43"/>
      <c r="AN2502" s="42"/>
      <c r="AO2502" s="42"/>
      <c r="AP2502" s="42"/>
      <c r="AQ2502" s="43"/>
      <c r="AR2502" s="42"/>
      <c r="AS2502" s="42"/>
    </row>
    <row r="2503" spans="1:45" ht="15" customHeight="1">
      <c r="A2503" s="56" t="s">
        <v>57</v>
      </c>
      <c r="B2503" s="21" t="s">
        <v>46</v>
      </c>
      <c r="C2503" s="57" t="s">
        <v>58</v>
      </c>
      <c r="D2503" s="22" t="s">
        <v>71</v>
      </c>
      <c r="E2503" s="58" t="s">
        <v>808</v>
      </c>
      <c r="F2503" s="56" t="s">
        <v>809</v>
      </c>
      <c r="G2503" s="26" t="s">
        <v>77</v>
      </c>
      <c r="H2503" s="25" t="s">
        <v>3300</v>
      </c>
      <c r="I2503" s="26" t="s">
        <v>78</v>
      </c>
      <c r="J2503" s="56" t="s">
        <v>47</v>
      </c>
      <c r="K2503" s="59"/>
      <c r="L2503" s="48" t="s">
        <v>3306</v>
      </c>
      <c r="M2503" s="49">
        <v>43936</v>
      </c>
      <c r="N2503" s="49" t="s">
        <v>504</v>
      </c>
      <c r="O2503" s="60">
        <v>8583.33</v>
      </c>
      <c r="P2503" s="61">
        <v>1</v>
      </c>
      <c r="Q2503" s="51">
        <f t="shared" si="59"/>
        <v>8583.33</v>
      </c>
      <c r="R2503" s="31">
        <v>202310</v>
      </c>
      <c r="S2503" s="58" t="s">
        <v>3307</v>
      </c>
      <c r="T2503" s="33"/>
      <c r="U2503" s="58"/>
      <c r="V2503" s="58"/>
      <c r="W2503" s="63"/>
      <c r="X2503" s="63"/>
      <c r="Y2503" s="36"/>
      <c r="Z2503" s="36"/>
      <c r="AA2503" s="36"/>
      <c r="AB2503" s="36"/>
      <c r="AC2503" s="36"/>
      <c r="AD2503" s="36"/>
      <c r="AE2503" s="36"/>
      <c r="AF2503" s="53" t="s">
        <v>68</v>
      </c>
      <c r="AG2503" s="42"/>
      <c r="AH2503" s="42"/>
      <c r="AI2503" s="43"/>
      <c r="AJ2503" s="43"/>
      <c r="AK2503" s="43"/>
      <c r="AL2503" s="43"/>
      <c r="AM2503" s="43"/>
      <c r="AN2503" s="42"/>
      <c r="AO2503" s="42"/>
      <c r="AP2503" s="42"/>
      <c r="AQ2503" s="43"/>
      <c r="AR2503" s="42"/>
      <c r="AS2503" s="42"/>
    </row>
    <row r="2504" spans="1:45" ht="15" customHeight="1">
      <c r="A2504" s="56" t="s">
        <v>57</v>
      </c>
      <c r="B2504" s="21" t="s">
        <v>46</v>
      </c>
      <c r="C2504" s="57" t="s">
        <v>58</v>
      </c>
      <c r="D2504" s="22" t="s">
        <v>71</v>
      </c>
      <c r="E2504" s="58" t="s">
        <v>808</v>
      </c>
      <c r="F2504" s="56" t="s">
        <v>809</v>
      </c>
      <c r="G2504" s="26" t="s">
        <v>62</v>
      </c>
      <c r="H2504" s="25" t="s">
        <v>3300</v>
      </c>
      <c r="I2504" s="26" t="s">
        <v>64</v>
      </c>
      <c r="J2504" s="56" t="s">
        <v>3308</v>
      </c>
      <c r="K2504" s="59"/>
      <c r="L2504" s="48"/>
      <c r="M2504" s="49">
        <v>43983</v>
      </c>
      <c r="N2504" s="49" t="s">
        <v>2735</v>
      </c>
      <c r="O2504" s="60">
        <v>12016.67</v>
      </c>
      <c r="P2504" s="61">
        <v>1</v>
      </c>
      <c r="Q2504" s="51">
        <f t="shared" si="59"/>
        <v>12016.67</v>
      </c>
      <c r="R2504" s="31">
        <v>202310</v>
      </c>
      <c r="S2504" s="58" t="s">
        <v>3309</v>
      </c>
      <c r="T2504" s="33"/>
      <c r="U2504" s="58"/>
      <c r="V2504" s="58"/>
      <c r="W2504" s="63"/>
      <c r="X2504" s="63"/>
      <c r="Y2504" s="36"/>
      <c r="Z2504" s="36"/>
      <c r="AA2504" s="36"/>
      <c r="AB2504" s="36"/>
      <c r="AC2504" s="36"/>
      <c r="AD2504" s="36"/>
      <c r="AE2504" s="36"/>
      <c r="AF2504" s="53" t="s">
        <v>68</v>
      </c>
      <c r="AG2504" s="42"/>
      <c r="AH2504" s="42"/>
      <c r="AI2504" s="43"/>
      <c r="AJ2504" s="43"/>
      <c r="AK2504" s="43"/>
      <c r="AL2504" s="43"/>
      <c r="AM2504" s="43"/>
      <c r="AN2504" s="42"/>
      <c r="AO2504" s="42"/>
      <c r="AP2504" s="42"/>
      <c r="AQ2504" s="43"/>
      <c r="AR2504" s="42"/>
      <c r="AS2504" s="42"/>
    </row>
    <row r="2505" spans="1:45" ht="15" customHeight="1">
      <c r="A2505" s="56" t="s">
        <v>57</v>
      </c>
      <c r="B2505" s="21" t="s">
        <v>46</v>
      </c>
      <c r="C2505" s="57" t="s">
        <v>58</v>
      </c>
      <c r="D2505" s="22" t="s">
        <v>71</v>
      </c>
      <c r="E2505" s="58" t="s">
        <v>808</v>
      </c>
      <c r="F2505" s="56" t="s">
        <v>809</v>
      </c>
      <c r="G2505" s="26" t="s">
        <v>62</v>
      </c>
      <c r="H2505" s="25" t="s">
        <v>3300</v>
      </c>
      <c r="I2505" s="26" t="s">
        <v>64</v>
      </c>
      <c r="J2505" s="56" t="s">
        <v>3310</v>
      </c>
      <c r="K2505" s="59"/>
      <c r="L2505" s="48"/>
      <c r="M2505" s="49">
        <v>40360</v>
      </c>
      <c r="N2505" s="49" t="s">
        <v>66</v>
      </c>
      <c r="O2505" s="60">
        <v>412.04</v>
      </c>
      <c r="P2505" s="61">
        <v>46</v>
      </c>
      <c r="Q2505" s="51">
        <f t="shared" si="59"/>
        <v>18953.84</v>
      </c>
      <c r="R2505" s="31">
        <v>202310</v>
      </c>
      <c r="S2505" s="58" t="s">
        <v>3311</v>
      </c>
      <c r="T2505" s="33"/>
      <c r="U2505" s="58"/>
      <c r="V2505" s="58"/>
      <c r="W2505" s="63"/>
      <c r="X2505" s="63"/>
      <c r="Y2505" s="36"/>
      <c r="Z2505" s="36"/>
      <c r="AA2505" s="36"/>
      <c r="AB2505" s="36"/>
      <c r="AC2505" s="36"/>
      <c r="AD2505" s="36"/>
      <c r="AE2505" s="36"/>
      <c r="AF2505" s="53" t="s">
        <v>68</v>
      </c>
      <c r="AG2505" s="42"/>
      <c r="AH2505" s="42"/>
      <c r="AI2505" s="43"/>
      <c r="AJ2505" s="43"/>
      <c r="AK2505" s="43"/>
      <c r="AL2505" s="43"/>
      <c r="AM2505" s="43"/>
      <c r="AN2505" s="42"/>
      <c r="AO2505" s="42"/>
      <c r="AP2505" s="42"/>
      <c r="AQ2505" s="43"/>
      <c r="AR2505" s="42"/>
      <c r="AS2505" s="42"/>
    </row>
    <row r="2506" spans="1:45" ht="15" customHeight="1">
      <c r="A2506" s="56" t="s">
        <v>57</v>
      </c>
      <c r="B2506" s="21" t="s">
        <v>46</v>
      </c>
      <c r="C2506" s="57" t="s">
        <v>58</v>
      </c>
      <c r="D2506" s="22" t="s">
        <v>71</v>
      </c>
      <c r="E2506" s="58" t="s">
        <v>808</v>
      </c>
      <c r="F2506" s="56" t="s">
        <v>809</v>
      </c>
      <c r="G2506" s="26" t="s">
        <v>62</v>
      </c>
      <c r="H2506" s="25" t="s">
        <v>3300</v>
      </c>
      <c r="I2506" s="26" t="s">
        <v>64</v>
      </c>
      <c r="J2506" s="56" t="s">
        <v>3310</v>
      </c>
      <c r="K2506" s="59"/>
      <c r="L2506" s="48"/>
      <c r="M2506" s="49">
        <v>44895</v>
      </c>
      <c r="N2506" s="49" t="s">
        <v>66</v>
      </c>
      <c r="O2506" s="60">
        <v>412.04</v>
      </c>
      <c r="P2506" s="61">
        <v>-46</v>
      </c>
      <c r="Q2506" s="51">
        <f t="shared" si="59"/>
        <v>-18953.84</v>
      </c>
      <c r="R2506" s="31">
        <v>202310</v>
      </c>
      <c r="S2506" s="58" t="s">
        <v>3312</v>
      </c>
      <c r="T2506" s="33"/>
      <c r="U2506" s="58"/>
      <c r="V2506" s="58"/>
      <c r="W2506" s="63"/>
      <c r="X2506" s="63"/>
      <c r="Y2506" s="36"/>
      <c r="Z2506" s="36"/>
      <c r="AA2506" s="36"/>
      <c r="AB2506" s="36"/>
      <c r="AC2506" s="36"/>
      <c r="AD2506" s="36"/>
      <c r="AE2506" s="36"/>
      <c r="AF2506" s="53" t="s">
        <v>68</v>
      </c>
      <c r="AG2506" s="42"/>
      <c r="AH2506" s="42"/>
      <c r="AI2506" s="43"/>
      <c r="AJ2506" s="43"/>
      <c r="AK2506" s="43"/>
      <c r="AL2506" s="43"/>
      <c r="AM2506" s="43"/>
      <c r="AN2506" s="42"/>
      <c r="AO2506" s="42"/>
      <c r="AP2506" s="42"/>
      <c r="AQ2506" s="43"/>
      <c r="AR2506" s="42"/>
      <c r="AS2506" s="42"/>
    </row>
    <row r="2507" spans="1:45" ht="15" customHeight="1">
      <c r="A2507" s="56" t="s">
        <v>57</v>
      </c>
      <c r="B2507" s="21" t="s">
        <v>46</v>
      </c>
      <c r="C2507" s="57" t="s">
        <v>58</v>
      </c>
      <c r="D2507" s="22" t="s">
        <v>71</v>
      </c>
      <c r="E2507" s="58" t="s">
        <v>808</v>
      </c>
      <c r="F2507" s="56" t="s">
        <v>809</v>
      </c>
      <c r="G2507" s="26" t="s">
        <v>62</v>
      </c>
      <c r="H2507" s="25" t="s">
        <v>3300</v>
      </c>
      <c r="I2507" s="26" t="s">
        <v>64</v>
      </c>
      <c r="J2507" s="56" t="s">
        <v>3313</v>
      </c>
      <c r="K2507" s="59"/>
      <c r="L2507" s="48"/>
      <c r="M2507" s="49">
        <v>40817</v>
      </c>
      <c r="N2507" s="49" t="s">
        <v>66</v>
      </c>
      <c r="O2507" s="60">
        <v>412.04</v>
      </c>
      <c r="P2507" s="61">
        <v>48</v>
      </c>
      <c r="Q2507" s="51">
        <f t="shared" si="59"/>
        <v>19777.919999999998</v>
      </c>
      <c r="R2507" s="31">
        <v>202310</v>
      </c>
      <c r="S2507" s="58" t="s">
        <v>3311</v>
      </c>
      <c r="T2507" s="33"/>
      <c r="U2507" s="58"/>
      <c r="V2507" s="58"/>
      <c r="W2507" s="63"/>
      <c r="X2507" s="63"/>
      <c r="Y2507" s="36"/>
      <c r="Z2507" s="36"/>
      <c r="AA2507" s="36"/>
      <c r="AB2507" s="36"/>
      <c r="AC2507" s="36"/>
      <c r="AD2507" s="36"/>
      <c r="AE2507" s="36"/>
      <c r="AF2507" s="53" t="s">
        <v>68</v>
      </c>
      <c r="AG2507" s="42"/>
      <c r="AH2507" s="42"/>
      <c r="AI2507" s="43"/>
      <c r="AJ2507" s="43"/>
      <c r="AK2507" s="43"/>
      <c r="AL2507" s="43"/>
      <c r="AM2507" s="43"/>
      <c r="AN2507" s="42"/>
      <c r="AO2507" s="42"/>
      <c r="AP2507" s="42"/>
      <c r="AQ2507" s="43"/>
      <c r="AR2507" s="42"/>
      <c r="AS2507" s="42"/>
    </row>
    <row r="2508" spans="1:45" ht="15" customHeight="1">
      <c r="A2508" s="56" t="s">
        <v>57</v>
      </c>
      <c r="B2508" s="21" t="s">
        <v>46</v>
      </c>
      <c r="C2508" s="57" t="s">
        <v>58</v>
      </c>
      <c r="D2508" s="22" t="s">
        <v>71</v>
      </c>
      <c r="E2508" s="58" t="s">
        <v>808</v>
      </c>
      <c r="F2508" s="56" t="s">
        <v>809</v>
      </c>
      <c r="G2508" s="26" t="s">
        <v>62</v>
      </c>
      <c r="H2508" s="25" t="s">
        <v>3300</v>
      </c>
      <c r="I2508" s="26" t="s">
        <v>64</v>
      </c>
      <c r="J2508" s="56" t="s">
        <v>3314</v>
      </c>
      <c r="K2508" s="59"/>
      <c r="L2508" s="48"/>
      <c r="M2508" s="49">
        <v>42444</v>
      </c>
      <c r="N2508" s="49" t="s">
        <v>66</v>
      </c>
      <c r="O2508" s="60">
        <v>412.04</v>
      </c>
      <c r="P2508" s="61">
        <v>36</v>
      </c>
      <c r="Q2508" s="51">
        <f t="shared" si="59"/>
        <v>14833.44</v>
      </c>
      <c r="R2508" s="31">
        <v>202310</v>
      </c>
      <c r="S2508" s="58" t="s">
        <v>3311</v>
      </c>
      <c r="T2508" s="33"/>
      <c r="U2508" s="58"/>
      <c r="V2508" s="58"/>
      <c r="W2508" s="63"/>
      <c r="X2508" s="63"/>
      <c r="Y2508" s="36"/>
      <c r="Z2508" s="36"/>
      <c r="AA2508" s="36"/>
      <c r="AB2508" s="36"/>
      <c r="AC2508" s="36"/>
      <c r="AD2508" s="36"/>
      <c r="AE2508" s="36"/>
      <c r="AF2508" s="53" t="s">
        <v>68</v>
      </c>
      <c r="AG2508" s="42"/>
      <c r="AH2508" s="42"/>
      <c r="AI2508" s="43"/>
      <c r="AJ2508" s="43"/>
      <c r="AK2508" s="43"/>
      <c r="AL2508" s="43"/>
      <c r="AM2508" s="43"/>
      <c r="AN2508" s="42"/>
      <c r="AO2508" s="42"/>
      <c r="AP2508" s="42"/>
      <c r="AQ2508" s="43"/>
      <c r="AR2508" s="42"/>
      <c r="AS2508" s="42"/>
    </row>
    <row r="2509" spans="1:45" ht="15" customHeight="1">
      <c r="A2509" s="56" t="s">
        <v>57</v>
      </c>
      <c r="B2509" s="21" t="s">
        <v>46</v>
      </c>
      <c r="C2509" s="57" t="s">
        <v>58</v>
      </c>
      <c r="D2509" s="22" t="s">
        <v>71</v>
      </c>
      <c r="E2509" s="58" t="s">
        <v>808</v>
      </c>
      <c r="F2509" s="56" t="s">
        <v>809</v>
      </c>
      <c r="G2509" s="26" t="s">
        <v>62</v>
      </c>
      <c r="H2509" s="25" t="s">
        <v>3300</v>
      </c>
      <c r="I2509" s="26" t="s">
        <v>64</v>
      </c>
      <c r="J2509" s="56" t="s">
        <v>3315</v>
      </c>
      <c r="K2509" s="59"/>
      <c r="L2509" s="48"/>
      <c r="M2509" s="49">
        <v>42826</v>
      </c>
      <c r="N2509" s="49" t="s">
        <v>66</v>
      </c>
      <c r="O2509" s="60">
        <v>412.04</v>
      </c>
      <c r="P2509" s="61">
        <v>3.2</v>
      </c>
      <c r="Q2509" s="51">
        <f t="shared" si="59"/>
        <v>1318.53</v>
      </c>
      <c r="R2509" s="31">
        <v>202310</v>
      </c>
      <c r="S2509" s="58" t="s">
        <v>3311</v>
      </c>
      <c r="T2509" s="33"/>
      <c r="U2509" s="58"/>
      <c r="V2509" s="58"/>
      <c r="W2509" s="63"/>
      <c r="X2509" s="63"/>
      <c r="Y2509" s="36"/>
      <c r="Z2509" s="36"/>
      <c r="AA2509" s="36"/>
      <c r="AB2509" s="36"/>
      <c r="AC2509" s="36"/>
      <c r="AD2509" s="36"/>
      <c r="AE2509" s="36"/>
      <c r="AF2509" s="53" t="s">
        <v>68</v>
      </c>
      <c r="AG2509" s="42"/>
      <c r="AH2509" s="42"/>
      <c r="AI2509" s="43"/>
      <c r="AJ2509" s="43"/>
      <c r="AK2509" s="43"/>
      <c r="AL2509" s="43"/>
      <c r="AM2509" s="43"/>
      <c r="AN2509" s="42"/>
      <c r="AO2509" s="42"/>
      <c r="AP2509" s="42"/>
      <c r="AQ2509" s="43"/>
      <c r="AR2509" s="42"/>
      <c r="AS2509" s="42"/>
    </row>
    <row r="2510" spans="1:45" ht="15" customHeight="1">
      <c r="A2510" s="56" t="s">
        <v>57</v>
      </c>
      <c r="B2510" s="21" t="s">
        <v>46</v>
      </c>
      <c r="C2510" s="57" t="s">
        <v>58</v>
      </c>
      <c r="D2510" s="22" t="s">
        <v>71</v>
      </c>
      <c r="E2510" s="58" t="s">
        <v>808</v>
      </c>
      <c r="F2510" s="56" t="s">
        <v>809</v>
      </c>
      <c r="G2510" s="26" t="s">
        <v>62</v>
      </c>
      <c r="H2510" s="25" t="s">
        <v>3300</v>
      </c>
      <c r="I2510" s="26" t="s">
        <v>64</v>
      </c>
      <c r="J2510" s="56" t="s">
        <v>3316</v>
      </c>
      <c r="K2510" s="59"/>
      <c r="L2510" s="48"/>
      <c r="M2510" s="49">
        <v>42856</v>
      </c>
      <c r="N2510" s="49" t="s">
        <v>66</v>
      </c>
      <c r="O2510" s="60">
        <v>412.04</v>
      </c>
      <c r="P2510" s="61">
        <v>2.8</v>
      </c>
      <c r="Q2510" s="51">
        <f t="shared" si="59"/>
        <v>1153.71</v>
      </c>
      <c r="R2510" s="31">
        <v>202310</v>
      </c>
      <c r="S2510" s="58" t="s">
        <v>3311</v>
      </c>
      <c r="T2510" s="33"/>
      <c r="U2510" s="58"/>
      <c r="V2510" s="58"/>
      <c r="W2510" s="63"/>
      <c r="X2510" s="63"/>
      <c r="Y2510" s="36"/>
      <c r="Z2510" s="36"/>
      <c r="AA2510" s="36"/>
      <c r="AB2510" s="36"/>
      <c r="AC2510" s="36"/>
      <c r="AD2510" s="36"/>
      <c r="AE2510" s="36"/>
      <c r="AF2510" s="53" t="s">
        <v>68</v>
      </c>
      <c r="AG2510" s="42"/>
      <c r="AH2510" s="42"/>
      <c r="AI2510" s="43"/>
      <c r="AJ2510" s="43"/>
      <c r="AK2510" s="43"/>
      <c r="AL2510" s="43"/>
      <c r="AM2510" s="43"/>
      <c r="AN2510" s="42"/>
      <c r="AO2510" s="42"/>
      <c r="AP2510" s="42"/>
      <c r="AQ2510" s="43"/>
      <c r="AR2510" s="42"/>
      <c r="AS2510" s="42"/>
    </row>
    <row r="2511" spans="1:45" ht="15" customHeight="1">
      <c r="A2511" s="56" t="s">
        <v>57</v>
      </c>
      <c r="B2511" s="21" t="s">
        <v>46</v>
      </c>
      <c r="C2511" s="57" t="s">
        <v>58</v>
      </c>
      <c r="D2511" s="22" t="s">
        <v>71</v>
      </c>
      <c r="E2511" s="58" t="s">
        <v>808</v>
      </c>
      <c r="F2511" s="56" t="s">
        <v>809</v>
      </c>
      <c r="G2511" s="26" t="s">
        <v>62</v>
      </c>
      <c r="H2511" s="25" t="s">
        <v>3300</v>
      </c>
      <c r="I2511" s="26" t="s">
        <v>64</v>
      </c>
      <c r="J2511" s="56" t="s">
        <v>3317</v>
      </c>
      <c r="K2511" s="59"/>
      <c r="L2511" s="48"/>
      <c r="M2511" s="49">
        <v>43862</v>
      </c>
      <c r="N2511" s="49" t="s">
        <v>2735</v>
      </c>
      <c r="O2511" s="60">
        <v>30849.06</v>
      </c>
      <c r="P2511" s="61">
        <v>1</v>
      </c>
      <c r="Q2511" s="51">
        <f t="shared" si="59"/>
        <v>30849.06</v>
      </c>
      <c r="R2511" s="31">
        <v>202310</v>
      </c>
      <c r="S2511" s="58" t="s">
        <v>3318</v>
      </c>
      <c r="T2511" s="33"/>
      <c r="U2511" s="58"/>
      <c r="V2511" s="58"/>
      <c r="W2511" s="63"/>
      <c r="X2511" s="63"/>
      <c r="Y2511" s="36"/>
      <c r="Z2511" s="36"/>
      <c r="AA2511" s="36"/>
      <c r="AB2511" s="36"/>
      <c r="AC2511" s="36"/>
      <c r="AD2511" s="36"/>
      <c r="AE2511" s="36"/>
      <c r="AF2511" s="53" t="s">
        <v>68</v>
      </c>
      <c r="AG2511" s="42"/>
      <c r="AH2511" s="42"/>
      <c r="AI2511" s="43"/>
      <c r="AJ2511" s="43"/>
      <c r="AK2511" s="43"/>
      <c r="AL2511" s="43"/>
      <c r="AM2511" s="43"/>
      <c r="AN2511" s="42"/>
      <c r="AO2511" s="42"/>
      <c r="AP2511" s="42"/>
      <c r="AQ2511" s="43"/>
      <c r="AR2511" s="42"/>
      <c r="AS2511" s="42"/>
    </row>
    <row r="2512" spans="1:45" ht="15" customHeight="1">
      <c r="A2512" s="56" t="s">
        <v>57</v>
      </c>
      <c r="B2512" s="21" t="s">
        <v>46</v>
      </c>
      <c r="C2512" s="57" t="s">
        <v>58</v>
      </c>
      <c r="D2512" s="22" t="s">
        <v>71</v>
      </c>
      <c r="E2512" s="58" t="s">
        <v>808</v>
      </c>
      <c r="F2512" s="56" t="s">
        <v>809</v>
      </c>
      <c r="G2512" s="26" t="s">
        <v>62</v>
      </c>
      <c r="H2512" s="25" t="s">
        <v>3319</v>
      </c>
      <c r="I2512" s="26" t="s">
        <v>64</v>
      </c>
      <c r="J2512" s="56" t="s">
        <v>3320</v>
      </c>
      <c r="K2512" s="59"/>
      <c r="L2512" s="48"/>
      <c r="M2512" s="49">
        <v>44662</v>
      </c>
      <c r="N2512" s="49" t="s">
        <v>2735</v>
      </c>
      <c r="O2512" s="60">
        <v>396</v>
      </c>
      <c r="P2512" s="61">
        <v>47</v>
      </c>
      <c r="Q2512" s="51">
        <f t="shared" si="59"/>
        <v>18612</v>
      </c>
      <c r="R2512" s="31">
        <v>202310</v>
      </c>
      <c r="S2512" s="62" t="s">
        <v>3320</v>
      </c>
      <c r="T2512" s="33"/>
      <c r="U2512" s="58"/>
      <c r="V2512" s="58"/>
      <c r="W2512" s="63"/>
      <c r="X2512" s="63"/>
      <c r="Y2512" s="36"/>
      <c r="Z2512" s="36"/>
      <c r="AA2512" s="36"/>
      <c r="AB2512" s="36"/>
      <c r="AC2512" s="36"/>
      <c r="AD2512" s="36"/>
      <c r="AE2512" s="36"/>
      <c r="AF2512" s="53" t="s">
        <v>68</v>
      </c>
      <c r="AG2512" s="42"/>
      <c r="AH2512" s="42"/>
      <c r="AI2512" s="43"/>
      <c r="AJ2512" s="43"/>
      <c r="AK2512" s="43"/>
      <c r="AL2512" s="43"/>
      <c r="AM2512" s="43"/>
      <c r="AN2512" s="42"/>
      <c r="AO2512" s="42"/>
      <c r="AP2512" s="42"/>
      <c r="AQ2512" s="43"/>
      <c r="AR2512" s="42"/>
      <c r="AS2512" s="42"/>
    </row>
    <row r="2513" spans="1:45" ht="15" customHeight="1">
      <c r="A2513" s="56" t="s">
        <v>57</v>
      </c>
      <c r="B2513" s="21" t="s">
        <v>46</v>
      </c>
      <c r="C2513" s="57" t="s">
        <v>58</v>
      </c>
      <c r="D2513" s="22" t="s">
        <v>71</v>
      </c>
      <c r="E2513" s="58" t="s">
        <v>808</v>
      </c>
      <c r="F2513" s="56" t="s">
        <v>809</v>
      </c>
      <c r="G2513" s="26" t="s">
        <v>62</v>
      </c>
      <c r="H2513" s="25" t="s">
        <v>3319</v>
      </c>
      <c r="I2513" s="26" t="s">
        <v>64</v>
      </c>
      <c r="J2513" s="56" t="s">
        <v>3321</v>
      </c>
      <c r="K2513" s="56"/>
      <c r="L2513" s="48"/>
      <c r="M2513" s="49">
        <v>44652</v>
      </c>
      <c r="N2513" s="49" t="s">
        <v>66</v>
      </c>
      <c r="O2513" s="60">
        <v>1320</v>
      </c>
      <c r="P2513" s="61">
        <v>3.5</v>
      </c>
      <c r="Q2513" s="51">
        <f t="shared" si="59"/>
        <v>4620</v>
      </c>
      <c r="R2513" s="31">
        <v>202310</v>
      </c>
      <c r="S2513" s="62" t="s">
        <v>3322</v>
      </c>
      <c r="T2513" s="33"/>
      <c r="U2513" s="58"/>
      <c r="V2513" s="58"/>
      <c r="W2513" s="63"/>
      <c r="X2513" s="63"/>
      <c r="Y2513" s="36"/>
      <c r="Z2513" s="36"/>
      <c r="AA2513" s="36"/>
      <c r="AB2513" s="36"/>
      <c r="AC2513" s="36"/>
      <c r="AD2513" s="36"/>
      <c r="AE2513" s="36"/>
      <c r="AF2513" s="53" t="s">
        <v>68</v>
      </c>
      <c r="AG2513" s="42"/>
      <c r="AH2513" s="42"/>
      <c r="AI2513" s="43"/>
      <c r="AJ2513" s="43"/>
      <c r="AK2513" s="43"/>
      <c r="AL2513" s="43"/>
      <c r="AM2513" s="43"/>
      <c r="AN2513" s="42"/>
      <c r="AO2513" s="42"/>
      <c r="AP2513" s="42"/>
      <c r="AQ2513" s="43"/>
      <c r="AR2513" s="42"/>
      <c r="AS2513" s="42"/>
    </row>
    <row r="2514" spans="1:45" ht="15" customHeight="1">
      <c r="A2514" s="56" t="s">
        <v>57</v>
      </c>
      <c r="B2514" s="21" t="s">
        <v>46</v>
      </c>
      <c r="C2514" s="57" t="s">
        <v>58</v>
      </c>
      <c r="D2514" s="22" t="s">
        <v>71</v>
      </c>
      <c r="E2514" s="58" t="s">
        <v>808</v>
      </c>
      <c r="F2514" s="56" t="s">
        <v>809</v>
      </c>
      <c r="G2514" s="26" t="s">
        <v>62</v>
      </c>
      <c r="H2514" s="25" t="s">
        <v>3319</v>
      </c>
      <c r="I2514" s="26" t="s">
        <v>64</v>
      </c>
      <c r="J2514" s="56" t="s">
        <v>3321</v>
      </c>
      <c r="K2514" s="56"/>
      <c r="L2514" s="48"/>
      <c r="M2514" s="49">
        <v>45049</v>
      </c>
      <c r="N2514" s="49" t="s">
        <v>66</v>
      </c>
      <c r="O2514" s="60">
        <v>1320</v>
      </c>
      <c r="P2514" s="61">
        <v>-3.5</v>
      </c>
      <c r="Q2514" s="51">
        <f t="shared" si="59"/>
        <v>-4620</v>
      </c>
      <c r="R2514" s="31">
        <v>202310</v>
      </c>
      <c r="S2514" s="62" t="s">
        <v>3322</v>
      </c>
      <c r="T2514" s="33"/>
      <c r="U2514" s="58"/>
      <c r="V2514" s="58"/>
      <c r="W2514" s="63"/>
      <c r="X2514" s="63"/>
      <c r="Y2514" s="36"/>
      <c r="Z2514" s="36"/>
      <c r="AA2514" s="36"/>
      <c r="AB2514" s="36"/>
      <c r="AC2514" s="36"/>
      <c r="AD2514" s="36"/>
      <c r="AE2514" s="36"/>
      <c r="AF2514" s="53" t="s">
        <v>68</v>
      </c>
      <c r="AG2514" s="42"/>
      <c r="AH2514" s="42"/>
      <c r="AI2514" s="43"/>
      <c r="AJ2514" s="43"/>
      <c r="AK2514" s="43"/>
      <c r="AL2514" s="43"/>
      <c r="AM2514" s="43"/>
      <c r="AN2514" s="42"/>
      <c r="AO2514" s="42"/>
      <c r="AP2514" s="42"/>
      <c r="AQ2514" s="43"/>
      <c r="AR2514" s="42"/>
      <c r="AS2514" s="42"/>
    </row>
    <row r="2515" spans="1:45" ht="15" customHeight="1">
      <c r="A2515" s="56" t="s">
        <v>57</v>
      </c>
      <c r="B2515" s="21" t="s">
        <v>46</v>
      </c>
      <c r="C2515" s="57" t="s">
        <v>58</v>
      </c>
      <c r="D2515" s="22" t="s">
        <v>71</v>
      </c>
      <c r="E2515" s="58" t="s">
        <v>808</v>
      </c>
      <c r="F2515" s="56" t="s">
        <v>809</v>
      </c>
      <c r="G2515" s="26" t="s">
        <v>62</v>
      </c>
      <c r="H2515" s="25" t="s">
        <v>3319</v>
      </c>
      <c r="I2515" s="26" t="s">
        <v>64</v>
      </c>
      <c r="J2515" s="56" t="s">
        <v>3323</v>
      </c>
      <c r="K2515" s="56"/>
      <c r="L2515" s="48"/>
      <c r="M2515" s="49">
        <v>44652</v>
      </c>
      <c r="N2515" s="49" t="s">
        <v>66</v>
      </c>
      <c r="O2515" s="60">
        <v>440</v>
      </c>
      <c r="P2515" s="61">
        <v>2.9</v>
      </c>
      <c r="Q2515" s="51">
        <f t="shared" si="59"/>
        <v>1276</v>
      </c>
      <c r="R2515" s="31">
        <v>202310</v>
      </c>
      <c r="S2515" s="62" t="s">
        <v>3324</v>
      </c>
      <c r="T2515" s="33"/>
      <c r="U2515" s="58"/>
      <c r="V2515" s="58"/>
      <c r="W2515" s="63"/>
      <c r="X2515" s="63"/>
      <c r="Y2515" s="36"/>
      <c r="Z2515" s="36"/>
      <c r="AA2515" s="36"/>
      <c r="AB2515" s="36"/>
      <c r="AC2515" s="36"/>
      <c r="AD2515" s="36"/>
      <c r="AE2515" s="36"/>
      <c r="AF2515" s="53" t="s">
        <v>68</v>
      </c>
      <c r="AG2515" s="42"/>
      <c r="AH2515" s="42"/>
      <c r="AI2515" s="43"/>
      <c r="AJ2515" s="43"/>
      <c r="AK2515" s="43"/>
      <c r="AL2515" s="43"/>
      <c r="AM2515" s="43"/>
      <c r="AN2515" s="42"/>
      <c r="AO2515" s="42"/>
      <c r="AP2515" s="42"/>
      <c r="AQ2515" s="43"/>
      <c r="AR2515" s="42"/>
      <c r="AS2515" s="42"/>
    </row>
    <row r="2516" spans="1:45" ht="15" customHeight="1">
      <c r="A2516" s="56" t="s">
        <v>57</v>
      </c>
      <c r="B2516" s="21" t="s">
        <v>46</v>
      </c>
      <c r="C2516" s="57" t="s">
        <v>58</v>
      </c>
      <c r="D2516" s="22" t="s">
        <v>71</v>
      </c>
      <c r="E2516" s="58" t="s">
        <v>808</v>
      </c>
      <c r="F2516" s="56" t="s">
        <v>809</v>
      </c>
      <c r="G2516" s="26" t="s">
        <v>62</v>
      </c>
      <c r="H2516" s="25" t="s">
        <v>3319</v>
      </c>
      <c r="I2516" s="26" t="s">
        <v>64</v>
      </c>
      <c r="J2516" s="56" t="s">
        <v>3323</v>
      </c>
      <c r="K2516" s="56"/>
      <c r="L2516" s="48"/>
      <c r="M2516" s="49">
        <v>45049</v>
      </c>
      <c r="N2516" s="49" t="s">
        <v>66</v>
      </c>
      <c r="O2516" s="60">
        <v>440</v>
      </c>
      <c r="P2516" s="61">
        <v>-2.9</v>
      </c>
      <c r="Q2516" s="51">
        <f t="shared" si="59"/>
        <v>-1276</v>
      </c>
      <c r="R2516" s="31">
        <v>202310</v>
      </c>
      <c r="S2516" s="62" t="s">
        <v>3324</v>
      </c>
      <c r="T2516" s="33"/>
      <c r="U2516" s="58"/>
      <c r="V2516" s="58"/>
      <c r="W2516" s="63"/>
      <c r="X2516" s="63"/>
      <c r="Y2516" s="36"/>
      <c r="Z2516" s="36"/>
      <c r="AA2516" s="36"/>
      <c r="AB2516" s="36"/>
      <c r="AC2516" s="36"/>
      <c r="AD2516" s="36"/>
      <c r="AE2516" s="36"/>
      <c r="AF2516" s="53" t="s">
        <v>68</v>
      </c>
      <c r="AG2516" s="42"/>
      <c r="AH2516" s="42"/>
      <c r="AI2516" s="43"/>
      <c r="AJ2516" s="43"/>
      <c r="AK2516" s="43"/>
      <c r="AL2516" s="43"/>
      <c r="AM2516" s="43"/>
      <c r="AN2516" s="42"/>
      <c r="AO2516" s="42"/>
      <c r="AP2516" s="42"/>
      <c r="AQ2516" s="43"/>
      <c r="AR2516" s="42"/>
      <c r="AS2516" s="42"/>
    </row>
    <row r="2517" spans="1:45" ht="15" customHeight="1">
      <c r="A2517" s="56" t="s">
        <v>57</v>
      </c>
      <c r="B2517" s="21" t="s">
        <v>46</v>
      </c>
      <c r="C2517" s="57" t="s">
        <v>58</v>
      </c>
      <c r="D2517" s="22" t="s">
        <v>71</v>
      </c>
      <c r="E2517" s="58" t="s">
        <v>808</v>
      </c>
      <c r="F2517" s="56" t="s">
        <v>809</v>
      </c>
      <c r="G2517" s="26" t="s">
        <v>62</v>
      </c>
      <c r="H2517" s="25" t="s">
        <v>3319</v>
      </c>
      <c r="I2517" s="26" t="s">
        <v>64</v>
      </c>
      <c r="J2517" s="23" t="s">
        <v>3325</v>
      </c>
      <c r="K2517" s="59"/>
      <c r="L2517" s="48"/>
      <c r="M2517" s="49">
        <v>44743</v>
      </c>
      <c r="N2517" s="49" t="s">
        <v>66</v>
      </c>
      <c r="O2517" s="60">
        <v>3427.67</v>
      </c>
      <c r="P2517" s="61">
        <v>1</v>
      </c>
      <c r="Q2517" s="51">
        <f t="shared" si="59"/>
        <v>3427.67</v>
      </c>
      <c r="R2517" s="31">
        <v>202310</v>
      </c>
      <c r="S2517" s="223" t="s">
        <v>3326</v>
      </c>
      <c r="T2517" s="33"/>
      <c r="U2517" s="58"/>
      <c r="V2517" s="58"/>
      <c r="W2517" s="63"/>
      <c r="X2517" s="63"/>
      <c r="Y2517" s="36"/>
      <c r="Z2517" s="36"/>
      <c r="AA2517" s="36"/>
      <c r="AB2517" s="36"/>
      <c r="AC2517" s="36"/>
      <c r="AD2517" s="36"/>
      <c r="AE2517" s="36"/>
      <c r="AF2517" s="53" t="s">
        <v>68</v>
      </c>
      <c r="AG2517" s="42"/>
      <c r="AH2517" s="42"/>
      <c r="AI2517" s="43"/>
      <c r="AJ2517" s="43"/>
      <c r="AK2517" s="43"/>
      <c r="AL2517" s="43"/>
      <c r="AM2517" s="43"/>
      <c r="AN2517" s="42"/>
      <c r="AO2517" s="42"/>
      <c r="AP2517" s="42"/>
      <c r="AQ2517" s="43"/>
      <c r="AR2517" s="42"/>
      <c r="AS2517" s="42"/>
    </row>
    <row r="2518" spans="1:45" ht="15" customHeight="1">
      <c r="A2518" s="56" t="s">
        <v>57</v>
      </c>
      <c r="B2518" s="21" t="s">
        <v>46</v>
      </c>
      <c r="C2518" s="57" t="s">
        <v>58</v>
      </c>
      <c r="D2518" s="22" t="s">
        <v>71</v>
      </c>
      <c r="E2518" s="58" t="s">
        <v>808</v>
      </c>
      <c r="F2518" s="56" t="s">
        <v>809</v>
      </c>
      <c r="G2518" s="26" t="s">
        <v>62</v>
      </c>
      <c r="H2518" s="25" t="s">
        <v>3319</v>
      </c>
      <c r="I2518" s="26" t="s">
        <v>64</v>
      </c>
      <c r="J2518" s="56" t="s">
        <v>3327</v>
      </c>
      <c r="K2518" s="59"/>
      <c r="L2518" s="48"/>
      <c r="M2518" s="49">
        <v>44743</v>
      </c>
      <c r="N2518" s="49" t="s">
        <v>66</v>
      </c>
      <c r="O2518" s="60">
        <v>3427.67</v>
      </c>
      <c r="P2518" s="61">
        <v>1</v>
      </c>
      <c r="Q2518" s="51">
        <f t="shared" si="59"/>
        <v>3427.67</v>
      </c>
      <c r="R2518" s="31">
        <v>202310</v>
      </c>
      <c r="S2518" s="62" t="s">
        <v>3328</v>
      </c>
      <c r="T2518" s="33"/>
      <c r="U2518" s="58"/>
      <c r="V2518" s="58"/>
      <c r="W2518" s="63"/>
      <c r="X2518" s="63"/>
      <c r="Y2518" s="36"/>
      <c r="Z2518" s="36"/>
      <c r="AA2518" s="36"/>
      <c r="AB2518" s="36"/>
      <c r="AC2518" s="36"/>
      <c r="AD2518" s="36"/>
      <c r="AE2518" s="36"/>
      <c r="AF2518" s="53" t="s">
        <v>68</v>
      </c>
      <c r="AG2518" s="42"/>
      <c r="AH2518" s="42"/>
      <c r="AI2518" s="43"/>
      <c r="AJ2518" s="43"/>
      <c r="AK2518" s="43"/>
      <c r="AL2518" s="43"/>
      <c r="AM2518" s="43"/>
      <c r="AN2518" s="42"/>
      <c r="AO2518" s="42"/>
      <c r="AP2518" s="42"/>
      <c r="AQ2518" s="43"/>
      <c r="AR2518" s="42"/>
      <c r="AS2518" s="42"/>
    </row>
    <row r="2519" spans="1:45" ht="15" customHeight="1">
      <c r="A2519" s="56" t="s">
        <v>57</v>
      </c>
      <c r="B2519" s="21" t="s">
        <v>46</v>
      </c>
      <c r="C2519" s="57" t="s">
        <v>58</v>
      </c>
      <c r="D2519" s="22" t="s">
        <v>71</v>
      </c>
      <c r="E2519" s="58" t="s">
        <v>808</v>
      </c>
      <c r="F2519" s="56" t="s">
        <v>809</v>
      </c>
      <c r="G2519" s="26" t="s">
        <v>114</v>
      </c>
      <c r="H2519" s="25" t="s">
        <v>3329</v>
      </c>
      <c r="I2519" s="26" t="s">
        <v>114</v>
      </c>
      <c r="J2519" s="56" t="s">
        <v>3330</v>
      </c>
      <c r="K2519" s="59"/>
      <c r="L2519" s="48"/>
      <c r="M2519" s="49">
        <v>44696</v>
      </c>
      <c r="N2519" s="49" t="s">
        <v>3331</v>
      </c>
      <c r="O2519" s="60">
        <v>394426.9</v>
      </c>
      <c r="P2519" s="61">
        <v>1</v>
      </c>
      <c r="Q2519" s="51">
        <f t="shared" si="59"/>
        <v>394426.9</v>
      </c>
      <c r="R2519" s="31">
        <v>202310</v>
      </c>
      <c r="S2519" s="62" t="s">
        <v>3332</v>
      </c>
      <c r="T2519" s="33"/>
      <c r="U2519" s="58"/>
      <c r="V2519" s="58"/>
      <c r="W2519" s="63"/>
      <c r="X2519" s="63"/>
      <c r="Y2519" s="36">
        <v>44696</v>
      </c>
      <c r="Z2519" s="36">
        <v>45508</v>
      </c>
      <c r="AA2519" s="36"/>
      <c r="AB2519" s="36"/>
      <c r="AC2519" s="36"/>
      <c r="AD2519" s="36"/>
      <c r="AE2519" s="36"/>
      <c r="AF2519" s="53" t="s">
        <v>68</v>
      </c>
      <c r="AG2519" s="42"/>
      <c r="AH2519" s="42"/>
      <c r="AI2519" s="43"/>
      <c r="AJ2519" s="43"/>
      <c r="AK2519" s="43"/>
      <c r="AL2519" s="43"/>
      <c r="AM2519" s="43"/>
      <c r="AN2519" s="42"/>
      <c r="AO2519" s="42"/>
      <c r="AP2519" s="42"/>
      <c r="AQ2519" s="43"/>
      <c r="AR2519" s="42"/>
      <c r="AS2519" s="42"/>
    </row>
    <row r="2520" spans="1:45" ht="15" customHeight="1">
      <c r="A2520" s="21" t="s">
        <v>57</v>
      </c>
      <c r="B2520" s="21" t="s">
        <v>46</v>
      </c>
      <c r="C2520" s="65" t="s">
        <v>188</v>
      </c>
      <c r="D2520" s="22" t="s">
        <v>59</v>
      </c>
      <c r="E2520" s="80" t="s">
        <v>808</v>
      </c>
      <c r="F2520" s="21" t="s">
        <v>3333</v>
      </c>
      <c r="G2520" s="26" t="s">
        <v>77</v>
      </c>
      <c r="H2520" s="25" t="s">
        <v>3334</v>
      </c>
      <c r="I2520" s="26" t="s">
        <v>698</v>
      </c>
      <c r="J2520" s="21" t="s">
        <v>699</v>
      </c>
      <c r="K2520" s="81"/>
      <c r="L2520" s="48" t="s">
        <v>700</v>
      </c>
      <c r="M2520" s="49" t="s">
        <v>3335</v>
      </c>
      <c r="N2520" s="49" t="s">
        <v>177</v>
      </c>
      <c r="O2520" s="68">
        <v>4103</v>
      </c>
      <c r="P2520" s="61">
        <v>50</v>
      </c>
      <c r="Q2520" s="51">
        <f t="shared" si="59"/>
        <v>205150</v>
      </c>
      <c r="R2520" s="31">
        <v>202310</v>
      </c>
      <c r="S2520" s="80"/>
      <c r="T2520" s="33"/>
      <c r="U2520" s="80"/>
      <c r="V2520" s="80"/>
      <c r="W2520" s="67"/>
      <c r="X2520" s="67"/>
      <c r="Y2520" s="36"/>
      <c r="Z2520" s="36"/>
      <c r="AA2520" s="36"/>
      <c r="AB2520" s="36"/>
      <c r="AC2520" s="36"/>
      <c r="AD2520" s="36"/>
      <c r="AE2520" s="36"/>
      <c r="AF2520" s="53" t="s">
        <v>68</v>
      </c>
      <c r="AG2520" s="42"/>
      <c r="AH2520" s="42"/>
      <c r="AI2520" s="43"/>
      <c r="AJ2520" s="43"/>
      <c r="AK2520" s="43"/>
      <c r="AL2520" s="43"/>
      <c r="AM2520" s="43"/>
      <c r="AN2520" s="42"/>
      <c r="AO2520" s="42"/>
      <c r="AP2520" s="42"/>
      <c r="AQ2520" s="43"/>
      <c r="AR2520" s="42"/>
      <c r="AS2520" s="42"/>
    </row>
    <row r="2521" spans="1:45" ht="15" customHeight="1">
      <c r="A2521" s="21" t="s">
        <v>57</v>
      </c>
      <c r="B2521" s="21" t="s">
        <v>46</v>
      </c>
      <c r="C2521" s="65" t="s">
        <v>188</v>
      </c>
      <c r="D2521" s="22" t="s">
        <v>59</v>
      </c>
      <c r="E2521" s="80" t="s">
        <v>808</v>
      </c>
      <c r="F2521" s="21" t="s">
        <v>3336</v>
      </c>
      <c r="G2521" s="26" t="s">
        <v>77</v>
      </c>
      <c r="H2521" s="25" t="s">
        <v>3334</v>
      </c>
      <c r="I2521" s="26" t="s">
        <v>698</v>
      </c>
      <c r="J2521" s="21" t="s">
        <v>699</v>
      </c>
      <c r="K2521" s="81"/>
      <c r="L2521" s="48" t="s">
        <v>700</v>
      </c>
      <c r="M2521" s="49" t="s">
        <v>3335</v>
      </c>
      <c r="N2521" s="49" t="s">
        <v>177</v>
      </c>
      <c r="O2521" s="68">
        <v>4103</v>
      </c>
      <c r="P2521" s="61">
        <v>477</v>
      </c>
      <c r="Q2521" s="51">
        <f t="shared" si="59"/>
        <v>1957131</v>
      </c>
      <c r="R2521" s="31">
        <v>202310</v>
      </c>
      <c r="S2521" s="80"/>
      <c r="T2521" s="33"/>
      <c r="U2521" s="80"/>
      <c r="V2521" s="80"/>
      <c r="W2521" s="67"/>
      <c r="X2521" s="67"/>
      <c r="Y2521" s="36"/>
      <c r="Z2521" s="36"/>
      <c r="AA2521" s="36"/>
      <c r="AB2521" s="36"/>
      <c r="AC2521" s="36"/>
      <c r="AD2521" s="36"/>
      <c r="AE2521" s="36"/>
      <c r="AF2521" s="53" t="s">
        <v>68</v>
      </c>
      <c r="AG2521" s="42"/>
      <c r="AH2521" s="42"/>
      <c r="AI2521" s="43"/>
      <c r="AJ2521" s="43"/>
      <c r="AK2521" s="43"/>
      <c r="AL2521" s="43"/>
      <c r="AM2521" s="43"/>
      <c r="AN2521" s="42"/>
      <c r="AO2521" s="42"/>
      <c r="AP2521" s="42"/>
      <c r="AQ2521" s="43"/>
      <c r="AR2521" s="42"/>
      <c r="AS2521" s="42"/>
    </row>
    <row r="2522" spans="1:45" ht="15" customHeight="1">
      <c r="A2522" s="21" t="s">
        <v>57</v>
      </c>
      <c r="B2522" s="21" t="s">
        <v>46</v>
      </c>
      <c r="C2522" s="65" t="s">
        <v>188</v>
      </c>
      <c r="D2522" s="22" t="s">
        <v>59</v>
      </c>
      <c r="E2522" s="80" t="s">
        <v>808</v>
      </c>
      <c r="F2522" s="21" t="s">
        <v>3336</v>
      </c>
      <c r="G2522" s="26" t="s">
        <v>77</v>
      </c>
      <c r="H2522" s="25" t="s">
        <v>3334</v>
      </c>
      <c r="I2522" s="26" t="s">
        <v>698</v>
      </c>
      <c r="J2522" s="21" t="s">
        <v>699</v>
      </c>
      <c r="K2522" s="81"/>
      <c r="L2522" s="48" t="s">
        <v>700</v>
      </c>
      <c r="M2522" s="49">
        <v>41925</v>
      </c>
      <c r="N2522" s="49" t="s">
        <v>182</v>
      </c>
      <c r="O2522" s="68">
        <v>8206</v>
      </c>
      <c r="P2522" s="61">
        <v>4</v>
      </c>
      <c r="Q2522" s="51">
        <f t="shared" si="59"/>
        <v>32824</v>
      </c>
      <c r="R2522" s="31">
        <v>202310</v>
      </c>
      <c r="S2522" s="80"/>
      <c r="T2522" s="33"/>
      <c r="U2522" s="80"/>
      <c r="V2522" s="80"/>
      <c r="W2522" s="67"/>
      <c r="X2522" s="67"/>
      <c r="Y2522" s="36"/>
      <c r="Z2522" s="36"/>
      <c r="AA2522" s="36"/>
      <c r="AB2522" s="36"/>
      <c r="AC2522" s="36"/>
      <c r="AD2522" s="36"/>
      <c r="AE2522" s="36"/>
      <c r="AF2522" s="53" t="s">
        <v>68</v>
      </c>
      <c r="AG2522" s="42"/>
      <c r="AH2522" s="42"/>
      <c r="AI2522" s="43"/>
      <c r="AJ2522" s="43"/>
      <c r="AK2522" s="43"/>
      <c r="AL2522" s="43"/>
      <c r="AM2522" s="43"/>
      <c r="AN2522" s="42"/>
      <c r="AO2522" s="42"/>
      <c r="AP2522" s="42"/>
      <c r="AQ2522" s="43"/>
      <c r="AR2522" s="42"/>
      <c r="AS2522" s="42"/>
    </row>
    <row r="2523" spans="1:45" ht="15" customHeight="1">
      <c r="A2523" s="21" t="s">
        <v>57</v>
      </c>
      <c r="B2523" s="21" t="s">
        <v>46</v>
      </c>
      <c r="C2523" s="65" t="s">
        <v>188</v>
      </c>
      <c r="D2523" s="22" t="s">
        <v>59</v>
      </c>
      <c r="E2523" s="80" t="s">
        <v>808</v>
      </c>
      <c r="F2523" s="21" t="s">
        <v>3337</v>
      </c>
      <c r="G2523" s="26" t="s">
        <v>77</v>
      </c>
      <c r="H2523" s="25" t="s">
        <v>3334</v>
      </c>
      <c r="I2523" s="26" t="s">
        <v>78</v>
      </c>
      <c r="J2523" s="21" t="s">
        <v>699</v>
      </c>
      <c r="K2523" s="81"/>
      <c r="L2523" s="48" t="s">
        <v>700</v>
      </c>
      <c r="M2523" s="49">
        <v>44342</v>
      </c>
      <c r="N2523" s="49" t="s">
        <v>177</v>
      </c>
      <c r="O2523" s="68">
        <v>3998</v>
      </c>
      <c r="P2523" s="61">
        <v>2</v>
      </c>
      <c r="Q2523" s="51">
        <f t="shared" si="59"/>
        <v>7996</v>
      </c>
      <c r="R2523" s="31">
        <v>202310</v>
      </c>
      <c r="S2523" s="80" t="s">
        <v>3338</v>
      </c>
      <c r="T2523" s="33"/>
      <c r="U2523" s="80"/>
      <c r="V2523" s="80"/>
      <c r="W2523" s="67"/>
      <c r="X2523" s="67"/>
      <c r="Y2523" s="36"/>
      <c r="Z2523" s="36"/>
      <c r="AA2523" s="36"/>
      <c r="AB2523" s="36"/>
      <c r="AC2523" s="36"/>
      <c r="AD2523" s="36"/>
      <c r="AE2523" s="36"/>
      <c r="AF2523" s="53" t="s">
        <v>68</v>
      </c>
      <c r="AG2523" s="42"/>
      <c r="AH2523" s="42"/>
      <c r="AI2523" s="43"/>
      <c r="AJ2523" s="43"/>
      <c r="AK2523" s="43"/>
      <c r="AL2523" s="43"/>
      <c r="AM2523" s="43"/>
      <c r="AN2523" s="42"/>
      <c r="AO2523" s="42"/>
      <c r="AP2523" s="42"/>
      <c r="AQ2523" s="43"/>
      <c r="AR2523" s="42"/>
      <c r="AS2523" s="42"/>
    </row>
    <row r="2524" spans="1:45" ht="15" customHeight="1">
      <c r="A2524" s="21" t="s">
        <v>57</v>
      </c>
      <c r="B2524" s="21" t="s">
        <v>46</v>
      </c>
      <c r="C2524" s="65" t="s">
        <v>188</v>
      </c>
      <c r="D2524" s="22" t="s">
        <v>59</v>
      </c>
      <c r="E2524" s="80" t="s">
        <v>808</v>
      </c>
      <c r="F2524" s="21" t="s">
        <v>3337</v>
      </c>
      <c r="G2524" s="26" t="s">
        <v>77</v>
      </c>
      <c r="H2524" s="25" t="s">
        <v>3334</v>
      </c>
      <c r="I2524" s="26" t="s">
        <v>78</v>
      </c>
      <c r="J2524" s="21" t="s">
        <v>699</v>
      </c>
      <c r="K2524" s="81"/>
      <c r="L2524" s="48" t="s">
        <v>700</v>
      </c>
      <c r="M2524" s="49">
        <v>44347</v>
      </c>
      <c r="N2524" s="49" t="s">
        <v>177</v>
      </c>
      <c r="O2524" s="68">
        <v>3998</v>
      </c>
      <c r="P2524" s="61">
        <v>2</v>
      </c>
      <c r="Q2524" s="51">
        <f t="shared" si="59"/>
        <v>7996</v>
      </c>
      <c r="R2524" s="31">
        <v>202310</v>
      </c>
      <c r="S2524" s="80" t="s">
        <v>3339</v>
      </c>
      <c r="T2524" s="33"/>
      <c r="U2524" s="80"/>
      <c r="V2524" s="80"/>
      <c r="W2524" s="67"/>
      <c r="X2524" s="67"/>
      <c r="Y2524" s="36"/>
      <c r="Z2524" s="36"/>
      <c r="AA2524" s="36"/>
      <c r="AB2524" s="36"/>
      <c r="AC2524" s="36"/>
      <c r="AD2524" s="36"/>
      <c r="AE2524" s="36"/>
      <c r="AF2524" s="53" t="s">
        <v>68</v>
      </c>
      <c r="AG2524" s="42"/>
      <c r="AH2524" s="42"/>
      <c r="AI2524" s="43"/>
      <c r="AJ2524" s="43"/>
      <c r="AK2524" s="43"/>
      <c r="AL2524" s="43"/>
      <c r="AM2524" s="43"/>
      <c r="AN2524" s="42"/>
      <c r="AO2524" s="42"/>
      <c r="AP2524" s="42"/>
      <c r="AQ2524" s="43"/>
      <c r="AR2524" s="42"/>
      <c r="AS2524" s="42"/>
    </row>
    <row r="2525" spans="1:45" ht="15" customHeight="1">
      <c r="A2525" s="21" t="s">
        <v>57</v>
      </c>
      <c r="B2525" s="21" t="s">
        <v>46</v>
      </c>
      <c r="C2525" s="65" t="s">
        <v>188</v>
      </c>
      <c r="D2525" s="22" t="s">
        <v>59</v>
      </c>
      <c r="E2525" s="80" t="s">
        <v>808</v>
      </c>
      <c r="F2525" s="21" t="s">
        <v>3337</v>
      </c>
      <c r="G2525" s="26" t="s">
        <v>77</v>
      </c>
      <c r="H2525" s="25" t="s">
        <v>3334</v>
      </c>
      <c r="I2525" s="26" t="s">
        <v>78</v>
      </c>
      <c r="J2525" s="21" t="s">
        <v>699</v>
      </c>
      <c r="K2525" s="81"/>
      <c r="L2525" s="48" t="s">
        <v>700</v>
      </c>
      <c r="M2525" s="49">
        <v>44355</v>
      </c>
      <c r="N2525" s="49" t="s">
        <v>177</v>
      </c>
      <c r="O2525" s="68">
        <v>3998</v>
      </c>
      <c r="P2525" s="61">
        <v>2</v>
      </c>
      <c r="Q2525" s="51">
        <f t="shared" si="59"/>
        <v>7996</v>
      </c>
      <c r="R2525" s="31">
        <v>202310</v>
      </c>
      <c r="S2525" s="80" t="s">
        <v>3340</v>
      </c>
      <c r="T2525" s="33"/>
      <c r="U2525" s="80"/>
      <c r="V2525" s="80"/>
      <c r="W2525" s="67"/>
      <c r="X2525" s="67"/>
      <c r="Y2525" s="36"/>
      <c r="Z2525" s="36"/>
      <c r="AA2525" s="36"/>
      <c r="AB2525" s="36"/>
      <c r="AC2525" s="36"/>
      <c r="AD2525" s="36"/>
      <c r="AE2525" s="36"/>
      <c r="AF2525" s="53" t="s">
        <v>68</v>
      </c>
      <c r="AG2525" s="42"/>
      <c r="AH2525" s="42"/>
      <c r="AI2525" s="43"/>
      <c r="AJ2525" s="43"/>
      <c r="AK2525" s="43"/>
      <c r="AL2525" s="43"/>
      <c r="AM2525" s="43"/>
      <c r="AN2525" s="42"/>
      <c r="AO2525" s="42"/>
      <c r="AP2525" s="42"/>
      <c r="AQ2525" s="43"/>
      <c r="AR2525" s="42"/>
      <c r="AS2525" s="42"/>
    </row>
    <row r="2526" spans="1:45" ht="15" customHeight="1">
      <c r="A2526" s="21" t="s">
        <v>57</v>
      </c>
      <c r="B2526" s="21" t="s">
        <v>46</v>
      </c>
      <c r="C2526" s="65" t="s">
        <v>188</v>
      </c>
      <c r="D2526" s="22" t="s">
        <v>59</v>
      </c>
      <c r="E2526" s="80" t="s">
        <v>808</v>
      </c>
      <c r="F2526" s="21" t="s">
        <v>3337</v>
      </c>
      <c r="G2526" s="26" t="s">
        <v>77</v>
      </c>
      <c r="H2526" s="25" t="s">
        <v>3334</v>
      </c>
      <c r="I2526" s="26" t="s">
        <v>78</v>
      </c>
      <c r="J2526" s="21" t="s">
        <v>699</v>
      </c>
      <c r="K2526" s="81"/>
      <c r="L2526" s="48" t="s">
        <v>700</v>
      </c>
      <c r="M2526" s="49">
        <v>44405</v>
      </c>
      <c r="N2526" s="49" t="s">
        <v>177</v>
      </c>
      <c r="O2526" s="68">
        <v>3998</v>
      </c>
      <c r="P2526" s="61">
        <v>6</v>
      </c>
      <c r="Q2526" s="51">
        <f t="shared" si="59"/>
        <v>23988</v>
      </c>
      <c r="R2526" s="31">
        <v>202310</v>
      </c>
      <c r="S2526" s="80" t="s">
        <v>3341</v>
      </c>
      <c r="T2526" s="33"/>
      <c r="U2526" s="80"/>
      <c r="V2526" s="80"/>
      <c r="W2526" s="67"/>
      <c r="X2526" s="67"/>
      <c r="Y2526" s="36"/>
      <c r="Z2526" s="36"/>
      <c r="AA2526" s="36"/>
      <c r="AB2526" s="36"/>
      <c r="AC2526" s="36"/>
      <c r="AD2526" s="36"/>
      <c r="AE2526" s="36"/>
      <c r="AF2526" s="53" t="s">
        <v>68</v>
      </c>
      <c r="AG2526" s="42"/>
      <c r="AH2526" s="42"/>
      <c r="AI2526" s="43"/>
      <c r="AJ2526" s="43"/>
      <c r="AK2526" s="43"/>
      <c r="AL2526" s="43"/>
      <c r="AM2526" s="43"/>
      <c r="AN2526" s="42"/>
      <c r="AO2526" s="42"/>
      <c r="AP2526" s="42"/>
      <c r="AQ2526" s="43"/>
      <c r="AR2526" s="42"/>
      <c r="AS2526" s="42"/>
    </row>
    <row r="2527" spans="1:45" ht="15" customHeight="1">
      <c r="A2527" s="21" t="s">
        <v>57</v>
      </c>
      <c r="B2527" s="21" t="s">
        <v>46</v>
      </c>
      <c r="C2527" s="65" t="s">
        <v>188</v>
      </c>
      <c r="D2527" s="22" t="s">
        <v>59</v>
      </c>
      <c r="E2527" s="80" t="s">
        <v>808</v>
      </c>
      <c r="F2527" s="21" t="s">
        <v>3337</v>
      </c>
      <c r="G2527" s="26" t="s">
        <v>77</v>
      </c>
      <c r="H2527" s="25" t="s">
        <v>3334</v>
      </c>
      <c r="I2527" s="26" t="s">
        <v>78</v>
      </c>
      <c r="J2527" s="21" t="s">
        <v>699</v>
      </c>
      <c r="K2527" s="81"/>
      <c r="L2527" s="48" t="s">
        <v>3342</v>
      </c>
      <c r="M2527" s="49">
        <v>44446</v>
      </c>
      <c r="N2527" s="49" t="s">
        <v>177</v>
      </c>
      <c r="O2527" s="68">
        <v>3998</v>
      </c>
      <c r="P2527" s="61">
        <v>2</v>
      </c>
      <c r="Q2527" s="51">
        <f t="shared" si="59"/>
        <v>7996</v>
      </c>
      <c r="R2527" s="31">
        <v>202310</v>
      </c>
      <c r="S2527" s="80" t="s">
        <v>3343</v>
      </c>
      <c r="T2527" s="33"/>
      <c r="U2527" s="80"/>
      <c r="V2527" s="80"/>
      <c r="W2527" s="67"/>
      <c r="X2527" s="67"/>
      <c r="Y2527" s="36"/>
      <c r="Z2527" s="36"/>
      <c r="AA2527" s="36"/>
      <c r="AB2527" s="36"/>
      <c r="AC2527" s="36"/>
      <c r="AD2527" s="36"/>
      <c r="AE2527" s="36"/>
      <c r="AF2527" s="53" t="s">
        <v>68</v>
      </c>
      <c r="AG2527" s="42"/>
      <c r="AH2527" s="42"/>
      <c r="AI2527" s="43"/>
      <c r="AJ2527" s="43"/>
      <c r="AK2527" s="43"/>
      <c r="AL2527" s="43"/>
      <c r="AM2527" s="43"/>
      <c r="AN2527" s="42"/>
      <c r="AO2527" s="42"/>
      <c r="AP2527" s="42"/>
      <c r="AQ2527" s="43"/>
      <c r="AR2527" s="42"/>
      <c r="AS2527" s="42"/>
    </row>
    <row r="2528" spans="1:45" ht="15" customHeight="1">
      <c r="A2528" s="21" t="s">
        <v>57</v>
      </c>
      <c r="B2528" s="21" t="s">
        <v>46</v>
      </c>
      <c r="C2528" s="65" t="s">
        <v>188</v>
      </c>
      <c r="D2528" s="22" t="s">
        <v>59</v>
      </c>
      <c r="E2528" s="80" t="s">
        <v>808</v>
      </c>
      <c r="F2528" s="21" t="s">
        <v>3337</v>
      </c>
      <c r="G2528" s="26" t="s">
        <v>77</v>
      </c>
      <c r="H2528" s="25" t="s">
        <v>3334</v>
      </c>
      <c r="I2528" s="26" t="s">
        <v>78</v>
      </c>
      <c r="J2528" s="21" t="s">
        <v>699</v>
      </c>
      <c r="K2528" s="81"/>
      <c r="L2528" s="48" t="s">
        <v>700</v>
      </c>
      <c r="M2528" s="49">
        <v>44517</v>
      </c>
      <c r="N2528" s="49" t="s">
        <v>177</v>
      </c>
      <c r="O2528" s="68">
        <v>3998</v>
      </c>
      <c r="P2528" s="61">
        <v>6</v>
      </c>
      <c r="Q2528" s="51">
        <f t="shared" si="59"/>
        <v>23988</v>
      </c>
      <c r="R2528" s="31">
        <v>202310</v>
      </c>
      <c r="S2528" s="80" t="s">
        <v>3344</v>
      </c>
      <c r="T2528" s="33"/>
      <c r="U2528" s="80"/>
      <c r="V2528" s="80"/>
      <c r="W2528" s="67"/>
      <c r="X2528" s="67"/>
      <c r="Y2528" s="36"/>
      <c r="Z2528" s="36"/>
      <c r="AA2528" s="36"/>
      <c r="AB2528" s="36"/>
      <c r="AC2528" s="36"/>
      <c r="AD2528" s="36"/>
      <c r="AE2528" s="36"/>
      <c r="AF2528" s="53" t="s">
        <v>68</v>
      </c>
      <c r="AG2528" s="42"/>
      <c r="AH2528" s="42"/>
      <c r="AI2528" s="43"/>
      <c r="AJ2528" s="43"/>
      <c r="AK2528" s="43"/>
      <c r="AL2528" s="43"/>
      <c r="AM2528" s="43"/>
      <c r="AN2528" s="42"/>
      <c r="AO2528" s="42"/>
      <c r="AP2528" s="42"/>
      <c r="AQ2528" s="43"/>
      <c r="AR2528" s="42"/>
      <c r="AS2528" s="42"/>
    </row>
    <row r="2529" spans="1:45" ht="15" customHeight="1">
      <c r="A2529" s="21" t="s">
        <v>57</v>
      </c>
      <c r="B2529" s="21" t="s">
        <v>46</v>
      </c>
      <c r="C2529" s="65" t="s">
        <v>188</v>
      </c>
      <c r="D2529" s="22" t="s">
        <v>59</v>
      </c>
      <c r="E2529" s="80" t="s">
        <v>808</v>
      </c>
      <c r="F2529" s="21" t="s">
        <v>3337</v>
      </c>
      <c r="G2529" s="26" t="s">
        <v>77</v>
      </c>
      <c r="H2529" s="25" t="s">
        <v>3334</v>
      </c>
      <c r="I2529" s="26" t="s">
        <v>78</v>
      </c>
      <c r="J2529" s="21" t="s">
        <v>699</v>
      </c>
      <c r="K2529" s="81"/>
      <c r="L2529" s="48" t="s">
        <v>700</v>
      </c>
      <c r="M2529" s="49">
        <v>44532</v>
      </c>
      <c r="N2529" s="49" t="s">
        <v>177</v>
      </c>
      <c r="O2529" s="68">
        <v>3998</v>
      </c>
      <c r="P2529" s="61">
        <v>2</v>
      </c>
      <c r="Q2529" s="51">
        <f t="shared" si="59"/>
        <v>7996</v>
      </c>
      <c r="R2529" s="31">
        <v>202310</v>
      </c>
      <c r="S2529" s="80" t="s">
        <v>3345</v>
      </c>
      <c r="T2529" s="33"/>
      <c r="U2529" s="80"/>
      <c r="V2529" s="80"/>
      <c r="W2529" s="67"/>
      <c r="X2529" s="67"/>
      <c r="Y2529" s="36"/>
      <c r="Z2529" s="36"/>
      <c r="AA2529" s="36"/>
      <c r="AB2529" s="36"/>
      <c r="AC2529" s="36"/>
      <c r="AD2529" s="36"/>
      <c r="AE2529" s="36"/>
      <c r="AF2529" s="53" t="s">
        <v>68</v>
      </c>
      <c r="AG2529" s="42"/>
      <c r="AH2529" s="42"/>
      <c r="AI2529" s="43"/>
      <c r="AJ2529" s="43"/>
      <c r="AK2529" s="43"/>
      <c r="AL2529" s="43"/>
      <c r="AM2529" s="43"/>
      <c r="AN2529" s="42"/>
      <c r="AO2529" s="42"/>
      <c r="AP2529" s="42"/>
      <c r="AQ2529" s="43"/>
      <c r="AR2529" s="42"/>
      <c r="AS2529" s="42"/>
    </row>
    <row r="2530" spans="1:45" ht="15" customHeight="1">
      <c r="A2530" s="21" t="s">
        <v>57</v>
      </c>
      <c r="B2530" s="21" t="s">
        <v>46</v>
      </c>
      <c r="C2530" s="65" t="s">
        <v>188</v>
      </c>
      <c r="D2530" s="22" t="s">
        <v>59</v>
      </c>
      <c r="E2530" s="80" t="s">
        <v>808</v>
      </c>
      <c r="F2530" s="21" t="s">
        <v>3337</v>
      </c>
      <c r="G2530" s="26" t="s">
        <v>77</v>
      </c>
      <c r="H2530" s="25" t="s">
        <v>3334</v>
      </c>
      <c r="I2530" s="26" t="s">
        <v>78</v>
      </c>
      <c r="J2530" s="21" t="s">
        <v>699</v>
      </c>
      <c r="K2530" s="81"/>
      <c r="L2530" s="48" t="s">
        <v>700</v>
      </c>
      <c r="M2530" s="49">
        <v>44348</v>
      </c>
      <c r="N2530" s="49" t="s">
        <v>177</v>
      </c>
      <c r="O2530" s="68">
        <v>3998</v>
      </c>
      <c r="P2530" s="61">
        <v>2</v>
      </c>
      <c r="Q2530" s="51">
        <f t="shared" si="59"/>
        <v>7996</v>
      </c>
      <c r="R2530" s="31">
        <v>202310</v>
      </c>
      <c r="S2530" s="80" t="s">
        <v>3346</v>
      </c>
      <c r="T2530" s="33"/>
      <c r="U2530" s="80"/>
      <c r="V2530" s="80"/>
      <c r="W2530" s="67"/>
      <c r="X2530" s="67"/>
      <c r="Y2530" s="36"/>
      <c r="Z2530" s="36"/>
      <c r="AA2530" s="36"/>
      <c r="AB2530" s="36"/>
      <c r="AC2530" s="36"/>
      <c r="AD2530" s="36"/>
      <c r="AE2530" s="36"/>
      <c r="AF2530" s="53" t="s">
        <v>68</v>
      </c>
      <c r="AG2530" s="42"/>
      <c r="AH2530" s="42"/>
      <c r="AI2530" s="43"/>
      <c r="AJ2530" s="43"/>
      <c r="AK2530" s="43"/>
      <c r="AL2530" s="43"/>
      <c r="AM2530" s="43"/>
      <c r="AN2530" s="42"/>
      <c r="AO2530" s="42"/>
      <c r="AP2530" s="42"/>
      <c r="AQ2530" s="43"/>
      <c r="AR2530" s="42"/>
      <c r="AS2530" s="42"/>
    </row>
    <row r="2531" spans="1:45" ht="15" customHeight="1">
      <c r="A2531" s="21" t="s">
        <v>57</v>
      </c>
      <c r="B2531" s="21" t="s">
        <v>46</v>
      </c>
      <c r="C2531" s="65" t="s">
        <v>188</v>
      </c>
      <c r="D2531" s="22" t="s">
        <v>59</v>
      </c>
      <c r="E2531" s="80" t="s">
        <v>808</v>
      </c>
      <c r="F2531" s="21" t="s">
        <v>3337</v>
      </c>
      <c r="G2531" s="26" t="s">
        <v>77</v>
      </c>
      <c r="H2531" s="25" t="s">
        <v>3334</v>
      </c>
      <c r="I2531" s="26" t="s">
        <v>78</v>
      </c>
      <c r="J2531" s="21" t="s">
        <v>699</v>
      </c>
      <c r="K2531" s="81"/>
      <c r="L2531" s="48" t="s">
        <v>700</v>
      </c>
      <c r="M2531" s="49">
        <v>44854</v>
      </c>
      <c r="N2531" s="49" t="s">
        <v>177</v>
      </c>
      <c r="O2531" s="68">
        <v>3998</v>
      </c>
      <c r="P2531" s="61">
        <v>2</v>
      </c>
      <c r="Q2531" s="51">
        <f t="shared" si="59"/>
        <v>7996</v>
      </c>
      <c r="R2531" s="31">
        <v>202310</v>
      </c>
      <c r="S2531" s="80" t="s">
        <v>3347</v>
      </c>
      <c r="T2531" s="33"/>
      <c r="U2531" s="80"/>
      <c r="V2531" s="80"/>
      <c r="W2531" s="67"/>
      <c r="X2531" s="67"/>
      <c r="Y2531" s="36"/>
      <c r="Z2531" s="36"/>
      <c r="AA2531" s="36"/>
      <c r="AB2531" s="36"/>
      <c r="AC2531" s="36"/>
      <c r="AD2531" s="36"/>
      <c r="AE2531" s="36"/>
      <c r="AF2531" s="53" t="s">
        <v>68</v>
      </c>
      <c r="AG2531" s="42"/>
      <c r="AH2531" s="42"/>
      <c r="AI2531" s="43"/>
      <c r="AJ2531" s="43"/>
      <c r="AK2531" s="43"/>
      <c r="AL2531" s="43"/>
      <c r="AM2531" s="43"/>
      <c r="AN2531" s="42"/>
      <c r="AO2531" s="42"/>
      <c r="AP2531" s="42"/>
      <c r="AQ2531" s="43"/>
      <c r="AR2531" s="42"/>
      <c r="AS2531" s="42"/>
    </row>
    <row r="2532" spans="1:45" ht="15" customHeight="1">
      <c r="A2532" s="21" t="s">
        <v>57</v>
      </c>
      <c r="B2532" s="21" t="s">
        <v>46</v>
      </c>
      <c r="C2532" s="65" t="s">
        <v>188</v>
      </c>
      <c r="D2532" s="22" t="s">
        <v>59</v>
      </c>
      <c r="E2532" s="80" t="s">
        <v>808</v>
      </c>
      <c r="F2532" s="21" t="s">
        <v>3337</v>
      </c>
      <c r="G2532" s="26" t="s">
        <v>77</v>
      </c>
      <c r="H2532" s="25" t="s">
        <v>3334</v>
      </c>
      <c r="I2532" s="26" t="s">
        <v>78</v>
      </c>
      <c r="J2532" s="21" t="s">
        <v>699</v>
      </c>
      <c r="K2532" s="81"/>
      <c r="L2532" s="48" t="s">
        <v>700</v>
      </c>
      <c r="M2532" s="49">
        <v>44862</v>
      </c>
      <c r="N2532" s="49" t="s">
        <v>177</v>
      </c>
      <c r="O2532" s="68">
        <v>3998</v>
      </c>
      <c r="P2532" s="61">
        <v>-2</v>
      </c>
      <c r="Q2532" s="51">
        <f t="shared" si="59"/>
        <v>-7996</v>
      </c>
      <c r="R2532" s="31">
        <v>202310</v>
      </c>
      <c r="S2532" s="80" t="s">
        <v>3348</v>
      </c>
      <c r="T2532" s="33"/>
      <c r="U2532" s="80"/>
      <c r="V2532" s="80"/>
      <c r="W2532" s="67"/>
      <c r="X2532" s="67"/>
      <c r="Y2532" s="36"/>
      <c r="Z2532" s="36"/>
      <c r="AA2532" s="36"/>
      <c r="AB2532" s="36"/>
      <c r="AC2532" s="36"/>
      <c r="AD2532" s="36"/>
      <c r="AE2532" s="36"/>
      <c r="AF2532" s="53" t="s">
        <v>68</v>
      </c>
      <c r="AG2532" s="42"/>
      <c r="AH2532" s="42"/>
      <c r="AI2532" s="43"/>
      <c r="AJ2532" s="43"/>
      <c r="AK2532" s="43"/>
      <c r="AL2532" s="43"/>
      <c r="AM2532" s="43"/>
      <c r="AN2532" s="42"/>
      <c r="AO2532" s="42"/>
      <c r="AP2532" s="42"/>
      <c r="AQ2532" s="43"/>
      <c r="AR2532" s="42"/>
      <c r="AS2532" s="42"/>
    </row>
    <row r="2533" spans="1:45" ht="15" customHeight="1">
      <c r="A2533" s="21" t="s">
        <v>57</v>
      </c>
      <c r="B2533" s="21" t="s">
        <v>46</v>
      </c>
      <c r="C2533" s="65" t="s">
        <v>188</v>
      </c>
      <c r="D2533" s="22" t="s">
        <v>59</v>
      </c>
      <c r="E2533" s="80" t="s">
        <v>808</v>
      </c>
      <c r="F2533" s="21" t="s">
        <v>3337</v>
      </c>
      <c r="G2533" s="26" t="s">
        <v>77</v>
      </c>
      <c r="H2533" s="25" t="s">
        <v>3334</v>
      </c>
      <c r="I2533" s="26" t="s">
        <v>78</v>
      </c>
      <c r="J2533" s="21" t="s">
        <v>699</v>
      </c>
      <c r="K2533" s="81"/>
      <c r="L2533" s="48" t="s">
        <v>700</v>
      </c>
      <c r="M2533" s="49">
        <v>44873</v>
      </c>
      <c r="N2533" s="49" t="s">
        <v>177</v>
      </c>
      <c r="O2533" s="68">
        <v>3998</v>
      </c>
      <c r="P2533" s="61">
        <v>2</v>
      </c>
      <c r="Q2533" s="51">
        <f t="shared" si="59"/>
        <v>7996</v>
      </c>
      <c r="R2533" s="31">
        <v>202310</v>
      </c>
      <c r="S2533" s="80" t="s">
        <v>3348</v>
      </c>
      <c r="T2533" s="33"/>
      <c r="U2533" s="80"/>
      <c r="V2533" s="80"/>
      <c r="W2533" s="67"/>
      <c r="X2533" s="67"/>
      <c r="Y2533" s="36"/>
      <c r="Z2533" s="36"/>
      <c r="AA2533" s="36"/>
      <c r="AB2533" s="36"/>
      <c r="AC2533" s="36"/>
      <c r="AD2533" s="36"/>
      <c r="AE2533" s="36"/>
      <c r="AF2533" s="53" t="s">
        <v>68</v>
      </c>
      <c r="AG2533" s="42"/>
      <c r="AH2533" s="42"/>
      <c r="AI2533" s="43"/>
      <c r="AJ2533" s="43"/>
      <c r="AK2533" s="43"/>
      <c r="AL2533" s="43"/>
      <c r="AM2533" s="43"/>
      <c r="AN2533" s="42"/>
      <c r="AO2533" s="42"/>
      <c r="AP2533" s="42"/>
      <c r="AQ2533" s="43"/>
      <c r="AR2533" s="42"/>
      <c r="AS2533" s="42"/>
    </row>
    <row r="2534" spans="1:45" ht="15" customHeight="1">
      <c r="A2534" s="21" t="s">
        <v>57</v>
      </c>
      <c r="B2534" s="21" t="s">
        <v>46</v>
      </c>
      <c r="C2534" s="65" t="s">
        <v>188</v>
      </c>
      <c r="D2534" s="22" t="s">
        <v>59</v>
      </c>
      <c r="E2534" s="80" t="s">
        <v>808</v>
      </c>
      <c r="F2534" s="21" t="s">
        <v>3337</v>
      </c>
      <c r="G2534" s="26" t="s">
        <v>77</v>
      </c>
      <c r="H2534" s="25" t="s">
        <v>3334</v>
      </c>
      <c r="I2534" s="26" t="s">
        <v>78</v>
      </c>
      <c r="J2534" s="21" t="s">
        <v>699</v>
      </c>
      <c r="K2534" s="81"/>
      <c r="L2534" s="48" t="s">
        <v>700</v>
      </c>
      <c r="M2534" s="49">
        <v>44895</v>
      </c>
      <c r="N2534" s="49" t="s">
        <v>177</v>
      </c>
      <c r="O2534" s="68">
        <v>3998</v>
      </c>
      <c r="P2534" s="61">
        <v>1</v>
      </c>
      <c r="Q2534" s="51">
        <f t="shared" si="59"/>
        <v>3998</v>
      </c>
      <c r="R2534" s="31">
        <v>202310</v>
      </c>
      <c r="S2534" s="80" t="s">
        <v>3349</v>
      </c>
      <c r="T2534" s="33"/>
      <c r="U2534" s="80"/>
      <c r="V2534" s="80"/>
      <c r="W2534" s="67"/>
      <c r="X2534" s="67"/>
      <c r="Y2534" s="36"/>
      <c r="Z2534" s="36"/>
      <c r="AA2534" s="36"/>
      <c r="AB2534" s="36"/>
      <c r="AC2534" s="36"/>
      <c r="AD2534" s="36"/>
      <c r="AE2534" s="36"/>
      <c r="AF2534" s="53" t="s">
        <v>68</v>
      </c>
      <c r="AG2534" s="42"/>
      <c r="AH2534" s="42"/>
      <c r="AI2534" s="43"/>
      <c r="AJ2534" s="43"/>
      <c r="AK2534" s="43"/>
      <c r="AL2534" s="43"/>
      <c r="AM2534" s="43"/>
      <c r="AN2534" s="42"/>
      <c r="AO2534" s="42"/>
      <c r="AP2534" s="42"/>
      <c r="AQ2534" s="43"/>
      <c r="AR2534" s="42"/>
      <c r="AS2534" s="42"/>
    </row>
    <row r="2535" spans="1:45" ht="15" customHeight="1">
      <c r="A2535" s="21" t="s">
        <v>57</v>
      </c>
      <c r="B2535" s="21" t="s">
        <v>46</v>
      </c>
      <c r="C2535" s="65" t="s">
        <v>188</v>
      </c>
      <c r="D2535" s="22" t="s">
        <v>59</v>
      </c>
      <c r="E2535" s="80" t="s">
        <v>808</v>
      </c>
      <c r="F2535" s="21" t="s">
        <v>3337</v>
      </c>
      <c r="G2535" s="26" t="s">
        <v>77</v>
      </c>
      <c r="H2535" s="25" t="s">
        <v>3334</v>
      </c>
      <c r="I2535" s="26" t="s">
        <v>78</v>
      </c>
      <c r="J2535" s="21" t="s">
        <v>699</v>
      </c>
      <c r="K2535" s="81"/>
      <c r="L2535" s="48" t="s">
        <v>700</v>
      </c>
      <c r="M2535" s="49">
        <v>44914</v>
      </c>
      <c r="N2535" s="49" t="s">
        <v>177</v>
      </c>
      <c r="O2535" s="68">
        <v>3998</v>
      </c>
      <c r="P2535" s="61">
        <v>1</v>
      </c>
      <c r="Q2535" s="51">
        <f t="shared" si="59"/>
        <v>3998</v>
      </c>
      <c r="R2535" s="31">
        <v>202310</v>
      </c>
      <c r="S2535" s="80" t="s">
        <v>3350</v>
      </c>
      <c r="T2535" s="33"/>
      <c r="U2535" s="80"/>
      <c r="V2535" s="80"/>
      <c r="W2535" s="67"/>
      <c r="X2535" s="67"/>
      <c r="Y2535" s="36"/>
      <c r="Z2535" s="36"/>
      <c r="AA2535" s="36"/>
      <c r="AB2535" s="36"/>
      <c r="AC2535" s="36"/>
      <c r="AD2535" s="36"/>
      <c r="AE2535" s="36"/>
      <c r="AF2535" s="53" t="s">
        <v>68</v>
      </c>
      <c r="AG2535" s="42"/>
      <c r="AH2535" s="42"/>
      <c r="AI2535" s="43"/>
      <c r="AJ2535" s="43"/>
      <c r="AK2535" s="43"/>
      <c r="AL2535" s="43"/>
      <c r="AM2535" s="43"/>
      <c r="AN2535" s="42"/>
      <c r="AO2535" s="42"/>
      <c r="AP2535" s="42"/>
      <c r="AQ2535" s="43"/>
      <c r="AR2535" s="42"/>
      <c r="AS2535" s="42"/>
    </row>
    <row r="2536" spans="1:45" ht="15" customHeight="1">
      <c r="A2536" s="21" t="s">
        <v>57</v>
      </c>
      <c r="B2536" s="21" t="s">
        <v>46</v>
      </c>
      <c r="C2536" s="21" t="s">
        <v>188</v>
      </c>
      <c r="D2536" s="22" t="s">
        <v>59</v>
      </c>
      <c r="E2536" s="80" t="s">
        <v>808</v>
      </c>
      <c r="F2536" s="65" t="s">
        <v>3337</v>
      </c>
      <c r="G2536" s="101" t="s">
        <v>77</v>
      </c>
      <c r="H2536" s="25" t="s">
        <v>3334</v>
      </c>
      <c r="I2536" s="24" t="s">
        <v>78</v>
      </c>
      <c r="J2536" s="47" t="s">
        <v>699</v>
      </c>
      <c r="K2536" s="104"/>
      <c r="L2536" s="48" t="s">
        <v>700</v>
      </c>
      <c r="M2536" s="27">
        <v>45015</v>
      </c>
      <c r="N2536" s="49" t="s">
        <v>177</v>
      </c>
      <c r="O2536" s="61">
        <v>3998</v>
      </c>
      <c r="P2536" s="106">
        <v>-2</v>
      </c>
      <c r="Q2536" s="51">
        <f>ROUND(O2536*P2536,2)</f>
        <v>-7996</v>
      </c>
      <c r="R2536" s="31">
        <v>202310</v>
      </c>
      <c r="S2536" s="54" t="s">
        <v>3347</v>
      </c>
      <c r="T2536" s="33"/>
      <c r="U2536" s="80"/>
      <c r="V2536" s="54"/>
      <c r="W2536" s="67"/>
      <c r="X2536" s="67"/>
      <c r="Y2536" s="36"/>
      <c r="Z2536" s="36"/>
      <c r="AA2536" s="36"/>
      <c r="AB2536" s="36"/>
      <c r="AC2536" s="36"/>
      <c r="AD2536" s="36"/>
      <c r="AE2536" s="36"/>
      <c r="AF2536" s="53" t="s">
        <v>68</v>
      </c>
      <c r="AG2536" s="42"/>
      <c r="AH2536" s="42"/>
      <c r="AI2536" s="43"/>
      <c r="AJ2536" s="43"/>
      <c r="AK2536" s="43"/>
      <c r="AL2536" s="43"/>
      <c r="AM2536" s="43"/>
      <c r="AN2536" s="42"/>
      <c r="AO2536" s="42"/>
      <c r="AP2536" s="42"/>
      <c r="AQ2536" s="43"/>
      <c r="AR2536" s="42"/>
      <c r="AS2536" s="42"/>
    </row>
    <row r="2537" spans="1:45" ht="15" customHeight="1">
      <c r="A2537" s="21" t="s">
        <v>57</v>
      </c>
      <c r="B2537" s="21" t="s">
        <v>46</v>
      </c>
      <c r="C2537" s="21" t="s">
        <v>188</v>
      </c>
      <c r="D2537" s="22" t="s">
        <v>59</v>
      </c>
      <c r="E2537" s="80" t="s">
        <v>808</v>
      </c>
      <c r="F2537" s="65" t="s">
        <v>3337</v>
      </c>
      <c r="G2537" s="101" t="s">
        <v>77</v>
      </c>
      <c r="H2537" s="25" t="s">
        <v>3334</v>
      </c>
      <c r="I2537" s="24" t="s">
        <v>78</v>
      </c>
      <c r="J2537" s="47" t="s">
        <v>699</v>
      </c>
      <c r="K2537" s="104"/>
      <c r="L2537" s="48" t="s">
        <v>700</v>
      </c>
      <c r="M2537" s="27">
        <v>45086</v>
      </c>
      <c r="N2537" s="49" t="s">
        <v>177</v>
      </c>
      <c r="O2537" s="61">
        <v>3998</v>
      </c>
      <c r="P2537" s="106">
        <v>2</v>
      </c>
      <c r="Q2537" s="51">
        <f>ROUND(O2537*P2537,2)</f>
        <v>7996</v>
      </c>
      <c r="R2537" s="31">
        <v>202310</v>
      </c>
      <c r="S2537" s="54" t="s">
        <v>3351</v>
      </c>
      <c r="T2537" s="54"/>
      <c r="U2537" s="54"/>
      <c r="V2537" s="54"/>
      <c r="W2537" s="67"/>
      <c r="X2537" s="67"/>
      <c r="Y2537" s="36"/>
      <c r="Z2537" s="36"/>
      <c r="AA2537" s="36"/>
      <c r="AB2537" s="36"/>
      <c r="AC2537" s="36"/>
      <c r="AD2537" s="36"/>
      <c r="AE2537" s="36"/>
      <c r="AF2537" s="53" t="s">
        <v>68</v>
      </c>
      <c r="AG2537" s="42"/>
      <c r="AH2537" s="42"/>
      <c r="AI2537" s="43"/>
      <c r="AJ2537" s="43"/>
      <c r="AK2537" s="43"/>
      <c r="AL2537" s="43"/>
      <c r="AM2537" s="43"/>
      <c r="AN2537" s="42"/>
      <c r="AO2537" s="42"/>
      <c r="AP2537" s="42"/>
      <c r="AQ2537" s="43"/>
      <c r="AR2537" s="42"/>
      <c r="AS2537" s="42"/>
    </row>
    <row r="2538" spans="1:45" ht="15" customHeight="1">
      <c r="A2538" s="56" t="s">
        <v>57</v>
      </c>
      <c r="B2538" s="21" t="s">
        <v>46</v>
      </c>
      <c r="C2538" s="57" t="s">
        <v>58</v>
      </c>
      <c r="D2538" s="22" t="s">
        <v>71</v>
      </c>
      <c r="E2538" s="58" t="s">
        <v>808</v>
      </c>
      <c r="F2538" s="56" t="s">
        <v>809</v>
      </c>
      <c r="G2538" s="26" t="s">
        <v>62</v>
      </c>
      <c r="H2538" s="25" t="s">
        <v>3352</v>
      </c>
      <c r="I2538" s="26" t="s">
        <v>64</v>
      </c>
      <c r="J2538" s="56" t="s">
        <v>3353</v>
      </c>
      <c r="K2538" s="59"/>
      <c r="L2538" s="48"/>
      <c r="M2538" s="49">
        <v>44682</v>
      </c>
      <c r="N2538" s="49" t="s">
        <v>1801</v>
      </c>
      <c r="O2538" s="60">
        <f>Q2538/P2538</f>
        <v>380</v>
      </c>
      <c r="P2538" s="61">
        <v>195</v>
      </c>
      <c r="Q2538" s="51">
        <v>74100</v>
      </c>
      <c r="R2538" s="31">
        <v>202310</v>
      </c>
      <c r="S2538" s="58" t="s">
        <v>3354</v>
      </c>
      <c r="T2538" s="33"/>
      <c r="U2538" s="58"/>
      <c r="V2538" s="58"/>
      <c r="W2538" s="63"/>
      <c r="X2538" s="63"/>
      <c r="Y2538" s="36"/>
      <c r="Z2538" s="36"/>
      <c r="AA2538" s="36"/>
      <c r="AB2538" s="36"/>
      <c r="AC2538" s="36"/>
      <c r="AD2538" s="36"/>
      <c r="AE2538" s="36"/>
      <c r="AF2538" s="53" t="s">
        <v>68</v>
      </c>
      <c r="AG2538" s="42"/>
      <c r="AH2538" s="42"/>
      <c r="AI2538" s="43"/>
      <c r="AJ2538" s="43"/>
      <c r="AK2538" s="43"/>
      <c r="AL2538" s="43"/>
      <c r="AM2538" s="43"/>
      <c r="AN2538" s="42"/>
      <c r="AO2538" s="42"/>
      <c r="AP2538" s="42"/>
      <c r="AQ2538" s="43"/>
      <c r="AR2538" s="42"/>
      <c r="AS2538" s="42"/>
    </row>
    <row r="2539" spans="1:45" ht="15" customHeight="1">
      <c r="A2539" s="56" t="s">
        <v>57</v>
      </c>
      <c r="B2539" s="21" t="s">
        <v>46</v>
      </c>
      <c r="C2539" s="57" t="s">
        <v>58</v>
      </c>
      <c r="D2539" s="22" t="s">
        <v>71</v>
      </c>
      <c r="E2539" s="58" t="s">
        <v>808</v>
      </c>
      <c r="F2539" s="56" t="s">
        <v>809</v>
      </c>
      <c r="G2539" s="26" t="s">
        <v>62</v>
      </c>
      <c r="H2539" s="25" t="s">
        <v>3352</v>
      </c>
      <c r="I2539" s="26" t="s">
        <v>64</v>
      </c>
      <c r="J2539" s="56" t="s">
        <v>3355</v>
      </c>
      <c r="K2539" s="59"/>
      <c r="L2539" s="48"/>
      <c r="M2539" s="49">
        <v>44713</v>
      </c>
      <c r="N2539" s="49" t="s">
        <v>1801</v>
      </c>
      <c r="O2539" s="60">
        <f>Q2539/P2539</f>
        <v>380</v>
      </c>
      <c r="P2539" s="61">
        <v>349</v>
      </c>
      <c r="Q2539" s="51">
        <v>132620</v>
      </c>
      <c r="R2539" s="31">
        <v>202310</v>
      </c>
      <c r="S2539" s="222" t="s">
        <v>3356</v>
      </c>
      <c r="T2539" s="33"/>
      <c r="U2539" s="58"/>
      <c r="V2539" s="58"/>
      <c r="W2539" s="63"/>
      <c r="X2539" s="63"/>
      <c r="Y2539" s="36"/>
      <c r="Z2539" s="36"/>
      <c r="AA2539" s="36"/>
      <c r="AB2539" s="36"/>
      <c r="AC2539" s="36"/>
      <c r="AD2539" s="36"/>
      <c r="AE2539" s="36"/>
      <c r="AF2539" s="53" t="s">
        <v>68</v>
      </c>
      <c r="AG2539" s="42"/>
      <c r="AH2539" s="42"/>
      <c r="AI2539" s="43"/>
      <c r="AJ2539" s="43"/>
      <c r="AK2539" s="43"/>
      <c r="AL2539" s="43"/>
      <c r="AM2539" s="43"/>
      <c r="AN2539" s="42"/>
      <c r="AO2539" s="42"/>
      <c r="AP2539" s="42"/>
      <c r="AQ2539" s="43"/>
      <c r="AR2539" s="42"/>
      <c r="AS2539" s="42"/>
    </row>
    <row r="2540" spans="1:45" ht="15" customHeight="1">
      <c r="A2540" s="56" t="s">
        <v>57</v>
      </c>
      <c r="B2540" s="21" t="s">
        <v>46</v>
      </c>
      <c r="C2540" s="57" t="s">
        <v>58</v>
      </c>
      <c r="D2540" s="22" t="s">
        <v>71</v>
      </c>
      <c r="E2540" s="58" t="s">
        <v>808</v>
      </c>
      <c r="F2540" s="56" t="s">
        <v>809</v>
      </c>
      <c r="G2540" s="26" t="s">
        <v>62</v>
      </c>
      <c r="H2540" s="25" t="s">
        <v>3352</v>
      </c>
      <c r="I2540" s="26" t="s">
        <v>64</v>
      </c>
      <c r="J2540" s="56" t="s">
        <v>3357</v>
      </c>
      <c r="K2540" s="59"/>
      <c r="L2540" s="48"/>
      <c r="M2540" s="49">
        <v>44713</v>
      </c>
      <c r="N2540" s="49" t="s">
        <v>1801</v>
      </c>
      <c r="O2540" s="60">
        <f>Q2540/P2540</f>
        <v>399.89517241379309</v>
      </c>
      <c r="P2540" s="61">
        <v>232</v>
      </c>
      <c r="Q2540" s="51">
        <v>92775.679999999993</v>
      </c>
      <c r="R2540" s="31">
        <v>202310</v>
      </c>
      <c r="S2540" s="58" t="s">
        <v>3358</v>
      </c>
      <c r="T2540" s="33"/>
      <c r="U2540" s="58"/>
      <c r="V2540" s="58"/>
      <c r="W2540" s="63"/>
      <c r="X2540" s="63"/>
      <c r="Y2540" s="36"/>
      <c r="Z2540" s="36"/>
      <c r="AA2540" s="36"/>
      <c r="AB2540" s="36"/>
      <c r="AC2540" s="36"/>
      <c r="AD2540" s="36"/>
      <c r="AE2540" s="36"/>
      <c r="AF2540" s="53" t="s">
        <v>68</v>
      </c>
      <c r="AG2540" s="42"/>
      <c r="AH2540" s="42"/>
      <c r="AI2540" s="43"/>
      <c r="AJ2540" s="43"/>
      <c r="AK2540" s="43"/>
      <c r="AL2540" s="43"/>
      <c r="AM2540" s="43"/>
      <c r="AN2540" s="42"/>
      <c r="AO2540" s="42"/>
      <c r="AP2540" s="42"/>
      <c r="AQ2540" s="43"/>
      <c r="AR2540" s="42"/>
      <c r="AS2540" s="42"/>
    </row>
    <row r="2541" spans="1:45" ht="15" customHeight="1">
      <c r="A2541" s="56" t="s">
        <v>57</v>
      </c>
      <c r="B2541" s="21" t="s">
        <v>46</v>
      </c>
      <c r="C2541" s="57" t="s">
        <v>58</v>
      </c>
      <c r="D2541" s="22" t="s">
        <v>71</v>
      </c>
      <c r="E2541" s="58" t="s">
        <v>808</v>
      </c>
      <c r="F2541" s="56" t="s">
        <v>809</v>
      </c>
      <c r="G2541" s="26" t="s">
        <v>62</v>
      </c>
      <c r="H2541" s="25" t="s">
        <v>3352</v>
      </c>
      <c r="I2541" s="26" t="s">
        <v>64</v>
      </c>
      <c r="J2541" s="56" t="s">
        <v>3359</v>
      </c>
      <c r="K2541" s="59"/>
      <c r="L2541" s="48"/>
      <c r="M2541" s="49">
        <v>44743</v>
      </c>
      <c r="N2541" s="49" t="s">
        <v>1801</v>
      </c>
      <c r="O2541" s="60">
        <f>Q2541/P2541</f>
        <v>380</v>
      </c>
      <c r="P2541" s="61">
        <v>482</v>
      </c>
      <c r="Q2541" s="51">
        <v>183160</v>
      </c>
      <c r="R2541" s="31">
        <v>202310</v>
      </c>
      <c r="S2541" s="58" t="s">
        <v>3360</v>
      </c>
      <c r="T2541" s="33"/>
      <c r="U2541" s="58"/>
      <c r="V2541" s="58"/>
      <c r="W2541" s="63"/>
      <c r="X2541" s="63"/>
      <c r="Y2541" s="36"/>
      <c r="Z2541" s="36"/>
      <c r="AA2541" s="36"/>
      <c r="AB2541" s="36"/>
      <c r="AC2541" s="36"/>
      <c r="AD2541" s="36"/>
      <c r="AE2541" s="36"/>
      <c r="AF2541" s="53" t="s">
        <v>68</v>
      </c>
      <c r="AG2541" s="42"/>
      <c r="AH2541" s="42"/>
      <c r="AI2541" s="43"/>
      <c r="AJ2541" s="43"/>
      <c r="AK2541" s="43"/>
      <c r="AL2541" s="43"/>
      <c r="AM2541" s="43"/>
      <c r="AN2541" s="42"/>
      <c r="AO2541" s="42"/>
      <c r="AP2541" s="42"/>
      <c r="AQ2541" s="43"/>
      <c r="AR2541" s="42"/>
      <c r="AS2541" s="42"/>
    </row>
    <row r="2542" spans="1:45" ht="15" customHeight="1">
      <c r="A2542" s="56" t="s">
        <v>57</v>
      </c>
      <c r="B2542" s="21" t="s">
        <v>46</v>
      </c>
      <c r="C2542" s="57" t="s">
        <v>58</v>
      </c>
      <c r="D2542" s="22" t="s">
        <v>71</v>
      </c>
      <c r="E2542" s="58" t="s">
        <v>808</v>
      </c>
      <c r="F2542" s="56" t="s">
        <v>809</v>
      </c>
      <c r="G2542" s="26" t="s">
        <v>62</v>
      </c>
      <c r="H2542" s="25" t="s">
        <v>3352</v>
      </c>
      <c r="I2542" s="26" t="s">
        <v>64</v>
      </c>
      <c r="J2542" s="56" t="s">
        <v>3361</v>
      </c>
      <c r="K2542" s="59"/>
      <c r="L2542" s="48"/>
      <c r="M2542" s="49">
        <v>44743</v>
      </c>
      <c r="N2542" s="49" t="s">
        <v>1801</v>
      </c>
      <c r="O2542" s="60">
        <f>Q2542/P2542</f>
        <v>380</v>
      </c>
      <c r="P2542" s="61">
        <v>208</v>
      </c>
      <c r="Q2542" s="51">
        <v>79040</v>
      </c>
      <c r="R2542" s="31">
        <v>202310</v>
      </c>
      <c r="S2542" s="58" t="s">
        <v>3362</v>
      </c>
      <c r="T2542" s="33"/>
      <c r="U2542" s="58"/>
      <c r="V2542" s="58"/>
      <c r="W2542" s="63"/>
      <c r="X2542" s="63"/>
      <c r="Y2542" s="36"/>
      <c r="Z2542" s="36"/>
      <c r="AA2542" s="36"/>
      <c r="AB2542" s="36"/>
      <c r="AC2542" s="36"/>
      <c r="AD2542" s="36"/>
      <c r="AE2542" s="36"/>
      <c r="AF2542" s="53" t="s">
        <v>68</v>
      </c>
      <c r="AG2542" s="42"/>
      <c r="AH2542" s="42"/>
      <c r="AI2542" s="43"/>
      <c r="AJ2542" s="43"/>
      <c r="AK2542" s="43"/>
      <c r="AL2542" s="43"/>
      <c r="AM2542" s="43"/>
      <c r="AN2542" s="42"/>
      <c r="AO2542" s="42"/>
      <c r="AP2542" s="42"/>
      <c r="AQ2542" s="43"/>
      <c r="AR2542" s="42"/>
      <c r="AS2542" s="42"/>
    </row>
    <row r="2543" spans="1:45" ht="15" customHeight="1">
      <c r="A2543" s="56" t="s">
        <v>57</v>
      </c>
      <c r="B2543" s="21" t="s">
        <v>46</v>
      </c>
      <c r="C2543" s="57" t="s">
        <v>58</v>
      </c>
      <c r="D2543" s="22" t="s">
        <v>71</v>
      </c>
      <c r="E2543" s="58" t="s">
        <v>808</v>
      </c>
      <c r="F2543" s="56" t="s">
        <v>809</v>
      </c>
      <c r="G2543" s="26" t="s">
        <v>62</v>
      </c>
      <c r="H2543" s="25" t="s">
        <v>3352</v>
      </c>
      <c r="I2543" s="26" t="s">
        <v>64</v>
      </c>
      <c r="J2543" s="58" t="s">
        <v>3363</v>
      </c>
      <c r="K2543" s="59"/>
      <c r="L2543" s="48"/>
      <c r="M2543" s="49">
        <v>44760</v>
      </c>
      <c r="N2543" s="49" t="s">
        <v>66</v>
      </c>
      <c r="O2543" s="60">
        <v>8184</v>
      </c>
      <c r="P2543" s="61">
        <v>1</v>
      </c>
      <c r="Q2543" s="51">
        <f>ROUND(O2543*P2543,2)</f>
        <v>8184</v>
      </c>
      <c r="R2543" s="31">
        <v>202310</v>
      </c>
      <c r="S2543" s="58" t="s">
        <v>3364</v>
      </c>
      <c r="T2543" s="33"/>
      <c r="U2543" s="58"/>
      <c r="V2543" s="58"/>
      <c r="W2543" s="63"/>
      <c r="X2543" s="63"/>
      <c r="Y2543" s="36"/>
      <c r="Z2543" s="36"/>
      <c r="AA2543" s="36"/>
      <c r="AB2543" s="36"/>
      <c r="AC2543" s="36"/>
      <c r="AD2543" s="36"/>
      <c r="AE2543" s="36"/>
      <c r="AF2543" s="53" t="s">
        <v>68</v>
      </c>
      <c r="AG2543" s="42"/>
      <c r="AH2543" s="42"/>
      <c r="AI2543" s="43"/>
      <c r="AJ2543" s="43"/>
      <c r="AK2543" s="43"/>
      <c r="AL2543" s="43"/>
      <c r="AM2543" s="43"/>
      <c r="AN2543" s="42"/>
      <c r="AO2543" s="42"/>
      <c r="AP2543" s="42"/>
      <c r="AQ2543" s="43"/>
      <c r="AR2543" s="42"/>
      <c r="AS2543" s="42"/>
    </row>
    <row r="2544" spans="1:45" ht="15" customHeight="1">
      <c r="A2544" s="56" t="s">
        <v>57</v>
      </c>
      <c r="B2544" s="21" t="s">
        <v>46</v>
      </c>
      <c r="C2544" s="57" t="s">
        <v>58</v>
      </c>
      <c r="D2544" s="22" t="s">
        <v>71</v>
      </c>
      <c r="E2544" s="58" t="s">
        <v>808</v>
      </c>
      <c r="F2544" s="56" t="s">
        <v>809</v>
      </c>
      <c r="G2544" s="26" t="s">
        <v>62</v>
      </c>
      <c r="H2544" s="25" t="s">
        <v>3352</v>
      </c>
      <c r="I2544" s="26" t="s">
        <v>64</v>
      </c>
      <c r="J2544" s="58" t="s">
        <v>3365</v>
      </c>
      <c r="K2544" s="59"/>
      <c r="L2544" s="48"/>
      <c r="M2544" s="49">
        <v>44760</v>
      </c>
      <c r="N2544" s="49" t="s">
        <v>66</v>
      </c>
      <c r="O2544" s="60">
        <v>19360</v>
      </c>
      <c r="P2544" s="61">
        <v>1</v>
      </c>
      <c r="Q2544" s="51">
        <f>ROUND(O2544*P2544,2)</f>
        <v>19360</v>
      </c>
      <c r="R2544" s="31">
        <v>202310</v>
      </c>
      <c r="S2544" s="58" t="s">
        <v>3366</v>
      </c>
      <c r="T2544" s="33"/>
      <c r="U2544" s="58"/>
      <c r="V2544" s="58"/>
      <c r="W2544" s="63"/>
      <c r="X2544" s="63"/>
      <c r="Y2544" s="36"/>
      <c r="Z2544" s="36"/>
      <c r="AA2544" s="36"/>
      <c r="AB2544" s="36"/>
      <c r="AC2544" s="36"/>
      <c r="AD2544" s="36"/>
      <c r="AE2544" s="36"/>
      <c r="AF2544" s="53" t="s">
        <v>68</v>
      </c>
      <c r="AG2544" s="42"/>
      <c r="AH2544" s="42"/>
      <c r="AI2544" s="43"/>
      <c r="AJ2544" s="43"/>
      <c r="AK2544" s="43"/>
      <c r="AL2544" s="43"/>
      <c r="AM2544" s="43"/>
      <c r="AN2544" s="42"/>
      <c r="AO2544" s="42"/>
      <c r="AP2544" s="42"/>
      <c r="AQ2544" s="43"/>
      <c r="AR2544" s="42"/>
      <c r="AS2544" s="42"/>
    </row>
    <row r="2545" spans="1:45" ht="15" customHeight="1">
      <c r="A2545" s="56" t="s">
        <v>57</v>
      </c>
      <c r="B2545" s="21" t="s">
        <v>46</v>
      </c>
      <c r="C2545" s="57" t="s">
        <v>58</v>
      </c>
      <c r="D2545" s="22" t="s">
        <v>71</v>
      </c>
      <c r="E2545" s="58" t="s">
        <v>808</v>
      </c>
      <c r="F2545" s="56" t="s">
        <v>809</v>
      </c>
      <c r="G2545" s="26" t="s">
        <v>62</v>
      </c>
      <c r="H2545" s="25" t="s">
        <v>3352</v>
      </c>
      <c r="I2545" s="26" t="s">
        <v>64</v>
      </c>
      <c r="J2545" s="58" t="s">
        <v>3367</v>
      </c>
      <c r="K2545" s="59"/>
      <c r="L2545" s="48"/>
      <c r="M2545" s="49">
        <v>44760</v>
      </c>
      <c r="N2545" s="49" t="s">
        <v>66</v>
      </c>
      <c r="O2545" s="60">
        <v>8032.18</v>
      </c>
      <c r="P2545" s="61">
        <v>1</v>
      </c>
      <c r="Q2545" s="51">
        <f>ROUND(O2545*P2545,2)</f>
        <v>8032.18</v>
      </c>
      <c r="R2545" s="31">
        <v>202310</v>
      </c>
      <c r="S2545" s="58" t="s">
        <v>3368</v>
      </c>
      <c r="T2545" s="33"/>
      <c r="U2545" s="58"/>
      <c r="V2545" s="58"/>
      <c r="W2545" s="63"/>
      <c r="X2545" s="63"/>
      <c r="Y2545" s="36"/>
      <c r="Z2545" s="36"/>
      <c r="AA2545" s="36"/>
      <c r="AB2545" s="36"/>
      <c r="AC2545" s="36"/>
      <c r="AD2545" s="36"/>
      <c r="AE2545" s="36"/>
      <c r="AF2545" s="53" t="s">
        <v>68</v>
      </c>
      <c r="AG2545" s="42"/>
      <c r="AH2545" s="42"/>
      <c r="AI2545" s="43"/>
      <c r="AJ2545" s="43"/>
      <c r="AK2545" s="43"/>
      <c r="AL2545" s="43"/>
      <c r="AM2545" s="43"/>
      <c r="AN2545" s="42"/>
      <c r="AO2545" s="42"/>
      <c r="AP2545" s="42"/>
      <c r="AQ2545" s="43"/>
      <c r="AR2545" s="42"/>
      <c r="AS2545" s="42"/>
    </row>
    <row r="2546" spans="1:45" ht="15" customHeight="1">
      <c r="A2546" s="56" t="s">
        <v>57</v>
      </c>
      <c r="B2546" s="21" t="s">
        <v>46</v>
      </c>
      <c r="C2546" s="57" t="s">
        <v>58</v>
      </c>
      <c r="D2546" s="22" t="s">
        <v>71</v>
      </c>
      <c r="E2546" s="58" t="s">
        <v>808</v>
      </c>
      <c r="F2546" s="56" t="s">
        <v>809</v>
      </c>
      <c r="G2546" s="26" t="s">
        <v>62</v>
      </c>
      <c r="H2546" s="25" t="s">
        <v>3352</v>
      </c>
      <c r="I2546" s="26" t="s">
        <v>64</v>
      </c>
      <c r="J2546" s="58" t="s">
        <v>3369</v>
      </c>
      <c r="K2546" s="59"/>
      <c r="L2546" s="48"/>
      <c r="M2546" s="49">
        <v>44760</v>
      </c>
      <c r="N2546" s="49" t="s">
        <v>66</v>
      </c>
      <c r="O2546" s="60">
        <v>11414.15</v>
      </c>
      <c r="P2546" s="61">
        <v>1</v>
      </c>
      <c r="Q2546" s="51">
        <f>ROUND(O2546*P2546,2)</f>
        <v>11414.15</v>
      </c>
      <c r="R2546" s="31">
        <v>202310</v>
      </c>
      <c r="S2546" s="58" t="s">
        <v>3370</v>
      </c>
      <c r="T2546" s="33"/>
      <c r="U2546" s="58"/>
      <c r="V2546" s="58"/>
      <c r="W2546" s="63"/>
      <c r="X2546" s="63"/>
      <c r="Y2546" s="36"/>
      <c r="Z2546" s="36"/>
      <c r="AA2546" s="36"/>
      <c r="AB2546" s="36"/>
      <c r="AC2546" s="36"/>
      <c r="AD2546" s="36"/>
      <c r="AE2546" s="36"/>
      <c r="AF2546" s="53" t="s">
        <v>68</v>
      </c>
      <c r="AG2546" s="42"/>
      <c r="AH2546" s="42"/>
      <c r="AI2546" s="43"/>
      <c r="AJ2546" s="43"/>
      <c r="AK2546" s="43"/>
      <c r="AL2546" s="43"/>
      <c r="AM2546" s="43"/>
      <c r="AN2546" s="42"/>
      <c r="AO2546" s="42"/>
      <c r="AP2546" s="42"/>
      <c r="AQ2546" s="43"/>
      <c r="AR2546" s="42"/>
      <c r="AS2546" s="42"/>
    </row>
    <row r="2547" spans="1:45" ht="15" customHeight="1">
      <c r="A2547" s="56" t="s">
        <v>57</v>
      </c>
      <c r="B2547" s="21" t="s">
        <v>46</v>
      </c>
      <c r="C2547" s="57" t="s">
        <v>58</v>
      </c>
      <c r="D2547" s="22" t="s">
        <v>71</v>
      </c>
      <c r="E2547" s="58" t="s">
        <v>808</v>
      </c>
      <c r="F2547" s="56" t="s">
        <v>809</v>
      </c>
      <c r="G2547" s="26" t="s">
        <v>62</v>
      </c>
      <c r="H2547" s="25" t="s">
        <v>3352</v>
      </c>
      <c r="I2547" s="26" t="s">
        <v>64</v>
      </c>
      <c r="J2547" s="56" t="s">
        <v>3371</v>
      </c>
      <c r="K2547" s="59"/>
      <c r="L2547" s="48"/>
      <c r="M2547" s="49">
        <v>44774</v>
      </c>
      <c r="N2547" s="49" t="s">
        <v>2735</v>
      </c>
      <c r="O2547" s="60">
        <f>Q2547/P2547</f>
        <v>758.6584905660377</v>
      </c>
      <c r="P2547" s="61">
        <v>5.3</v>
      </c>
      <c r="Q2547" s="51">
        <v>4020.89</v>
      </c>
      <c r="R2547" s="31">
        <v>202310</v>
      </c>
      <c r="S2547" s="58" t="s">
        <v>3372</v>
      </c>
      <c r="T2547" s="33"/>
      <c r="U2547" s="58"/>
      <c r="V2547" s="58"/>
      <c r="W2547" s="63"/>
      <c r="X2547" s="63"/>
      <c r="Y2547" s="36"/>
      <c r="Z2547" s="36"/>
      <c r="AA2547" s="36"/>
      <c r="AB2547" s="36"/>
      <c r="AC2547" s="36"/>
      <c r="AD2547" s="36"/>
      <c r="AE2547" s="36"/>
      <c r="AF2547" s="53" t="s">
        <v>68</v>
      </c>
      <c r="AG2547" s="42"/>
      <c r="AH2547" s="42"/>
      <c r="AI2547" s="43"/>
      <c r="AJ2547" s="43"/>
      <c r="AK2547" s="43"/>
      <c r="AL2547" s="43"/>
      <c r="AM2547" s="43"/>
      <c r="AN2547" s="42"/>
      <c r="AO2547" s="42"/>
      <c r="AP2547" s="42"/>
      <c r="AQ2547" s="43"/>
      <c r="AR2547" s="42"/>
      <c r="AS2547" s="42"/>
    </row>
    <row r="2548" spans="1:45" ht="15" customHeight="1">
      <c r="A2548" s="56" t="s">
        <v>57</v>
      </c>
      <c r="B2548" s="21" t="s">
        <v>46</v>
      </c>
      <c r="C2548" s="57" t="s">
        <v>58</v>
      </c>
      <c r="D2548" s="22" t="s">
        <v>71</v>
      </c>
      <c r="E2548" s="58" t="s">
        <v>808</v>
      </c>
      <c r="F2548" s="56" t="s">
        <v>809</v>
      </c>
      <c r="G2548" s="26" t="s">
        <v>114</v>
      </c>
      <c r="H2548" s="25" t="s">
        <v>3373</v>
      </c>
      <c r="I2548" s="26" t="s">
        <v>114</v>
      </c>
      <c r="J2548" s="56" t="s">
        <v>3374</v>
      </c>
      <c r="K2548" s="59"/>
      <c r="L2548" s="48"/>
      <c r="M2548" s="49">
        <v>44760</v>
      </c>
      <c r="N2548" s="49" t="s">
        <v>3331</v>
      </c>
      <c r="O2548" s="60">
        <v>2243119.59</v>
      </c>
      <c r="P2548" s="61">
        <v>1</v>
      </c>
      <c r="Q2548" s="51">
        <f t="shared" ref="Q2548:Q2571" si="60">ROUND(O2548*P2548,2)</f>
        <v>2243119.59</v>
      </c>
      <c r="R2548" s="31">
        <v>202310</v>
      </c>
      <c r="S2548" s="58" t="s">
        <v>3375</v>
      </c>
      <c r="T2548" s="33"/>
      <c r="U2548" s="58"/>
      <c r="V2548" s="58"/>
      <c r="W2548" s="63"/>
      <c r="X2548" s="63"/>
      <c r="Y2548" s="36">
        <v>44760</v>
      </c>
      <c r="Z2548" s="36">
        <v>45508</v>
      </c>
      <c r="AA2548" s="36"/>
      <c r="AB2548" s="36"/>
      <c r="AC2548" s="36"/>
      <c r="AD2548" s="36"/>
      <c r="AE2548" s="36"/>
      <c r="AF2548" s="53" t="s">
        <v>68</v>
      </c>
      <c r="AG2548" s="42"/>
      <c r="AH2548" s="42"/>
      <c r="AI2548" s="43"/>
      <c r="AJ2548" s="43"/>
      <c r="AK2548" s="43"/>
      <c r="AL2548" s="43"/>
      <c r="AM2548" s="43"/>
      <c r="AN2548" s="42"/>
      <c r="AO2548" s="42"/>
      <c r="AP2548" s="42"/>
      <c r="AQ2548" s="43"/>
      <c r="AR2548" s="42"/>
      <c r="AS2548" s="42"/>
    </row>
    <row r="2549" spans="1:45" ht="15" customHeight="1">
      <c r="A2549" s="56" t="s">
        <v>57</v>
      </c>
      <c r="B2549" s="21" t="s">
        <v>46</v>
      </c>
      <c r="C2549" s="57" t="s">
        <v>58</v>
      </c>
      <c r="D2549" s="22" t="s">
        <v>71</v>
      </c>
      <c r="E2549" s="58" t="s">
        <v>808</v>
      </c>
      <c r="F2549" s="56" t="s">
        <v>809</v>
      </c>
      <c r="G2549" s="26" t="s">
        <v>114</v>
      </c>
      <c r="H2549" s="25" t="s">
        <v>3373</v>
      </c>
      <c r="I2549" s="26" t="s">
        <v>114</v>
      </c>
      <c r="J2549" s="56" t="s">
        <v>3376</v>
      </c>
      <c r="K2549" s="59"/>
      <c r="L2549" s="48"/>
      <c r="M2549" s="49">
        <v>44788</v>
      </c>
      <c r="N2549" s="224" t="s">
        <v>3377</v>
      </c>
      <c r="O2549" s="60">
        <v>268101.92</v>
      </c>
      <c r="P2549" s="61">
        <v>1</v>
      </c>
      <c r="Q2549" s="51">
        <f t="shared" si="60"/>
        <v>268101.92</v>
      </c>
      <c r="R2549" s="31">
        <v>202310</v>
      </c>
      <c r="S2549" s="58" t="s">
        <v>3378</v>
      </c>
      <c r="T2549" s="33"/>
      <c r="U2549" s="58"/>
      <c r="V2549" s="58"/>
      <c r="W2549" s="63"/>
      <c r="X2549" s="63"/>
      <c r="Y2549" s="36">
        <v>44760</v>
      </c>
      <c r="Z2549" s="36">
        <v>45508</v>
      </c>
      <c r="AA2549" s="36"/>
      <c r="AB2549" s="36"/>
      <c r="AC2549" s="36"/>
      <c r="AD2549" s="36"/>
      <c r="AE2549" s="36"/>
      <c r="AF2549" s="53" t="s">
        <v>68</v>
      </c>
      <c r="AG2549" s="42"/>
      <c r="AH2549" s="42"/>
      <c r="AI2549" s="43"/>
      <c r="AJ2549" s="43"/>
      <c r="AK2549" s="43"/>
      <c r="AL2549" s="43"/>
      <c r="AM2549" s="43"/>
      <c r="AN2549" s="42"/>
      <c r="AO2549" s="42"/>
      <c r="AP2549" s="42"/>
      <c r="AQ2549" s="43"/>
      <c r="AR2549" s="42"/>
      <c r="AS2549" s="42"/>
    </row>
    <row r="2550" spans="1:45" ht="15" customHeight="1">
      <c r="A2550" s="56" t="s">
        <v>57</v>
      </c>
      <c r="B2550" s="21" t="s">
        <v>46</v>
      </c>
      <c r="C2550" s="57" t="s">
        <v>58</v>
      </c>
      <c r="D2550" s="22" t="s">
        <v>71</v>
      </c>
      <c r="E2550" s="58" t="s">
        <v>808</v>
      </c>
      <c r="F2550" s="56" t="s">
        <v>809</v>
      </c>
      <c r="G2550" s="26" t="s">
        <v>62</v>
      </c>
      <c r="H2550" s="25" t="s">
        <v>3379</v>
      </c>
      <c r="I2550" s="26" t="s">
        <v>64</v>
      </c>
      <c r="J2550" s="56" t="s">
        <v>3380</v>
      </c>
      <c r="K2550" s="59"/>
      <c r="L2550" s="48"/>
      <c r="M2550" s="49">
        <v>44812</v>
      </c>
      <c r="N2550" s="49" t="s">
        <v>2735</v>
      </c>
      <c r="O2550" s="60">
        <v>399.89511568123402</v>
      </c>
      <c r="P2550" s="61">
        <v>77.8</v>
      </c>
      <c r="Q2550" s="51">
        <f t="shared" si="60"/>
        <v>31111.84</v>
      </c>
      <c r="R2550" s="31">
        <v>202310</v>
      </c>
      <c r="S2550" s="58" t="s">
        <v>3380</v>
      </c>
      <c r="T2550" s="33"/>
      <c r="U2550" s="58"/>
      <c r="V2550" s="58"/>
      <c r="W2550" s="63"/>
      <c r="X2550" s="63"/>
      <c r="Y2550" s="36">
        <v>44812</v>
      </c>
      <c r="Z2550" s="36">
        <v>45260</v>
      </c>
      <c r="AA2550" s="36"/>
      <c r="AB2550" s="36"/>
      <c r="AC2550" s="36"/>
      <c r="AD2550" s="36"/>
      <c r="AE2550" s="36"/>
      <c r="AF2550" s="53" t="s">
        <v>68</v>
      </c>
      <c r="AG2550" s="42"/>
      <c r="AH2550" s="42"/>
      <c r="AI2550" s="43"/>
      <c r="AJ2550" s="43"/>
      <c r="AK2550" s="43"/>
      <c r="AL2550" s="43"/>
      <c r="AM2550" s="43"/>
      <c r="AN2550" s="42"/>
      <c r="AO2550" s="42"/>
      <c r="AP2550" s="42"/>
      <c r="AQ2550" s="43"/>
      <c r="AR2550" s="42"/>
      <c r="AS2550" s="42"/>
    </row>
    <row r="2551" spans="1:45" ht="15" customHeight="1">
      <c r="A2551" s="56" t="s">
        <v>57</v>
      </c>
      <c r="B2551" s="21" t="s">
        <v>46</v>
      </c>
      <c r="C2551" s="57" t="s">
        <v>58</v>
      </c>
      <c r="D2551" s="22" t="s">
        <v>71</v>
      </c>
      <c r="E2551" s="58" t="s">
        <v>808</v>
      </c>
      <c r="F2551" s="56" t="s">
        <v>809</v>
      </c>
      <c r="G2551" s="26" t="s">
        <v>62</v>
      </c>
      <c r="H2551" s="25" t="s">
        <v>3379</v>
      </c>
      <c r="I2551" s="26" t="s">
        <v>64</v>
      </c>
      <c r="J2551" s="56" t="s">
        <v>3381</v>
      </c>
      <c r="K2551" s="59"/>
      <c r="L2551" s="48"/>
      <c r="M2551" s="49">
        <v>44812</v>
      </c>
      <c r="N2551" s="49" t="s">
        <v>2735</v>
      </c>
      <c r="O2551" s="60">
        <v>418.308522212149</v>
      </c>
      <c r="P2551" s="61">
        <v>110.3</v>
      </c>
      <c r="Q2551" s="51">
        <f t="shared" si="60"/>
        <v>46139.43</v>
      </c>
      <c r="R2551" s="31">
        <v>202310</v>
      </c>
      <c r="S2551" s="58" t="s">
        <v>3381</v>
      </c>
      <c r="T2551" s="33"/>
      <c r="U2551" s="58"/>
      <c r="V2551" s="58"/>
      <c r="W2551" s="63"/>
      <c r="X2551" s="63"/>
      <c r="Y2551" s="36">
        <v>44812</v>
      </c>
      <c r="Z2551" s="36">
        <v>45260</v>
      </c>
      <c r="AA2551" s="36"/>
      <c r="AB2551" s="36"/>
      <c r="AC2551" s="36"/>
      <c r="AD2551" s="36"/>
      <c r="AE2551" s="36"/>
      <c r="AF2551" s="53" t="s">
        <v>68</v>
      </c>
      <c r="AG2551" s="42"/>
      <c r="AH2551" s="42"/>
      <c r="AI2551" s="43"/>
      <c r="AJ2551" s="43"/>
      <c r="AK2551" s="43"/>
      <c r="AL2551" s="43"/>
      <c r="AM2551" s="43"/>
      <c r="AN2551" s="42"/>
      <c r="AO2551" s="42"/>
      <c r="AP2551" s="42"/>
      <c r="AQ2551" s="43"/>
      <c r="AR2551" s="42"/>
      <c r="AS2551" s="42"/>
    </row>
    <row r="2552" spans="1:45" ht="15" customHeight="1">
      <c r="A2552" s="56" t="s">
        <v>57</v>
      </c>
      <c r="B2552" s="21" t="s">
        <v>46</v>
      </c>
      <c r="C2552" s="57" t="s">
        <v>58</v>
      </c>
      <c r="D2552" s="22" t="s">
        <v>71</v>
      </c>
      <c r="E2552" s="58" t="s">
        <v>808</v>
      </c>
      <c r="F2552" s="56" t="s">
        <v>809</v>
      </c>
      <c r="G2552" s="26" t="s">
        <v>62</v>
      </c>
      <c r="H2552" s="25" t="s">
        <v>3379</v>
      </c>
      <c r="I2552" s="26" t="s">
        <v>64</v>
      </c>
      <c r="J2552" s="56" t="s">
        <v>3382</v>
      </c>
      <c r="K2552" s="59"/>
      <c r="L2552" s="48"/>
      <c r="M2552" s="49">
        <v>44812</v>
      </c>
      <c r="N2552" s="49" t="s">
        <v>66</v>
      </c>
      <c r="O2552" s="60">
        <v>1320</v>
      </c>
      <c r="P2552" s="61">
        <v>5.7</v>
      </c>
      <c r="Q2552" s="51">
        <f t="shared" si="60"/>
        <v>7524</v>
      </c>
      <c r="R2552" s="31">
        <v>202310</v>
      </c>
      <c r="S2552" s="62" t="s">
        <v>3382</v>
      </c>
      <c r="T2552" s="33"/>
      <c r="U2552" s="58"/>
      <c r="V2552" s="42"/>
      <c r="W2552" s="38"/>
      <c r="X2552" s="38"/>
      <c r="Y2552" s="36">
        <v>44812</v>
      </c>
      <c r="Z2552" s="36">
        <v>45260</v>
      </c>
      <c r="AA2552" s="36"/>
      <c r="AB2552" s="36"/>
      <c r="AC2552" s="36"/>
      <c r="AD2552" s="36"/>
      <c r="AE2552" s="36"/>
      <c r="AF2552" s="53" t="s">
        <v>68</v>
      </c>
      <c r="AG2552" s="42"/>
      <c r="AH2552" s="42"/>
      <c r="AI2552" s="43"/>
      <c r="AJ2552" s="43"/>
      <c r="AK2552" s="43"/>
      <c r="AL2552" s="43"/>
      <c r="AM2552" s="43"/>
      <c r="AN2552" s="42"/>
      <c r="AO2552" s="42"/>
      <c r="AP2552" s="42"/>
      <c r="AQ2552" s="43"/>
      <c r="AR2552" s="42"/>
      <c r="AS2552" s="42"/>
    </row>
    <row r="2553" spans="1:45" ht="15" customHeight="1">
      <c r="A2553" s="56" t="s">
        <v>57</v>
      </c>
      <c r="B2553" s="21" t="s">
        <v>46</v>
      </c>
      <c r="C2553" s="57" t="s">
        <v>58</v>
      </c>
      <c r="D2553" s="22" t="s">
        <v>71</v>
      </c>
      <c r="E2553" s="58" t="s">
        <v>808</v>
      </c>
      <c r="F2553" s="56" t="s">
        <v>809</v>
      </c>
      <c r="G2553" s="26" t="s">
        <v>62</v>
      </c>
      <c r="H2553" s="25" t="s">
        <v>3379</v>
      </c>
      <c r="I2553" s="26" t="s">
        <v>64</v>
      </c>
      <c r="J2553" s="56" t="s">
        <v>3383</v>
      </c>
      <c r="K2553" s="59"/>
      <c r="L2553" s="48"/>
      <c r="M2553" s="49">
        <v>44819</v>
      </c>
      <c r="N2553" s="49" t="s">
        <v>1801</v>
      </c>
      <c r="O2553" s="60">
        <v>342.76728095158325</v>
      </c>
      <c r="P2553" s="61">
        <v>596.9</v>
      </c>
      <c r="Q2553" s="51">
        <f>ROUND(O2553*P2553,2)+10283.02</f>
        <v>214880.81</v>
      </c>
      <c r="R2553" s="31">
        <v>202310</v>
      </c>
      <c r="S2553" s="58" t="s">
        <v>3384</v>
      </c>
      <c r="T2553" s="33"/>
      <c r="U2553" s="58"/>
      <c r="V2553" s="58"/>
      <c r="W2553" s="63"/>
      <c r="X2553" s="63"/>
      <c r="Y2553" s="36">
        <v>44812</v>
      </c>
      <c r="Z2553" s="36">
        <v>45260</v>
      </c>
      <c r="AA2553" s="36"/>
      <c r="AB2553" s="36"/>
      <c r="AC2553" s="36"/>
      <c r="AD2553" s="36"/>
      <c r="AE2553" s="36"/>
      <c r="AF2553" s="53" t="s">
        <v>68</v>
      </c>
      <c r="AG2553" s="42"/>
      <c r="AH2553" s="42"/>
      <c r="AI2553" s="43"/>
      <c r="AJ2553" s="43"/>
      <c r="AK2553" s="43"/>
      <c r="AL2553" s="43"/>
      <c r="AM2553" s="43"/>
      <c r="AN2553" s="42"/>
      <c r="AO2553" s="42"/>
      <c r="AP2553" s="42"/>
      <c r="AQ2553" s="43"/>
      <c r="AR2553" s="42"/>
      <c r="AS2553" s="42"/>
    </row>
    <row r="2554" spans="1:45" ht="15" customHeight="1">
      <c r="A2554" s="56" t="s">
        <v>57</v>
      </c>
      <c r="B2554" s="21" t="s">
        <v>46</v>
      </c>
      <c r="C2554" s="57" t="s">
        <v>58</v>
      </c>
      <c r="D2554" s="22" t="s">
        <v>71</v>
      </c>
      <c r="E2554" s="58" t="s">
        <v>808</v>
      </c>
      <c r="F2554" s="56" t="s">
        <v>809</v>
      </c>
      <c r="G2554" s="26" t="s">
        <v>62</v>
      </c>
      <c r="H2554" s="25" t="s">
        <v>3379</v>
      </c>
      <c r="I2554" s="26" t="s">
        <v>64</v>
      </c>
      <c r="J2554" s="56" t="s">
        <v>3385</v>
      </c>
      <c r="K2554" s="59"/>
      <c r="L2554" s="48"/>
      <c r="M2554" s="49">
        <v>44819</v>
      </c>
      <c r="N2554" s="49" t="s">
        <v>1801</v>
      </c>
      <c r="O2554" s="60">
        <v>342.76731974921631</v>
      </c>
      <c r="P2554" s="61">
        <v>127.6</v>
      </c>
      <c r="Q2554" s="51">
        <f t="shared" si="60"/>
        <v>43737.11</v>
      </c>
      <c r="R2554" s="31">
        <v>202310</v>
      </c>
      <c r="S2554" s="58" t="s">
        <v>3385</v>
      </c>
      <c r="T2554" s="33"/>
      <c r="U2554" s="58"/>
      <c r="V2554" s="58"/>
      <c r="W2554" s="63"/>
      <c r="X2554" s="63"/>
      <c r="Y2554" s="36">
        <v>44812</v>
      </c>
      <c r="Z2554" s="36">
        <v>45260</v>
      </c>
      <c r="AA2554" s="36"/>
      <c r="AB2554" s="36"/>
      <c r="AC2554" s="36"/>
      <c r="AD2554" s="36"/>
      <c r="AE2554" s="36"/>
      <c r="AF2554" s="53" t="s">
        <v>68</v>
      </c>
      <c r="AG2554" s="42"/>
      <c r="AH2554" s="42"/>
      <c r="AI2554" s="43"/>
      <c r="AJ2554" s="43"/>
      <c r="AK2554" s="43"/>
      <c r="AL2554" s="43"/>
      <c r="AM2554" s="43"/>
      <c r="AN2554" s="42"/>
      <c r="AO2554" s="42"/>
      <c r="AP2554" s="42"/>
      <c r="AQ2554" s="43"/>
      <c r="AR2554" s="42"/>
      <c r="AS2554" s="42"/>
    </row>
    <row r="2555" spans="1:45" ht="15" customHeight="1">
      <c r="A2555" s="56" t="s">
        <v>57</v>
      </c>
      <c r="B2555" s="21" t="s">
        <v>46</v>
      </c>
      <c r="C2555" s="57" t="s">
        <v>58</v>
      </c>
      <c r="D2555" s="22" t="s">
        <v>71</v>
      </c>
      <c r="E2555" s="58" t="s">
        <v>808</v>
      </c>
      <c r="F2555" s="56" t="s">
        <v>809</v>
      </c>
      <c r="G2555" s="26" t="s">
        <v>62</v>
      </c>
      <c r="H2555" s="25" t="s">
        <v>3379</v>
      </c>
      <c r="I2555" s="26" t="s">
        <v>64</v>
      </c>
      <c r="J2555" s="56" t="s">
        <v>3386</v>
      </c>
      <c r="K2555" s="59"/>
      <c r="L2555" s="48"/>
      <c r="M2555" s="49">
        <v>44819</v>
      </c>
      <c r="N2555" s="49" t="s">
        <v>1801</v>
      </c>
      <c r="O2555" s="60">
        <v>342.76729399796545</v>
      </c>
      <c r="P2555" s="61">
        <v>196.6</v>
      </c>
      <c r="Q2555" s="51">
        <f t="shared" si="60"/>
        <v>67388.05</v>
      </c>
      <c r="R2555" s="31">
        <v>202310</v>
      </c>
      <c r="S2555" s="58" t="s">
        <v>3386</v>
      </c>
      <c r="T2555" s="33"/>
      <c r="U2555" s="58"/>
      <c r="V2555" s="58"/>
      <c r="W2555" s="63"/>
      <c r="X2555" s="63"/>
      <c r="Y2555" s="36">
        <v>44812</v>
      </c>
      <c r="Z2555" s="36">
        <v>45260</v>
      </c>
      <c r="AA2555" s="36"/>
      <c r="AB2555" s="36"/>
      <c r="AC2555" s="36"/>
      <c r="AD2555" s="36"/>
      <c r="AE2555" s="36"/>
      <c r="AF2555" s="53" t="s">
        <v>68</v>
      </c>
      <c r="AG2555" s="42"/>
      <c r="AH2555" s="42"/>
      <c r="AI2555" s="43"/>
      <c r="AJ2555" s="43"/>
      <c r="AK2555" s="43"/>
      <c r="AL2555" s="43"/>
      <c r="AM2555" s="43"/>
      <c r="AN2555" s="42"/>
      <c r="AO2555" s="42"/>
      <c r="AP2555" s="42"/>
      <c r="AQ2555" s="43"/>
      <c r="AR2555" s="42"/>
      <c r="AS2555" s="42"/>
    </row>
    <row r="2556" spans="1:45" ht="15" customHeight="1">
      <c r="A2556" s="56" t="s">
        <v>57</v>
      </c>
      <c r="B2556" s="21" t="s">
        <v>46</v>
      </c>
      <c r="C2556" s="57" t="s">
        <v>58</v>
      </c>
      <c r="D2556" s="22" t="s">
        <v>71</v>
      </c>
      <c r="E2556" s="58" t="s">
        <v>808</v>
      </c>
      <c r="F2556" s="56" t="s">
        <v>809</v>
      </c>
      <c r="G2556" s="26" t="s">
        <v>62</v>
      </c>
      <c r="H2556" s="25" t="s">
        <v>3379</v>
      </c>
      <c r="I2556" s="26" t="s">
        <v>64</v>
      </c>
      <c r="J2556" s="56" t="s">
        <v>3387</v>
      </c>
      <c r="K2556" s="59"/>
      <c r="L2556" s="48"/>
      <c r="M2556" s="49">
        <v>44812</v>
      </c>
      <c r="N2556" s="49" t="s">
        <v>1801</v>
      </c>
      <c r="O2556" s="60">
        <v>342.76739130434783</v>
      </c>
      <c r="P2556" s="61">
        <v>59.8</v>
      </c>
      <c r="Q2556" s="51">
        <f t="shared" si="60"/>
        <v>20497.490000000002</v>
      </c>
      <c r="R2556" s="31">
        <v>202310</v>
      </c>
      <c r="S2556" s="58" t="s">
        <v>3387</v>
      </c>
      <c r="T2556" s="33"/>
      <c r="U2556" s="58"/>
      <c r="V2556" s="58"/>
      <c r="W2556" s="63"/>
      <c r="X2556" s="63"/>
      <c r="Y2556" s="36">
        <v>44812</v>
      </c>
      <c r="Z2556" s="36">
        <v>45260</v>
      </c>
      <c r="AA2556" s="36"/>
      <c r="AB2556" s="36"/>
      <c r="AC2556" s="36"/>
      <c r="AD2556" s="36"/>
      <c r="AE2556" s="36"/>
      <c r="AF2556" s="53" t="s">
        <v>68</v>
      </c>
      <c r="AG2556" s="42"/>
      <c r="AH2556" s="42"/>
      <c r="AI2556" s="43"/>
      <c r="AJ2556" s="43"/>
      <c r="AK2556" s="43"/>
      <c r="AL2556" s="43"/>
      <c r="AM2556" s="43"/>
      <c r="AN2556" s="42"/>
      <c r="AO2556" s="42"/>
      <c r="AP2556" s="42"/>
      <c r="AQ2556" s="43"/>
      <c r="AR2556" s="42"/>
      <c r="AS2556" s="42"/>
    </row>
    <row r="2557" spans="1:45" ht="15" customHeight="1">
      <c r="A2557" s="56" t="s">
        <v>57</v>
      </c>
      <c r="B2557" s="21" t="s">
        <v>46</v>
      </c>
      <c r="C2557" s="57" t="s">
        <v>58</v>
      </c>
      <c r="D2557" s="22" t="s">
        <v>71</v>
      </c>
      <c r="E2557" s="58" t="s">
        <v>808</v>
      </c>
      <c r="F2557" s="56" t="s">
        <v>809</v>
      </c>
      <c r="G2557" s="26" t="s">
        <v>62</v>
      </c>
      <c r="H2557" s="25" t="s">
        <v>3379</v>
      </c>
      <c r="I2557" s="26" t="s">
        <v>64</v>
      </c>
      <c r="J2557" s="56" t="s">
        <v>3388</v>
      </c>
      <c r="K2557" s="59"/>
      <c r="L2557" s="48"/>
      <c r="M2557" s="49">
        <v>44842</v>
      </c>
      <c r="N2557" s="49" t="s">
        <v>1801</v>
      </c>
      <c r="O2557" s="60">
        <v>361.51222091656899</v>
      </c>
      <c r="P2557" s="61">
        <v>425.5</v>
      </c>
      <c r="Q2557" s="51">
        <f>ROUND(O2557*P2557,2)+27421.38</f>
        <v>181244.83000000002</v>
      </c>
      <c r="R2557" s="31">
        <v>202310</v>
      </c>
      <c r="S2557" s="62" t="s">
        <v>3389</v>
      </c>
      <c r="T2557" s="33"/>
      <c r="U2557" s="58"/>
      <c r="V2557" s="42"/>
      <c r="W2557" s="38"/>
      <c r="X2557" s="38"/>
      <c r="Y2557" s="36">
        <v>44812</v>
      </c>
      <c r="Z2557" s="36">
        <v>45260</v>
      </c>
      <c r="AA2557" s="36"/>
      <c r="AB2557" s="36"/>
      <c r="AC2557" s="36"/>
      <c r="AD2557" s="36"/>
      <c r="AE2557" s="36"/>
      <c r="AF2557" s="53" t="s">
        <v>68</v>
      </c>
      <c r="AG2557" s="42"/>
      <c r="AH2557" s="42"/>
      <c r="AI2557" s="43"/>
      <c r="AJ2557" s="43"/>
      <c r="AK2557" s="43"/>
      <c r="AL2557" s="43"/>
      <c r="AM2557" s="43"/>
      <c r="AN2557" s="42"/>
      <c r="AO2557" s="42"/>
      <c r="AP2557" s="42"/>
      <c r="AQ2557" s="43"/>
      <c r="AR2557" s="42"/>
      <c r="AS2557" s="42"/>
    </row>
    <row r="2558" spans="1:45" ht="15" customHeight="1">
      <c r="A2558" s="56" t="s">
        <v>57</v>
      </c>
      <c r="B2558" s="21" t="s">
        <v>46</v>
      </c>
      <c r="C2558" s="57" t="s">
        <v>58</v>
      </c>
      <c r="D2558" s="22" t="s">
        <v>71</v>
      </c>
      <c r="E2558" s="58" t="s">
        <v>808</v>
      </c>
      <c r="F2558" s="56" t="s">
        <v>809</v>
      </c>
      <c r="G2558" s="26" t="s">
        <v>62</v>
      </c>
      <c r="H2558" s="25" t="s">
        <v>3379</v>
      </c>
      <c r="I2558" s="26" t="s">
        <v>64</v>
      </c>
      <c r="J2558" s="56" t="s">
        <v>3390</v>
      </c>
      <c r="K2558" s="59"/>
      <c r="L2558" s="48"/>
      <c r="M2558" s="49">
        <v>44842</v>
      </c>
      <c r="N2558" s="49" t="s">
        <v>1801</v>
      </c>
      <c r="O2558" s="60">
        <v>9140.4599999999991</v>
      </c>
      <c r="P2558" s="61">
        <v>1</v>
      </c>
      <c r="Q2558" s="51">
        <f t="shared" si="60"/>
        <v>9140.4599999999991</v>
      </c>
      <c r="R2558" s="31">
        <v>202310</v>
      </c>
      <c r="S2558" s="62" t="s">
        <v>3390</v>
      </c>
      <c r="T2558" s="33"/>
      <c r="U2558" s="58"/>
      <c r="V2558" s="42"/>
      <c r="W2558" s="38"/>
      <c r="X2558" s="38"/>
      <c r="Y2558" s="36">
        <v>44812</v>
      </c>
      <c r="Z2558" s="36">
        <v>45260</v>
      </c>
      <c r="AA2558" s="36"/>
      <c r="AB2558" s="36"/>
      <c r="AC2558" s="36"/>
      <c r="AD2558" s="36"/>
      <c r="AE2558" s="36"/>
      <c r="AF2558" s="53" t="s">
        <v>68</v>
      </c>
      <c r="AG2558" s="42"/>
      <c r="AH2558" s="42"/>
      <c r="AI2558" s="43"/>
      <c r="AJ2558" s="43"/>
      <c r="AK2558" s="43"/>
      <c r="AL2558" s="43"/>
      <c r="AM2558" s="43"/>
      <c r="AN2558" s="42"/>
      <c r="AO2558" s="42"/>
      <c r="AP2558" s="42"/>
      <c r="AQ2558" s="43"/>
      <c r="AR2558" s="42"/>
      <c r="AS2558" s="42"/>
    </row>
    <row r="2559" spans="1:45" ht="15" customHeight="1">
      <c r="A2559" s="56" t="s">
        <v>57</v>
      </c>
      <c r="B2559" s="21" t="s">
        <v>46</v>
      </c>
      <c r="C2559" s="57" t="s">
        <v>58</v>
      </c>
      <c r="D2559" s="22" t="s">
        <v>71</v>
      </c>
      <c r="E2559" s="58" t="s">
        <v>808</v>
      </c>
      <c r="F2559" s="56" t="s">
        <v>809</v>
      </c>
      <c r="G2559" s="26" t="s">
        <v>62</v>
      </c>
      <c r="H2559" s="25" t="s">
        <v>3379</v>
      </c>
      <c r="I2559" s="26" t="s">
        <v>64</v>
      </c>
      <c r="J2559" s="56" t="s">
        <v>3391</v>
      </c>
      <c r="K2559" s="59"/>
      <c r="L2559" s="48"/>
      <c r="M2559" s="49">
        <v>44842</v>
      </c>
      <c r="N2559" s="49" t="s">
        <v>66</v>
      </c>
      <c r="O2559" s="60">
        <v>399.8952941176471</v>
      </c>
      <c r="P2559" s="61">
        <v>34</v>
      </c>
      <c r="Q2559" s="51">
        <f t="shared" si="60"/>
        <v>13596.44</v>
      </c>
      <c r="R2559" s="31">
        <v>202310</v>
      </c>
      <c r="S2559" s="58" t="s">
        <v>3391</v>
      </c>
      <c r="T2559" s="33"/>
      <c r="U2559" s="58"/>
      <c r="V2559" s="58"/>
      <c r="W2559" s="63"/>
      <c r="X2559" s="63"/>
      <c r="Y2559" s="36">
        <v>44812</v>
      </c>
      <c r="Z2559" s="36">
        <v>45260</v>
      </c>
      <c r="AA2559" s="36"/>
      <c r="AB2559" s="36"/>
      <c r="AC2559" s="36"/>
      <c r="AD2559" s="36"/>
      <c r="AE2559" s="36"/>
      <c r="AF2559" s="53" t="s">
        <v>68</v>
      </c>
      <c r="AG2559" s="42"/>
      <c r="AH2559" s="42"/>
      <c r="AI2559" s="43"/>
      <c r="AJ2559" s="43"/>
      <c r="AK2559" s="43"/>
      <c r="AL2559" s="43"/>
      <c r="AM2559" s="43"/>
      <c r="AN2559" s="42"/>
      <c r="AO2559" s="42"/>
      <c r="AP2559" s="42"/>
      <c r="AQ2559" s="43"/>
      <c r="AR2559" s="42"/>
      <c r="AS2559" s="42"/>
    </row>
    <row r="2560" spans="1:45" ht="15" customHeight="1">
      <c r="A2560" s="56" t="s">
        <v>57</v>
      </c>
      <c r="B2560" s="21" t="s">
        <v>46</v>
      </c>
      <c r="C2560" s="57" t="s">
        <v>58</v>
      </c>
      <c r="D2560" s="22" t="s">
        <v>71</v>
      </c>
      <c r="E2560" s="58" t="s">
        <v>808</v>
      </c>
      <c r="F2560" s="56" t="s">
        <v>809</v>
      </c>
      <c r="G2560" s="26" t="s">
        <v>62</v>
      </c>
      <c r="H2560" s="25" t="s">
        <v>3379</v>
      </c>
      <c r="I2560" s="26" t="s">
        <v>64</v>
      </c>
      <c r="J2560" s="56" t="s">
        <v>3392</v>
      </c>
      <c r="K2560" s="59"/>
      <c r="L2560" s="48"/>
      <c r="M2560" s="49">
        <v>44842</v>
      </c>
      <c r="N2560" s="49" t="s">
        <v>66</v>
      </c>
      <c r="O2560" s="60">
        <v>399.89473684210526</v>
      </c>
      <c r="P2560" s="61">
        <v>3.8</v>
      </c>
      <c r="Q2560" s="51">
        <f t="shared" si="60"/>
        <v>1519.6</v>
      </c>
      <c r="R2560" s="31">
        <v>202310</v>
      </c>
      <c r="S2560" s="58" t="s">
        <v>3392</v>
      </c>
      <c r="T2560" s="33"/>
      <c r="U2560" s="58"/>
      <c r="V2560" s="58"/>
      <c r="W2560" s="63"/>
      <c r="X2560" s="63"/>
      <c r="Y2560" s="36">
        <v>44812</v>
      </c>
      <c r="Z2560" s="36">
        <v>45260</v>
      </c>
      <c r="AA2560" s="36"/>
      <c r="AB2560" s="36"/>
      <c r="AC2560" s="36"/>
      <c r="AD2560" s="36"/>
      <c r="AE2560" s="36"/>
      <c r="AF2560" s="53" t="s">
        <v>68</v>
      </c>
      <c r="AG2560" s="42"/>
      <c r="AH2560" s="42"/>
      <c r="AI2560" s="43"/>
      <c r="AJ2560" s="43"/>
      <c r="AK2560" s="43"/>
      <c r="AL2560" s="43"/>
      <c r="AM2560" s="43"/>
      <c r="AN2560" s="42"/>
      <c r="AO2560" s="42"/>
      <c r="AP2560" s="42"/>
      <c r="AQ2560" s="43"/>
      <c r="AR2560" s="42"/>
      <c r="AS2560" s="42"/>
    </row>
    <row r="2561" spans="1:45" ht="15" customHeight="1">
      <c r="A2561" s="56" t="s">
        <v>57</v>
      </c>
      <c r="B2561" s="21" t="s">
        <v>46</v>
      </c>
      <c r="C2561" s="57" t="s">
        <v>58</v>
      </c>
      <c r="D2561" s="22" t="s">
        <v>71</v>
      </c>
      <c r="E2561" s="58" t="s">
        <v>808</v>
      </c>
      <c r="F2561" s="56" t="s">
        <v>809</v>
      </c>
      <c r="G2561" s="26" t="s">
        <v>62</v>
      </c>
      <c r="H2561" s="25" t="s">
        <v>3393</v>
      </c>
      <c r="I2561" s="26" t="s">
        <v>64</v>
      </c>
      <c r="J2561" s="56" t="s">
        <v>3394</v>
      </c>
      <c r="K2561" s="59"/>
      <c r="L2561" s="48"/>
      <c r="M2561" s="49">
        <v>44866</v>
      </c>
      <c r="N2561" s="49" t="s">
        <v>66</v>
      </c>
      <c r="O2561" s="60">
        <v>6398.4</v>
      </c>
      <c r="P2561" s="61">
        <v>1</v>
      </c>
      <c r="Q2561" s="51">
        <f t="shared" si="60"/>
        <v>6398.4</v>
      </c>
      <c r="R2561" s="31">
        <v>202310</v>
      </c>
      <c r="S2561" s="62" t="s">
        <v>3395</v>
      </c>
      <c r="T2561" s="33"/>
      <c r="U2561" s="42"/>
      <c r="V2561" s="42"/>
      <c r="W2561" s="38"/>
      <c r="X2561" s="38"/>
      <c r="Y2561" s="36">
        <v>44743</v>
      </c>
      <c r="Z2561" s="36">
        <v>45291</v>
      </c>
      <c r="AA2561" s="36"/>
      <c r="AB2561" s="36"/>
      <c r="AC2561" s="36"/>
      <c r="AD2561" s="36"/>
      <c r="AE2561" s="36"/>
      <c r="AF2561" s="53" t="s">
        <v>68</v>
      </c>
      <c r="AG2561" s="42"/>
      <c r="AH2561" s="42"/>
      <c r="AI2561" s="43"/>
      <c r="AJ2561" s="43"/>
      <c r="AK2561" s="43"/>
      <c r="AL2561" s="43"/>
      <c r="AM2561" s="43"/>
      <c r="AN2561" s="42"/>
      <c r="AO2561" s="42"/>
      <c r="AP2561" s="42"/>
      <c r="AQ2561" s="43"/>
      <c r="AR2561" s="42"/>
      <c r="AS2561" s="42"/>
    </row>
    <row r="2562" spans="1:45" ht="15" customHeight="1">
      <c r="A2562" s="56" t="s">
        <v>57</v>
      </c>
      <c r="B2562" s="21" t="s">
        <v>46</v>
      </c>
      <c r="C2562" s="57" t="s">
        <v>58</v>
      </c>
      <c r="D2562" s="22" t="s">
        <v>71</v>
      </c>
      <c r="E2562" s="58" t="s">
        <v>808</v>
      </c>
      <c r="F2562" s="56" t="s">
        <v>809</v>
      </c>
      <c r="G2562" s="26" t="s">
        <v>62</v>
      </c>
      <c r="H2562" s="25" t="s">
        <v>3393</v>
      </c>
      <c r="I2562" s="26" t="s">
        <v>64</v>
      </c>
      <c r="J2562" s="56" t="s">
        <v>3396</v>
      </c>
      <c r="K2562" s="59"/>
      <c r="L2562" s="48"/>
      <c r="M2562" s="49">
        <v>44774</v>
      </c>
      <c r="N2562" s="49" t="s">
        <v>1801</v>
      </c>
      <c r="O2562" s="60">
        <v>10000</v>
      </c>
      <c r="P2562" s="61">
        <v>1</v>
      </c>
      <c r="Q2562" s="51">
        <f t="shared" si="60"/>
        <v>10000</v>
      </c>
      <c r="R2562" s="31">
        <v>202310</v>
      </c>
      <c r="S2562" s="58" t="s">
        <v>3396</v>
      </c>
      <c r="T2562" s="33"/>
      <c r="U2562" s="42"/>
      <c r="V2562" s="42"/>
      <c r="W2562" s="38"/>
      <c r="X2562" s="38"/>
      <c r="Y2562" s="36">
        <v>44743</v>
      </c>
      <c r="Z2562" s="36">
        <v>45291</v>
      </c>
      <c r="AA2562" s="36"/>
      <c r="AB2562" s="36"/>
      <c r="AC2562" s="36"/>
      <c r="AD2562" s="36"/>
      <c r="AE2562" s="36"/>
      <c r="AF2562" s="53" t="s">
        <v>68</v>
      </c>
      <c r="AG2562" s="42"/>
      <c r="AH2562" s="42"/>
      <c r="AI2562" s="43"/>
      <c r="AJ2562" s="43"/>
      <c r="AK2562" s="43"/>
      <c r="AL2562" s="43"/>
      <c r="AM2562" s="43"/>
      <c r="AN2562" s="42"/>
      <c r="AO2562" s="42"/>
      <c r="AP2562" s="42"/>
      <c r="AQ2562" s="43"/>
      <c r="AR2562" s="42"/>
      <c r="AS2562" s="42"/>
    </row>
    <row r="2563" spans="1:45" ht="15" customHeight="1">
      <c r="A2563" s="56" t="s">
        <v>57</v>
      </c>
      <c r="B2563" s="21" t="s">
        <v>46</v>
      </c>
      <c r="C2563" s="57" t="s">
        <v>58</v>
      </c>
      <c r="D2563" s="22" t="s">
        <v>71</v>
      </c>
      <c r="E2563" s="58" t="s">
        <v>808</v>
      </c>
      <c r="F2563" s="56" t="s">
        <v>809</v>
      </c>
      <c r="G2563" s="26" t="s">
        <v>62</v>
      </c>
      <c r="H2563" s="25" t="s">
        <v>3393</v>
      </c>
      <c r="I2563" s="26" t="s">
        <v>64</v>
      </c>
      <c r="J2563" s="56" t="s">
        <v>3397</v>
      </c>
      <c r="K2563" s="59"/>
      <c r="L2563" s="48"/>
      <c r="M2563" s="49">
        <v>44805</v>
      </c>
      <c r="N2563" s="49" t="s">
        <v>1801</v>
      </c>
      <c r="O2563" s="60">
        <v>6000</v>
      </c>
      <c r="P2563" s="61">
        <v>1</v>
      </c>
      <c r="Q2563" s="51">
        <f t="shared" si="60"/>
        <v>6000</v>
      </c>
      <c r="R2563" s="31">
        <v>202310</v>
      </c>
      <c r="S2563" s="58" t="s">
        <v>3397</v>
      </c>
      <c r="T2563" s="33"/>
      <c r="U2563" s="42"/>
      <c r="V2563" s="42"/>
      <c r="W2563" s="38"/>
      <c r="X2563" s="38"/>
      <c r="Y2563" s="36">
        <v>44743</v>
      </c>
      <c r="Z2563" s="36">
        <v>45291</v>
      </c>
      <c r="AA2563" s="36"/>
      <c r="AB2563" s="36"/>
      <c r="AC2563" s="36"/>
      <c r="AD2563" s="36"/>
      <c r="AE2563" s="36"/>
      <c r="AF2563" s="53" t="s">
        <v>68</v>
      </c>
      <c r="AG2563" s="42"/>
      <c r="AH2563" s="42"/>
      <c r="AI2563" s="43"/>
      <c r="AJ2563" s="43"/>
      <c r="AK2563" s="43"/>
      <c r="AL2563" s="43"/>
      <c r="AM2563" s="43"/>
      <c r="AN2563" s="42"/>
      <c r="AO2563" s="42"/>
      <c r="AP2563" s="42"/>
      <c r="AQ2563" s="43"/>
      <c r="AR2563" s="42"/>
      <c r="AS2563" s="42"/>
    </row>
    <row r="2564" spans="1:45" ht="15" customHeight="1">
      <c r="A2564" s="56" t="s">
        <v>57</v>
      </c>
      <c r="B2564" s="21" t="s">
        <v>46</v>
      </c>
      <c r="C2564" s="57" t="s">
        <v>58</v>
      </c>
      <c r="D2564" s="22" t="s">
        <v>71</v>
      </c>
      <c r="E2564" s="58" t="s">
        <v>808</v>
      </c>
      <c r="F2564" s="56" t="s">
        <v>809</v>
      </c>
      <c r="G2564" s="26" t="s">
        <v>77</v>
      </c>
      <c r="H2564" s="25" t="s">
        <v>3393</v>
      </c>
      <c r="I2564" s="26" t="s">
        <v>78</v>
      </c>
      <c r="J2564" s="56" t="s">
        <v>3398</v>
      </c>
      <c r="K2564" s="59"/>
      <c r="L2564" s="48" t="s">
        <v>3399</v>
      </c>
      <c r="M2564" s="49">
        <v>44774</v>
      </c>
      <c r="N2564" s="49" t="s">
        <v>90</v>
      </c>
      <c r="O2564" s="60">
        <v>8000</v>
      </c>
      <c r="P2564" s="61">
        <v>3</v>
      </c>
      <c r="Q2564" s="51">
        <f t="shared" si="60"/>
        <v>24000</v>
      </c>
      <c r="R2564" s="31">
        <v>202310</v>
      </c>
      <c r="S2564" s="58" t="s">
        <v>3400</v>
      </c>
      <c r="T2564" s="33"/>
      <c r="U2564" s="42"/>
      <c r="V2564" s="42"/>
      <c r="W2564" s="38"/>
      <c r="X2564" s="38"/>
      <c r="Y2564" s="36">
        <v>44743</v>
      </c>
      <c r="Z2564" s="36">
        <v>45291</v>
      </c>
      <c r="AA2564" s="36"/>
      <c r="AB2564" s="36"/>
      <c r="AC2564" s="36"/>
      <c r="AD2564" s="36"/>
      <c r="AE2564" s="36"/>
      <c r="AF2564" s="53" t="s">
        <v>68</v>
      </c>
      <c r="AG2564" s="42"/>
      <c r="AH2564" s="42"/>
      <c r="AI2564" s="43"/>
      <c r="AJ2564" s="43"/>
      <c r="AK2564" s="43"/>
      <c r="AL2564" s="43"/>
      <c r="AM2564" s="43"/>
      <c r="AN2564" s="42"/>
      <c r="AO2564" s="42"/>
      <c r="AP2564" s="42"/>
      <c r="AQ2564" s="43"/>
      <c r="AR2564" s="42"/>
      <c r="AS2564" s="42"/>
    </row>
    <row r="2565" spans="1:45" ht="15" customHeight="1">
      <c r="A2565" s="56" t="s">
        <v>57</v>
      </c>
      <c r="B2565" s="21" t="s">
        <v>46</v>
      </c>
      <c r="C2565" s="57" t="s">
        <v>58</v>
      </c>
      <c r="D2565" s="22" t="s">
        <v>71</v>
      </c>
      <c r="E2565" s="58" t="s">
        <v>808</v>
      </c>
      <c r="F2565" s="56" t="s">
        <v>809</v>
      </c>
      <c r="G2565" s="26" t="s">
        <v>77</v>
      </c>
      <c r="H2565" s="25" t="s">
        <v>3393</v>
      </c>
      <c r="I2565" s="26" t="s">
        <v>78</v>
      </c>
      <c r="J2565" s="56" t="s">
        <v>3398</v>
      </c>
      <c r="K2565" s="59"/>
      <c r="L2565" s="48" t="s">
        <v>3401</v>
      </c>
      <c r="M2565" s="49">
        <v>44774</v>
      </c>
      <c r="N2565" s="49" t="s">
        <v>90</v>
      </c>
      <c r="O2565" s="60">
        <v>8000</v>
      </c>
      <c r="P2565" s="61">
        <v>1</v>
      </c>
      <c r="Q2565" s="51">
        <f t="shared" si="60"/>
        <v>8000</v>
      </c>
      <c r="R2565" s="31">
        <v>202310</v>
      </c>
      <c r="S2565" s="58" t="s">
        <v>3402</v>
      </c>
      <c r="T2565" s="33"/>
      <c r="U2565" s="42"/>
      <c r="V2565" s="42"/>
      <c r="W2565" s="38"/>
      <c r="X2565" s="38"/>
      <c r="Y2565" s="36">
        <v>44743</v>
      </c>
      <c r="Z2565" s="36">
        <v>45291</v>
      </c>
      <c r="AA2565" s="36"/>
      <c r="AB2565" s="36"/>
      <c r="AC2565" s="36"/>
      <c r="AD2565" s="36"/>
      <c r="AE2565" s="36"/>
      <c r="AF2565" s="53" t="s">
        <v>68</v>
      </c>
      <c r="AG2565" s="42"/>
      <c r="AH2565" s="42"/>
      <c r="AI2565" s="43"/>
      <c r="AJ2565" s="43"/>
      <c r="AK2565" s="43"/>
      <c r="AL2565" s="43"/>
      <c r="AM2565" s="43"/>
      <c r="AN2565" s="42"/>
      <c r="AO2565" s="42"/>
      <c r="AP2565" s="42"/>
      <c r="AQ2565" s="43"/>
      <c r="AR2565" s="42"/>
      <c r="AS2565" s="42"/>
    </row>
    <row r="2566" spans="1:45" ht="15" customHeight="1">
      <c r="A2566" s="56" t="s">
        <v>57</v>
      </c>
      <c r="B2566" s="21" t="s">
        <v>46</v>
      </c>
      <c r="C2566" s="57" t="s">
        <v>58</v>
      </c>
      <c r="D2566" s="22" t="s">
        <v>71</v>
      </c>
      <c r="E2566" s="58" t="s">
        <v>808</v>
      </c>
      <c r="F2566" s="56" t="s">
        <v>809</v>
      </c>
      <c r="G2566" s="26" t="s">
        <v>77</v>
      </c>
      <c r="H2566" s="25" t="s">
        <v>3393</v>
      </c>
      <c r="I2566" s="26" t="s">
        <v>78</v>
      </c>
      <c r="J2566" s="56" t="s">
        <v>3398</v>
      </c>
      <c r="K2566" s="59"/>
      <c r="L2566" s="48" t="s">
        <v>3403</v>
      </c>
      <c r="M2566" s="49">
        <v>44774</v>
      </c>
      <c r="N2566" s="49" t="s">
        <v>90</v>
      </c>
      <c r="O2566" s="60">
        <v>8000</v>
      </c>
      <c r="P2566" s="61">
        <v>3</v>
      </c>
      <c r="Q2566" s="51">
        <f t="shared" si="60"/>
        <v>24000</v>
      </c>
      <c r="R2566" s="31">
        <v>202310</v>
      </c>
      <c r="S2566" s="58" t="s">
        <v>3404</v>
      </c>
      <c r="T2566" s="33"/>
      <c r="U2566" s="42"/>
      <c r="V2566" s="42"/>
      <c r="W2566" s="38"/>
      <c r="X2566" s="38"/>
      <c r="Y2566" s="36">
        <v>44743</v>
      </c>
      <c r="Z2566" s="36">
        <v>45291</v>
      </c>
      <c r="AA2566" s="36"/>
      <c r="AB2566" s="36"/>
      <c r="AC2566" s="36"/>
      <c r="AD2566" s="36"/>
      <c r="AE2566" s="36"/>
      <c r="AF2566" s="53" t="s">
        <v>68</v>
      </c>
      <c r="AG2566" s="42"/>
      <c r="AH2566" s="42"/>
      <c r="AI2566" s="43"/>
      <c r="AJ2566" s="43"/>
      <c r="AK2566" s="43"/>
      <c r="AL2566" s="43"/>
      <c r="AM2566" s="43"/>
      <c r="AN2566" s="42"/>
      <c r="AO2566" s="42"/>
      <c r="AP2566" s="42"/>
      <c r="AQ2566" s="43"/>
      <c r="AR2566" s="42"/>
      <c r="AS2566" s="42"/>
    </row>
    <row r="2567" spans="1:45" ht="15" customHeight="1">
      <c r="A2567" s="56" t="s">
        <v>57</v>
      </c>
      <c r="B2567" s="21" t="s">
        <v>46</v>
      </c>
      <c r="C2567" s="57" t="s">
        <v>58</v>
      </c>
      <c r="D2567" s="22" t="s">
        <v>71</v>
      </c>
      <c r="E2567" s="58" t="s">
        <v>808</v>
      </c>
      <c r="F2567" s="56" t="s">
        <v>809</v>
      </c>
      <c r="G2567" s="26" t="s">
        <v>77</v>
      </c>
      <c r="H2567" s="25" t="s">
        <v>3393</v>
      </c>
      <c r="I2567" s="26" t="s">
        <v>78</v>
      </c>
      <c r="J2567" s="56" t="s">
        <v>3405</v>
      </c>
      <c r="K2567" s="59"/>
      <c r="L2567" s="48" t="s">
        <v>3406</v>
      </c>
      <c r="M2567" s="49">
        <v>44743</v>
      </c>
      <c r="N2567" s="49" t="s">
        <v>90</v>
      </c>
      <c r="O2567" s="60">
        <v>8000</v>
      </c>
      <c r="P2567" s="61">
        <v>1</v>
      </c>
      <c r="Q2567" s="51">
        <f t="shared" si="60"/>
        <v>8000</v>
      </c>
      <c r="R2567" s="31">
        <v>202310</v>
      </c>
      <c r="S2567" s="58" t="s">
        <v>3407</v>
      </c>
      <c r="T2567" s="33"/>
      <c r="U2567" s="42"/>
      <c r="V2567" s="42"/>
      <c r="W2567" s="38"/>
      <c r="X2567" s="38"/>
      <c r="Y2567" s="36">
        <v>44743</v>
      </c>
      <c r="Z2567" s="36">
        <v>45291</v>
      </c>
      <c r="AA2567" s="36"/>
      <c r="AB2567" s="36"/>
      <c r="AC2567" s="36"/>
      <c r="AD2567" s="36"/>
      <c r="AE2567" s="36"/>
      <c r="AF2567" s="53" t="s">
        <v>68</v>
      </c>
      <c r="AG2567" s="42"/>
      <c r="AH2567" s="42"/>
      <c r="AI2567" s="43"/>
      <c r="AJ2567" s="43"/>
      <c r="AK2567" s="43"/>
      <c r="AL2567" s="43"/>
      <c r="AM2567" s="43"/>
      <c r="AN2567" s="42"/>
      <c r="AO2567" s="42"/>
      <c r="AP2567" s="42"/>
      <c r="AQ2567" s="43"/>
      <c r="AR2567" s="42"/>
      <c r="AS2567" s="42"/>
    </row>
    <row r="2568" spans="1:45" ht="15" customHeight="1">
      <c r="A2568" s="56" t="s">
        <v>57</v>
      </c>
      <c r="B2568" s="21" t="s">
        <v>46</v>
      </c>
      <c r="C2568" s="57" t="s">
        <v>58</v>
      </c>
      <c r="D2568" s="22" t="s">
        <v>71</v>
      </c>
      <c r="E2568" s="58" t="s">
        <v>808</v>
      </c>
      <c r="F2568" s="56" t="s">
        <v>809</v>
      </c>
      <c r="G2568" s="26" t="s">
        <v>77</v>
      </c>
      <c r="H2568" s="25" t="s">
        <v>3393</v>
      </c>
      <c r="I2568" s="26" t="s">
        <v>78</v>
      </c>
      <c r="J2568" s="56" t="s">
        <v>3405</v>
      </c>
      <c r="K2568" s="59"/>
      <c r="L2568" s="48" t="s">
        <v>3408</v>
      </c>
      <c r="M2568" s="49">
        <v>44743</v>
      </c>
      <c r="N2568" s="49" t="s">
        <v>90</v>
      </c>
      <c r="O2568" s="60">
        <v>8000</v>
      </c>
      <c r="P2568" s="61">
        <v>3</v>
      </c>
      <c r="Q2568" s="51">
        <f t="shared" si="60"/>
        <v>24000</v>
      </c>
      <c r="R2568" s="31">
        <v>202310</v>
      </c>
      <c r="S2568" s="58" t="s">
        <v>3409</v>
      </c>
      <c r="T2568" s="33"/>
      <c r="U2568" s="42"/>
      <c r="V2568" s="42"/>
      <c r="W2568" s="38"/>
      <c r="X2568" s="38"/>
      <c r="Y2568" s="36">
        <v>44743</v>
      </c>
      <c r="Z2568" s="36">
        <v>45291</v>
      </c>
      <c r="AA2568" s="36"/>
      <c r="AB2568" s="36"/>
      <c r="AC2568" s="36"/>
      <c r="AD2568" s="36"/>
      <c r="AE2568" s="36"/>
      <c r="AF2568" s="53" t="s">
        <v>68</v>
      </c>
      <c r="AG2568" s="42"/>
      <c r="AH2568" s="42"/>
      <c r="AI2568" s="43"/>
      <c r="AJ2568" s="43"/>
      <c r="AK2568" s="43"/>
      <c r="AL2568" s="43"/>
      <c r="AM2568" s="43"/>
      <c r="AN2568" s="42"/>
      <c r="AO2568" s="42"/>
      <c r="AP2568" s="42"/>
      <c r="AQ2568" s="43"/>
      <c r="AR2568" s="42"/>
      <c r="AS2568" s="42"/>
    </row>
    <row r="2569" spans="1:45" ht="15" customHeight="1">
      <c r="A2569" s="56" t="s">
        <v>57</v>
      </c>
      <c r="B2569" s="21" t="s">
        <v>46</v>
      </c>
      <c r="C2569" s="57" t="s">
        <v>58</v>
      </c>
      <c r="D2569" s="22" t="s">
        <v>71</v>
      </c>
      <c r="E2569" s="58" t="s">
        <v>808</v>
      </c>
      <c r="F2569" s="56" t="s">
        <v>809</v>
      </c>
      <c r="G2569" s="26" t="s">
        <v>77</v>
      </c>
      <c r="H2569" s="25" t="s">
        <v>3393</v>
      </c>
      <c r="I2569" s="26" t="s">
        <v>78</v>
      </c>
      <c r="J2569" s="56" t="s">
        <v>3405</v>
      </c>
      <c r="K2569" s="59"/>
      <c r="L2569" s="48" t="s">
        <v>3410</v>
      </c>
      <c r="M2569" s="49">
        <v>44743</v>
      </c>
      <c r="N2569" s="49" t="s">
        <v>90</v>
      </c>
      <c r="O2569" s="60">
        <v>8000</v>
      </c>
      <c r="P2569" s="61">
        <v>1</v>
      </c>
      <c r="Q2569" s="51">
        <f t="shared" si="60"/>
        <v>8000</v>
      </c>
      <c r="R2569" s="31">
        <v>202310</v>
      </c>
      <c r="S2569" s="58" t="s">
        <v>3411</v>
      </c>
      <c r="T2569" s="33"/>
      <c r="U2569" s="42"/>
      <c r="V2569" s="42"/>
      <c r="W2569" s="38"/>
      <c r="X2569" s="38"/>
      <c r="Y2569" s="36">
        <v>44743</v>
      </c>
      <c r="Z2569" s="36">
        <v>45291</v>
      </c>
      <c r="AA2569" s="36"/>
      <c r="AB2569" s="36"/>
      <c r="AC2569" s="36"/>
      <c r="AD2569" s="36"/>
      <c r="AE2569" s="36"/>
      <c r="AF2569" s="53" t="s">
        <v>68</v>
      </c>
      <c r="AG2569" s="42"/>
      <c r="AH2569" s="42"/>
      <c r="AI2569" s="43"/>
      <c r="AJ2569" s="43"/>
      <c r="AK2569" s="43"/>
      <c r="AL2569" s="43"/>
      <c r="AM2569" s="43"/>
      <c r="AN2569" s="42"/>
      <c r="AO2569" s="42"/>
      <c r="AP2569" s="42"/>
      <c r="AQ2569" s="43"/>
      <c r="AR2569" s="42"/>
      <c r="AS2569" s="42"/>
    </row>
    <row r="2570" spans="1:45" ht="15" customHeight="1">
      <c r="A2570" s="56" t="s">
        <v>57</v>
      </c>
      <c r="B2570" s="21" t="s">
        <v>46</v>
      </c>
      <c r="C2570" s="57" t="s">
        <v>58</v>
      </c>
      <c r="D2570" s="22" t="s">
        <v>71</v>
      </c>
      <c r="E2570" s="58" t="s">
        <v>808</v>
      </c>
      <c r="F2570" s="56" t="s">
        <v>809</v>
      </c>
      <c r="G2570" s="26" t="s">
        <v>114</v>
      </c>
      <c r="H2570" s="25" t="s">
        <v>3412</v>
      </c>
      <c r="I2570" s="26" t="s">
        <v>114</v>
      </c>
      <c r="J2570" s="225" t="s">
        <v>3413</v>
      </c>
      <c r="K2570" s="59"/>
      <c r="L2570" s="48"/>
      <c r="M2570" s="75" t="s">
        <v>3414</v>
      </c>
      <c r="N2570" s="49" t="s">
        <v>3415</v>
      </c>
      <c r="O2570" s="60">
        <f>692836.04+571201.32</f>
        <v>1264037.3599999999</v>
      </c>
      <c r="P2570" s="61">
        <v>1</v>
      </c>
      <c r="Q2570" s="51">
        <f t="shared" si="60"/>
        <v>1264037.3600000001</v>
      </c>
      <c r="R2570" s="31">
        <v>202310</v>
      </c>
      <c r="S2570" s="62" t="s">
        <v>3416</v>
      </c>
      <c r="T2570" s="33"/>
      <c r="U2570" s="42"/>
      <c r="V2570" s="42"/>
      <c r="W2570" s="38"/>
      <c r="X2570" s="38"/>
      <c r="Y2570" s="36">
        <v>43682</v>
      </c>
      <c r="Z2570" s="36">
        <v>45508</v>
      </c>
      <c r="AA2570" s="36"/>
      <c r="AB2570" s="36"/>
      <c r="AC2570" s="36"/>
      <c r="AD2570" s="36"/>
      <c r="AE2570" s="36"/>
      <c r="AF2570" s="53" t="s">
        <v>68</v>
      </c>
      <c r="AG2570" s="42"/>
      <c r="AH2570" s="42"/>
      <c r="AI2570" s="43"/>
      <c r="AJ2570" s="43"/>
      <c r="AK2570" s="43"/>
      <c r="AL2570" s="43"/>
      <c r="AM2570" s="43"/>
      <c r="AN2570" s="42"/>
      <c r="AO2570" s="42"/>
      <c r="AP2570" s="42"/>
      <c r="AQ2570" s="43"/>
      <c r="AR2570" s="42"/>
      <c r="AS2570" s="42"/>
    </row>
    <row r="2571" spans="1:45" ht="15" customHeight="1">
      <c r="A2571" s="56" t="s">
        <v>57</v>
      </c>
      <c r="B2571" s="21" t="s">
        <v>46</v>
      </c>
      <c r="C2571" s="57" t="s">
        <v>58</v>
      </c>
      <c r="D2571" s="22" t="s">
        <v>71</v>
      </c>
      <c r="E2571" s="58" t="s">
        <v>808</v>
      </c>
      <c r="F2571" s="56" t="s">
        <v>809</v>
      </c>
      <c r="G2571" s="26" t="s">
        <v>114</v>
      </c>
      <c r="H2571" s="25" t="s">
        <v>3412</v>
      </c>
      <c r="I2571" s="26" t="s">
        <v>114</v>
      </c>
      <c r="J2571" s="56" t="s">
        <v>3417</v>
      </c>
      <c r="K2571" s="59"/>
      <c r="L2571" s="48"/>
      <c r="M2571" s="49">
        <v>44866</v>
      </c>
      <c r="N2571" s="49" t="s">
        <v>3418</v>
      </c>
      <c r="O2571" s="60">
        <v>2455324.62</v>
      </c>
      <c r="P2571" s="61">
        <v>1</v>
      </c>
      <c r="Q2571" s="51">
        <f t="shared" si="60"/>
        <v>2455324.62</v>
      </c>
      <c r="R2571" s="31">
        <v>202310</v>
      </c>
      <c r="S2571" s="58" t="s">
        <v>3419</v>
      </c>
      <c r="T2571" s="33"/>
      <c r="U2571" s="42"/>
      <c r="V2571" s="42"/>
      <c r="W2571" s="38"/>
      <c r="X2571" s="38"/>
      <c r="Y2571" s="36">
        <v>43682</v>
      </c>
      <c r="Z2571" s="36">
        <v>45508</v>
      </c>
      <c r="AA2571" s="36"/>
      <c r="AB2571" s="36"/>
      <c r="AC2571" s="36"/>
      <c r="AD2571" s="36"/>
      <c r="AE2571" s="36"/>
      <c r="AF2571" s="53" t="s">
        <v>68</v>
      </c>
      <c r="AG2571" s="42"/>
      <c r="AH2571" s="42"/>
      <c r="AI2571" s="43"/>
      <c r="AJ2571" s="43"/>
      <c r="AK2571" s="43"/>
      <c r="AL2571" s="43"/>
      <c r="AM2571" s="43"/>
      <c r="AN2571" s="42"/>
      <c r="AO2571" s="42"/>
      <c r="AP2571" s="42"/>
      <c r="AQ2571" s="43"/>
      <c r="AR2571" s="42"/>
      <c r="AS2571" s="42"/>
    </row>
    <row r="2572" spans="1:45" ht="15" customHeight="1">
      <c r="A2572" s="56" t="s">
        <v>57</v>
      </c>
      <c r="B2572" s="21" t="s">
        <v>46</v>
      </c>
      <c r="C2572" s="57" t="s">
        <v>58</v>
      </c>
      <c r="D2572" s="22" t="s">
        <v>71</v>
      </c>
      <c r="E2572" s="58" t="s">
        <v>808</v>
      </c>
      <c r="F2572" s="56" t="s">
        <v>809</v>
      </c>
      <c r="G2572" s="26" t="s">
        <v>62</v>
      </c>
      <c r="H2572" s="25" t="s">
        <v>3420</v>
      </c>
      <c r="I2572" s="26" t="s">
        <v>64</v>
      </c>
      <c r="J2572" s="56" t="s">
        <v>3421</v>
      </c>
      <c r="K2572" s="59"/>
      <c r="L2572" s="48"/>
      <c r="M2572" s="49">
        <v>44939</v>
      </c>
      <c r="N2572" s="49" t="s">
        <v>2735</v>
      </c>
      <c r="O2572" s="60">
        <v>422.74639353721869</v>
      </c>
      <c r="P2572" s="61">
        <v>69.319999999999993</v>
      </c>
      <c r="Q2572" s="51">
        <f>ROUND(O2572*P2572,2)-0.02</f>
        <v>29304.76</v>
      </c>
      <c r="R2572" s="31">
        <v>202310</v>
      </c>
      <c r="S2572" s="62" t="s">
        <v>3421</v>
      </c>
      <c r="T2572" s="33"/>
      <c r="U2572" s="58"/>
      <c r="V2572" s="58"/>
      <c r="W2572" s="63"/>
      <c r="X2572" s="63"/>
      <c r="Y2572" s="36">
        <v>44927</v>
      </c>
      <c r="Z2572" s="36">
        <v>45382</v>
      </c>
      <c r="AA2572" s="36"/>
      <c r="AB2572" s="36"/>
      <c r="AC2572" s="36"/>
      <c r="AD2572" s="36"/>
      <c r="AE2572" s="36"/>
      <c r="AF2572" s="53" t="s">
        <v>68</v>
      </c>
      <c r="AG2572" s="42"/>
      <c r="AH2572" s="42"/>
      <c r="AI2572" s="43"/>
      <c r="AJ2572" s="43"/>
      <c r="AK2572" s="43"/>
      <c r="AL2572" s="43"/>
      <c r="AM2572" s="43"/>
      <c r="AN2572" s="42"/>
      <c r="AO2572" s="42"/>
      <c r="AP2572" s="42"/>
      <c r="AQ2572" s="43" t="s">
        <v>3422</v>
      </c>
      <c r="AR2572" s="42"/>
      <c r="AS2572" s="42"/>
    </row>
    <row r="2573" spans="1:45" ht="15" customHeight="1">
      <c r="A2573" s="56" t="s">
        <v>57</v>
      </c>
      <c r="B2573" s="21" t="s">
        <v>46</v>
      </c>
      <c r="C2573" s="57" t="s">
        <v>58</v>
      </c>
      <c r="D2573" s="22" t="s">
        <v>71</v>
      </c>
      <c r="E2573" s="58" t="s">
        <v>808</v>
      </c>
      <c r="F2573" s="56" t="s">
        <v>809</v>
      </c>
      <c r="G2573" s="26" t="s">
        <v>62</v>
      </c>
      <c r="H2573" s="25" t="s">
        <v>3420</v>
      </c>
      <c r="I2573" s="26" t="s">
        <v>64</v>
      </c>
      <c r="J2573" s="56" t="s">
        <v>3423</v>
      </c>
      <c r="K2573" s="59"/>
      <c r="L2573" s="48"/>
      <c r="M2573" s="49">
        <v>44939</v>
      </c>
      <c r="N2573" s="49" t="s">
        <v>2735</v>
      </c>
      <c r="O2573" s="60">
        <v>422.74639353721869</v>
      </c>
      <c r="P2573" s="61">
        <v>31</v>
      </c>
      <c r="Q2573" s="51">
        <f t="shared" ref="Q2573:Q2632" si="61">ROUND(O2573*P2573,2)</f>
        <v>13105.14</v>
      </c>
      <c r="R2573" s="31">
        <v>202310</v>
      </c>
      <c r="S2573" s="62" t="s">
        <v>3423</v>
      </c>
      <c r="T2573" s="33"/>
      <c r="U2573" s="58"/>
      <c r="V2573" s="58"/>
      <c r="W2573" s="63"/>
      <c r="X2573" s="63"/>
      <c r="Y2573" s="36">
        <v>44927</v>
      </c>
      <c r="Z2573" s="36">
        <v>45382</v>
      </c>
      <c r="AA2573" s="36"/>
      <c r="AB2573" s="36"/>
      <c r="AC2573" s="36"/>
      <c r="AD2573" s="36"/>
      <c r="AE2573" s="36"/>
      <c r="AF2573" s="53" t="s">
        <v>68</v>
      </c>
      <c r="AG2573" s="42"/>
      <c r="AH2573" s="42"/>
      <c r="AI2573" s="43"/>
      <c r="AJ2573" s="43"/>
      <c r="AK2573" s="43"/>
      <c r="AL2573" s="43"/>
      <c r="AM2573" s="43"/>
      <c r="AN2573" s="42"/>
      <c r="AO2573" s="42"/>
      <c r="AP2573" s="42"/>
      <c r="AQ2573" s="43" t="s">
        <v>3422</v>
      </c>
      <c r="AR2573" s="42"/>
      <c r="AS2573" s="42"/>
    </row>
    <row r="2574" spans="1:45" ht="15" customHeight="1">
      <c r="A2574" s="56" t="s">
        <v>57</v>
      </c>
      <c r="B2574" s="21" t="s">
        <v>46</v>
      </c>
      <c r="C2574" s="57" t="s">
        <v>58</v>
      </c>
      <c r="D2574" s="22" t="s">
        <v>71</v>
      </c>
      <c r="E2574" s="58" t="s">
        <v>808</v>
      </c>
      <c r="F2574" s="56" t="s">
        <v>809</v>
      </c>
      <c r="G2574" s="26" t="s">
        <v>62</v>
      </c>
      <c r="H2574" s="25" t="s">
        <v>3420</v>
      </c>
      <c r="I2574" s="26" t="s">
        <v>64</v>
      </c>
      <c r="J2574" s="56" t="s">
        <v>3424</v>
      </c>
      <c r="K2574" s="59"/>
      <c r="L2574" s="48"/>
      <c r="M2574" s="49">
        <v>45017</v>
      </c>
      <c r="N2574" s="49" t="s">
        <v>2735</v>
      </c>
      <c r="O2574" s="60">
        <v>422.74639353721869</v>
      </c>
      <c r="P2574" s="61">
        <v>31</v>
      </c>
      <c r="Q2574" s="51">
        <f t="shared" si="61"/>
        <v>13105.14</v>
      </c>
      <c r="R2574" s="31">
        <v>202310</v>
      </c>
      <c r="S2574" s="62" t="s">
        <v>3424</v>
      </c>
      <c r="T2574" s="33"/>
      <c r="U2574" s="58"/>
      <c r="V2574" s="58"/>
      <c r="W2574" s="63"/>
      <c r="X2574" s="63"/>
      <c r="Y2574" s="36">
        <v>44927</v>
      </c>
      <c r="Z2574" s="36">
        <v>45382</v>
      </c>
      <c r="AA2574" s="36"/>
      <c r="AB2574" s="36"/>
      <c r="AC2574" s="36"/>
      <c r="AD2574" s="36"/>
      <c r="AE2574" s="36"/>
      <c r="AF2574" s="53" t="s">
        <v>68</v>
      </c>
      <c r="AG2574" s="42"/>
      <c r="AH2574" s="42"/>
      <c r="AI2574" s="43"/>
      <c r="AJ2574" s="43"/>
      <c r="AK2574" s="43"/>
      <c r="AL2574" s="43"/>
      <c r="AM2574" s="43"/>
      <c r="AN2574" s="42"/>
      <c r="AO2574" s="42"/>
      <c r="AP2574" s="42"/>
      <c r="AQ2574" s="43" t="s">
        <v>3422</v>
      </c>
      <c r="AR2574" s="42"/>
      <c r="AS2574" s="42"/>
    </row>
    <row r="2575" spans="1:45" ht="15" customHeight="1">
      <c r="A2575" s="56" t="s">
        <v>57</v>
      </c>
      <c r="B2575" s="21" t="s">
        <v>46</v>
      </c>
      <c r="C2575" s="57" t="s">
        <v>58</v>
      </c>
      <c r="D2575" s="22" t="s">
        <v>71</v>
      </c>
      <c r="E2575" s="58" t="s">
        <v>808</v>
      </c>
      <c r="F2575" s="56" t="s">
        <v>809</v>
      </c>
      <c r="G2575" s="26" t="s">
        <v>62</v>
      </c>
      <c r="H2575" s="25" t="s">
        <v>3420</v>
      </c>
      <c r="I2575" s="26" t="s">
        <v>64</v>
      </c>
      <c r="J2575" s="56" t="s">
        <v>3425</v>
      </c>
      <c r="K2575" s="59"/>
      <c r="L2575" s="48"/>
      <c r="M2575" s="49">
        <v>45017</v>
      </c>
      <c r="N2575" s="49" t="s">
        <v>2735</v>
      </c>
      <c r="O2575" s="60">
        <v>422.74639353721869</v>
      </c>
      <c r="P2575" s="61">
        <v>31</v>
      </c>
      <c r="Q2575" s="51">
        <f t="shared" si="61"/>
        <v>13105.14</v>
      </c>
      <c r="R2575" s="31">
        <v>202310</v>
      </c>
      <c r="S2575" s="62" t="s">
        <v>3425</v>
      </c>
      <c r="T2575" s="33"/>
      <c r="U2575" s="58"/>
      <c r="V2575" s="58"/>
      <c r="W2575" s="63"/>
      <c r="X2575" s="63"/>
      <c r="Y2575" s="36">
        <v>44927</v>
      </c>
      <c r="Z2575" s="36">
        <v>45382</v>
      </c>
      <c r="AA2575" s="36"/>
      <c r="AB2575" s="36"/>
      <c r="AC2575" s="36"/>
      <c r="AD2575" s="36"/>
      <c r="AE2575" s="36"/>
      <c r="AF2575" s="53" t="s">
        <v>68</v>
      </c>
      <c r="AG2575" s="42"/>
      <c r="AH2575" s="42"/>
      <c r="AI2575" s="43"/>
      <c r="AJ2575" s="43"/>
      <c r="AK2575" s="43"/>
      <c r="AL2575" s="43"/>
      <c r="AM2575" s="43"/>
      <c r="AN2575" s="42"/>
      <c r="AO2575" s="42"/>
      <c r="AP2575" s="42"/>
      <c r="AQ2575" s="43" t="s">
        <v>3422</v>
      </c>
      <c r="AR2575" s="42"/>
      <c r="AS2575" s="42"/>
    </row>
    <row r="2576" spans="1:45" ht="15" customHeight="1">
      <c r="A2576" s="56" t="s">
        <v>57</v>
      </c>
      <c r="B2576" s="21" t="s">
        <v>46</v>
      </c>
      <c r="C2576" s="57" t="s">
        <v>58</v>
      </c>
      <c r="D2576" s="22" t="s">
        <v>71</v>
      </c>
      <c r="E2576" s="58" t="s">
        <v>808</v>
      </c>
      <c r="F2576" s="56" t="s">
        <v>809</v>
      </c>
      <c r="G2576" s="26" t="s">
        <v>62</v>
      </c>
      <c r="H2576" s="25" t="s">
        <v>3420</v>
      </c>
      <c r="I2576" s="26" t="s">
        <v>64</v>
      </c>
      <c r="J2576" s="56" t="s">
        <v>3426</v>
      </c>
      <c r="K2576" s="59"/>
      <c r="L2576" s="48"/>
      <c r="M2576" s="49">
        <v>44927</v>
      </c>
      <c r="N2576" s="49" t="s">
        <v>66</v>
      </c>
      <c r="O2576" s="60">
        <v>422.74637137137137</v>
      </c>
      <c r="P2576" s="61">
        <v>79.92</v>
      </c>
      <c r="Q2576" s="51">
        <f t="shared" si="61"/>
        <v>33785.89</v>
      </c>
      <c r="R2576" s="31">
        <v>202310</v>
      </c>
      <c r="S2576" s="62" t="s">
        <v>3426</v>
      </c>
      <c r="T2576" s="33"/>
      <c r="U2576" s="58"/>
      <c r="V2576" s="58"/>
      <c r="W2576" s="63"/>
      <c r="X2576" s="63"/>
      <c r="Y2576" s="36">
        <v>44927</v>
      </c>
      <c r="Z2576" s="36">
        <v>45382</v>
      </c>
      <c r="AA2576" s="36"/>
      <c r="AB2576" s="36"/>
      <c r="AC2576" s="36"/>
      <c r="AD2576" s="36"/>
      <c r="AE2576" s="36"/>
      <c r="AF2576" s="53" t="s">
        <v>68</v>
      </c>
      <c r="AG2576" s="42"/>
      <c r="AH2576" s="42"/>
      <c r="AI2576" s="43"/>
      <c r="AJ2576" s="43"/>
      <c r="AK2576" s="43"/>
      <c r="AL2576" s="43"/>
      <c r="AM2576" s="43"/>
      <c r="AN2576" s="42"/>
      <c r="AO2576" s="42"/>
      <c r="AP2576" s="42"/>
      <c r="AQ2576" s="43" t="s">
        <v>3422</v>
      </c>
      <c r="AR2576" s="42"/>
      <c r="AS2576" s="42"/>
    </row>
    <row r="2577" spans="1:45" ht="15" customHeight="1">
      <c r="A2577" s="56" t="s">
        <v>57</v>
      </c>
      <c r="B2577" s="21" t="s">
        <v>46</v>
      </c>
      <c r="C2577" s="57" t="s">
        <v>58</v>
      </c>
      <c r="D2577" s="22" t="s">
        <v>71</v>
      </c>
      <c r="E2577" s="58" t="s">
        <v>808</v>
      </c>
      <c r="F2577" s="56" t="s">
        <v>809</v>
      </c>
      <c r="G2577" s="26" t="s">
        <v>62</v>
      </c>
      <c r="H2577" s="25" t="s">
        <v>3420</v>
      </c>
      <c r="I2577" s="26" t="s">
        <v>64</v>
      </c>
      <c r="J2577" s="56" t="s">
        <v>3427</v>
      </c>
      <c r="K2577" s="59"/>
      <c r="L2577" s="48"/>
      <c r="M2577" s="49">
        <v>44927</v>
      </c>
      <c r="N2577" s="49" t="s">
        <v>66</v>
      </c>
      <c r="O2577" s="60">
        <v>422.74630872483215</v>
      </c>
      <c r="P2577" s="61">
        <v>81.95</v>
      </c>
      <c r="Q2577" s="51">
        <f t="shared" si="61"/>
        <v>34644.06</v>
      </c>
      <c r="R2577" s="31">
        <v>202310</v>
      </c>
      <c r="S2577" s="62" t="s">
        <v>3427</v>
      </c>
      <c r="T2577" s="33"/>
      <c r="U2577" s="58"/>
      <c r="V2577" s="58"/>
      <c r="W2577" s="63"/>
      <c r="X2577" s="63"/>
      <c r="Y2577" s="36">
        <v>44927</v>
      </c>
      <c r="Z2577" s="36">
        <v>45382</v>
      </c>
      <c r="AA2577" s="36"/>
      <c r="AB2577" s="36"/>
      <c r="AC2577" s="36"/>
      <c r="AD2577" s="36"/>
      <c r="AE2577" s="36"/>
      <c r="AF2577" s="53" t="s">
        <v>68</v>
      </c>
      <c r="AG2577" s="42"/>
      <c r="AH2577" s="42"/>
      <c r="AI2577" s="43"/>
      <c r="AJ2577" s="43"/>
      <c r="AK2577" s="43"/>
      <c r="AL2577" s="43"/>
      <c r="AM2577" s="43"/>
      <c r="AN2577" s="42"/>
      <c r="AO2577" s="42"/>
      <c r="AP2577" s="42"/>
      <c r="AQ2577" s="43" t="s">
        <v>3422</v>
      </c>
      <c r="AR2577" s="42"/>
      <c r="AS2577" s="42"/>
    </row>
    <row r="2578" spans="1:45" ht="15" customHeight="1">
      <c r="A2578" s="56" t="s">
        <v>57</v>
      </c>
      <c r="B2578" s="21" t="s">
        <v>46</v>
      </c>
      <c r="C2578" s="57" t="s">
        <v>58</v>
      </c>
      <c r="D2578" s="22" t="s">
        <v>71</v>
      </c>
      <c r="E2578" s="58" t="s">
        <v>808</v>
      </c>
      <c r="F2578" s="56" t="s">
        <v>809</v>
      </c>
      <c r="G2578" s="26" t="s">
        <v>62</v>
      </c>
      <c r="H2578" s="25" t="s">
        <v>3420</v>
      </c>
      <c r="I2578" s="26" t="s">
        <v>64</v>
      </c>
      <c r="J2578" s="56" t="s">
        <v>3428</v>
      </c>
      <c r="K2578" s="59"/>
      <c r="L2578" s="48"/>
      <c r="M2578" s="49">
        <v>45017</v>
      </c>
      <c r="N2578" s="49" t="s">
        <v>66</v>
      </c>
      <c r="O2578" s="60">
        <v>342.76727605118828</v>
      </c>
      <c r="P2578" s="61">
        <v>54.7</v>
      </c>
      <c r="Q2578" s="51">
        <f t="shared" si="61"/>
        <v>18749.37</v>
      </c>
      <c r="R2578" s="31">
        <v>202310</v>
      </c>
      <c r="S2578" s="62" t="s">
        <v>3428</v>
      </c>
      <c r="T2578" s="33"/>
      <c r="U2578" s="58"/>
      <c r="V2578" s="58"/>
      <c r="W2578" s="63"/>
      <c r="X2578" s="63"/>
      <c r="Y2578" s="36">
        <v>44927</v>
      </c>
      <c r="Z2578" s="36">
        <v>45382</v>
      </c>
      <c r="AA2578" s="36"/>
      <c r="AB2578" s="36"/>
      <c r="AC2578" s="36"/>
      <c r="AD2578" s="36"/>
      <c r="AE2578" s="36"/>
      <c r="AF2578" s="53" t="s">
        <v>68</v>
      </c>
      <c r="AG2578" s="42"/>
      <c r="AH2578" s="42"/>
      <c r="AI2578" s="43"/>
      <c r="AJ2578" s="43"/>
      <c r="AK2578" s="43"/>
      <c r="AL2578" s="43"/>
      <c r="AM2578" s="43"/>
      <c r="AN2578" s="42"/>
      <c r="AO2578" s="42"/>
      <c r="AP2578" s="42"/>
      <c r="AQ2578" s="43" t="s">
        <v>3422</v>
      </c>
      <c r="AR2578" s="42"/>
      <c r="AS2578" s="42"/>
    </row>
    <row r="2579" spans="1:45" ht="15" customHeight="1">
      <c r="A2579" s="56" t="s">
        <v>57</v>
      </c>
      <c r="B2579" s="21" t="s">
        <v>46</v>
      </c>
      <c r="C2579" s="57" t="s">
        <v>58</v>
      </c>
      <c r="D2579" s="22" t="s">
        <v>71</v>
      </c>
      <c r="E2579" s="58" t="s">
        <v>808</v>
      </c>
      <c r="F2579" s="56" t="s">
        <v>809</v>
      </c>
      <c r="G2579" s="26" t="s">
        <v>62</v>
      </c>
      <c r="H2579" s="25" t="s">
        <v>3420</v>
      </c>
      <c r="I2579" s="26" t="s">
        <v>64</v>
      </c>
      <c r="J2579" s="56" t="s">
        <v>3429</v>
      </c>
      <c r="K2579" s="59"/>
      <c r="L2579" s="48"/>
      <c r="M2579" s="49">
        <v>45017</v>
      </c>
      <c r="N2579" s="49" t="s">
        <v>66</v>
      </c>
      <c r="O2579" s="60">
        <v>342.7672839506173</v>
      </c>
      <c r="P2579" s="61">
        <v>48.6</v>
      </c>
      <c r="Q2579" s="51">
        <f t="shared" si="61"/>
        <v>16658.490000000002</v>
      </c>
      <c r="R2579" s="31">
        <v>202310</v>
      </c>
      <c r="S2579" s="62" t="s">
        <v>3429</v>
      </c>
      <c r="T2579" s="33"/>
      <c r="U2579" s="58"/>
      <c r="V2579" s="58"/>
      <c r="W2579" s="63"/>
      <c r="X2579" s="63"/>
      <c r="Y2579" s="36">
        <v>44927</v>
      </c>
      <c r="Z2579" s="36">
        <v>45382</v>
      </c>
      <c r="AA2579" s="36"/>
      <c r="AB2579" s="36"/>
      <c r="AC2579" s="36"/>
      <c r="AD2579" s="36"/>
      <c r="AE2579" s="36"/>
      <c r="AF2579" s="53" t="s">
        <v>68</v>
      </c>
      <c r="AG2579" s="42"/>
      <c r="AH2579" s="42"/>
      <c r="AI2579" s="43"/>
      <c r="AJ2579" s="43"/>
      <c r="AK2579" s="43"/>
      <c r="AL2579" s="43"/>
      <c r="AM2579" s="43"/>
      <c r="AN2579" s="42"/>
      <c r="AO2579" s="42"/>
      <c r="AP2579" s="42"/>
      <c r="AQ2579" s="43" t="s">
        <v>3422</v>
      </c>
      <c r="AR2579" s="42"/>
      <c r="AS2579" s="42"/>
    </row>
    <row r="2580" spans="1:45" ht="15" customHeight="1">
      <c r="A2580" s="56" t="s">
        <v>57</v>
      </c>
      <c r="B2580" s="21" t="s">
        <v>46</v>
      </c>
      <c r="C2580" s="57" t="s">
        <v>58</v>
      </c>
      <c r="D2580" s="22" t="s">
        <v>71</v>
      </c>
      <c r="E2580" s="58" t="s">
        <v>808</v>
      </c>
      <c r="F2580" s="56" t="s">
        <v>809</v>
      </c>
      <c r="G2580" s="26" t="s">
        <v>62</v>
      </c>
      <c r="H2580" s="25" t="s">
        <v>3420</v>
      </c>
      <c r="I2580" s="26" t="s">
        <v>64</v>
      </c>
      <c r="J2580" s="56" t="s">
        <v>3430</v>
      </c>
      <c r="K2580" s="59"/>
      <c r="L2580" s="48"/>
      <c r="M2580" s="49">
        <v>45017</v>
      </c>
      <c r="N2580" s="49" t="s">
        <v>66</v>
      </c>
      <c r="O2580" s="60">
        <v>378.78787878787881</v>
      </c>
      <c r="P2580" s="61">
        <v>13.2</v>
      </c>
      <c r="Q2580" s="51">
        <f t="shared" si="61"/>
        <v>5000</v>
      </c>
      <c r="R2580" s="31">
        <v>202310</v>
      </c>
      <c r="S2580" s="62" t="s">
        <v>3430</v>
      </c>
      <c r="T2580" s="33"/>
      <c r="U2580" s="58"/>
      <c r="V2580" s="58"/>
      <c r="W2580" s="63"/>
      <c r="X2580" s="63"/>
      <c r="Y2580" s="36">
        <v>44927</v>
      </c>
      <c r="Z2580" s="36">
        <v>45382</v>
      </c>
      <c r="AA2580" s="36"/>
      <c r="AB2580" s="36"/>
      <c r="AC2580" s="36"/>
      <c r="AD2580" s="36"/>
      <c r="AE2580" s="36"/>
      <c r="AF2580" s="53" t="s">
        <v>68</v>
      </c>
      <c r="AG2580" s="42"/>
      <c r="AH2580" s="42"/>
      <c r="AI2580" s="43"/>
      <c r="AJ2580" s="43"/>
      <c r="AK2580" s="43"/>
      <c r="AL2580" s="43"/>
      <c r="AM2580" s="43"/>
      <c r="AN2580" s="42"/>
      <c r="AO2580" s="42"/>
      <c r="AP2580" s="42"/>
      <c r="AQ2580" s="43" t="s">
        <v>3422</v>
      </c>
      <c r="AR2580" s="42"/>
      <c r="AS2580" s="42"/>
    </row>
    <row r="2581" spans="1:45" ht="15" customHeight="1">
      <c r="A2581" s="56" t="s">
        <v>57</v>
      </c>
      <c r="B2581" s="21" t="s">
        <v>46</v>
      </c>
      <c r="C2581" s="57" t="s">
        <v>58</v>
      </c>
      <c r="D2581" s="22" t="s">
        <v>71</v>
      </c>
      <c r="E2581" s="58" t="s">
        <v>808</v>
      </c>
      <c r="F2581" s="56" t="s">
        <v>809</v>
      </c>
      <c r="G2581" s="26" t="s">
        <v>77</v>
      </c>
      <c r="H2581" s="25" t="s">
        <v>3431</v>
      </c>
      <c r="I2581" s="26" t="s">
        <v>78</v>
      </c>
      <c r="J2581" s="56" t="s">
        <v>3432</v>
      </c>
      <c r="K2581" s="59"/>
      <c r="L2581" s="48" t="s">
        <v>3306</v>
      </c>
      <c r="M2581" s="49">
        <v>44062</v>
      </c>
      <c r="N2581" s="49" t="s">
        <v>504</v>
      </c>
      <c r="O2581" s="60">
        <v>0</v>
      </c>
      <c r="P2581" s="61">
        <v>1</v>
      </c>
      <c r="Q2581" s="51">
        <f t="shared" si="61"/>
        <v>0</v>
      </c>
      <c r="R2581" s="31">
        <v>202310</v>
      </c>
      <c r="S2581" s="58" t="s">
        <v>3433</v>
      </c>
      <c r="T2581" s="33"/>
      <c r="U2581" s="58"/>
      <c r="V2581" s="58"/>
      <c r="W2581" s="63"/>
      <c r="X2581" s="63"/>
      <c r="Y2581" s="36"/>
      <c r="Z2581" s="36"/>
      <c r="AA2581" s="36"/>
      <c r="AB2581" s="36"/>
      <c r="AC2581" s="36"/>
      <c r="AD2581" s="36"/>
      <c r="AE2581" s="36"/>
      <c r="AF2581" s="53" t="s">
        <v>68</v>
      </c>
      <c r="AG2581" s="42"/>
      <c r="AH2581" s="42"/>
      <c r="AI2581" s="43"/>
      <c r="AJ2581" s="43"/>
      <c r="AK2581" s="43"/>
      <c r="AL2581" s="43"/>
      <c r="AM2581" s="43"/>
      <c r="AN2581" s="42"/>
      <c r="AO2581" s="42"/>
      <c r="AP2581" s="42"/>
      <c r="AQ2581" s="43"/>
      <c r="AR2581" s="42"/>
      <c r="AS2581" s="42"/>
    </row>
    <row r="2582" spans="1:45" ht="15" customHeight="1">
      <c r="A2582" s="56" t="s">
        <v>57</v>
      </c>
      <c r="B2582" s="22" t="s">
        <v>83</v>
      </c>
      <c r="C2582" s="57" t="s">
        <v>58</v>
      </c>
      <c r="D2582" s="22" t="s">
        <v>71</v>
      </c>
      <c r="E2582" s="58" t="s">
        <v>808</v>
      </c>
      <c r="F2582" s="56" t="s">
        <v>809</v>
      </c>
      <c r="G2582" s="26" t="s">
        <v>114</v>
      </c>
      <c r="H2582" s="25" t="s">
        <v>3192</v>
      </c>
      <c r="I2582" s="26" t="s">
        <v>114</v>
      </c>
      <c r="J2582" s="56" t="s">
        <v>3434</v>
      </c>
      <c r="K2582" s="59"/>
      <c r="L2582" s="48"/>
      <c r="M2582" s="49">
        <v>44398</v>
      </c>
      <c r="N2582" s="49" t="s">
        <v>142</v>
      </c>
      <c r="O2582" s="60">
        <v>4200</v>
      </c>
      <c r="P2582" s="61">
        <v>1</v>
      </c>
      <c r="Q2582" s="51">
        <f t="shared" si="61"/>
        <v>4200</v>
      </c>
      <c r="R2582" s="31">
        <v>202310</v>
      </c>
      <c r="S2582" s="58" t="s">
        <v>3435</v>
      </c>
      <c r="T2582" s="33"/>
      <c r="U2582" s="58"/>
      <c r="V2582" s="58"/>
      <c r="W2582" s="63"/>
      <c r="X2582" s="63"/>
      <c r="Y2582" s="36">
        <v>45047</v>
      </c>
      <c r="Z2582" s="36">
        <v>45412</v>
      </c>
      <c r="AA2582" s="36"/>
      <c r="AB2582" s="36"/>
      <c r="AC2582" s="36"/>
      <c r="AD2582" s="36"/>
      <c r="AE2582" s="36"/>
      <c r="AF2582" s="53" t="s">
        <v>68</v>
      </c>
      <c r="AG2582" s="42"/>
      <c r="AH2582" s="42"/>
      <c r="AI2582" s="43"/>
      <c r="AJ2582" s="43"/>
      <c r="AK2582" s="43"/>
      <c r="AL2582" s="43"/>
      <c r="AM2582" s="43"/>
      <c r="AN2582" s="42"/>
      <c r="AO2582" s="42"/>
      <c r="AP2582" s="42"/>
      <c r="AQ2582" s="43" t="s">
        <v>3196</v>
      </c>
      <c r="AR2582" s="42"/>
      <c r="AS2582" s="42"/>
    </row>
    <row r="2583" spans="1:45" ht="15" customHeight="1">
      <c r="A2583" s="56" t="s">
        <v>57</v>
      </c>
      <c r="B2583" s="22" t="s">
        <v>83</v>
      </c>
      <c r="C2583" s="57" t="s">
        <v>58</v>
      </c>
      <c r="D2583" s="22" t="s">
        <v>71</v>
      </c>
      <c r="E2583" s="58" t="s">
        <v>808</v>
      </c>
      <c r="F2583" s="56" t="s">
        <v>809</v>
      </c>
      <c r="G2583" s="26" t="s">
        <v>114</v>
      </c>
      <c r="H2583" s="25" t="s">
        <v>3192</v>
      </c>
      <c r="I2583" s="26" t="s">
        <v>114</v>
      </c>
      <c r="J2583" s="56" t="s">
        <v>3436</v>
      </c>
      <c r="K2583" s="59"/>
      <c r="L2583" s="48"/>
      <c r="M2583" s="49">
        <v>44398</v>
      </c>
      <c r="N2583" s="49" t="s">
        <v>142</v>
      </c>
      <c r="O2583" s="60">
        <v>4200</v>
      </c>
      <c r="P2583" s="61">
        <v>1</v>
      </c>
      <c r="Q2583" s="51">
        <f t="shared" si="61"/>
        <v>4200</v>
      </c>
      <c r="R2583" s="31">
        <v>202310</v>
      </c>
      <c r="S2583" s="58" t="s">
        <v>3437</v>
      </c>
      <c r="T2583" s="33"/>
      <c r="U2583" s="58"/>
      <c r="V2583" s="58"/>
      <c r="W2583" s="63"/>
      <c r="X2583" s="63"/>
      <c r="Y2583" s="36">
        <v>45047</v>
      </c>
      <c r="Z2583" s="36">
        <v>45412</v>
      </c>
      <c r="AA2583" s="36"/>
      <c r="AB2583" s="36"/>
      <c r="AC2583" s="36"/>
      <c r="AD2583" s="36"/>
      <c r="AE2583" s="36"/>
      <c r="AF2583" s="53" t="s">
        <v>68</v>
      </c>
      <c r="AG2583" s="42"/>
      <c r="AH2583" s="42"/>
      <c r="AI2583" s="43"/>
      <c r="AJ2583" s="43"/>
      <c r="AK2583" s="43"/>
      <c r="AL2583" s="43"/>
      <c r="AM2583" s="43"/>
      <c r="AN2583" s="42"/>
      <c r="AO2583" s="42"/>
      <c r="AP2583" s="42"/>
      <c r="AQ2583" s="43" t="s">
        <v>3196</v>
      </c>
      <c r="AR2583" s="42"/>
      <c r="AS2583" s="42"/>
    </row>
    <row r="2584" spans="1:45" ht="15" customHeight="1">
      <c r="A2584" s="56" t="s">
        <v>57</v>
      </c>
      <c r="B2584" s="22" t="s">
        <v>83</v>
      </c>
      <c r="C2584" s="57" t="s">
        <v>58</v>
      </c>
      <c r="D2584" s="22" t="s">
        <v>71</v>
      </c>
      <c r="E2584" s="58" t="s">
        <v>808</v>
      </c>
      <c r="F2584" s="56" t="s">
        <v>809</v>
      </c>
      <c r="G2584" s="26" t="s">
        <v>114</v>
      </c>
      <c r="H2584" s="25" t="s">
        <v>3192</v>
      </c>
      <c r="I2584" s="26" t="s">
        <v>114</v>
      </c>
      <c r="J2584" s="56" t="s">
        <v>3438</v>
      </c>
      <c r="K2584" s="59"/>
      <c r="L2584" s="48"/>
      <c r="M2584" s="49">
        <v>44398</v>
      </c>
      <c r="N2584" s="49" t="s">
        <v>142</v>
      </c>
      <c r="O2584" s="60">
        <v>4200</v>
      </c>
      <c r="P2584" s="61">
        <v>1</v>
      </c>
      <c r="Q2584" s="51">
        <f t="shared" si="61"/>
        <v>4200</v>
      </c>
      <c r="R2584" s="31">
        <v>202310</v>
      </c>
      <c r="S2584" s="58" t="s">
        <v>3439</v>
      </c>
      <c r="T2584" s="33"/>
      <c r="U2584" s="58"/>
      <c r="V2584" s="58"/>
      <c r="W2584" s="63"/>
      <c r="X2584" s="63"/>
      <c r="Y2584" s="36">
        <v>45047</v>
      </c>
      <c r="Z2584" s="36">
        <v>45412</v>
      </c>
      <c r="AA2584" s="36"/>
      <c r="AB2584" s="36"/>
      <c r="AC2584" s="36"/>
      <c r="AD2584" s="36"/>
      <c r="AE2584" s="36"/>
      <c r="AF2584" s="53" t="s">
        <v>68</v>
      </c>
      <c r="AG2584" s="42"/>
      <c r="AH2584" s="42"/>
      <c r="AI2584" s="43"/>
      <c r="AJ2584" s="43"/>
      <c r="AK2584" s="43"/>
      <c r="AL2584" s="43"/>
      <c r="AM2584" s="43"/>
      <c r="AN2584" s="42"/>
      <c r="AO2584" s="42"/>
      <c r="AP2584" s="42"/>
      <c r="AQ2584" s="43" t="s">
        <v>3196</v>
      </c>
      <c r="AR2584" s="42"/>
      <c r="AS2584" s="42"/>
    </row>
    <row r="2585" spans="1:45" ht="15" customHeight="1">
      <c r="A2585" s="56" t="s">
        <v>57</v>
      </c>
      <c r="B2585" s="22" t="s">
        <v>83</v>
      </c>
      <c r="C2585" s="57" t="s">
        <v>58</v>
      </c>
      <c r="D2585" s="22" t="s">
        <v>71</v>
      </c>
      <c r="E2585" s="58" t="s">
        <v>808</v>
      </c>
      <c r="F2585" s="56" t="s">
        <v>809</v>
      </c>
      <c r="G2585" s="26" t="s">
        <v>114</v>
      </c>
      <c r="H2585" s="25" t="s">
        <v>3192</v>
      </c>
      <c r="I2585" s="26" t="s">
        <v>114</v>
      </c>
      <c r="J2585" s="56" t="s">
        <v>3440</v>
      </c>
      <c r="K2585" s="59"/>
      <c r="L2585" s="48"/>
      <c r="M2585" s="49">
        <v>44398</v>
      </c>
      <c r="N2585" s="49" t="s">
        <v>142</v>
      </c>
      <c r="O2585" s="60">
        <v>4200</v>
      </c>
      <c r="P2585" s="61">
        <v>1</v>
      </c>
      <c r="Q2585" s="51">
        <f t="shared" si="61"/>
        <v>4200</v>
      </c>
      <c r="R2585" s="31">
        <v>202310</v>
      </c>
      <c r="S2585" s="58" t="s">
        <v>3441</v>
      </c>
      <c r="T2585" s="33"/>
      <c r="U2585" s="58"/>
      <c r="V2585" s="58"/>
      <c r="W2585" s="63"/>
      <c r="X2585" s="63"/>
      <c r="Y2585" s="36">
        <v>45047</v>
      </c>
      <c r="Z2585" s="36">
        <v>45412</v>
      </c>
      <c r="AA2585" s="36"/>
      <c r="AB2585" s="36"/>
      <c r="AC2585" s="36"/>
      <c r="AD2585" s="36"/>
      <c r="AE2585" s="36"/>
      <c r="AF2585" s="53" t="s">
        <v>68</v>
      </c>
      <c r="AG2585" s="42"/>
      <c r="AH2585" s="42"/>
      <c r="AI2585" s="43"/>
      <c r="AJ2585" s="43"/>
      <c r="AK2585" s="43"/>
      <c r="AL2585" s="43"/>
      <c r="AM2585" s="43"/>
      <c r="AN2585" s="42"/>
      <c r="AO2585" s="42"/>
      <c r="AP2585" s="42"/>
      <c r="AQ2585" s="43" t="s">
        <v>3196</v>
      </c>
      <c r="AR2585" s="42"/>
      <c r="AS2585" s="42"/>
    </row>
    <row r="2586" spans="1:45" ht="15" customHeight="1">
      <c r="A2586" s="56" t="s">
        <v>57</v>
      </c>
      <c r="B2586" s="22" t="s">
        <v>83</v>
      </c>
      <c r="C2586" s="57" t="s">
        <v>58</v>
      </c>
      <c r="D2586" s="22" t="s">
        <v>71</v>
      </c>
      <c r="E2586" s="58" t="s">
        <v>808</v>
      </c>
      <c r="F2586" s="56" t="s">
        <v>809</v>
      </c>
      <c r="G2586" s="26" t="s">
        <v>114</v>
      </c>
      <c r="H2586" s="25" t="s">
        <v>3192</v>
      </c>
      <c r="I2586" s="26" t="s">
        <v>114</v>
      </c>
      <c r="J2586" s="56" t="s">
        <v>3434</v>
      </c>
      <c r="K2586" s="59"/>
      <c r="L2586" s="48"/>
      <c r="M2586" s="49">
        <v>45186</v>
      </c>
      <c r="N2586" s="49" t="s">
        <v>142</v>
      </c>
      <c r="O2586" s="60">
        <v>4200</v>
      </c>
      <c r="P2586" s="61">
        <v>-1</v>
      </c>
      <c r="Q2586" s="51">
        <f t="shared" si="61"/>
        <v>-4200</v>
      </c>
      <c r="R2586" s="31">
        <v>202310</v>
      </c>
      <c r="S2586" s="58" t="s">
        <v>3442</v>
      </c>
      <c r="T2586" s="33"/>
      <c r="U2586" s="58"/>
      <c r="V2586" s="58"/>
      <c r="W2586" s="63"/>
      <c r="X2586" s="63"/>
      <c r="Y2586" s="36">
        <v>45047</v>
      </c>
      <c r="Z2586" s="36">
        <v>45412</v>
      </c>
      <c r="AA2586" s="36"/>
      <c r="AB2586" s="36"/>
      <c r="AC2586" s="36"/>
      <c r="AD2586" s="36"/>
      <c r="AE2586" s="36"/>
      <c r="AF2586" s="53" t="s">
        <v>68</v>
      </c>
      <c r="AG2586" s="42"/>
      <c r="AH2586" s="42"/>
      <c r="AI2586" s="43"/>
      <c r="AJ2586" s="43"/>
      <c r="AK2586" s="43"/>
      <c r="AL2586" s="43"/>
      <c r="AM2586" s="43"/>
      <c r="AN2586" s="42"/>
      <c r="AO2586" s="42"/>
      <c r="AP2586" s="42"/>
      <c r="AQ2586" s="43" t="s">
        <v>3196</v>
      </c>
      <c r="AR2586" s="42"/>
      <c r="AS2586" s="42"/>
    </row>
    <row r="2587" spans="1:45" ht="15" customHeight="1">
      <c r="A2587" s="56" t="s">
        <v>57</v>
      </c>
      <c r="B2587" s="22" t="s">
        <v>83</v>
      </c>
      <c r="C2587" s="57" t="s">
        <v>58</v>
      </c>
      <c r="D2587" s="22" t="s">
        <v>71</v>
      </c>
      <c r="E2587" s="58" t="s">
        <v>808</v>
      </c>
      <c r="F2587" s="56" t="s">
        <v>809</v>
      </c>
      <c r="G2587" s="26" t="s">
        <v>114</v>
      </c>
      <c r="H2587" s="25" t="s">
        <v>3192</v>
      </c>
      <c r="I2587" s="26" t="s">
        <v>114</v>
      </c>
      <c r="J2587" s="56" t="s">
        <v>3436</v>
      </c>
      <c r="K2587" s="59"/>
      <c r="L2587" s="48"/>
      <c r="M2587" s="49">
        <v>45186</v>
      </c>
      <c r="N2587" s="49" t="s">
        <v>142</v>
      </c>
      <c r="O2587" s="60">
        <v>4200</v>
      </c>
      <c r="P2587" s="61">
        <v>-1</v>
      </c>
      <c r="Q2587" s="51">
        <f t="shared" si="61"/>
        <v>-4200</v>
      </c>
      <c r="R2587" s="31">
        <v>202310</v>
      </c>
      <c r="S2587" s="58" t="s">
        <v>3443</v>
      </c>
      <c r="T2587" s="33"/>
      <c r="U2587" s="58"/>
      <c r="V2587" s="58"/>
      <c r="W2587" s="63"/>
      <c r="X2587" s="63"/>
      <c r="Y2587" s="36">
        <v>45047</v>
      </c>
      <c r="Z2587" s="36">
        <v>45412</v>
      </c>
      <c r="AA2587" s="36"/>
      <c r="AB2587" s="36"/>
      <c r="AC2587" s="36"/>
      <c r="AD2587" s="36"/>
      <c r="AE2587" s="36"/>
      <c r="AF2587" s="53" t="s">
        <v>68</v>
      </c>
      <c r="AG2587" s="42"/>
      <c r="AH2587" s="42"/>
      <c r="AI2587" s="43"/>
      <c r="AJ2587" s="43"/>
      <c r="AK2587" s="43"/>
      <c r="AL2587" s="43"/>
      <c r="AM2587" s="43"/>
      <c r="AN2587" s="42"/>
      <c r="AO2587" s="42"/>
      <c r="AP2587" s="42"/>
      <c r="AQ2587" s="43" t="s">
        <v>3196</v>
      </c>
      <c r="AR2587" s="42"/>
      <c r="AS2587" s="42"/>
    </row>
    <row r="2588" spans="1:45" ht="15" customHeight="1">
      <c r="A2588" s="56" t="s">
        <v>57</v>
      </c>
      <c r="B2588" s="22" t="s">
        <v>83</v>
      </c>
      <c r="C2588" s="57" t="s">
        <v>58</v>
      </c>
      <c r="D2588" s="22" t="s">
        <v>71</v>
      </c>
      <c r="E2588" s="58" t="s">
        <v>808</v>
      </c>
      <c r="F2588" s="56" t="s">
        <v>809</v>
      </c>
      <c r="G2588" s="26" t="s">
        <v>114</v>
      </c>
      <c r="H2588" s="25" t="s">
        <v>3192</v>
      </c>
      <c r="I2588" s="26" t="s">
        <v>114</v>
      </c>
      <c r="J2588" s="56" t="s">
        <v>3438</v>
      </c>
      <c r="K2588" s="59"/>
      <c r="L2588" s="48"/>
      <c r="M2588" s="49">
        <v>45186</v>
      </c>
      <c r="N2588" s="49" t="s">
        <v>142</v>
      </c>
      <c r="O2588" s="60">
        <v>4200</v>
      </c>
      <c r="P2588" s="61">
        <v>-1</v>
      </c>
      <c r="Q2588" s="51">
        <f t="shared" si="61"/>
        <v>-4200</v>
      </c>
      <c r="R2588" s="31">
        <v>202310</v>
      </c>
      <c r="S2588" s="58" t="s">
        <v>3444</v>
      </c>
      <c r="T2588" s="33"/>
      <c r="U2588" s="58"/>
      <c r="V2588" s="58"/>
      <c r="W2588" s="63"/>
      <c r="X2588" s="63"/>
      <c r="Y2588" s="36">
        <v>45047</v>
      </c>
      <c r="Z2588" s="36">
        <v>45412</v>
      </c>
      <c r="AA2588" s="36"/>
      <c r="AB2588" s="36"/>
      <c r="AC2588" s="36"/>
      <c r="AD2588" s="36"/>
      <c r="AE2588" s="36"/>
      <c r="AF2588" s="53" t="s">
        <v>68</v>
      </c>
      <c r="AG2588" s="42"/>
      <c r="AH2588" s="42"/>
      <c r="AI2588" s="43"/>
      <c r="AJ2588" s="43"/>
      <c r="AK2588" s="43"/>
      <c r="AL2588" s="43"/>
      <c r="AM2588" s="43"/>
      <c r="AN2588" s="42"/>
      <c r="AO2588" s="42"/>
      <c r="AP2588" s="42"/>
      <c r="AQ2588" s="43" t="s">
        <v>3196</v>
      </c>
      <c r="AR2588" s="42"/>
      <c r="AS2588" s="42"/>
    </row>
    <row r="2589" spans="1:45" ht="15" customHeight="1">
      <c r="A2589" s="56" t="s">
        <v>57</v>
      </c>
      <c r="B2589" s="22" t="s">
        <v>83</v>
      </c>
      <c r="C2589" s="57" t="s">
        <v>58</v>
      </c>
      <c r="D2589" s="22" t="s">
        <v>71</v>
      </c>
      <c r="E2589" s="58" t="s">
        <v>808</v>
      </c>
      <c r="F2589" s="56" t="s">
        <v>809</v>
      </c>
      <c r="G2589" s="26" t="s">
        <v>114</v>
      </c>
      <c r="H2589" s="25" t="s">
        <v>3192</v>
      </c>
      <c r="I2589" s="26" t="s">
        <v>114</v>
      </c>
      <c r="J2589" s="56" t="s">
        <v>3440</v>
      </c>
      <c r="K2589" s="59"/>
      <c r="L2589" s="48"/>
      <c r="M2589" s="49">
        <v>45186</v>
      </c>
      <c r="N2589" s="49" t="s">
        <v>142</v>
      </c>
      <c r="O2589" s="60">
        <v>4200</v>
      </c>
      <c r="P2589" s="61">
        <v>-1</v>
      </c>
      <c r="Q2589" s="51">
        <f t="shared" si="61"/>
        <v>-4200</v>
      </c>
      <c r="R2589" s="31">
        <v>202310</v>
      </c>
      <c r="S2589" s="58" t="s">
        <v>3445</v>
      </c>
      <c r="T2589" s="33"/>
      <c r="U2589" s="58"/>
      <c r="V2589" s="58"/>
      <c r="W2589" s="63"/>
      <c r="X2589" s="63"/>
      <c r="Y2589" s="36">
        <v>45047</v>
      </c>
      <c r="Z2589" s="36">
        <v>45412</v>
      </c>
      <c r="AA2589" s="36"/>
      <c r="AB2589" s="36"/>
      <c r="AC2589" s="36"/>
      <c r="AD2589" s="36"/>
      <c r="AE2589" s="36"/>
      <c r="AF2589" s="53" t="s">
        <v>68</v>
      </c>
      <c r="AG2589" s="42"/>
      <c r="AH2589" s="42"/>
      <c r="AI2589" s="43"/>
      <c r="AJ2589" s="43"/>
      <c r="AK2589" s="43"/>
      <c r="AL2589" s="43"/>
      <c r="AM2589" s="43"/>
      <c r="AN2589" s="42"/>
      <c r="AO2589" s="42"/>
      <c r="AP2589" s="42"/>
      <c r="AQ2589" s="43" t="s">
        <v>3196</v>
      </c>
      <c r="AR2589" s="42"/>
      <c r="AS2589" s="42"/>
    </row>
    <row r="2590" spans="1:45" ht="15" customHeight="1">
      <c r="A2590" s="56" t="s">
        <v>57</v>
      </c>
      <c r="B2590" s="21" t="s">
        <v>46</v>
      </c>
      <c r="C2590" s="57" t="s">
        <v>58</v>
      </c>
      <c r="D2590" s="22" t="s">
        <v>71</v>
      </c>
      <c r="E2590" s="58" t="s">
        <v>808</v>
      </c>
      <c r="F2590" s="56" t="s">
        <v>809</v>
      </c>
      <c r="G2590" s="26" t="s">
        <v>62</v>
      </c>
      <c r="H2590" s="25" t="s">
        <v>3192</v>
      </c>
      <c r="I2590" s="26" t="s">
        <v>64</v>
      </c>
      <c r="J2590" s="56" t="s">
        <v>3446</v>
      </c>
      <c r="K2590" s="59"/>
      <c r="L2590" s="48"/>
      <c r="M2590" s="49">
        <v>43959</v>
      </c>
      <c r="N2590" s="49" t="s">
        <v>66</v>
      </c>
      <c r="O2590" s="60">
        <v>399</v>
      </c>
      <c r="P2590" s="61">
        <v>3.2</v>
      </c>
      <c r="Q2590" s="51">
        <f t="shared" si="61"/>
        <v>1276.8</v>
      </c>
      <c r="R2590" s="31">
        <v>202310</v>
      </c>
      <c r="S2590" s="58" t="s">
        <v>3447</v>
      </c>
      <c r="T2590" s="33"/>
      <c r="U2590" s="58"/>
      <c r="V2590" s="58"/>
      <c r="W2590" s="63"/>
      <c r="X2590" s="63"/>
      <c r="Y2590" s="36">
        <v>45047</v>
      </c>
      <c r="Z2590" s="36">
        <v>45412</v>
      </c>
      <c r="AA2590" s="36"/>
      <c r="AB2590" s="36"/>
      <c r="AC2590" s="36"/>
      <c r="AD2590" s="36"/>
      <c r="AE2590" s="36"/>
      <c r="AF2590" s="53" t="s">
        <v>68</v>
      </c>
      <c r="AG2590" s="42"/>
      <c r="AH2590" s="42"/>
      <c r="AI2590" s="43"/>
      <c r="AJ2590" s="43"/>
      <c r="AK2590" s="43"/>
      <c r="AL2590" s="43"/>
      <c r="AM2590" s="43"/>
      <c r="AN2590" s="42"/>
      <c r="AO2590" s="42"/>
      <c r="AP2590" s="42"/>
      <c r="AQ2590" s="43" t="s">
        <v>3196</v>
      </c>
      <c r="AR2590" s="42"/>
      <c r="AS2590" s="42"/>
    </row>
    <row r="2591" spans="1:45" ht="15" customHeight="1">
      <c r="A2591" s="56" t="s">
        <v>57</v>
      </c>
      <c r="B2591" s="21" t="s">
        <v>46</v>
      </c>
      <c r="C2591" s="57" t="s">
        <v>58</v>
      </c>
      <c r="D2591" s="22" t="s">
        <v>71</v>
      </c>
      <c r="E2591" s="58" t="s">
        <v>808</v>
      </c>
      <c r="F2591" s="56" t="s">
        <v>809</v>
      </c>
      <c r="G2591" s="26" t="s">
        <v>62</v>
      </c>
      <c r="H2591" s="25" t="s">
        <v>3192</v>
      </c>
      <c r="I2591" s="26" t="s">
        <v>64</v>
      </c>
      <c r="J2591" s="56" t="s">
        <v>3448</v>
      </c>
      <c r="K2591" s="59"/>
      <c r="L2591" s="48"/>
      <c r="M2591" s="49">
        <v>43959</v>
      </c>
      <c r="N2591" s="49" t="s">
        <v>66</v>
      </c>
      <c r="O2591" s="60">
        <v>1320</v>
      </c>
      <c r="P2591" s="61">
        <v>6.2</v>
      </c>
      <c r="Q2591" s="51">
        <f t="shared" si="61"/>
        <v>8184</v>
      </c>
      <c r="R2591" s="31">
        <v>202310</v>
      </c>
      <c r="S2591" s="58" t="s">
        <v>3449</v>
      </c>
      <c r="T2591" s="33"/>
      <c r="U2591" s="58"/>
      <c r="V2591" s="58"/>
      <c r="W2591" s="63"/>
      <c r="X2591" s="63"/>
      <c r="Y2591" s="36">
        <v>45047</v>
      </c>
      <c r="Z2591" s="36">
        <v>45412</v>
      </c>
      <c r="AA2591" s="36"/>
      <c r="AB2591" s="36"/>
      <c r="AC2591" s="36"/>
      <c r="AD2591" s="36"/>
      <c r="AE2591" s="36"/>
      <c r="AF2591" s="53" t="s">
        <v>68</v>
      </c>
      <c r="AG2591" s="42"/>
      <c r="AH2591" s="42"/>
      <c r="AI2591" s="43"/>
      <c r="AJ2591" s="43"/>
      <c r="AK2591" s="43"/>
      <c r="AL2591" s="43"/>
      <c r="AM2591" s="43"/>
      <c r="AN2591" s="42"/>
      <c r="AO2591" s="42"/>
      <c r="AP2591" s="42"/>
      <c r="AQ2591" s="43" t="s">
        <v>3196</v>
      </c>
      <c r="AR2591" s="42"/>
      <c r="AS2591" s="42"/>
    </row>
    <row r="2592" spans="1:45" ht="15" customHeight="1">
      <c r="A2592" s="56" t="s">
        <v>57</v>
      </c>
      <c r="B2592" s="21" t="s">
        <v>46</v>
      </c>
      <c r="C2592" s="57" t="s">
        <v>58</v>
      </c>
      <c r="D2592" s="22" t="s">
        <v>71</v>
      </c>
      <c r="E2592" s="58" t="s">
        <v>808</v>
      </c>
      <c r="F2592" s="56" t="s">
        <v>809</v>
      </c>
      <c r="G2592" s="26" t="s">
        <v>62</v>
      </c>
      <c r="H2592" s="25" t="s">
        <v>3192</v>
      </c>
      <c r="I2592" s="26" t="s">
        <v>64</v>
      </c>
      <c r="J2592" s="56" t="s">
        <v>3450</v>
      </c>
      <c r="K2592" s="59"/>
      <c r="L2592" s="48"/>
      <c r="M2592" s="49">
        <v>43959</v>
      </c>
      <c r="N2592" s="49" t="s">
        <v>66</v>
      </c>
      <c r="O2592" s="60">
        <v>1320</v>
      </c>
      <c r="P2592" s="61">
        <v>6.2</v>
      </c>
      <c r="Q2592" s="51">
        <f t="shared" si="61"/>
        <v>8184</v>
      </c>
      <c r="R2592" s="31">
        <v>202310</v>
      </c>
      <c r="S2592" s="58" t="s">
        <v>3451</v>
      </c>
      <c r="T2592" s="33"/>
      <c r="U2592" s="58"/>
      <c r="V2592" s="58"/>
      <c r="W2592" s="63"/>
      <c r="X2592" s="63"/>
      <c r="Y2592" s="36">
        <v>45047</v>
      </c>
      <c r="Z2592" s="36">
        <v>45412</v>
      </c>
      <c r="AA2592" s="36"/>
      <c r="AB2592" s="36"/>
      <c r="AC2592" s="36"/>
      <c r="AD2592" s="36"/>
      <c r="AE2592" s="36"/>
      <c r="AF2592" s="53" t="s">
        <v>68</v>
      </c>
      <c r="AG2592" s="42"/>
      <c r="AH2592" s="42"/>
      <c r="AI2592" s="43"/>
      <c r="AJ2592" s="43"/>
      <c r="AK2592" s="43"/>
      <c r="AL2592" s="43"/>
      <c r="AM2592" s="43"/>
      <c r="AN2592" s="42"/>
      <c r="AO2592" s="42"/>
      <c r="AP2592" s="42"/>
      <c r="AQ2592" s="43" t="s">
        <v>3196</v>
      </c>
      <c r="AR2592" s="42"/>
      <c r="AS2592" s="42"/>
    </row>
    <row r="2593" spans="1:45" ht="15" customHeight="1">
      <c r="A2593" s="56" t="s">
        <v>57</v>
      </c>
      <c r="B2593" s="21" t="s">
        <v>46</v>
      </c>
      <c r="C2593" s="57" t="s">
        <v>58</v>
      </c>
      <c r="D2593" s="22" t="s">
        <v>71</v>
      </c>
      <c r="E2593" s="58" t="s">
        <v>808</v>
      </c>
      <c r="F2593" s="56" t="s">
        <v>809</v>
      </c>
      <c r="G2593" s="26" t="s">
        <v>62</v>
      </c>
      <c r="H2593" s="25" t="s">
        <v>3192</v>
      </c>
      <c r="I2593" s="26" t="s">
        <v>64</v>
      </c>
      <c r="J2593" s="56" t="s">
        <v>3452</v>
      </c>
      <c r="K2593" s="59"/>
      <c r="L2593" s="48"/>
      <c r="M2593" s="49">
        <v>43959</v>
      </c>
      <c r="N2593" s="49" t="s">
        <v>66</v>
      </c>
      <c r="O2593" s="60">
        <v>399</v>
      </c>
      <c r="P2593" s="61">
        <v>5</v>
      </c>
      <c r="Q2593" s="51">
        <f t="shared" si="61"/>
        <v>1995</v>
      </c>
      <c r="R2593" s="31">
        <v>202310</v>
      </c>
      <c r="S2593" s="58" t="s">
        <v>3453</v>
      </c>
      <c r="T2593" s="33"/>
      <c r="U2593" s="58"/>
      <c r="V2593" s="58"/>
      <c r="W2593" s="63"/>
      <c r="X2593" s="63"/>
      <c r="Y2593" s="36">
        <v>45047</v>
      </c>
      <c r="Z2593" s="36">
        <v>45412</v>
      </c>
      <c r="AA2593" s="36"/>
      <c r="AB2593" s="36"/>
      <c r="AC2593" s="36"/>
      <c r="AD2593" s="36"/>
      <c r="AE2593" s="36"/>
      <c r="AF2593" s="53" t="s">
        <v>68</v>
      </c>
      <c r="AG2593" s="42"/>
      <c r="AH2593" s="42"/>
      <c r="AI2593" s="43"/>
      <c r="AJ2593" s="43"/>
      <c r="AK2593" s="43"/>
      <c r="AL2593" s="43"/>
      <c r="AM2593" s="43"/>
      <c r="AN2593" s="42"/>
      <c r="AO2593" s="42"/>
      <c r="AP2593" s="42"/>
      <c r="AQ2593" s="43" t="s">
        <v>3196</v>
      </c>
      <c r="AR2593" s="42"/>
      <c r="AS2593" s="42"/>
    </row>
    <row r="2594" spans="1:45" ht="15" customHeight="1">
      <c r="A2594" s="56" t="s">
        <v>57</v>
      </c>
      <c r="B2594" s="21" t="s">
        <v>46</v>
      </c>
      <c r="C2594" s="57" t="s">
        <v>58</v>
      </c>
      <c r="D2594" s="22" t="s">
        <v>71</v>
      </c>
      <c r="E2594" s="58" t="s">
        <v>808</v>
      </c>
      <c r="F2594" s="56" t="s">
        <v>809</v>
      </c>
      <c r="G2594" s="26" t="s">
        <v>62</v>
      </c>
      <c r="H2594" s="25" t="s">
        <v>3192</v>
      </c>
      <c r="I2594" s="26" t="s">
        <v>64</v>
      </c>
      <c r="J2594" s="56" t="s">
        <v>3454</v>
      </c>
      <c r="K2594" s="59"/>
      <c r="L2594" s="48"/>
      <c r="M2594" s="49">
        <v>44058</v>
      </c>
      <c r="N2594" s="49" t="s">
        <v>66</v>
      </c>
      <c r="O2594" s="60">
        <v>399</v>
      </c>
      <c r="P2594" s="61">
        <v>39.83</v>
      </c>
      <c r="Q2594" s="51">
        <f t="shared" si="61"/>
        <v>15892.17</v>
      </c>
      <c r="R2594" s="31">
        <v>202310</v>
      </c>
      <c r="S2594" s="58" t="s">
        <v>3455</v>
      </c>
      <c r="T2594" s="33"/>
      <c r="U2594" s="58"/>
      <c r="V2594" s="58"/>
      <c r="W2594" s="63"/>
      <c r="X2594" s="63"/>
      <c r="Y2594" s="36">
        <v>45047</v>
      </c>
      <c r="Z2594" s="36">
        <v>45412</v>
      </c>
      <c r="AA2594" s="36"/>
      <c r="AB2594" s="36"/>
      <c r="AC2594" s="36"/>
      <c r="AD2594" s="36"/>
      <c r="AE2594" s="36"/>
      <c r="AF2594" s="53" t="s">
        <v>68</v>
      </c>
      <c r="AG2594" s="42"/>
      <c r="AH2594" s="42"/>
      <c r="AI2594" s="43"/>
      <c r="AJ2594" s="43"/>
      <c r="AK2594" s="43"/>
      <c r="AL2594" s="43"/>
      <c r="AM2594" s="43"/>
      <c r="AN2594" s="42"/>
      <c r="AO2594" s="42"/>
      <c r="AP2594" s="42"/>
      <c r="AQ2594" s="43" t="s">
        <v>3196</v>
      </c>
      <c r="AR2594" s="42"/>
      <c r="AS2594" s="42"/>
    </row>
    <row r="2595" spans="1:45" ht="15" customHeight="1">
      <c r="A2595" s="56" t="s">
        <v>57</v>
      </c>
      <c r="B2595" s="21" t="s">
        <v>46</v>
      </c>
      <c r="C2595" s="57" t="s">
        <v>58</v>
      </c>
      <c r="D2595" s="22" t="s">
        <v>71</v>
      </c>
      <c r="E2595" s="58" t="s">
        <v>808</v>
      </c>
      <c r="F2595" s="56" t="s">
        <v>809</v>
      </c>
      <c r="G2595" s="26" t="s">
        <v>62</v>
      </c>
      <c r="H2595" s="25" t="s">
        <v>3192</v>
      </c>
      <c r="I2595" s="26" t="s">
        <v>64</v>
      </c>
      <c r="J2595" s="56" t="s">
        <v>3456</v>
      </c>
      <c r="K2595" s="59"/>
      <c r="L2595" s="48"/>
      <c r="M2595" s="49">
        <v>44058</v>
      </c>
      <c r="N2595" s="49" t="s">
        <v>66</v>
      </c>
      <c r="O2595" s="60">
        <f>1200*1.1</f>
        <v>1320</v>
      </c>
      <c r="P2595" s="61">
        <v>5</v>
      </c>
      <c r="Q2595" s="51">
        <f t="shared" si="61"/>
        <v>6600</v>
      </c>
      <c r="R2595" s="31">
        <v>202310</v>
      </c>
      <c r="S2595" s="58" t="s">
        <v>3457</v>
      </c>
      <c r="T2595" s="33"/>
      <c r="U2595" s="58"/>
      <c r="V2595" s="58"/>
      <c r="W2595" s="63"/>
      <c r="X2595" s="63"/>
      <c r="Y2595" s="36">
        <v>45047</v>
      </c>
      <c r="Z2595" s="36">
        <v>45412</v>
      </c>
      <c r="AA2595" s="36"/>
      <c r="AB2595" s="36"/>
      <c r="AC2595" s="36"/>
      <c r="AD2595" s="36"/>
      <c r="AE2595" s="36"/>
      <c r="AF2595" s="53" t="s">
        <v>68</v>
      </c>
      <c r="AG2595" s="42"/>
      <c r="AH2595" s="42"/>
      <c r="AI2595" s="43"/>
      <c r="AJ2595" s="43"/>
      <c r="AK2595" s="43"/>
      <c r="AL2595" s="43"/>
      <c r="AM2595" s="43"/>
      <c r="AN2595" s="42"/>
      <c r="AO2595" s="42"/>
      <c r="AP2595" s="42"/>
      <c r="AQ2595" s="43" t="s">
        <v>3196</v>
      </c>
      <c r="AR2595" s="42"/>
      <c r="AS2595" s="42"/>
    </row>
    <row r="2596" spans="1:45" ht="15" customHeight="1">
      <c r="A2596" s="56" t="s">
        <v>57</v>
      </c>
      <c r="B2596" s="21" t="s">
        <v>46</v>
      </c>
      <c r="C2596" s="57" t="s">
        <v>58</v>
      </c>
      <c r="D2596" s="22" t="s">
        <v>71</v>
      </c>
      <c r="E2596" s="58" t="s">
        <v>808</v>
      </c>
      <c r="F2596" s="56" t="s">
        <v>809</v>
      </c>
      <c r="G2596" s="26" t="s">
        <v>62</v>
      </c>
      <c r="H2596" s="25" t="s">
        <v>3192</v>
      </c>
      <c r="I2596" s="26" t="s">
        <v>64</v>
      </c>
      <c r="J2596" s="56" t="s">
        <v>3454</v>
      </c>
      <c r="K2596" s="59"/>
      <c r="L2596" s="48"/>
      <c r="M2596" s="49">
        <v>44058</v>
      </c>
      <c r="N2596" s="49" t="s">
        <v>66</v>
      </c>
      <c r="O2596" s="60">
        <v>399</v>
      </c>
      <c r="P2596" s="61">
        <v>35.159999999999997</v>
      </c>
      <c r="Q2596" s="51">
        <f t="shared" si="61"/>
        <v>14028.84</v>
      </c>
      <c r="R2596" s="31">
        <v>202310</v>
      </c>
      <c r="S2596" s="58" t="s">
        <v>3458</v>
      </c>
      <c r="T2596" s="33"/>
      <c r="U2596" s="58"/>
      <c r="V2596" s="58"/>
      <c r="W2596" s="63"/>
      <c r="X2596" s="63"/>
      <c r="Y2596" s="36">
        <v>45047</v>
      </c>
      <c r="Z2596" s="36">
        <v>45412</v>
      </c>
      <c r="AA2596" s="36"/>
      <c r="AB2596" s="36"/>
      <c r="AC2596" s="36"/>
      <c r="AD2596" s="36"/>
      <c r="AE2596" s="36"/>
      <c r="AF2596" s="53" t="s">
        <v>68</v>
      </c>
      <c r="AG2596" s="42"/>
      <c r="AH2596" s="42"/>
      <c r="AI2596" s="43"/>
      <c r="AJ2596" s="43"/>
      <c r="AK2596" s="43"/>
      <c r="AL2596" s="43"/>
      <c r="AM2596" s="43"/>
      <c r="AN2596" s="42"/>
      <c r="AO2596" s="42"/>
      <c r="AP2596" s="42"/>
      <c r="AQ2596" s="43" t="s">
        <v>3196</v>
      </c>
      <c r="AR2596" s="42"/>
      <c r="AS2596" s="42"/>
    </row>
    <row r="2597" spans="1:45" ht="15" customHeight="1">
      <c r="A2597" s="56" t="s">
        <v>57</v>
      </c>
      <c r="B2597" s="21" t="s">
        <v>46</v>
      </c>
      <c r="C2597" s="57" t="s">
        <v>58</v>
      </c>
      <c r="D2597" s="22" t="s">
        <v>71</v>
      </c>
      <c r="E2597" s="58" t="s">
        <v>808</v>
      </c>
      <c r="F2597" s="56" t="s">
        <v>809</v>
      </c>
      <c r="G2597" s="26" t="s">
        <v>62</v>
      </c>
      <c r="H2597" s="25" t="s">
        <v>3192</v>
      </c>
      <c r="I2597" s="26" t="s">
        <v>64</v>
      </c>
      <c r="J2597" s="56" t="s">
        <v>3456</v>
      </c>
      <c r="K2597" s="59"/>
      <c r="L2597" s="48"/>
      <c r="M2597" s="49">
        <v>44058</v>
      </c>
      <c r="N2597" s="49" t="s">
        <v>66</v>
      </c>
      <c r="O2597" s="60">
        <f>1200*1.1</f>
        <v>1320</v>
      </c>
      <c r="P2597" s="61">
        <v>6.2</v>
      </c>
      <c r="Q2597" s="51">
        <f t="shared" si="61"/>
        <v>8184</v>
      </c>
      <c r="R2597" s="31">
        <v>202310</v>
      </c>
      <c r="S2597" s="58" t="s">
        <v>3459</v>
      </c>
      <c r="T2597" s="33"/>
      <c r="U2597" s="58"/>
      <c r="V2597" s="58"/>
      <c r="W2597" s="63"/>
      <c r="X2597" s="63"/>
      <c r="Y2597" s="36">
        <v>45047</v>
      </c>
      <c r="Z2597" s="36">
        <v>45412</v>
      </c>
      <c r="AA2597" s="36"/>
      <c r="AB2597" s="36"/>
      <c r="AC2597" s="36"/>
      <c r="AD2597" s="36"/>
      <c r="AE2597" s="36"/>
      <c r="AF2597" s="53" t="s">
        <v>68</v>
      </c>
      <c r="AG2597" s="42"/>
      <c r="AH2597" s="42"/>
      <c r="AI2597" s="43"/>
      <c r="AJ2597" s="43"/>
      <c r="AK2597" s="43"/>
      <c r="AL2597" s="43"/>
      <c r="AM2597" s="43"/>
      <c r="AN2597" s="42"/>
      <c r="AO2597" s="42"/>
      <c r="AP2597" s="42"/>
      <c r="AQ2597" s="43" t="s">
        <v>3196</v>
      </c>
      <c r="AR2597" s="42"/>
      <c r="AS2597" s="42"/>
    </row>
    <row r="2598" spans="1:45" ht="15" customHeight="1">
      <c r="A2598" s="56" t="s">
        <v>57</v>
      </c>
      <c r="B2598" s="21" t="s">
        <v>46</v>
      </c>
      <c r="C2598" s="57" t="s">
        <v>58</v>
      </c>
      <c r="D2598" s="22" t="s">
        <v>71</v>
      </c>
      <c r="E2598" s="58" t="s">
        <v>808</v>
      </c>
      <c r="F2598" s="56" t="s">
        <v>809</v>
      </c>
      <c r="G2598" s="26" t="s">
        <v>62</v>
      </c>
      <c r="H2598" s="25" t="s">
        <v>3192</v>
      </c>
      <c r="I2598" s="26" t="s">
        <v>64</v>
      </c>
      <c r="J2598" s="56" t="s">
        <v>3460</v>
      </c>
      <c r="K2598" s="59"/>
      <c r="L2598" s="48"/>
      <c r="M2598" s="49">
        <v>44125</v>
      </c>
      <c r="N2598" s="49" t="s">
        <v>66</v>
      </c>
      <c r="O2598" s="60">
        <v>399</v>
      </c>
      <c r="P2598" s="61">
        <v>77</v>
      </c>
      <c r="Q2598" s="51">
        <f t="shared" si="61"/>
        <v>30723</v>
      </c>
      <c r="R2598" s="31">
        <v>202310</v>
      </c>
      <c r="S2598" s="58" t="s">
        <v>3461</v>
      </c>
      <c r="T2598" s="33"/>
      <c r="U2598" s="58"/>
      <c r="V2598" s="58"/>
      <c r="W2598" s="63"/>
      <c r="X2598" s="63"/>
      <c r="Y2598" s="36">
        <v>45047</v>
      </c>
      <c r="Z2598" s="36">
        <v>45412</v>
      </c>
      <c r="AA2598" s="36"/>
      <c r="AB2598" s="36"/>
      <c r="AC2598" s="36"/>
      <c r="AD2598" s="36"/>
      <c r="AE2598" s="36"/>
      <c r="AF2598" s="53" t="s">
        <v>68</v>
      </c>
      <c r="AG2598" s="42"/>
      <c r="AH2598" s="42"/>
      <c r="AI2598" s="43"/>
      <c r="AJ2598" s="43"/>
      <c r="AK2598" s="43"/>
      <c r="AL2598" s="43"/>
      <c r="AM2598" s="43"/>
      <c r="AN2598" s="42"/>
      <c r="AO2598" s="42"/>
      <c r="AP2598" s="42"/>
      <c r="AQ2598" s="43" t="s">
        <v>3196</v>
      </c>
      <c r="AR2598" s="42"/>
      <c r="AS2598" s="42"/>
    </row>
    <row r="2599" spans="1:45" ht="15" customHeight="1">
      <c r="A2599" s="56" t="s">
        <v>57</v>
      </c>
      <c r="B2599" s="21" t="s">
        <v>46</v>
      </c>
      <c r="C2599" s="57" t="s">
        <v>58</v>
      </c>
      <c r="D2599" s="22" t="s">
        <v>71</v>
      </c>
      <c r="E2599" s="58" t="s">
        <v>808</v>
      </c>
      <c r="F2599" s="56" t="s">
        <v>809</v>
      </c>
      <c r="G2599" s="26" t="s">
        <v>62</v>
      </c>
      <c r="H2599" s="25" t="s">
        <v>3192</v>
      </c>
      <c r="I2599" s="26" t="s">
        <v>64</v>
      </c>
      <c r="J2599" s="56" t="s">
        <v>3462</v>
      </c>
      <c r="K2599" s="59"/>
      <c r="L2599" s="48"/>
      <c r="M2599" s="49">
        <v>44125</v>
      </c>
      <c r="N2599" s="49" t="s">
        <v>66</v>
      </c>
      <c r="O2599" s="60">
        <f>1200*1.1</f>
        <v>1320</v>
      </c>
      <c r="P2599" s="61">
        <v>6.2</v>
      </c>
      <c r="Q2599" s="51">
        <f t="shared" si="61"/>
        <v>8184</v>
      </c>
      <c r="R2599" s="31">
        <v>202310</v>
      </c>
      <c r="S2599" s="58" t="s">
        <v>3463</v>
      </c>
      <c r="T2599" s="33"/>
      <c r="U2599" s="58"/>
      <c r="V2599" s="58"/>
      <c r="W2599" s="63"/>
      <c r="X2599" s="63"/>
      <c r="Y2599" s="36">
        <v>45047</v>
      </c>
      <c r="Z2599" s="36">
        <v>45412</v>
      </c>
      <c r="AA2599" s="36"/>
      <c r="AB2599" s="36"/>
      <c r="AC2599" s="36"/>
      <c r="AD2599" s="36"/>
      <c r="AE2599" s="36"/>
      <c r="AF2599" s="53" t="s">
        <v>68</v>
      </c>
      <c r="AG2599" s="42"/>
      <c r="AH2599" s="42"/>
      <c r="AI2599" s="43"/>
      <c r="AJ2599" s="43"/>
      <c r="AK2599" s="43"/>
      <c r="AL2599" s="43"/>
      <c r="AM2599" s="43"/>
      <c r="AN2599" s="42"/>
      <c r="AO2599" s="42"/>
      <c r="AP2599" s="42"/>
      <c r="AQ2599" s="43" t="s">
        <v>3196</v>
      </c>
      <c r="AR2599" s="42"/>
      <c r="AS2599" s="42"/>
    </row>
    <row r="2600" spans="1:45" ht="15" customHeight="1">
      <c r="A2600" s="56" t="s">
        <v>57</v>
      </c>
      <c r="B2600" s="21" t="s">
        <v>46</v>
      </c>
      <c r="C2600" s="57" t="s">
        <v>58</v>
      </c>
      <c r="D2600" s="22" t="s">
        <v>71</v>
      </c>
      <c r="E2600" s="58" t="s">
        <v>808</v>
      </c>
      <c r="F2600" s="56" t="s">
        <v>809</v>
      </c>
      <c r="G2600" s="26" t="s">
        <v>62</v>
      </c>
      <c r="H2600" s="25" t="s">
        <v>3192</v>
      </c>
      <c r="I2600" s="26" t="s">
        <v>64</v>
      </c>
      <c r="J2600" s="56" t="s">
        <v>3464</v>
      </c>
      <c r="K2600" s="59"/>
      <c r="L2600" s="48"/>
      <c r="M2600" s="49">
        <v>44125</v>
      </c>
      <c r="N2600" s="49" t="s">
        <v>66</v>
      </c>
      <c r="O2600" s="60">
        <v>399</v>
      </c>
      <c r="P2600" s="61">
        <v>76.5</v>
      </c>
      <c r="Q2600" s="51">
        <f t="shared" si="61"/>
        <v>30523.5</v>
      </c>
      <c r="R2600" s="31">
        <v>202310</v>
      </c>
      <c r="S2600" s="58" t="s">
        <v>3465</v>
      </c>
      <c r="T2600" s="33"/>
      <c r="U2600" s="58"/>
      <c r="V2600" s="58"/>
      <c r="W2600" s="63"/>
      <c r="X2600" s="63"/>
      <c r="Y2600" s="36">
        <v>45047</v>
      </c>
      <c r="Z2600" s="36">
        <v>45412</v>
      </c>
      <c r="AA2600" s="36"/>
      <c r="AB2600" s="36"/>
      <c r="AC2600" s="36"/>
      <c r="AD2600" s="36"/>
      <c r="AE2600" s="36"/>
      <c r="AF2600" s="53" t="s">
        <v>68</v>
      </c>
      <c r="AG2600" s="42"/>
      <c r="AH2600" s="42"/>
      <c r="AI2600" s="43"/>
      <c r="AJ2600" s="43"/>
      <c r="AK2600" s="43"/>
      <c r="AL2600" s="43"/>
      <c r="AM2600" s="43"/>
      <c r="AN2600" s="42"/>
      <c r="AO2600" s="42"/>
      <c r="AP2600" s="42"/>
      <c r="AQ2600" s="43" t="s">
        <v>3196</v>
      </c>
      <c r="AR2600" s="42"/>
      <c r="AS2600" s="42"/>
    </row>
    <row r="2601" spans="1:45" ht="15" customHeight="1">
      <c r="A2601" s="56" t="s">
        <v>57</v>
      </c>
      <c r="B2601" s="21" t="s">
        <v>46</v>
      </c>
      <c r="C2601" s="57" t="s">
        <v>58</v>
      </c>
      <c r="D2601" s="22" t="s">
        <v>71</v>
      </c>
      <c r="E2601" s="58" t="s">
        <v>808</v>
      </c>
      <c r="F2601" s="56" t="s">
        <v>809</v>
      </c>
      <c r="G2601" s="26" t="s">
        <v>62</v>
      </c>
      <c r="H2601" s="25" t="s">
        <v>3192</v>
      </c>
      <c r="I2601" s="26" t="s">
        <v>64</v>
      </c>
      <c r="J2601" s="56" t="s">
        <v>3466</v>
      </c>
      <c r="K2601" s="59"/>
      <c r="L2601" s="48"/>
      <c r="M2601" s="49">
        <v>44125</v>
      </c>
      <c r="N2601" s="49" t="s">
        <v>66</v>
      </c>
      <c r="O2601" s="60">
        <f>1200*1.1</f>
        <v>1320</v>
      </c>
      <c r="P2601" s="61">
        <v>5</v>
      </c>
      <c r="Q2601" s="51">
        <f t="shared" si="61"/>
        <v>6600</v>
      </c>
      <c r="R2601" s="31">
        <v>202310</v>
      </c>
      <c r="S2601" s="58" t="s">
        <v>3467</v>
      </c>
      <c r="T2601" s="33"/>
      <c r="U2601" s="58"/>
      <c r="V2601" s="58"/>
      <c r="W2601" s="63"/>
      <c r="X2601" s="63"/>
      <c r="Y2601" s="36">
        <v>45047</v>
      </c>
      <c r="Z2601" s="36">
        <v>45412</v>
      </c>
      <c r="AA2601" s="36"/>
      <c r="AB2601" s="36"/>
      <c r="AC2601" s="36"/>
      <c r="AD2601" s="36"/>
      <c r="AE2601" s="36"/>
      <c r="AF2601" s="53" t="s">
        <v>68</v>
      </c>
      <c r="AG2601" s="42"/>
      <c r="AH2601" s="42"/>
      <c r="AI2601" s="43"/>
      <c r="AJ2601" s="43"/>
      <c r="AK2601" s="43"/>
      <c r="AL2601" s="43"/>
      <c r="AM2601" s="43"/>
      <c r="AN2601" s="42"/>
      <c r="AO2601" s="42"/>
      <c r="AP2601" s="42"/>
      <c r="AQ2601" s="43" t="s">
        <v>3196</v>
      </c>
      <c r="AR2601" s="42"/>
      <c r="AS2601" s="42"/>
    </row>
    <row r="2602" spans="1:45" ht="15" customHeight="1">
      <c r="A2602" s="56" t="s">
        <v>57</v>
      </c>
      <c r="B2602" s="21" t="s">
        <v>46</v>
      </c>
      <c r="C2602" s="57" t="s">
        <v>58</v>
      </c>
      <c r="D2602" s="22" t="s">
        <v>71</v>
      </c>
      <c r="E2602" s="58" t="s">
        <v>808</v>
      </c>
      <c r="F2602" s="56" t="s">
        <v>809</v>
      </c>
      <c r="G2602" s="26" t="s">
        <v>62</v>
      </c>
      <c r="H2602" s="25" t="s">
        <v>3192</v>
      </c>
      <c r="I2602" s="26" t="s">
        <v>64</v>
      </c>
      <c r="J2602" s="56" t="s">
        <v>3468</v>
      </c>
      <c r="K2602" s="59"/>
      <c r="L2602" s="48"/>
      <c r="M2602" s="49">
        <v>44114</v>
      </c>
      <c r="N2602" s="49" t="s">
        <v>66</v>
      </c>
      <c r="O2602" s="60">
        <v>343</v>
      </c>
      <c r="P2602" s="61">
        <v>75</v>
      </c>
      <c r="Q2602" s="51">
        <f t="shared" si="61"/>
        <v>25725</v>
      </c>
      <c r="R2602" s="31">
        <v>202310</v>
      </c>
      <c r="S2602" s="58" t="s">
        <v>3469</v>
      </c>
      <c r="T2602" s="33"/>
      <c r="U2602" s="58"/>
      <c r="V2602" s="58"/>
      <c r="W2602" s="63"/>
      <c r="X2602" s="63"/>
      <c r="Y2602" s="36">
        <v>45047</v>
      </c>
      <c r="Z2602" s="36">
        <v>45412</v>
      </c>
      <c r="AA2602" s="36"/>
      <c r="AB2602" s="36"/>
      <c r="AC2602" s="36"/>
      <c r="AD2602" s="36"/>
      <c r="AE2602" s="36"/>
      <c r="AF2602" s="53" t="s">
        <v>68</v>
      </c>
      <c r="AG2602" s="42"/>
      <c r="AH2602" s="42"/>
      <c r="AI2602" s="43"/>
      <c r="AJ2602" s="43"/>
      <c r="AK2602" s="43"/>
      <c r="AL2602" s="43"/>
      <c r="AM2602" s="43"/>
      <c r="AN2602" s="42"/>
      <c r="AO2602" s="42"/>
      <c r="AP2602" s="42"/>
      <c r="AQ2602" s="43" t="s">
        <v>3196</v>
      </c>
      <c r="AR2602" s="42"/>
      <c r="AS2602" s="42"/>
    </row>
    <row r="2603" spans="1:45" ht="15" customHeight="1">
      <c r="A2603" s="56" t="s">
        <v>57</v>
      </c>
      <c r="B2603" s="21" t="s">
        <v>46</v>
      </c>
      <c r="C2603" s="57" t="s">
        <v>58</v>
      </c>
      <c r="D2603" s="22" t="s">
        <v>71</v>
      </c>
      <c r="E2603" s="58" t="s">
        <v>808</v>
      </c>
      <c r="F2603" s="56" t="s">
        <v>809</v>
      </c>
      <c r="G2603" s="26" t="s">
        <v>62</v>
      </c>
      <c r="H2603" s="25" t="s">
        <v>3192</v>
      </c>
      <c r="I2603" s="26" t="s">
        <v>64</v>
      </c>
      <c r="J2603" s="56" t="s">
        <v>3468</v>
      </c>
      <c r="K2603" s="59"/>
      <c r="L2603" s="48"/>
      <c r="M2603" s="49">
        <v>44114</v>
      </c>
      <c r="N2603" s="49" t="s">
        <v>66</v>
      </c>
      <c r="O2603" s="60">
        <v>343</v>
      </c>
      <c r="P2603" s="61">
        <v>70</v>
      </c>
      <c r="Q2603" s="51">
        <f t="shared" si="61"/>
        <v>24010</v>
      </c>
      <c r="R2603" s="31">
        <v>202310</v>
      </c>
      <c r="S2603" s="58" t="s">
        <v>3470</v>
      </c>
      <c r="T2603" s="33"/>
      <c r="U2603" s="58"/>
      <c r="V2603" s="58"/>
      <c r="W2603" s="63"/>
      <c r="X2603" s="63"/>
      <c r="Y2603" s="36">
        <v>45047</v>
      </c>
      <c r="Z2603" s="36">
        <v>45412</v>
      </c>
      <c r="AA2603" s="36"/>
      <c r="AB2603" s="36"/>
      <c r="AC2603" s="36"/>
      <c r="AD2603" s="36"/>
      <c r="AE2603" s="36"/>
      <c r="AF2603" s="53" t="s">
        <v>68</v>
      </c>
      <c r="AG2603" s="42"/>
      <c r="AH2603" s="42"/>
      <c r="AI2603" s="43"/>
      <c r="AJ2603" s="43"/>
      <c r="AK2603" s="43"/>
      <c r="AL2603" s="43"/>
      <c r="AM2603" s="43"/>
      <c r="AN2603" s="42"/>
      <c r="AO2603" s="42"/>
      <c r="AP2603" s="42"/>
      <c r="AQ2603" s="43" t="s">
        <v>3196</v>
      </c>
      <c r="AR2603" s="42"/>
      <c r="AS2603" s="42"/>
    </row>
    <row r="2604" spans="1:45" ht="15" customHeight="1">
      <c r="A2604" s="56" t="s">
        <v>57</v>
      </c>
      <c r="B2604" s="21" t="s">
        <v>46</v>
      </c>
      <c r="C2604" s="57" t="s">
        <v>58</v>
      </c>
      <c r="D2604" s="22" t="s">
        <v>71</v>
      </c>
      <c r="E2604" s="58" t="s">
        <v>808</v>
      </c>
      <c r="F2604" s="56" t="s">
        <v>809</v>
      </c>
      <c r="G2604" s="26" t="s">
        <v>62</v>
      </c>
      <c r="H2604" s="25" t="s">
        <v>3192</v>
      </c>
      <c r="I2604" s="26" t="s">
        <v>64</v>
      </c>
      <c r="J2604" s="56" t="s">
        <v>3471</v>
      </c>
      <c r="K2604" s="59"/>
      <c r="L2604" s="48"/>
      <c r="M2604" s="49">
        <v>44136</v>
      </c>
      <c r="N2604" s="49" t="s">
        <v>66</v>
      </c>
      <c r="O2604" s="60">
        <v>100</v>
      </c>
      <c r="P2604" s="61">
        <v>1</v>
      </c>
      <c r="Q2604" s="51">
        <f t="shared" si="61"/>
        <v>100</v>
      </c>
      <c r="R2604" s="31">
        <v>202310</v>
      </c>
      <c r="S2604" s="58" t="s">
        <v>3472</v>
      </c>
      <c r="T2604" s="33"/>
      <c r="U2604" s="58"/>
      <c r="V2604" s="58"/>
      <c r="W2604" s="63"/>
      <c r="X2604" s="63"/>
      <c r="Y2604" s="36">
        <v>45047</v>
      </c>
      <c r="Z2604" s="36">
        <v>45412</v>
      </c>
      <c r="AA2604" s="36"/>
      <c r="AB2604" s="36"/>
      <c r="AC2604" s="36"/>
      <c r="AD2604" s="36"/>
      <c r="AE2604" s="36"/>
      <c r="AF2604" s="53" t="s">
        <v>68</v>
      </c>
      <c r="AG2604" s="42"/>
      <c r="AH2604" s="42"/>
      <c r="AI2604" s="43"/>
      <c r="AJ2604" s="43"/>
      <c r="AK2604" s="43"/>
      <c r="AL2604" s="43"/>
      <c r="AM2604" s="43"/>
      <c r="AN2604" s="42"/>
      <c r="AO2604" s="42"/>
      <c r="AP2604" s="42"/>
      <c r="AQ2604" s="43" t="s">
        <v>3196</v>
      </c>
      <c r="AR2604" s="42"/>
      <c r="AS2604" s="42"/>
    </row>
    <row r="2605" spans="1:45" ht="15" customHeight="1">
      <c r="A2605" s="56" t="s">
        <v>57</v>
      </c>
      <c r="B2605" s="21" t="s">
        <v>46</v>
      </c>
      <c r="C2605" s="57" t="s">
        <v>58</v>
      </c>
      <c r="D2605" s="22" t="s">
        <v>71</v>
      </c>
      <c r="E2605" s="58" t="s">
        <v>808</v>
      </c>
      <c r="F2605" s="56" t="s">
        <v>809</v>
      </c>
      <c r="G2605" s="26" t="s">
        <v>62</v>
      </c>
      <c r="H2605" s="25" t="s">
        <v>3192</v>
      </c>
      <c r="I2605" s="26" t="s">
        <v>64</v>
      </c>
      <c r="J2605" s="56" t="s">
        <v>3473</v>
      </c>
      <c r="K2605" s="59"/>
      <c r="L2605" s="48"/>
      <c r="M2605" s="49">
        <v>44136</v>
      </c>
      <c r="N2605" s="49" t="s">
        <v>66</v>
      </c>
      <c r="O2605" s="60">
        <v>100</v>
      </c>
      <c r="P2605" s="61">
        <v>59</v>
      </c>
      <c r="Q2605" s="51">
        <f t="shared" si="61"/>
        <v>5900</v>
      </c>
      <c r="R2605" s="31">
        <v>202310</v>
      </c>
      <c r="S2605" s="58" t="s">
        <v>3474</v>
      </c>
      <c r="T2605" s="33"/>
      <c r="U2605" s="58"/>
      <c r="V2605" s="58"/>
      <c r="W2605" s="63"/>
      <c r="X2605" s="63"/>
      <c r="Y2605" s="36">
        <v>45047</v>
      </c>
      <c r="Z2605" s="36">
        <v>45412</v>
      </c>
      <c r="AA2605" s="36"/>
      <c r="AB2605" s="36"/>
      <c r="AC2605" s="36"/>
      <c r="AD2605" s="36"/>
      <c r="AE2605" s="36"/>
      <c r="AF2605" s="53" t="s">
        <v>68</v>
      </c>
      <c r="AG2605" s="42"/>
      <c r="AH2605" s="42"/>
      <c r="AI2605" s="43"/>
      <c r="AJ2605" s="43"/>
      <c r="AK2605" s="43"/>
      <c r="AL2605" s="43"/>
      <c r="AM2605" s="43"/>
      <c r="AN2605" s="42"/>
      <c r="AO2605" s="42"/>
      <c r="AP2605" s="42"/>
      <c r="AQ2605" s="43" t="s">
        <v>3196</v>
      </c>
      <c r="AR2605" s="42"/>
      <c r="AS2605" s="42"/>
    </row>
    <row r="2606" spans="1:45" ht="15" customHeight="1">
      <c r="A2606" s="56" t="s">
        <v>57</v>
      </c>
      <c r="B2606" s="21" t="s">
        <v>46</v>
      </c>
      <c r="C2606" s="57" t="s">
        <v>58</v>
      </c>
      <c r="D2606" s="22" t="s">
        <v>71</v>
      </c>
      <c r="E2606" s="58" t="s">
        <v>808</v>
      </c>
      <c r="F2606" s="56" t="s">
        <v>809</v>
      </c>
      <c r="G2606" s="26" t="s">
        <v>62</v>
      </c>
      <c r="H2606" s="25" t="s">
        <v>810</v>
      </c>
      <c r="I2606" s="26" t="s">
        <v>64</v>
      </c>
      <c r="J2606" s="56" t="s">
        <v>3475</v>
      </c>
      <c r="K2606" s="59"/>
      <c r="L2606" s="48"/>
      <c r="M2606" s="49">
        <v>45022</v>
      </c>
      <c r="N2606" s="49" t="s">
        <v>66</v>
      </c>
      <c r="O2606" s="60">
        <v>399.9</v>
      </c>
      <c r="P2606" s="61">
        <v>41</v>
      </c>
      <c r="Q2606" s="51">
        <f t="shared" si="61"/>
        <v>16395.900000000001</v>
      </c>
      <c r="R2606" s="31">
        <v>202310</v>
      </c>
      <c r="S2606" s="62" t="s">
        <v>3476</v>
      </c>
      <c r="T2606" s="33"/>
      <c r="U2606" s="58"/>
      <c r="V2606" s="58"/>
      <c r="W2606" s="63"/>
      <c r="X2606" s="63"/>
      <c r="Y2606" s="36">
        <v>44927</v>
      </c>
      <c r="Z2606" s="36">
        <v>45473</v>
      </c>
      <c r="AA2606" s="36"/>
      <c r="AB2606" s="36"/>
      <c r="AC2606" s="36"/>
      <c r="AD2606" s="36"/>
      <c r="AE2606" s="36"/>
      <c r="AF2606" s="53" t="s">
        <v>68</v>
      </c>
      <c r="AG2606" s="42"/>
      <c r="AH2606" s="42"/>
      <c r="AI2606" s="43"/>
      <c r="AJ2606" s="43"/>
      <c r="AK2606" s="43"/>
      <c r="AL2606" s="43"/>
      <c r="AM2606" s="43"/>
      <c r="AN2606" s="42"/>
      <c r="AO2606" s="42"/>
      <c r="AP2606" s="42"/>
      <c r="AQ2606" s="43"/>
      <c r="AR2606" s="42"/>
      <c r="AS2606" s="42"/>
    </row>
    <row r="2607" spans="1:45" ht="15" customHeight="1">
      <c r="A2607" s="56" t="s">
        <v>57</v>
      </c>
      <c r="B2607" s="21" t="s">
        <v>46</v>
      </c>
      <c r="C2607" s="57" t="s">
        <v>58</v>
      </c>
      <c r="D2607" s="22" t="s">
        <v>71</v>
      </c>
      <c r="E2607" s="58" t="s">
        <v>808</v>
      </c>
      <c r="F2607" s="56" t="s">
        <v>809</v>
      </c>
      <c r="G2607" s="26" t="s">
        <v>62</v>
      </c>
      <c r="H2607" s="25" t="s">
        <v>810</v>
      </c>
      <c r="I2607" s="26" t="s">
        <v>64</v>
      </c>
      <c r="J2607" s="56" t="s">
        <v>3475</v>
      </c>
      <c r="K2607" s="59"/>
      <c r="L2607" s="48"/>
      <c r="M2607" s="49">
        <v>45022</v>
      </c>
      <c r="N2607" s="49" t="s">
        <v>66</v>
      </c>
      <c r="O2607" s="60">
        <v>399.9</v>
      </c>
      <c r="P2607" s="61">
        <v>17</v>
      </c>
      <c r="Q2607" s="51">
        <f t="shared" si="61"/>
        <v>6798.3</v>
      </c>
      <c r="R2607" s="31">
        <v>202310</v>
      </c>
      <c r="S2607" s="62" t="s">
        <v>3477</v>
      </c>
      <c r="T2607" s="33"/>
      <c r="U2607" s="58"/>
      <c r="V2607" s="58"/>
      <c r="W2607" s="63"/>
      <c r="X2607" s="63"/>
      <c r="Y2607" s="36">
        <v>44927</v>
      </c>
      <c r="Z2607" s="36">
        <v>45473</v>
      </c>
      <c r="AA2607" s="36"/>
      <c r="AB2607" s="36"/>
      <c r="AC2607" s="36"/>
      <c r="AD2607" s="36"/>
      <c r="AE2607" s="36"/>
      <c r="AF2607" s="53" t="s">
        <v>68</v>
      </c>
      <c r="AG2607" s="42"/>
      <c r="AH2607" s="42"/>
      <c r="AI2607" s="43"/>
      <c r="AJ2607" s="43"/>
      <c r="AK2607" s="43"/>
      <c r="AL2607" s="43"/>
      <c r="AM2607" s="43"/>
      <c r="AN2607" s="42"/>
      <c r="AO2607" s="42"/>
      <c r="AP2607" s="42"/>
      <c r="AQ2607" s="43"/>
      <c r="AR2607" s="42"/>
      <c r="AS2607" s="42"/>
    </row>
    <row r="2608" spans="1:45" ht="15" customHeight="1">
      <c r="A2608" s="56" t="s">
        <v>57</v>
      </c>
      <c r="B2608" s="21" t="s">
        <v>46</v>
      </c>
      <c r="C2608" s="57" t="s">
        <v>58</v>
      </c>
      <c r="D2608" s="22" t="s">
        <v>71</v>
      </c>
      <c r="E2608" s="58" t="s">
        <v>808</v>
      </c>
      <c r="F2608" s="56" t="s">
        <v>809</v>
      </c>
      <c r="G2608" s="26" t="s">
        <v>62</v>
      </c>
      <c r="H2608" s="25" t="s">
        <v>810</v>
      </c>
      <c r="I2608" s="26" t="s">
        <v>64</v>
      </c>
      <c r="J2608" s="56" t="s">
        <v>3478</v>
      </c>
      <c r="K2608" s="59"/>
      <c r="L2608" s="48"/>
      <c r="M2608" s="49">
        <v>45022</v>
      </c>
      <c r="N2608" s="49" t="s">
        <v>66</v>
      </c>
      <c r="O2608" s="60">
        <v>387</v>
      </c>
      <c r="P2608" s="61">
        <v>6.2</v>
      </c>
      <c r="Q2608" s="51">
        <f t="shared" si="61"/>
        <v>2399.4</v>
      </c>
      <c r="R2608" s="31">
        <v>202310</v>
      </c>
      <c r="S2608" s="62" t="s">
        <v>3479</v>
      </c>
      <c r="T2608" s="33"/>
      <c r="U2608" s="58"/>
      <c r="V2608" s="58"/>
      <c r="W2608" s="63"/>
      <c r="X2608" s="63"/>
      <c r="Y2608" s="36">
        <v>44927</v>
      </c>
      <c r="Z2608" s="36">
        <v>45473</v>
      </c>
      <c r="AA2608" s="42"/>
      <c r="AB2608" s="43"/>
      <c r="AC2608" s="43"/>
      <c r="AD2608" s="43"/>
      <c r="AE2608" s="43"/>
      <c r="AF2608" s="53" t="s">
        <v>68</v>
      </c>
      <c r="AG2608" s="42"/>
      <c r="AH2608" s="42"/>
      <c r="AI2608" s="42"/>
      <c r="AJ2608" s="43"/>
      <c r="AK2608" s="43"/>
      <c r="AL2608" s="43"/>
      <c r="AM2608" s="42"/>
      <c r="AN2608" s="42"/>
      <c r="AO2608" s="42"/>
      <c r="AP2608" s="42"/>
      <c r="AQ2608" s="43"/>
      <c r="AR2608" s="42"/>
      <c r="AS2608" s="42"/>
    </row>
    <row r="2609" spans="1:45" ht="15" customHeight="1">
      <c r="A2609" s="56" t="s">
        <v>57</v>
      </c>
      <c r="B2609" s="21" t="s">
        <v>46</v>
      </c>
      <c r="C2609" s="57" t="s">
        <v>58</v>
      </c>
      <c r="D2609" s="22" t="s">
        <v>71</v>
      </c>
      <c r="E2609" s="58" t="s">
        <v>808</v>
      </c>
      <c r="F2609" s="56" t="s">
        <v>809</v>
      </c>
      <c r="G2609" s="26" t="s">
        <v>62</v>
      </c>
      <c r="H2609" s="25" t="s">
        <v>810</v>
      </c>
      <c r="I2609" s="26" t="s">
        <v>64</v>
      </c>
      <c r="J2609" s="56" t="s">
        <v>3480</v>
      </c>
      <c r="K2609" s="59"/>
      <c r="L2609" s="48"/>
      <c r="M2609" s="49">
        <v>45038</v>
      </c>
      <c r="N2609" s="49" t="s">
        <v>2735</v>
      </c>
      <c r="O2609" s="60">
        <v>349</v>
      </c>
      <c r="P2609" s="61">
        <v>9</v>
      </c>
      <c r="Q2609" s="51">
        <f t="shared" si="61"/>
        <v>3141</v>
      </c>
      <c r="R2609" s="31">
        <v>202310</v>
      </c>
      <c r="S2609" s="62" t="s">
        <v>3481</v>
      </c>
      <c r="T2609" s="33"/>
      <c r="U2609" s="58"/>
      <c r="V2609" s="58"/>
      <c r="W2609" s="63"/>
      <c r="X2609" s="63"/>
      <c r="Y2609" s="36">
        <v>44927</v>
      </c>
      <c r="Z2609" s="36">
        <v>45473</v>
      </c>
      <c r="AA2609" s="36"/>
      <c r="AB2609" s="36"/>
      <c r="AC2609" s="36"/>
      <c r="AD2609" s="36"/>
      <c r="AE2609" s="36"/>
      <c r="AF2609" s="53" t="s">
        <v>68</v>
      </c>
      <c r="AG2609" s="42"/>
      <c r="AH2609" s="42"/>
      <c r="AI2609" s="43"/>
      <c r="AJ2609" s="43"/>
      <c r="AK2609" s="43"/>
      <c r="AL2609" s="43"/>
      <c r="AM2609" s="43"/>
      <c r="AN2609" s="42"/>
      <c r="AO2609" s="42"/>
      <c r="AP2609" s="42"/>
      <c r="AQ2609" s="43"/>
      <c r="AR2609" s="42"/>
      <c r="AS2609" s="42"/>
    </row>
    <row r="2610" spans="1:45" ht="15" customHeight="1">
      <c r="A2610" s="56" t="s">
        <v>57</v>
      </c>
      <c r="B2610" s="21" t="s">
        <v>46</v>
      </c>
      <c r="C2610" s="57" t="s">
        <v>58</v>
      </c>
      <c r="D2610" s="22" t="s">
        <v>71</v>
      </c>
      <c r="E2610" s="58" t="s">
        <v>808</v>
      </c>
      <c r="F2610" s="56" t="s">
        <v>809</v>
      </c>
      <c r="G2610" s="26" t="s">
        <v>62</v>
      </c>
      <c r="H2610" s="25" t="s">
        <v>810</v>
      </c>
      <c r="I2610" s="26" t="s">
        <v>64</v>
      </c>
      <c r="J2610" s="56" t="s">
        <v>3480</v>
      </c>
      <c r="K2610" s="59"/>
      <c r="L2610" s="48"/>
      <c r="M2610" s="49">
        <v>45038</v>
      </c>
      <c r="N2610" s="49" t="s">
        <v>2735</v>
      </c>
      <c r="O2610" s="60">
        <v>349</v>
      </c>
      <c r="P2610" s="61">
        <v>11</v>
      </c>
      <c r="Q2610" s="51">
        <f t="shared" si="61"/>
        <v>3839</v>
      </c>
      <c r="R2610" s="31">
        <v>202310</v>
      </c>
      <c r="S2610" s="62" t="s">
        <v>3482</v>
      </c>
      <c r="T2610" s="33"/>
      <c r="U2610" s="58"/>
      <c r="V2610" s="58"/>
      <c r="W2610" s="63"/>
      <c r="X2610" s="63"/>
      <c r="Y2610" s="36">
        <v>44927</v>
      </c>
      <c r="Z2610" s="36">
        <v>45473</v>
      </c>
      <c r="AA2610" s="36"/>
      <c r="AB2610" s="36"/>
      <c r="AC2610" s="36"/>
      <c r="AD2610" s="36"/>
      <c r="AE2610" s="36"/>
      <c r="AF2610" s="53" t="s">
        <v>68</v>
      </c>
      <c r="AG2610" s="42"/>
      <c r="AH2610" s="42"/>
      <c r="AI2610" s="43"/>
      <c r="AJ2610" s="43"/>
      <c r="AK2610" s="43"/>
      <c r="AL2610" s="43"/>
      <c r="AM2610" s="43"/>
      <c r="AN2610" s="42"/>
      <c r="AO2610" s="42"/>
      <c r="AP2610" s="42"/>
      <c r="AQ2610" s="43"/>
      <c r="AR2610" s="42"/>
      <c r="AS2610" s="42"/>
    </row>
    <row r="2611" spans="1:45" ht="15" customHeight="1">
      <c r="A2611" s="56" t="s">
        <v>57</v>
      </c>
      <c r="B2611" s="21" t="s">
        <v>46</v>
      </c>
      <c r="C2611" s="57" t="s">
        <v>58</v>
      </c>
      <c r="D2611" s="22" t="s">
        <v>71</v>
      </c>
      <c r="E2611" s="58" t="s">
        <v>808</v>
      </c>
      <c r="F2611" s="56" t="s">
        <v>809</v>
      </c>
      <c r="G2611" s="26" t="s">
        <v>62</v>
      </c>
      <c r="H2611" s="25" t="s">
        <v>810</v>
      </c>
      <c r="I2611" s="26" t="s">
        <v>64</v>
      </c>
      <c r="J2611" s="56" t="s">
        <v>3483</v>
      </c>
      <c r="K2611" s="59"/>
      <c r="L2611" s="48"/>
      <c r="M2611" s="49">
        <v>45038</v>
      </c>
      <c r="N2611" s="49" t="s">
        <v>2735</v>
      </c>
      <c r="O2611" s="60">
        <v>2000</v>
      </c>
      <c r="P2611" s="61">
        <v>2</v>
      </c>
      <c r="Q2611" s="51">
        <f t="shared" si="61"/>
        <v>4000</v>
      </c>
      <c r="R2611" s="31">
        <v>202310</v>
      </c>
      <c r="S2611" s="62" t="s">
        <v>3484</v>
      </c>
      <c r="T2611" s="33"/>
      <c r="U2611" s="58"/>
      <c r="V2611" s="58"/>
      <c r="W2611" s="63"/>
      <c r="X2611" s="63"/>
      <c r="Y2611" s="36">
        <v>44927</v>
      </c>
      <c r="Z2611" s="36">
        <v>45473</v>
      </c>
      <c r="AA2611" s="36"/>
      <c r="AB2611" s="36"/>
      <c r="AC2611" s="36"/>
      <c r="AD2611" s="36"/>
      <c r="AE2611" s="36"/>
      <c r="AF2611" s="53" t="s">
        <v>68</v>
      </c>
      <c r="AG2611" s="42"/>
      <c r="AH2611" s="42"/>
      <c r="AI2611" s="43"/>
      <c r="AJ2611" s="43"/>
      <c r="AK2611" s="43"/>
      <c r="AL2611" s="43"/>
      <c r="AM2611" s="43"/>
      <c r="AN2611" s="42"/>
      <c r="AO2611" s="42"/>
      <c r="AP2611" s="42"/>
      <c r="AQ2611" s="43"/>
      <c r="AR2611" s="42"/>
      <c r="AS2611" s="42"/>
    </row>
    <row r="2612" spans="1:45" ht="15" customHeight="1">
      <c r="A2612" s="56" t="s">
        <v>57</v>
      </c>
      <c r="B2612" s="21" t="s">
        <v>46</v>
      </c>
      <c r="C2612" s="57" t="s">
        <v>58</v>
      </c>
      <c r="D2612" s="22" t="s">
        <v>71</v>
      </c>
      <c r="E2612" s="58" t="s">
        <v>808</v>
      </c>
      <c r="F2612" s="56" t="s">
        <v>809</v>
      </c>
      <c r="G2612" s="26" t="s">
        <v>62</v>
      </c>
      <c r="H2612" s="25" t="s">
        <v>810</v>
      </c>
      <c r="I2612" s="26" t="s">
        <v>64</v>
      </c>
      <c r="J2612" s="56" t="s">
        <v>3485</v>
      </c>
      <c r="K2612" s="59"/>
      <c r="L2612" s="48"/>
      <c r="M2612" s="49">
        <v>45096</v>
      </c>
      <c r="N2612" s="49" t="s">
        <v>2735</v>
      </c>
      <c r="O2612" s="60">
        <v>349</v>
      </c>
      <c r="P2612" s="61">
        <v>156</v>
      </c>
      <c r="Q2612" s="51">
        <f t="shared" si="61"/>
        <v>54444</v>
      </c>
      <c r="R2612" s="31">
        <v>202310</v>
      </c>
      <c r="S2612" s="58" t="s">
        <v>3486</v>
      </c>
      <c r="T2612" s="33"/>
      <c r="U2612" s="58"/>
      <c r="V2612" s="58"/>
      <c r="W2612" s="63"/>
      <c r="X2612" s="63"/>
      <c r="Y2612" s="36">
        <v>44927</v>
      </c>
      <c r="Z2612" s="36">
        <v>45473</v>
      </c>
      <c r="AA2612" s="36"/>
      <c r="AB2612" s="36"/>
      <c r="AC2612" s="36"/>
      <c r="AD2612" s="36"/>
      <c r="AE2612" s="36"/>
      <c r="AF2612" s="53" t="s">
        <v>68</v>
      </c>
      <c r="AG2612" s="42"/>
      <c r="AH2612" s="42"/>
      <c r="AI2612" s="43"/>
      <c r="AJ2612" s="43"/>
      <c r="AK2612" s="43"/>
      <c r="AL2612" s="43"/>
      <c r="AM2612" s="43"/>
      <c r="AN2612" s="42"/>
      <c r="AO2612" s="42"/>
      <c r="AP2612" s="42"/>
      <c r="AQ2612" s="43"/>
      <c r="AR2612" s="42"/>
      <c r="AS2612" s="42"/>
    </row>
    <row r="2613" spans="1:45" ht="15" customHeight="1">
      <c r="A2613" s="56" t="s">
        <v>57</v>
      </c>
      <c r="B2613" s="21" t="s">
        <v>46</v>
      </c>
      <c r="C2613" s="57" t="s">
        <v>58</v>
      </c>
      <c r="D2613" s="22" t="s">
        <v>71</v>
      </c>
      <c r="E2613" s="58" t="s">
        <v>808</v>
      </c>
      <c r="F2613" s="56" t="s">
        <v>809</v>
      </c>
      <c r="G2613" s="26" t="s">
        <v>62</v>
      </c>
      <c r="H2613" s="25" t="s">
        <v>810</v>
      </c>
      <c r="I2613" s="26" t="s">
        <v>64</v>
      </c>
      <c r="J2613" s="56" t="s">
        <v>3487</v>
      </c>
      <c r="K2613" s="59"/>
      <c r="L2613" s="48"/>
      <c r="M2613" s="49">
        <v>45051</v>
      </c>
      <c r="N2613" s="49" t="s">
        <v>66</v>
      </c>
      <c r="O2613" s="60">
        <v>399.9</v>
      </c>
      <c r="P2613" s="61">
        <v>42</v>
      </c>
      <c r="Q2613" s="51">
        <f t="shared" si="61"/>
        <v>16795.8</v>
      </c>
      <c r="R2613" s="31">
        <v>202310</v>
      </c>
      <c r="S2613" s="58" t="s">
        <v>3487</v>
      </c>
      <c r="T2613" s="33"/>
      <c r="U2613" s="58"/>
      <c r="V2613" s="58"/>
      <c r="W2613" s="63"/>
      <c r="X2613" s="63"/>
      <c r="Y2613" s="36">
        <v>44927</v>
      </c>
      <c r="Z2613" s="36">
        <v>45473</v>
      </c>
      <c r="AA2613" s="36"/>
      <c r="AB2613" s="36"/>
      <c r="AC2613" s="36"/>
      <c r="AD2613" s="36"/>
      <c r="AE2613" s="36"/>
      <c r="AF2613" s="53" t="s">
        <v>68</v>
      </c>
      <c r="AG2613" s="42"/>
      <c r="AH2613" s="42"/>
      <c r="AI2613" s="43"/>
      <c r="AJ2613" s="43"/>
      <c r="AK2613" s="43"/>
      <c r="AL2613" s="43"/>
      <c r="AM2613" s="43"/>
      <c r="AN2613" s="42"/>
      <c r="AO2613" s="42"/>
      <c r="AP2613" s="42"/>
      <c r="AQ2613" s="43"/>
      <c r="AR2613" s="42"/>
      <c r="AS2613" s="42"/>
    </row>
    <row r="2614" spans="1:45" ht="15" customHeight="1">
      <c r="A2614" s="56" t="s">
        <v>57</v>
      </c>
      <c r="B2614" s="21" t="s">
        <v>46</v>
      </c>
      <c r="C2614" s="57" t="s">
        <v>58</v>
      </c>
      <c r="D2614" s="22" t="s">
        <v>71</v>
      </c>
      <c r="E2614" s="58" t="s">
        <v>808</v>
      </c>
      <c r="F2614" s="56" t="s">
        <v>809</v>
      </c>
      <c r="G2614" s="26" t="s">
        <v>62</v>
      </c>
      <c r="H2614" s="25" t="s">
        <v>810</v>
      </c>
      <c r="I2614" s="26" t="s">
        <v>64</v>
      </c>
      <c r="J2614" s="56" t="s">
        <v>3488</v>
      </c>
      <c r="K2614" s="59"/>
      <c r="L2614" s="48"/>
      <c r="M2614" s="49">
        <v>45051</v>
      </c>
      <c r="N2614" s="49" t="s">
        <v>66</v>
      </c>
      <c r="O2614" s="60">
        <v>399.9</v>
      </c>
      <c r="P2614" s="61">
        <v>52.5</v>
      </c>
      <c r="Q2614" s="51">
        <f t="shared" si="61"/>
        <v>20994.75</v>
      </c>
      <c r="R2614" s="31">
        <v>202310</v>
      </c>
      <c r="S2614" s="58" t="s">
        <v>3487</v>
      </c>
      <c r="T2614" s="33"/>
      <c r="U2614" s="58"/>
      <c r="V2614" s="58"/>
      <c r="W2614" s="63"/>
      <c r="X2614" s="63"/>
      <c r="Y2614" s="36">
        <v>44927</v>
      </c>
      <c r="Z2614" s="36">
        <v>45473</v>
      </c>
      <c r="AA2614" s="36"/>
      <c r="AB2614" s="36"/>
      <c r="AC2614" s="36"/>
      <c r="AD2614" s="36"/>
      <c r="AE2614" s="36"/>
      <c r="AF2614" s="53" t="s">
        <v>68</v>
      </c>
      <c r="AG2614" s="42"/>
      <c r="AH2614" s="42"/>
      <c r="AI2614" s="43"/>
      <c r="AJ2614" s="43"/>
      <c r="AK2614" s="43"/>
      <c r="AL2614" s="43"/>
      <c r="AM2614" s="43"/>
      <c r="AN2614" s="42"/>
      <c r="AO2614" s="42"/>
      <c r="AP2614" s="42"/>
      <c r="AQ2614" s="43"/>
      <c r="AR2614" s="42"/>
      <c r="AS2614" s="42"/>
    </row>
    <row r="2615" spans="1:45" ht="15" customHeight="1">
      <c r="A2615" s="56" t="s">
        <v>57</v>
      </c>
      <c r="B2615" s="21" t="s">
        <v>46</v>
      </c>
      <c r="C2615" s="57" t="s">
        <v>58</v>
      </c>
      <c r="D2615" s="22" t="s">
        <v>71</v>
      </c>
      <c r="E2615" s="58" t="s">
        <v>808</v>
      </c>
      <c r="F2615" s="56" t="s">
        <v>809</v>
      </c>
      <c r="G2615" s="26" t="s">
        <v>77</v>
      </c>
      <c r="H2615" s="25" t="s">
        <v>810</v>
      </c>
      <c r="I2615" s="26" t="s">
        <v>78</v>
      </c>
      <c r="J2615" s="56" t="s">
        <v>3489</v>
      </c>
      <c r="K2615" s="59"/>
      <c r="L2615" s="48" t="s">
        <v>3490</v>
      </c>
      <c r="M2615" s="49">
        <v>45108</v>
      </c>
      <c r="N2615" s="49" t="s">
        <v>90</v>
      </c>
      <c r="O2615" s="60">
        <v>3428</v>
      </c>
      <c r="P2615" s="61">
        <v>1</v>
      </c>
      <c r="Q2615" s="51">
        <f t="shared" si="61"/>
        <v>3428</v>
      </c>
      <c r="R2615" s="31">
        <v>202310</v>
      </c>
      <c r="S2615" s="58" t="s">
        <v>3491</v>
      </c>
      <c r="T2615" s="33"/>
      <c r="U2615" s="58"/>
      <c r="V2615" s="58"/>
      <c r="W2615" s="63"/>
      <c r="X2615" s="63"/>
      <c r="Y2615" s="36">
        <v>44927</v>
      </c>
      <c r="Z2615" s="36">
        <v>45473</v>
      </c>
      <c r="AA2615" s="36"/>
      <c r="AB2615" s="36"/>
      <c r="AC2615" s="36"/>
      <c r="AD2615" s="36"/>
      <c r="AE2615" s="36"/>
      <c r="AF2615" s="53" t="s">
        <v>68</v>
      </c>
      <c r="AG2615" s="42"/>
      <c r="AH2615" s="42"/>
      <c r="AI2615" s="43"/>
      <c r="AJ2615" s="43"/>
      <c r="AK2615" s="43"/>
      <c r="AL2615" s="43"/>
      <c r="AM2615" s="43"/>
      <c r="AN2615" s="42"/>
      <c r="AO2615" s="42"/>
      <c r="AP2615" s="42"/>
      <c r="AQ2615" s="43"/>
      <c r="AR2615" s="42"/>
      <c r="AS2615" s="42"/>
    </row>
    <row r="2616" spans="1:45" ht="15" customHeight="1">
      <c r="A2616" s="56" t="s">
        <v>57</v>
      </c>
      <c r="B2616" s="21" t="s">
        <v>46</v>
      </c>
      <c r="C2616" s="57" t="s">
        <v>58</v>
      </c>
      <c r="D2616" s="22" t="s">
        <v>71</v>
      </c>
      <c r="E2616" s="58" t="s">
        <v>808</v>
      </c>
      <c r="F2616" s="56" t="s">
        <v>809</v>
      </c>
      <c r="G2616" s="26" t="s">
        <v>77</v>
      </c>
      <c r="H2616" s="25" t="s">
        <v>810</v>
      </c>
      <c r="I2616" s="26" t="s">
        <v>78</v>
      </c>
      <c r="J2616" s="56" t="s">
        <v>3492</v>
      </c>
      <c r="K2616" s="59"/>
      <c r="L2616" s="48" t="s">
        <v>3493</v>
      </c>
      <c r="M2616" s="49">
        <v>45108</v>
      </c>
      <c r="N2616" s="49" t="s">
        <v>90</v>
      </c>
      <c r="O2616" s="60">
        <v>3428</v>
      </c>
      <c r="P2616" s="61">
        <v>1</v>
      </c>
      <c r="Q2616" s="51">
        <f t="shared" si="61"/>
        <v>3428</v>
      </c>
      <c r="R2616" s="31">
        <v>202310</v>
      </c>
      <c r="S2616" s="58" t="s">
        <v>3494</v>
      </c>
      <c r="T2616" s="33"/>
      <c r="U2616" s="58"/>
      <c r="V2616" s="58"/>
      <c r="W2616" s="63"/>
      <c r="X2616" s="63"/>
      <c r="Y2616" s="36">
        <v>44927</v>
      </c>
      <c r="Z2616" s="36">
        <v>45473</v>
      </c>
      <c r="AA2616" s="36"/>
      <c r="AB2616" s="36"/>
      <c r="AC2616" s="36"/>
      <c r="AD2616" s="36"/>
      <c r="AE2616" s="36"/>
      <c r="AF2616" s="53" t="s">
        <v>68</v>
      </c>
      <c r="AG2616" s="42"/>
      <c r="AH2616" s="42"/>
      <c r="AI2616" s="43"/>
      <c r="AJ2616" s="43"/>
      <c r="AK2616" s="43"/>
      <c r="AL2616" s="43"/>
      <c r="AM2616" s="43"/>
      <c r="AN2616" s="42"/>
      <c r="AO2616" s="42"/>
      <c r="AP2616" s="42"/>
      <c r="AQ2616" s="43"/>
      <c r="AR2616" s="42"/>
      <c r="AS2616" s="42"/>
    </row>
    <row r="2617" spans="1:45" ht="15" customHeight="1">
      <c r="A2617" s="56" t="s">
        <v>57</v>
      </c>
      <c r="B2617" s="21" t="s">
        <v>46</v>
      </c>
      <c r="C2617" s="57" t="s">
        <v>58</v>
      </c>
      <c r="D2617" s="22" t="s">
        <v>71</v>
      </c>
      <c r="E2617" s="58" t="s">
        <v>808</v>
      </c>
      <c r="F2617" s="56" t="s">
        <v>809</v>
      </c>
      <c r="G2617" s="26" t="s">
        <v>62</v>
      </c>
      <c r="H2617" s="25" t="s">
        <v>810</v>
      </c>
      <c r="I2617" s="26" t="s">
        <v>64</v>
      </c>
      <c r="J2617" s="56" t="s">
        <v>3495</v>
      </c>
      <c r="K2617" s="59"/>
      <c r="L2617" s="48"/>
      <c r="M2617" s="49">
        <v>45108</v>
      </c>
      <c r="N2617" s="49" t="s">
        <v>66</v>
      </c>
      <c r="O2617" s="60">
        <v>399.9</v>
      </c>
      <c r="P2617" s="61">
        <v>80.33</v>
      </c>
      <c r="Q2617" s="51">
        <f t="shared" si="61"/>
        <v>32123.97</v>
      </c>
      <c r="R2617" s="31">
        <v>202310</v>
      </c>
      <c r="S2617" s="58" t="s">
        <v>3496</v>
      </c>
      <c r="T2617" s="33"/>
      <c r="U2617" s="58"/>
      <c r="V2617" s="58"/>
      <c r="W2617" s="63"/>
      <c r="X2617" s="63"/>
      <c r="Y2617" s="36">
        <v>44927</v>
      </c>
      <c r="Z2617" s="36">
        <v>45473</v>
      </c>
      <c r="AA2617" s="36"/>
      <c r="AB2617" s="36"/>
      <c r="AC2617" s="36"/>
      <c r="AD2617" s="36"/>
      <c r="AE2617" s="36"/>
      <c r="AF2617" s="53" t="s">
        <v>68</v>
      </c>
      <c r="AG2617" s="42"/>
      <c r="AH2617" s="42"/>
      <c r="AI2617" s="43"/>
      <c r="AJ2617" s="43"/>
      <c r="AK2617" s="43"/>
      <c r="AL2617" s="43"/>
      <c r="AM2617" s="43"/>
      <c r="AN2617" s="42"/>
      <c r="AO2617" s="42"/>
      <c r="AP2617" s="42"/>
      <c r="AQ2617" s="43"/>
      <c r="AR2617" s="42"/>
      <c r="AS2617" s="42"/>
    </row>
    <row r="2618" spans="1:45" ht="15" customHeight="1">
      <c r="A2618" s="56" t="s">
        <v>57</v>
      </c>
      <c r="B2618" s="21" t="s">
        <v>46</v>
      </c>
      <c r="C2618" s="57" t="s">
        <v>58</v>
      </c>
      <c r="D2618" s="22" t="s">
        <v>71</v>
      </c>
      <c r="E2618" s="58" t="s">
        <v>808</v>
      </c>
      <c r="F2618" s="56" t="s">
        <v>809</v>
      </c>
      <c r="G2618" s="26" t="s">
        <v>62</v>
      </c>
      <c r="H2618" s="25" t="s">
        <v>810</v>
      </c>
      <c r="I2618" s="26" t="s">
        <v>64</v>
      </c>
      <c r="J2618" s="56" t="s">
        <v>3497</v>
      </c>
      <c r="K2618" s="59"/>
      <c r="L2618" s="48"/>
      <c r="M2618" s="49">
        <v>45108</v>
      </c>
      <c r="N2618" s="49" t="s">
        <v>66</v>
      </c>
      <c r="O2618" s="60">
        <v>399.9</v>
      </c>
      <c r="P2618" s="61">
        <v>94.29</v>
      </c>
      <c r="Q2618" s="51">
        <f t="shared" si="61"/>
        <v>37706.57</v>
      </c>
      <c r="R2618" s="31">
        <v>202310</v>
      </c>
      <c r="S2618" s="58" t="s">
        <v>3498</v>
      </c>
      <c r="T2618" s="33"/>
      <c r="U2618" s="58"/>
      <c r="V2618" s="58"/>
      <c r="W2618" s="63"/>
      <c r="X2618" s="63"/>
      <c r="Y2618" s="36">
        <v>44927</v>
      </c>
      <c r="Z2618" s="36">
        <v>45473</v>
      </c>
      <c r="AA2618" s="36"/>
      <c r="AB2618" s="36"/>
      <c r="AC2618" s="36"/>
      <c r="AD2618" s="36"/>
      <c r="AE2618" s="36"/>
      <c r="AF2618" s="53" t="s">
        <v>68</v>
      </c>
      <c r="AG2618" s="42"/>
      <c r="AH2618" s="42"/>
      <c r="AI2618" s="43"/>
      <c r="AJ2618" s="43"/>
      <c r="AK2618" s="43"/>
      <c r="AL2618" s="43"/>
      <c r="AM2618" s="43"/>
      <c r="AN2618" s="42"/>
      <c r="AO2618" s="42"/>
      <c r="AP2618" s="42"/>
      <c r="AQ2618" s="43"/>
      <c r="AR2618" s="42"/>
      <c r="AS2618" s="42"/>
    </row>
    <row r="2619" spans="1:45" ht="15" customHeight="1">
      <c r="A2619" s="56" t="s">
        <v>57</v>
      </c>
      <c r="B2619" s="21" t="s">
        <v>46</v>
      </c>
      <c r="C2619" s="57" t="s">
        <v>58</v>
      </c>
      <c r="D2619" s="22" t="s">
        <v>71</v>
      </c>
      <c r="E2619" s="58" t="s">
        <v>808</v>
      </c>
      <c r="F2619" s="56" t="s">
        <v>809</v>
      </c>
      <c r="G2619" s="26" t="s">
        <v>62</v>
      </c>
      <c r="H2619" s="25" t="s">
        <v>810</v>
      </c>
      <c r="I2619" s="26" t="s">
        <v>64</v>
      </c>
      <c r="J2619" s="56" t="s">
        <v>3499</v>
      </c>
      <c r="K2619" s="59"/>
      <c r="L2619" s="48"/>
      <c r="M2619" s="49">
        <v>45108</v>
      </c>
      <c r="N2619" s="49" t="s">
        <v>66</v>
      </c>
      <c r="O2619" s="60">
        <v>399.9</v>
      </c>
      <c r="P2619" s="61">
        <v>94.55</v>
      </c>
      <c r="Q2619" s="51">
        <f>ROUND(O2619*P2619,2)</f>
        <v>37810.550000000003</v>
      </c>
      <c r="R2619" s="31">
        <v>202310</v>
      </c>
      <c r="S2619" s="58" t="s">
        <v>3500</v>
      </c>
      <c r="T2619" s="33"/>
      <c r="U2619" s="58"/>
      <c r="V2619" s="58"/>
      <c r="W2619" s="63"/>
      <c r="X2619" s="63"/>
      <c r="Y2619" s="36">
        <v>44927</v>
      </c>
      <c r="Z2619" s="36">
        <v>45473</v>
      </c>
      <c r="AA2619" s="36"/>
      <c r="AB2619" s="36"/>
      <c r="AC2619" s="36"/>
      <c r="AD2619" s="36"/>
      <c r="AE2619" s="36"/>
      <c r="AF2619" s="53" t="s">
        <v>68</v>
      </c>
      <c r="AG2619" s="42"/>
      <c r="AH2619" s="42"/>
      <c r="AI2619" s="43"/>
      <c r="AJ2619" s="43"/>
      <c r="AK2619" s="43"/>
      <c r="AL2619" s="43"/>
      <c r="AM2619" s="43"/>
      <c r="AN2619" s="42"/>
      <c r="AO2619" s="42"/>
      <c r="AP2619" s="42"/>
      <c r="AQ2619" s="43"/>
      <c r="AR2619" s="42"/>
      <c r="AS2619" s="42"/>
    </row>
    <row r="2620" spans="1:45" ht="15" customHeight="1">
      <c r="A2620" s="56" t="s">
        <v>57</v>
      </c>
      <c r="B2620" s="21" t="s">
        <v>46</v>
      </c>
      <c r="C2620" s="57" t="s">
        <v>58</v>
      </c>
      <c r="D2620" s="22" t="s">
        <v>71</v>
      </c>
      <c r="E2620" s="58" t="s">
        <v>808</v>
      </c>
      <c r="F2620" s="56" t="s">
        <v>809</v>
      </c>
      <c r="G2620" s="26" t="s">
        <v>62</v>
      </c>
      <c r="H2620" s="25" t="s">
        <v>810</v>
      </c>
      <c r="I2620" s="26" t="s">
        <v>64</v>
      </c>
      <c r="J2620" s="56" t="s">
        <v>3501</v>
      </c>
      <c r="K2620" s="59"/>
      <c r="L2620" s="48"/>
      <c r="M2620" s="49">
        <v>45108</v>
      </c>
      <c r="N2620" s="49" t="s">
        <v>66</v>
      </c>
      <c r="O2620" s="60">
        <v>399.9</v>
      </c>
      <c r="P2620" s="61">
        <v>178.5</v>
      </c>
      <c r="Q2620" s="51">
        <f t="shared" si="61"/>
        <v>71382.149999999994</v>
      </c>
      <c r="R2620" s="31">
        <v>202310</v>
      </c>
      <c r="S2620" s="58" t="s">
        <v>3502</v>
      </c>
      <c r="T2620" s="33"/>
      <c r="U2620" s="58"/>
      <c r="V2620" s="58"/>
      <c r="W2620" s="63"/>
      <c r="X2620" s="63"/>
      <c r="Y2620" s="36">
        <v>44927</v>
      </c>
      <c r="Z2620" s="36">
        <v>45473</v>
      </c>
      <c r="AA2620" s="36"/>
      <c r="AB2620" s="36"/>
      <c r="AC2620" s="36"/>
      <c r="AD2620" s="36"/>
      <c r="AE2620" s="36"/>
      <c r="AF2620" s="53" t="s">
        <v>68</v>
      </c>
      <c r="AG2620" s="42"/>
      <c r="AH2620" s="42"/>
      <c r="AI2620" s="43"/>
      <c r="AJ2620" s="43"/>
      <c r="AK2620" s="43"/>
      <c r="AL2620" s="43"/>
      <c r="AM2620" s="43"/>
      <c r="AN2620" s="42"/>
      <c r="AO2620" s="42"/>
      <c r="AP2620" s="42"/>
      <c r="AQ2620" s="43"/>
      <c r="AR2620" s="42"/>
      <c r="AS2620" s="42"/>
    </row>
    <row r="2621" spans="1:45" ht="15" customHeight="1">
      <c r="A2621" s="56" t="s">
        <v>57</v>
      </c>
      <c r="B2621" s="21" t="s">
        <v>46</v>
      </c>
      <c r="C2621" s="57" t="s">
        <v>58</v>
      </c>
      <c r="D2621" s="22" t="s">
        <v>71</v>
      </c>
      <c r="E2621" s="58" t="s">
        <v>808</v>
      </c>
      <c r="F2621" s="56" t="s">
        <v>809</v>
      </c>
      <c r="G2621" s="26" t="s">
        <v>62</v>
      </c>
      <c r="H2621" s="25" t="s">
        <v>810</v>
      </c>
      <c r="I2621" s="26" t="s">
        <v>64</v>
      </c>
      <c r="J2621" s="56" t="s">
        <v>3503</v>
      </c>
      <c r="K2621" s="59"/>
      <c r="L2621" s="48"/>
      <c r="M2621" s="49">
        <v>45108</v>
      </c>
      <c r="N2621" s="49" t="s">
        <v>66</v>
      </c>
      <c r="O2621" s="60">
        <v>399.9</v>
      </c>
      <c r="P2621" s="61">
        <v>173.22</v>
      </c>
      <c r="Q2621" s="51">
        <f t="shared" si="61"/>
        <v>69270.679999999993</v>
      </c>
      <c r="R2621" s="31">
        <v>202310</v>
      </c>
      <c r="S2621" s="58" t="s">
        <v>3504</v>
      </c>
      <c r="T2621" s="33"/>
      <c r="U2621" s="58"/>
      <c r="V2621" s="58"/>
      <c r="W2621" s="63"/>
      <c r="X2621" s="63"/>
      <c r="Y2621" s="36">
        <v>44927</v>
      </c>
      <c r="Z2621" s="36">
        <v>45473</v>
      </c>
      <c r="AA2621" s="36"/>
      <c r="AB2621" s="36"/>
      <c r="AC2621" s="36"/>
      <c r="AD2621" s="36"/>
      <c r="AE2621" s="36"/>
      <c r="AF2621" s="53" t="s">
        <v>68</v>
      </c>
      <c r="AG2621" s="42"/>
      <c r="AH2621" s="42"/>
      <c r="AI2621" s="43"/>
      <c r="AJ2621" s="43"/>
      <c r="AK2621" s="43"/>
      <c r="AL2621" s="43"/>
      <c r="AM2621" s="43"/>
      <c r="AN2621" s="42"/>
      <c r="AO2621" s="42"/>
      <c r="AP2621" s="42"/>
      <c r="AQ2621" s="43"/>
      <c r="AR2621" s="42"/>
      <c r="AS2621" s="42"/>
    </row>
    <row r="2622" spans="1:45" ht="15" customHeight="1">
      <c r="A2622" s="56" t="s">
        <v>57</v>
      </c>
      <c r="B2622" s="21" t="s">
        <v>46</v>
      </c>
      <c r="C2622" s="57" t="s">
        <v>58</v>
      </c>
      <c r="D2622" s="22" t="s">
        <v>71</v>
      </c>
      <c r="E2622" s="58" t="s">
        <v>808</v>
      </c>
      <c r="F2622" s="56" t="s">
        <v>809</v>
      </c>
      <c r="G2622" s="26" t="s">
        <v>62</v>
      </c>
      <c r="H2622" s="25" t="s">
        <v>810</v>
      </c>
      <c r="I2622" s="26" t="s">
        <v>64</v>
      </c>
      <c r="J2622" s="56" t="s">
        <v>3505</v>
      </c>
      <c r="K2622" s="59"/>
      <c r="L2622" s="48"/>
      <c r="M2622" s="49">
        <v>45108</v>
      </c>
      <c r="N2622" s="49" t="s">
        <v>66</v>
      </c>
      <c r="O2622" s="60">
        <v>399.9</v>
      </c>
      <c r="P2622" s="61">
        <v>147.6</v>
      </c>
      <c r="Q2622" s="51">
        <f t="shared" si="61"/>
        <v>59025.24</v>
      </c>
      <c r="R2622" s="31">
        <v>202310</v>
      </c>
      <c r="S2622" s="58" t="s">
        <v>3506</v>
      </c>
      <c r="T2622" s="33"/>
      <c r="U2622" s="58"/>
      <c r="V2622" s="58"/>
      <c r="W2622" s="63"/>
      <c r="X2622" s="63"/>
      <c r="Y2622" s="36">
        <v>44927</v>
      </c>
      <c r="Z2622" s="36">
        <v>45473</v>
      </c>
      <c r="AA2622" s="36"/>
      <c r="AB2622" s="36"/>
      <c r="AC2622" s="36"/>
      <c r="AD2622" s="36"/>
      <c r="AE2622" s="36"/>
      <c r="AF2622" s="53" t="s">
        <v>68</v>
      </c>
      <c r="AG2622" s="42"/>
      <c r="AH2622" s="42"/>
      <c r="AI2622" s="43"/>
      <c r="AJ2622" s="43"/>
      <c r="AK2622" s="43"/>
      <c r="AL2622" s="43"/>
      <c r="AM2622" s="43"/>
      <c r="AN2622" s="42"/>
      <c r="AO2622" s="42"/>
      <c r="AP2622" s="42"/>
      <c r="AQ2622" s="43"/>
      <c r="AR2622" s="42"/>
      <c r="AS2622" s="42"/>
    </row>
    <row r="2623" spans="1:45" ht="15" customHeight="1">
      <c r="A2623" s="56" t="s">
        <v>57</v>
      </c>
      <c r="B2623" s="21" t="s">
        <v>46</v>
      </c>
      <c r="C2623" s="57" t="s">
        <v>58</v>
      </c>
      <c r="D2623" s="22" t="s">
        <v>71</v>
      </c>
      <c r="E2623" s="58" t="s">
        <v>808</v>
      </c>
      <c r="F2623" s="56" t="s">
        <v>809</v>
      </c>
      <c r="G2623" s="26" t="s">
        <v>77</v>
      </c>
      <c r="H2623" s="25" t="s">
        <v>810</v>
      </c>
      <c r="I2623" s="26" t="s">
        <v>78</v>
      </c>
      <c r="J2623" s="56" t="s">
        <v>3507</v>
      </c>
      <c r="K2623" s="59"/>
      <c r="L2623" s="48" t="s">
        <v>3508</v>
      </c>
      <c r="M2623" s="49">
        <v>45108</v>
      </c>
      <c r="N2623" s="49" t="s">
        <v>90</v>
      </c>
      <c r="O2623" s="60">
        <v>3428</v>
      </c>
      <c r="P2623" s="61">
        <v>1</v>
      </c>
      <c r="Q2623" s="51">
        <f t="shared" si="61"/>
        <v>3428</v>
      </c>
      <c r="R2623" s="31">
        <v>202310</v>
      </c>
      <c r="S2623" s="58" t="s">
        <v>3509</v>
      </c>
      <c r="T2623" s="33"/>
      <c r="U2623" s="58"/>
      <c r="V2623" s="58"/>
      <c r="W2623" s="63"/>
      <c r="X2623" s="63"/>
      <c r="Y2623" s="36">
        <v>44927</v>
      </c>
      <c r="Z2623" s="36">
        <v>45473</v>
      </c>
      <c r="AA2623" s="36"/>
      <c r="AB2623" s="36"/>
      <c r="AC2623" s="36"/>
      <c r="AD2623" s="36"/>
      <c r="AE2623" s="36"/>
      <c r="AF2623" s="53" t="s">
        <v>68</v>
      </c>
      <c r="AG2623" s="42"/>
      <c r="AH2623" s="42"/>
      <c r="AI2623" s="43"/>
      <c r="AJ2623" s="43"/>
      <c r="AK2623" s="43"/>
      <c r="AL2623" s="43"/>
      <c r="AM2623" s="43"/>
      <c r="AN2623" s="42"/>
      <c r="AO2623" s="42"/>
      <c r="AP2623" s="42"/>
      <c r="AQ2623" s="43"/>
      <c r="AR2623" s="42"/>
      <c r="AS2623" s="42"/>
    </row>
    <row r="2624" spans="1:45" ht="15" customHeight="1">
      <c r="A2624" s="56" t="s">
        <v>57</v>
      </c>
      <c r="B2624" s="21" t="s">
        <v>46</v>
      </c>
      <c r="C2624" s="57" t="s">
        <v>58</v>
      </c>
      <c r="D2624" s="22" t="s">
        <v>71</v>
      </c>
      <c r="E2624" s="58" t="s">
        <v>808</v>
      </c>
      <c r="F2624" s="56" t="s">
        <v>809</v>
      </c>
      <c r="G2624" s="26" t="s">
        <v>77</v>
      </c>
      <c r="H2624" s="25" t="s">
        <v>810</v>
      </c>
      <c r="I2624" s="26" t="s">
        <v>78</v>
      </c>
      <c r="J2624" s="56" t="s">
        <v>3510</v>
      </c>
      <c r="K2624" s="59"/>
      <c r="L2624" s="48" t="s">
        <v>3511</v>
      </c>
      <c r="M2624" s="49">
        <v>45108</v>
      </c>
      <c r="N2624" s="49" t="s">
        <v>90</v>
      </c>
      <c r="O2624" s="60">
        <v>3428</v>
      </c>
      <c r="P2624" s="61">
        <v>1</v>
      </c>
      <c r="Q2624" s="51">
        <f t="shared" si="61"/>
        <v>3428</v>
      </c>
      <c r="R2624" s="31">
        <v>202310</v>
      </c>
      <c r="S2624" s="58" t="s">
        <v>3512</v>
      </c>
      <c r="T2624" s="33"/>
      <c r="U2624" s="58"/>
      <c r="V2624" s="58"/>
      <c r="W2624" s="63"/>
      <c r="X2624" s="63"/>
      <c r="Y2624" s="36">
        <v>44927</v>
      </c>
      <c r="Z2624" s="36">
        <v>45473</v>
      </c>
      <c r="AA2624" s="36"/>
      <c r="AB2624" s="36"/>
      <c r="AC2624" s="36"/>
      <c r="AD2624" s="36"/>
      <c r="AE2624" s="36"/>
      <c r="AF2624" s="53" t="s">
        <v>68</v>
      </c>
      <c r="AG2624" s="42"/>
      <c r="AH2624" s="42"/>
      <c r="AI2624" s="43"/>
      <c r="AJ2624" s="43"/>
      <c r="AK2624" s="43"/>
      <c r="AL2624" s="43"/>
      <c r="AM2624" s="43"/>
      <c r="AN2624" s="42"/>
      <c r="AO2624" s="42"/>
      <c r="AP2624" s="42"/>
      <c r="AQ2624" s="43"/>
      <c r="AR2624" s="42"/>
      <c r="AS2624" s="42"/>
    </row>
    <row r="2625" spans="1:45" ht="15" customHeight="1">
      <c r="A2625" s="56" t="s">
        <v>57</v>
      </c>
      <c r="B2625" s="21" t="s">
        <v>46</v>
      </c>
      <c r="C2625" s="57" t="s">
        <v>58</v>
      </c>
      <c r="D2625" s="22" t="s">
        <v>71</v>
      </c>
      <c r="E2625" s="58" t="s">
        <v>808</v>
      </c>
      <c r="F2625" s="56" t="s">
        <v>809</v>
      </c>
      <c r="G2625" s="26" t="s">
        <v>62</v>
      </c>
      <c r="H2625" s="25" t="s">
        <v>810</v>
      </c>
      <c r="I2625" s="26" t="s">
        <v>64</v>
      </c>
      <c r="J2625" s="56" t="s">
        <v>3513</v>
      </c>
      <c r="K2625" s="59"/>
      <c r="L2625" s="48"/>
      <c r="M2625" s="49">
        <v>45108</v>
      </c>
      <c r="N2625" s="49" t="s">
        <v>66</v>
      </c>
      <c r="O2625" s="60">
        <v>331</v>
      </c>
      <c r="P2625" s="61">
        <v>122.4</v>
      </c>
      <c r="Q2625" s="51">
        <f t="shared" si="61"/>
        <v>40514.400000000001</v>
      </c>
      <c r="R2625" s="31">
        <v>202310</v>
      </c>
      <c r="S2625" s="58" t="s">
        <v>3514</v>
      </c>
      <c r="T2625" s="33"/>
      <c r="U2625" s="58"/>
      <c r="V2625" s="58"/>
      <c r="W2625" s="63"/>
      <c r="X2625" s="63"/>
      <c r="Y2625" s="36">
        <v>44927</v>
      </c>
      <c r="Z2625" s="36">
        <v>45473</v>
      </c>
      <c r="AA2625" s="36"/>
      <c r="AB2625" s="36"/>
      <c r="AC2625" s="36"/>
      <c r="AD2625" s="36"/>
      <c r="AE2625" s="36"/>
      <c r="AF2625" s="53" t="s">
        <v>68</v>
      </c>
      <c r="AG2625" s="42"/>
      <c r="AH2625" s="42"/>
      <c r="AI2625" s="43"/>
      <c r="AJ2625" s="43"/>
      <c r="AK2625" s="43"/>
      <c r="AL2625" s="43"/>
      <c r="AM2625" s="43"/>
      <c r="AN2625" s="42"/>
      <c r="AO2625" s="42"/>
      <c r="AP2625" s="42"/>
      <c r="AQ2625" s="43"/>
      <c r="AR2625" s="42"/>
      <c r="AS2625" s="42"/>
    </row>
    <row r="2626" spans="1:45" ht="15" customHeight="1">
      <c r="A2626" s="56" t="s">
        <v>57</v>
      </c>
      <c r="B2626" s="21" t="s">
        <v>46</v>
      </c>
      <c r="C2626" s="57" t="s">
        <v>58</v>
      </c>
      <c r="D2626" s="22" t="s">
        <v>71</v>
      </c>
      <c r="E2626" s="58" t="s">
        <v>808</v>
      </c>
      <c r="F2626" s="56" t="s">
        <v>809</v>
      </c>
      <c r="G2626" s="26" t="s">
        <v>62</v>
      </c>
      <c r="H2626" s="25" t="s">
        <v>810</v>
      </c>
      <c r="I2626" s="26" t="s">
        <v>64</v>
      </c>
      <c r="J2626" s="56" t="s">
        <v>3515</v>
      </c>
      <c r="K2626" s="59"/>
      <c r="L2626" s="48"/>
      <c r="M2626" s="49">
        <v>45108</v>
      </c>
      <c r="N2626" s="49" t="s">
        <v>66</v>
      </c>
      <c r="O2626" s="60">
        <v>331</v>
      </c>
      <c r="P2626" s="61">
        <v>138</v>
      </c>
      <c r="Q2626" s="51">
        <f t="shared" si="61"/>
        <v>45678</v>
      </c>
      <c r="R2626" s="31">
        <v>202310</v>
      </c>
      <c r="S2626" s="58" t="s">
        <v>3516</v>
      </c>
      <c r="T2626" s="33"/>
      <c r="U2626" s="58"/>
      <c r="V2626" s="58"/>
      <c r="W2626" s="63"/>
      <c r="X2626" s="63"/>
      <c r="Y2626" s="36">
        <v>44927</v>
      </c>
      <c r="Z2626" s="36">
        <v>45473</v>
      </c>
      <c r="AA2626" s="36"/>
      <c r="AB2626" s="36"/>
      <c r="AC2626" s="36"/>
      <c r="AD2626" s="36"/>
      <c r="AE2626" s="36"/>
      <c r="AF2626" s="53" t="s">
        <v>68</v>
      </c>
      <c r="AG2626" s="42"/>
      <c r="AH2626" s="42"/>
      <c r="AI2626" s="43"/>
      <c r="AJ2626" s="43"/>
      <c r="AK2626" s="43"/>
      <c r="AL2626" s="43"/>
      <c r="AM2626" s="43"/>
      <c r="AN2626" s="42"/>
      <c r="AO2626" s="42"/>
      <c r="AP2626" s="42"/>
      <c r="AQ2626" s="43"/>
      <c r="AR2626" s="42"/>
      <c r="AS2626" s="42"/>
    </row>
    <row r="2627" spans="1:45" ht="15" customHeight="1">
      <c r="A2627" s="56" t="s">
        <v>57</v>
      </c>
      <c r="B2627" s="21" t="s">
        <v>46</v>
      </c>
      <c r="C2627" s="57" t="s">
        <v>58</v>
      </c>
      <c r="D2627" s="22" t="s">
        <v>71</v>
      </c>
      <c r="E2627" s="58" t="s">
        <v>808</v>
      </c>
      <c r="F2627" s="56" t="s">
        <v>809</v>
      </c>
      <c r="G2627" s="26" t="s">
        <v>62</v>
      </c>
      <c r="H2627" s="25" t="s">
        <v>810</v>
      </c>
      <c r="I2627" s="26" t="s">
        <v>64</v>
      </c>
      <c r="J2627" s="56" t="s">
        <v>3517</v>
      </c>
      <c r="K2627" s="59"/>
      <c r="L2627" s="48"/>
      <c r="M2627" s="49">
        <v>45104</v>
      </c>
      <c r="N2627" s="49" t="s">
        <v>66</v>
      </c>
      <c r="O2627" s="31">
        <v>2285</v>
      </c>
      <c r="P2627" s="61">
        <v>1</v>
      </c>
      <c r="Q2627" s="51">
        <f t="shared" si="61"/>
        <v>2285</v>
      </c>
      <c r="R2627" s="31">
        <v>202310</v>
      </c>
      <c r="S2627" s="58" t="s">
        <v>3516</v>
      </c>
      <c r="T2627" s="33"/>
      <c r="U2627" s="58"/>
      <c r="V2627" s="58"/>
      <c r="W2627" s="63"/>
      <c r="X2627" s="63"/>
      <c r="Y2627" s="36">
        <v>44927</v>
      </c>
      <c r="Z2627" s="36">
        <v>45473</v>
      </c>
      <c r="AA2627" s="36"/>
      <c r="AB2627" s="36"/>
      <c r="AC2627" s="36"/>
      <c r="AD2627" s="36"/>
      <c r="AE2627" s="36"/>
      <c r="AF2627" s="53" t="s">
        <v>68</v>
      </c>
      <c r="AG2627" s="42"/>
      <c r="AH2627" s="42"/>
      <c r="AI2627" s="43"/>
      <c r="AJ2627" s="43"/>
      <c r="AK2627" s="43"/>
      <c r="AL2627" s="43"/>
      <c r="AM2627" s="43"/>
      <c r="AN2627" s="42"/>
      <c r="AO2627" s="42"/>
      <c r="AP2627" s="42"/>
      <c r="AQ2627" s="43"/>
      <c r="AR2627" s="42"/>
      <c r="AS2627" s="42"/>
    </row>
    <row r="2628" spans="1:45" ht="15" customHeight="1">
      <c r="A2628" s="56" t="s">
        <v>57</v>
      </c>
      <c r="B2628" s="21" t="s">
        <v>46</v>
      </c>
      <c r="C2628" s="57" t="s">
        <v>58</v>
      </c>
      <c r="D2628" s="22" t="s">
        <v>71</v>
      </c>
      <c r="E2628" s="58" t="s">
        <v>808</v>
      </c>
      <c r="F2628" s="56" t="s">
        <v>809</v>
      </c>
      <c r="G2628" s="26" t="s">
        <v>62</v>
      </c>
      <c r="H2628" s="25" t="s">
        <v>810</v>
      </c>
      <c r="I2628" s="26" t="s">
        <v>64</v>
      </c>
      <c r="J2628" s="56" t="s">
        <v>3518</v>
      </c>
      <c r="K2628" s="59"/>
      <c r="L2628" s="48"/>
      <c r="M2628" s="49">
        <v>45104</v>
      </c>
      <c r="N2628" s="49" t="s">
        <v>66</v>
      </c>
      <c r="O2628" s="31">
        <v>2285</v>
      </c>
      <c r="P2628" s="61">
        <v>1</v>
      </c>
      <c r="Q2628" s="51">
        <f t="shared" si="61"/>
        <v>2285</v>
      </c>
      <c r="R2628" s="31">
        <v>202310</v>
      </c>
      <c r="S2628" s="58" t="s">
        <v>3516</v>
      </c>
      <c r="T2628" s="33"/>
      <c r="U2628" s="58"/>
      <c r="V2628" s="58"/>
      <c r="W2628" s="63"/>
      <c r="X2628" s="63"/>
      <c r="Y2628" s="36">
        <v>44927</v>
      </c>
      <c r="Z2628" s="36">
        <v>45473</v>
      </c>
      <c r="AA2628" s="36"/>
      <c r="AB2628" s="36"/>
      <c r="AC2628" s="36"/>
      <c r="AD2628" s="36"/>
      <c r="AE2628" s="36"/>
      <c r="AF2628" s="53" t="s">
        <v>68</v>
      </c>
      <c r="AG2628" s="42"/>
      <c r="AH2628" s="42"/>
      <c r="AI2628" s="43"/>
      <c r="AJ2628" s="43"/>
      <c r="AK2628" s="43"/>
      <c r="AL2628" s="43"/>
      <c r="AM2628" s="43"/>
      <c r="AN2628" s="42"/>
      <c r="AO2628" s="42"/>
      <c r="AP2628" s="42"/>
      <c r="AQ2628" s="43"/>
      <c r="AR2628" s="42"/>
      <c r="AS2628" s="42"/>
    </row>
    <row r="2629" spans="1:45" ht="15" customHeight="1">
      <c r="A2629" s="56" t="s">
        <v>57</v>
      </c>
      <c r="B2629" s="21" t="s">
        <v>46</v>
      </c>
      <c r="C2629" s="57" t="s">
        <v>58</v>
      </c>
      <c r="D2629" s="22" t="s">
        <v>71</v>
      </c>
      <c r="E2629" s="58" t="s">
        <v>808</v>
      </c>
      <c r="F2629" s="56" t="s">
        <v>809</v>
      </c>
      <c r="G2629" s="26" t="s">
        <v>297</v>
      </c>
      <c r="H2629" s="25" t="s">
        <v>810</v>
      </c>
      <c r="I2629" s="26" t="s">
        <v>3266</v>
      </c>
      <c r="J2629" s="56" t="s">
        <v>3519</v>
      </c>
      <c r="K2629" s="59"/>
      <c r="L2629" s="48"/>
      <c r="M2629" s="49">
        <v>45104</v>
      </c>
      <c r="N2629" s="49"/>
      <c r="O2629" s="60">
        <v>3428</v>
      </c>
      <c r="P2629" s="61">
        <v>1</v>
      </c>
      <c r="Q2629" s="51">
        <f t="shared" si="61"/>
        <v>3428</v>
      </c>
      <c r="R2629" s="31">
        <v>202310</v>
      </c>
      <c r="S2629" s="58" t="s">
        <v>3519</v>
      </c>
      <c r="T2629" s="33" t="s">
        <v>3520</v>
      </c>
      <c r="U2629" s="58"/>
      <c r="V2629" s="58"/>
      <c r="W2629" s="63"/>
      <c r="X2629" s="63"/>
      <c r="Y2629" s="36">
        <v>44927</v>
      </c>
      <c r="Z2629" s="36">
        <v>45473</v>
      </c>
      <c r="AA2629" s="36"/>
      <c r="AB2629" s="36"/>
      <c r="AC2629" s="36"/>
      <c r="AD2629" s="36"/>
      <c r="AE2629" s="36"/>
      <c r="AF2629" s="53" t="s">
        <v>68</v>
      </c>
      <c r="AG2629" s="42"/>
      <c r="AH2629" s="42"/>
      <c r="AI2629" s="43"/>
      <c r="AJ2629" s="43"/>
      <c r="AK2629" s="43"/>
      <c r="AL2629" s="43"/>
      <c r="AM2629" s="43"/>
      <c r="AN2629" s="42"/>
      <c r="AO2629" s="42"/>
      <c r="AP2629" s="42"/>
      <c r="AQ2629" s="43"/>
      <c r="AR2629" s="42"/>
      <c r="AS2629" s="42"/>
    </row>
    <row r="2630" spans="1:45" ht="15" customHeight="1">
      <c r="A2630" s="56" t="s">
        <v>57</v>
      </c>
      <c r="B2630" s="21" t="s">
        <v>46</v>
      </c>
      <c r="C2630" s="57" t="s">
        <v>58</v>
      </c>
      <c r="D2630" s="22" t="s">
        <v>71</v>
      </c>
      <c r="E2630" s="58" t="s">
        <v>808</v>
      </c>
      <c r="F2630" s="56" t="s">
        <v>809</v>
      </c>
      <c r="G2630" s="26" t="s">
        <v>77</v>
      </c>
      <c r="H2630" s="25" t="s">
        <v>3521</v>
      </c>
      <c r="I2630" s="26" t="s">
        <v>78</v>
      </c>
      <c r="J2630" s="56" t="s">
        <v>3522</v>
      </c>
      <c r="K2630" s="59"/>
      <c r="L2630" s="48" t="s">
        <v>3523</v>
      </c>
      <c r="M2630" s="49">
        <v>45108</v>
      </c>
      <c r="N2630" s="49" t="s">
        <v>90</v>
      </c>
      <c r="O2630" s="60">
        <v>7000</v>
      </c>
      <c r="P2630" s="61">
        <v>1</v>
      </c>
      <c r="Q2630" s="51">
        <f t="shared" si="61"/>
        <v>7000</v>
      </c>
      <c r="R2630" s="31">
        <v>202310</v>
      </c>
      <c r="S2630" s="58" t="s">
        <v>3524</v>
      </c>
      <c r="T2630" s="33"/>
      <c r="U2630" s="58"/>
      <c r="V2630" s="58"/>
      <c r="W2630" s="63"/>
      <c r="X2630" s="63"/>
      <c r="Y2630" s="36"/>
      <c r="Z2630" s="36"/>
      <c r="AA2630" s="36"/>
      <c r="AB2630" s="36"/>
      <c r="AC2630" s="36"/>
      <c r="AD2630" s="36"/>
      <c r="AE2630" s="36"/>
      <c r="AF2630" s="53" t="s">
        <v>68</v>
      </c>
      <c r="AG2630" s="42"/>
      <c r="AH2630" s="42"/>
      <c r="AI2630" s="43"/>
      <c r="AJ2630" s="43"/>
      <c r="AK2630" s="43"/>
      <c r="AL2630" s="43"/>
      <c r="AM2630" s="43"/>
      <c r="AN2630" s="42"/>
      <c r="AO2630" s="42"/>
      <c r="AP2630" s="42"/>
      <c r="AQ2630" s="43"/>
      <c r="AR2630" s="42"/>
      <c r="AS2630" s="42"/>
    </row>
    <row r="2631" spans="1:45" ht="15" customHeight="1">
      <c r="A2631" s="56" t="s">
        <v>57</v>
      </c>
      <c r="B2631" s="21" t="s">
        <v>46</v>
      </c>
      <c r="C2631" s="57" t="s">
        <v>58</v>
      </c>
      <c r="D2631" s="22" t="s">
        <v>71</v>
      </c>
      <c r="E2631" s="58" t="s">
        <v>808</v>
      </c>
      <c r="F2631" s="56" t="s">
        <v>809</v>
      </c>
      <c r="G2631" s="26" t="s">
        <v>62</v>
      </c>
      <c r="H2631" s="25" t="s">
        <v>3521</v>
      </c>
      <c r="I2631" s="26" t="s">
        <v>64</v>
      </c>
      <c r="J2631" s="56" t="s">
        <v>3522</v>
      </c>
      <c r="K2631" s="59"/>
      <c r="L2631" s="48"/>
      <c r="M2631" s="49">
        <v>45108</v>
      </c>
      <c r="N2631" s="49" t="s">
        <v>2735</v>
      </c>
      <c r="O2631" s="60">
        <v>400</v>
      </c>
      <c r="P2631" s="61">
        <v>100</v>
      </c>
      <c r="Q2631" s="51">
        <f t="shared" si="61"/>
        <v>40000</v>
      </c>
      <c r="R2631" s="31">
        <v>202310</v>
      </c>
      <c r="S2631" s="58" t="s">
        <v>3525</v>
      </c>
      <c r="T2631" s="33" t="s">
        <v>3526</v>
      </c>
      <c r="U2631" s="58"/>
      <c r="V2631" s="58"/>
      <c r="W2631" s="63"/>
      <c r="X2631" s="63"/>
      <c r="Y2631" s="36"/>
      <c r="Z2631" s="36"/>
      <c r="AA2631" s="36"/>
      <c r="AB2631" s="36"/>
      <c r="AC2631" s="36"/>
      <c r="AD2631" s="36"/>
      <c r="AE2631" s="36"/>
      <c r="AF2631" s="53" t="s">
        <v>68</v>
      </c>
      <c r="AG2631" s="42"/>
      <c r="AH2631" s="42"/>
      <c r="AI2631" s="43"/>
      <c r="AJ2631" s="43"/>
      <c r="AK2631" s="43"/>
      <c r="AL2631" s="43"/>
      <c r="AM2631" s="43"/>
      <c r="AN2631" s="42"/>
      <c r="AO2631" s="42"/>
      <c r="AP2631" s="42"/>
      <c r="AQ2631" s="43" t="s">
        <v>3196</v>
      </c>
      <c r="AR2631" s="42"/>
      <c r="AS2631" s="42"/>
    </row>
    <row r="2632" spans="1:45" ht="15" customHeight="1">
      <c r="A2632" s="56" t="s">
        <v>57</v>
      </c>
      <c r="B2632" s="21" t="s">
        <v>46</v>
      </c>
      <c r="C2632" s="57" t="s">
        <v>58</v>
      </c>
      <c r="D2632" s="22" t="s">
        <v>71</v>
      </c>
      <c r="E2632" s="58" t="s">
        <v>808</v>
      </c>
      <c r="F2632" s="56" t="s">
        <v>809</v>
      </c>
      <c r="G2632" s="26" t="s">
        <v>51</v>
      </c>
      <c r="H2632" s="25" t="s">
        <v>3527</v>
      </c>
      <c r="I2632" s="26" t="s">
        <v>51</v>
      </c>
      <c r="J2632" s="56" t="s">
        <v>3528</v>
      </c>
      <c r="K2632" s="59"/>
      <c r="L2632" s="48"/>
      <c r="M2632" s="49">
        <v>45170</v>
      </c>
      <c r="N2632" s="49" t="s">
        <v>3529</v>
      </c>
      <c r="O2632" s="60">
        <v>6000</v>
      </c>
      <c r="P2632" s="61">
        <v>1</v>
      </c>
      <c r="Q2632" s="51">
        <f t="shared" si="61"/>
        <v>6000</v>
      </c>
      <c r="R2632" s="31">
        <v>202310</v>
      </c>
      <c r="S2632" s="58" t="s">
        <v>3528</v>
      </c>
      <c r="T2632" s="33" t="s">
        <v>3530</v>
      </c>
      <c r="U2632" s="33" t="s">
        <v>3531</v>
      </c>
      <c r="V2632" s="58"/>
      <c r="W2632" s="63"/>
      <c r="X2632" s="63"/>
      <c r="Y2632" s="36"/>
      <c r="Z2632" s="36"/>
      <c r="AA2632" s="36"/>
      <c r="AB2632" s="36"/>
      <c r="AC2632" s="36"/>
      <c r="AD2632" s="36"/>
      <c r="AE2632" s="36"/>
      <c r="AF2632" s="53" t="s">
        <v>68</v>
      </c>
      <c r="AG2632" s="42"/>
      <c r="AH2632" s="42"/>
      <c r="AI2632" s="43"/>
      <c r="AJ2632" s="43"/>
      <c r="AK2632" s="43"/>
      <c r="AL2632" s="43"/>
      <c r="AM2632" s="43"/>
      <c r="AN2632" s="42"/>
      <c r="AO2632" s="42"/>
      <c r="AP2632" s="42"/>
      <c r="AQ2632" s="43" t="s">
        <v>3196</v>
      </c>
      <c r="AR2632" s="42"/>
      <c r="AS2632" s="42"/>
    </row>
    <row r="2633" spans="1:45" ht="15" customHeight="1">
      <c r="A2633" s="56" t="s">
        <v>45</v>
      </c>
      <c r="B2633" s="21" t="s">
        <v>46</v>
      </c>
      <c r="C2633" s="57" t="s">
        <v>814</v>
      </c>
      <c r="D2633" s="22" t="s">
        <v>48</v>
      </c>
      <c r="E2633" s="58" t="s">
        <v>2896</v>
      </c>
      <c r="F2633" s="56" t="s">
        <v>2897</v>
      </c>
      <c r="G2633" s="26" t="s">
        <v>77</v>
      </c>
      <c r="H2633" s="25" t="s">
        <v>3532</v>
      </c>
      <c r="I2633" s="26" t="s">
        <v>479</v>
      </c>
      <c r="J2633" s="56" t="s">
        <v>3533</v>
      </c>
      <c r="K2633" s="56" t="s">
        <v>3533</v>
      </c>
      <c r="L2633" s="48" t="s">
        <v>3534</v>
      </c>
      <c r="M2633" s="49">
        <v>45078</v>
      </c>
      <c r="N2633" s="49" t="s">
        <v>3535</v>
      </c>
      <c r="O2633" s="60">
        <v>4300</v>
      </c>
      <c r="P2633" s="61">
        <v>2</v>
      </c>
      <c r="Q2633" s="51">
        <f>ROUND(O2633*P2633,2)</f>
        <v>8600</v>
      </c>
      <c r="R2633" s="31">
        <v>202310</v>
      </c>
      <c r="S2633" s="62" t="s">
        <v>3536</v>
      </c>
      <c r="T2633" s="33"/>
      <c r="U2633" s="58"/>
      <c r="V2633" s="58"/>
      <c r="W2633" s="63"/>
      <c r="X2633" s="63"/>
      <c r="Y2633" s="36"/>
      <c r="Z2633" s="36"/>
      <c r="AA2633" s="36"/>
      <c r="AB2633" s="36"/>
      <c r="AC2633" s="36"/>
      <c r="AD2633" s="36"/>
      <c r="AE2633" s="36"/>
      <c r="AF2633" s="40" t="s">
        <v>484</v>
      </c>
      <c r="AG2633" s="42"/>
      <c r="AH2633" s="42"/>
      <c r="AI2633" s="43"/>
      <c r="AJ2633" s="43"/>
      <c r="AK2633" s="43"/>
      <c r="AL2633" s="43"/>
      <c r="AM2633" s="43"/>
      <c r="AN2633" s="42"/>
      <c r="AO2633" s="42"/>
      <c r="AP2633" s="42"/>
      <c r="AQ2633" s="43"/>
      <c r="AR2633" s="42"/>
      <c r="AS2633" s="42" t="s">
        <v>3537</v>
      </c>
    </row>
    <row r="2634" spans="1:45" ht="15" customHeight="1">
      <c r="A2634" s="56" t="s">
        <v>45</v>
      </c>
      <c r="B2634" s="21" t="s">
        <v>46</v>
      </c>
      <c r="C2634" s="57" t="s">
        <v>814</v>
      </c>
      <c r="D2634" s="22" t="s">
        <v>48</v>
      </c>
      <c r="E2634" s="58" t="s">
        <v>2896</v>
      </c>
      <c r="F2634" s="56" t="s">
        <v>2897</v>
      </c>
      <c r="G2634" s="26" t="s">
        <v>165</v>
      </c>
      <c r="H2634" s="25" t="s">
        <v>3532</v>
      </c>
      <c r="I2634" s="26" t="s">
        <v>491</v>
      </c>
      <c r="J2634" s="56" t="s">
        <v>3533</v>
      </c>
      <c r="K2634" s="56" t="s">
        <v>3533</v>
      </c>
      <c r="L2634" s="48" t="s">
        <v>3534</v>
      </c>
      <c r="M2634" s="49">
        <v>45085</v>
      </c>
      <c r="N2634" s="49" t="s">
        <v>168</v>
      </c>
      <c r="O2634" s="60">
        <v>0</v>
      </c>
      <c r="P2634" s="61">
        <v>1280</v>
      </c>
      <c r="Q2634" s="51">
        <f t="shared" ref="Q2634:Q2663" si="62">ROUND(O2634*P2634,2)</f>
        <v>0</v>
      </c>
      <c r="R2634" s="31">
        <v>202310</v>
      </c>
      <c r="S2634" s="62" t="s">
        <v>3538</v>
      </c>
      <c r="T2634" s="33"/>
      <c r="U2634" s="58"/>
      <c r="V2634" s="58"/>
      <c r="W2634" s="63"/>
      <c r="X2634" s="63"/>
      <c r="Y2634" s="36"/>
      <c r="Z2634" s="36"/>
      <c r="AA2634" s="36"/>
      <c r="AB2634" s="36"/>
      <c r="AC2634" s="36"/>
      <c r="AD2634" s="36"/>
      <c r="AE2634" s="36"/>
      <c r="AF2634" s="40" t="s">
        <v>484</v>
      </c>
      <c r="AG2634" s="42"/>
      <c r="AH2634" s="42"/>
      <c r="AI2634" s="43"/>
      <c r="AJ2634" s="43"/>
      <c r="AK2634" s="43"/>
      <c r="AL2634" s="43"/>
      <c r="AM2634" s="43"/>
      <c r="AN2634" s="42"/>
      <c r="AO2634" s="42"/>
      <c r="AP2634" s="42"/>
      <c r="AQ2634" s="43"/>
      <c r="AR2634" s="42"/>
      <c r="AS2634" s="42" t="s">
        <v>3537</v>
      </c>
    </row>
    <row r="2635" spans="1:45" ht="15" customHeight="1">
      <c r="A2635" s="56" t="s">
        <v>45</v>
      </c>
      <c r="B2635" s="21" t="s">
        <v>46</v>
      </c>
      <c r="C2635" s="57" t="s">
        <v>814</v>
      </c>
      <c r="D2635" s="22" t="s">
        <v>48</v>
      </c>
      <c r="E2635" s="58" t="s">
        <v>2896</v>
      </c>
      <c r="F2635" s="56" t="s">
        <v>2897</v>
      </c>
      <c r="G2635" s="26" t="s">
        <v>165</v>
      </c>
      <c r="H2635" s="25" t="s">
        <v>3532</v>
      </c>
      <c r="I2635" s="26" t="s">
        <v>491</v>
      </c>
      <c r="J2635" s="56" t="s">
        <v>3533</v>
      </c>
      <c r="K2635" s="56" t="s">
        <v>3533</v>
      </c>
      <c r="L2635" s="48" t="s">
        <v>3534</v>
      </c>
      <c r="M2635" s="49">
        <v>45085</v>
      </c>
      <c r="N2635" s="49" t="s">
        <v>646</v>
      </c>
      <c r="O2635" s="60">
        <v>0</v>
      </c>
      <c r="P2635" s="61">
        <v>0</v>
      </c>
      <c r="Q2635" s="51">
        <f t="shared" si="62"/>
        <v>0</v>
      </c>
      <c r="R2635" s="31">
        <v>202310</v>
      </c>
      <c r="S2635" s="62" t="s">
        <v>3539</v>
      </c>
      <c r="T2635" s="33"/>
      <c r="U2635" s="58"/>
      <c r="V2635" s="58"/>
      <c r="W2635" s="63"/>
      <c r="X2635" s="63"/>
      <c r="Y2635" s="36"/>
      <c r="Z2635" s="36"/>
      <c r="AA2635" s="36"/>
      <c r="AB2635" s="36"/>
      <c r="AC2635" s="36"/>
      <c r="AD2635" s="36"/>
      <c r="AE2635" s="36"/>
      <c r="AF2635" s="40" t="s">
        <v>484</v>
      </c>
      <c r="AG2635" s="42"/>
      <c r="AH2635" s="42"/>
      <c r="AI2635" s="43"/>
      <c r="AJ2635" s="43"/>
      <c r="AK2635" s="43"/>
      <c r="AL2635" s="43"/>
      <c r="AM2635" s="43"/>
      <c r="AN2635" s="42"/>
      <c r="AO2635" s="42"/>
      <c r="AP2635" s="42"/>
      <c r="AQ2635" s="43"/>
      <c r="AR2635" s="42"/>
      <c r="AS2635" s="42" t="s">
        <v>3537</v>
      </c>
    </row>
    <row r="2636" spans="1:45" ht="15" customHeight="1">
      <c r="A2636" s="135" t="s">
        <v>45</v>
      </c>
      <c r="B2636" s="136" t="s">
        <v>837</v>
      </c>
      <c r="C2636" s="136" t="s">
        <v>838</v>
      </c>
      <c r="D2636" s="136" t="s">
        <v>48</v>
      </c>
      <c r="E2636" s="198" t="s">
        <v>3540</v>
      </c>
      <c r="F2636" s="76" t="s">
        <v>3541</v>
      </c>
      <c r="G2636" s="74" t="s">
        <v>77</v>
      </c>
      <c r="H2636" s="136" t="s">
        <v>3542</v>
      </c>
      <c r="I2636" s="76" t="s">
        <v>479</v>
      </c>
      <c r="J2636" s="76" t="s">
        <v>3541</v>
      </c>
      <c r="K2636" s="76" t="s">
        <v>3541</v>
      </c>
      <c r="L2636" s="199" t="s">
        <v>3543</v>
      </c>
      <c r="M2636" s="75">
        <v>45078</v>
      </c>
      <c r="N2636" s="200" t="s">
        <v>1310</v>
      </c>
      <c r="O2636" s="139">
        <v>5000</v>
      </c>
      <c r="P2636" s="201">
        <v>1</v>
      </c>
      <c r="Q2636" s="208">
        <f t="shared" si="62"/>
        <v>5000</v>
      </c>
      <c r="R2636" s="31">
        <v>202310</v>
      </c>
      <c r="S2636" s="203" t="s">
        <v>3544</v>
      </c>
      <c r="T2636" s="42"/>
      <c r="U2636" s="70"/>
      <c r="V2636" s="42"/>
      <c r="W2636" s="37"/>
      <c r="X2636" s="38"/>
      <c r="Y2636" s="36">
        <v>45108</v>
      </c>
      <c r="Z2636" s="36">
        <v>45443</v>
      </c>
      <c r="AA2636" s="40"/>
      <c r="AB2636" s="190"/>
      <c r="AC2636" s="40"/>
      <c r="AD2636" s="42"/>
      <c r="AE2636" s="42"/>
      <c r="AF2636" s="190" t="s">
        <v>484</v>
      </c>
      <c r="AG2636" s="43"/>
      <c r="AH2636" s="43"/>
      <c r="AI2636" s="43"/>
      <c r="AJ2636" s="43"/>
      <c r="AK2636" s="42"/>
      <c r="AL2636" s="42"/>
      <c r="AM2636" s="42"/>
      <c r="AN2636" s="42"/>
      <c r="AO2636" s="43"/>
      <c r="AP2636" s="42"/>
      <c r="AQ2636" s="42"/>
      <c r="AR2636" s="42"/>
      <c r="AS2636" s="42" t="s">
        <v>3545</v>
      </c>
    </row>
    <row r="2637" spans="1:45" ht="15" customHeight="1">
      <c r="A2637" s="135" t="s">
        <v>45</v>
      </c>
      <c r="B2637" s="136" t="s">
        <v>837</v>
      </c>
      <c r="C2637" s="136" t="s">
        <v>838</v>
      </c>
      <c r="D2637" s="136" t="s">
        <v>48</v>
      </c>
      <c r="E2637" s="198" t="s">
        <v>3540</v>
      </c>
      <c r="F2637" s="76" t="s">
        <v>3541</v>
      </c>
      <c r="G2637" s="74" t="s">
        <v>165</v>
      </c>
      <c r="H2637" s="136" t="s">
        <v>3542</v>
      </c>
      <c r="I2637" s="76" t="s">
        <v>491</v>
      </c>
      <c r="J2637" s="76" t="s">
        <v>3541</v>
      </c>
      <c r="K2637" s="76" t="s">
        <v>3541</v>
      </c>
      <c r="L2637" s="199" t="s">
        <v>3543</v>
      </c>
      <c r="M2637" s="75">
        <v>45078</v>
      </c>
      <c r="N2637" s="200" t="s">
        <v>168</v>
      </c>
      <c r="O2637" s="207">
        <v>0</v>
      </c>
      <c r="P2637" s="201">
        <v>800</v>
      </c>
      <c r="Q2637" s="208">
        <f t="shared" si="62"/>
        <v>0</v>
      </c>
      <c r="R2637" s="31">
        <v>202310</v>
      </c>
      <c r="S2637" s="203" t="s">
        <v>3546</v>
      </c>
      <c r="T2637" s="42"/>
      <c r="U2637" s="70"/>
      <c r="V2637" s="42"/>
      <c r="W2637" s="226"/>
      <c r="X2637" s="42"/>
      <c r="Y2637" s="36">
        <v>45108</v>
      </c>
      <c r="Z2637" s="36">
        <v>45443</v>
      </c>
      <c r="AA2637" s="37"/>
      <c r="AB2637" s="38"/>
      <c r="AC2637" s="38"/>
      <c r="AD2637" s="38"/>
      <c r="AE2637" s="40"/>
      <c r="AF2637" s="190" t="s">
        <v>484</v>
      </c>
      <c r="AG2637" s="40"/>
      <c r="AH2637" s="42"/>
      <c r="AI2637" s="42"/>
      <c r="AJ2637" s="43"/>
      <c r="AK2637" s="43"/>
      <c r="AL2637" s="43"/>
      <c r="AM2637" s="43"/>
      <c r="AN2637" s="42"/>
      <c r="AO2637" s="42"/>
      <c r="AP2637" s="42"/>
      <c r="AQ2637" s="42"/>
      <c r="AR2637" s="42"/>
      <c r="AS2637" s="42" t="s">
        <v>3545</v>
      </c>
    </row>
    <row r="2638" spans="1:45" ht="15" customHeight="1">
      <c r="A2638" s="135" t="s">
        <v>45</v>
      </c>
      <c r="B2638" s="136" t="s">
        <v>837</v>
      </c>
      <c r="C2638" s="136" t="s">
        <v>838</v>
      </c>
      <c r="D2638" s="136" t="s">
        <v>48</v>
      </c>
      <c r="E2638" s="198" t="s">
        <v>3540</v>
      </c>
      <c r="F2638" s="76" t="s">
        <v>3541</v>
      </c>
      <c r="G2638" s="74" t="s">
        <v>165</v>
      </c>
      <c r="H2638" s="136" t="s">
        <v>3542</v>
      </c>
      <c r="I2638" s="76" t="s">
        <v>491</v>
      </c>
      <c r="J2638" s="76" t="s">
        <v>3541</v>
      </c>
      <c r="K2638" s="76" t="s">
        <v>3541</v>
      </c>
      <c r="L2638" s="199" t="s">
        <v>3543</v>
      </c>
      <c r="M2638" s="75">
        <v>45078</v>
      </c>
      <c r="N2638" s="200" t="s">
        <v>646</v>
      </c>
      <c r="O2638" s="207">
        <v>0</v>
      </c>
      <c r="P2638" s="201">
        <v>0</v>
      </c>
      <c r="Q2638" s="208">
        <f t="shared" si="62"/>
        <v>0</v>
      </c>
      <c r="R2638" s="31">
        <v>202310</v>
      </c>
      <c r="S2638" s="203" t="s">
        <v>3547</v>
      </c>
      <c r="T2638" s="42"/>
      <c r="U2638" s="70"/>
      <c r="V2638" s="42"/>
      <c r="W2638" s="226"/>
      <c r="X2638" s="42"/>
      <c r="Y2638" s="36">
        <v>45108</v>
      </c>
      <c r="Z2638" s="36">
        <v>45443</v>
      </c>
      <c r="AA2638" s="37"/>
      <c r="AB2638" s="38"/>
      <c r="AC2638" s="38"/>
      <c r="AD2638" s="38"/>
      <c r="AE2638" s="40"/>
      <c r="AF2638" s="190" t="s">
        <v>484</v>
      </c>
      <c r="AG2638" s="40"/>
      <c r="AH2638" s="42"/>
      <c r="AI2638" s="42"/>
      <c r="AJ2638" s="43"/>
      <c r="AK2638" s="43"/>
      <c r="AL2638" s="43"/>
      <c r="AM2638" s="43"/>
      <c r="AN2638" s="42"/>
      <c r="AO2638" s="42"/>
      <c r="AP2638" s="42"/>
      <c r="AQ2638" s="42"/>
      <c r="AR2638" s="42"/>
      <c r="AS2638" s="42" t="s">
        <v>3545</v>
      </c>
    </row>
    <row r="2639" spans="1:45" ht="15" customHeight="1">
      <c r="A2639" s="135" t="s">
        <v>45</v>
      </c>
      <c r="B2639" s="136" t="s">
        <v>837</v>
      </c>
      <c r="C2639" s="136" t="s">
        <v>838</v>
      </c>
      <c r="D2639" s="136" t="s">
        <v>48</v>
      </c>
      <c r="E2639" s="198" t="s">
        <v>3540</v>
      </c>
      <c r="F2639" s="76" t="s">
        <v>3541</v>
      </c>
      <c r="G2639" s="74" t="s">
        <v>165</v>
      </c>
      <c r="H2639" s="136" t="s">
        <v>3542</v>
      </c>
      <c r="I2639" s="76" t="s">
        <v>491</v>
      </c>
      <c r="J2639" s="76" t="s">
        <v>3541</v>
      </c>
      <c r="K2639" s="76" t="s">
        <v>3541</v>
      </c>
      <c r="L2639" s="199" t="s">
        <v>3543</v>
      </c>
      <c r="M2639" s="75">
        <v>45108</v>
      </c>
      <c r="N2639" s="200" t="s">
        <v>168</v>
      </c>
      <c r="O2639" s="207">
        <v>0</v>
      </c>
      <c r="P2639" s="201">
        <v>1280</v>
      </c>
      <c r="Q2639" s="208">
        <f t="shared" si="62"/>
        <v>0</v>
      </c>
      <c r="R2639" s="31">
        <v>202310</v>
      </c>
      <c r="S2639" s="203" t="s">
        <v>3548</v>
      </c>
      <c r="T2639" s="42"/>
      <c r="U2639" s="70"/>
      <c r="V2639" s="42"/>
      <c r="W2639" s="226"/>
      <c r="X2639" s="42"/>
      <c r="Y2639" s="36">
        <v>45108</v>
      </c>
      <c r="Z2639" s="36">
        <v>45443</v>
      </c>
      <c r="AA2639" s="37"/>
      <c r="AB2639" s="38"/>
      <c r="AC2639" s="38"/>
      <c r="AD2639" s="38"/>
      <c r="AE2639" s="40"/>
      <c r="AF2639" s="190" t="s">
        <v>484</v>
      </c>
      <c r="AG2639" s="40"/>
      <c r="AH2639" s="42"/>
      <c r="AI2639" s="42"/>
      <c r="AJ2639" s="43"/>
      <c r="AK2639" s="43"/>
      <c r="AL2639" s="43"/>
      <c r="AM2639" s="43"/>
      <c r="AN2639" s="42"/>
      <c r="AO2639" s="42"/>
      <c r="AP2639" s="42"/>
      <c r="AQ2639" s="42"/>
      <c r="AR2639" s="42"/>
      <c r="AS2639" s="42" t="s">
        <v>3545</v>
      </c>
    </row>
    <row r="2640" spans="1:45" ht="15" customHeight="1">
      <c r="A2640" s="135" t="s">
        <v>45</v>
      </c>
      <c r="B2640" s="136" t="s">
        <v>837</v>
      </c>
      <c r="C2640" s="136" t="s">
        <v>838</v>
      </c>
      <c r="D2640" s="136" t="s">
        <v>48</v>
      </c>
      <c r="E2640" s="198" t="s">
        <v>3540</v>
      </c>
      <c r="F2640" s="76" t="s">
        <v>3541</v>
      </c>
      <c r="G2640" s="74" t="s">
        <v>165</v>
      </c>
      <c r="H2640" s="136" t="s">
        <v>3542</v>
      </c>
      <c r="I2640" s="76" t="s">
        <v>491</v>
      </c>
      <c r="J2640" s="76" t="s">
        <v>3541</v>
      </c>
      <c r="K2640" s="76" t="s">
        <v>3541</v>
      </c>
      <c r="L2640" s="199" t="s">
        <v>3543</v>
      </c>
      <c r="M2640" s="75">
        <v>45108</v>
      </c>
      <c r="N2640" s="200" t="s">
        <v>646</v>
      </c>
      <c r="O2640" s="207">
        <v>0</v>
      </c>
      <c r="P2640" s="201">
        <v>0</v>
      </c>
      <c r="Q2640" s="208">
        <f t="shared" si="62"/>
        <v>0</v>
      </c>
      <c r="R2640" s="31">
        <v>202310</v>
      </c>
      <c r="S2640" s="203" t="s">
        <v>3549</v>
      </c>
      <c r="T2640" s="42"/>
      <c r="U2640" s="70"/>
      <c r="V2640" s="42"/>
      <c r="W2640" s="226"/>
      <c r="X2640" s="42"/>
      <c r="Y2640" s="36">
        <v>45108</v>
      </c>
      <c r="Z2640" s="36">
        <v>45443</v>
      </c>
      <c r="AA2640" s="37"/>
      <c r="AB2640" s="38"/>
      <c r="AC2640" s="38"/>
      <c r="AD2640" s="38"/>
      <c r="AE2640" s="40"/>
      <c r="AF2640" s="190" t="s">
        <v>484</v>
      </c>
      <c r="AG2640" s="40"/>
      <c r="AH2640" s="42"/>
      <c r="AI2640" s="42"/>
      <c r="AJ2640" s="43"/>
      <c r="AK2640" s="43"/>
      <c r="AL2640" s="43"/>
      <c r="AM2640" s="43"/>
      <c r="AN2640" s="42"/>
      <c r="AO2640" s="42"/>
      <c r="AP2640" s="42"/>
      <c r="AQ2640" s="42"/>
      <c r="AR2640" s="42"/>
      <c r="AS2640" s="42" t="s">
        <v>3545</v>
      </c>
    </row>
    <row r="2641" spans="1:45" ht="15" customHeight="1">
      <c r="A2641" s="135" t="s">
        <v>45</v>
      </c>
      <c r="B2641" s="136" t="s">
        <v>837</v>
      </c>
      <c r="C2641" s="136" t="s">
        <v>838</v>
      </c>
      <c r="D2641" s="136" t="s">
        <v>48</v>
      </c>
      <c r="E2641" s="198" t="s">
        <v>3540</v>
      </c>
      <c r="F2641" s="76" t="s">
        <v>3541</v>
      </c>
      <c r="G2641" s="74" t="s">
        <v>77</v>
      </c>
      <c r="H2641" s="136" t="s">
        <v>3550</v>
      </c>
      <c r="I2641" s="76" t="s">
        <v>479</v>
      </c>
      <c r="J2641" s="76" t="s">
        <v>3551</v>
      </c>
      <c r="K2641" s="76" t="s">
        <v>3551</v>
      </c>
      <c r="L2641" s="199" t="s">
        <v>3543</v>
      </c>
      <c r="M2641" s="75">
        <v>45170</v>
      </c>
      <c r="N2641" s="200" t="s">
        <v>1310</v>
      </c>
      <c r="O2641" s="139">
        <v>5000</v>
      </c>
      <c r="P2641" s="201">
        <v>1</v>
      </c>
      <c r="Q2641" s="208">
        <f t="shared" si="62"/>
        <v>5000</v>
      </c>
      <c r="R2641" s="31">
        <v>202310</v>
      </c>
      <c r="S2641" s="203" t="s">
        <v>3552</v>
      </c>
      <c r="T2641" s="42"/>
      <c r="U2641" s="70"/>
      <c r="V2641" s="42"/>
      <c r="W2641" s="226"/>
      <c r="X2641" s="42"/>
      <c r="Y2641" s="36"/>
      <c r="Z2641" s="36"/>
      <c r="AA2641" s="37"/>
      <c r="AB2641" s="38"/>
      <c r="AC2641" s="38"/>
      <c r="AD2641" s="38"/>
      <c r="AE2641" s="40"/>
      <c r="AF2641" s="190" t="s">
        <v>484</v>
      </c>
      <c r="AG2641" s="40"/>
      <c r="AH2641" s="42"/>
      <c r="AI2641" s="42"/>
      <c r="AJ2641" s="43"/>
      <c r="AK2641" s="43"/>
      <c r="AL2641" s="43"/>
      <c r="AM2641" s="43"/>
      <c r="AN2641" s="42"/>
      <c r="AO2641" s="42"/>
      <c r="AP2641" s="42"/>
      <c r="AQ2641" s="42"/>
      <c r="AR2641" s="42"/>
      <c r="AS2641" s="42" t="s">
        <v>3545</v>
      </c>
    </row>
    <row r="2642" spans="1:45" ht="15" customHeight="1">
      <c r="A2642" s="135" t="s">
        <v>45</v>
      </c>
      <c r="B2642" s="136" t="s">
        <v>837</v>
      </c>
      <c r="C2642" s="136" t="s">
        <v>838</v>
      </c>
      <c r="D2642" s="136" t="s">
        <v>48</v>
      </c>
      <c r="E2642" s="198" t="s">
        <v>3540</v>
      </c>
      <c r="F2642" s="76" t="s">
        <v>3541</v>
      </c>
      <c r="G2642" s="74" t="s">
        <v>165</v>
      </c>
      <c r="H2642" s="136" t="s">
        <v>3550</v>
      </c>
      <c r="I2642" s="76" t="s">
        <v>491</v>
      </c>
      <c r="J2642" s="76" t="s">
        <v>3551</v>
      </c>
      <c r="K2642" s="76" t="s">
        <v>3551</v>
      </c>
      <c r="L2642" s="199" t="s">
        <v>3543</v>
      </c>
      <c r="M2642" s="75">
        <v>45170</v>
      </c>
      <c r="N2642" s="200" t="s">
        <v>653</v>
      </c>
      <c r="O2642" s="139">
        <v>0</v>
      </c>
      <c r="P2642" s="201">
        <v>512</v>
      </c>
      <c r="Q2642" s="208">
        <f t="shared" si="62"/>
        <v>0</v>
      </c>
      <c r="R2642" s="31">
        <v>202310</v>
      </c>
      <c r="S2642" s="203" t="s">
        <v>3553</v>
      </c>
      <c r="T2642" s="42"/>
      <c r="U2642" s="70"/>
      <c r="V2642" s="42"/>
      <c r="W2642" s="226"/>
      <c r="X2642" s="42"/>
      <c r="Y2642" s="36"/>
      <c r="Z2642" s="36"/>
      <c r="AA2642" s="37"/>
      <c r="AB2642" s="38"/>
      <c r="AC2642" s="38"/>
      <c r="AD2642" s="38"/>
      <c r="AE2642" s="40"/>
      <c r="AF2642" s="190" t="s">
        <v>484</v>
      </c>
      <c r="AG2642" s="40"/>
      <c r="AH2642" s="42"/>
      <c r="AI2642" s="42"/>
      <c r="AJ2642" s="43"/>
      <c r="AK2642" s="43"/>
      <c r="AL2642" s="43"/>
      <c r="AM2642" s="43"/>
      <c r="AN2642" s="42"/>
      <c r="AO2642" s="42"/>
      <c r="AP2642" s="42"/>
      <c r="AQ2642" s="42"/>
      <c r="AR2642" s="42"/>
      <c r="AS2642" s="42" t="s">
        <v>3545</v>
      </c>
    </row>
    <row r="2643" spans="1:45" ht="15" customHeight="1">
      <c r="A2643" s="135" t="s">
        <v>45</v>
      </c>
      <c r="B2643" s="136" t="s">
        <v>837</v>
      </c>
      <c r="C2643" s="136" t="s">
        <v>838</v>
      </c>
      <c r="D2643" s="136" t="s">
        <v>48</v>
      </c>
      <c r="E2643" s="198" t="s">
        <v>3540</v>
      </c>
      <c r="F2643" s="76" t="s">
        <v>3541</v>
      </c>
      <c r="G2643" s="74" t="s">
        <v>165</v>
      </c>
      <c r="H2643" s="136" t="s">
        <v>3550</v>
      </c>
      <c r="I2643" s="76" t="s">
        <v>491</v>
      </c>
      <c r="J2643" s="76" t="s">
        <v>3551</v>
      </c>
      <c r="K2643" s="76" t="s">
        <v>3551</v>
      </c>
      <c r="L2643" s="199" t="s">
        <v>3543</v>
      </c>
      <c r="M2643" s="75">
        <v>45170</v>
      </c>
      <c r="N2643" s="200" t="s">
        <v>646</v>
      </c>
      <c r="O2643" s="207">
        <v>0</v>
      </c>
      <c r="P2643" s="201">
        <v>0</v>
      </c>
      <c r="Q2643" s="208">
        <f t="shared" si="62"/>
        <v>0</v>
      </c>
      <c r="R2643" s="31">
        <v>202310</v>
      </c>
      <c r="S2643" s="203" t="s">
        <v>3554</v>
      </c>
      <c r="T2643" s="42"/>
      <c r="U2643" s="70"/>
      <c r="V2643" s="42"/>
      <c r="W2643" s="226"/>
      <c r="X2643" s="42"/>
      <c r="Y2643" s="36"/>
      <c r="Z2643" s="36"/>
      <c r="AA2643" s="37"/>
      <c r="AB2643" s="38"/>
      <c r="AC2643" s="38"/>
      <c r="AD2643" s="38"/>
      <c r="AE2643" s="40"/>
      <c r="AF2643" s="190" t="s">
        <v>484</v>
      </c>
      <c r="AG2643" s="40"/>
      <c r="AH2643" s="42"/>
      <c r="AI2643" s="42"/>
      <c r="AJ2643" s="43"/>
      <c r="AK2643" s="43"/>
      <c r="AL2643" s="43"/>
      <c r="AM2643" s="43"/>
      <c r="AN2643" s="42"/>
      <c r="AO2643" s="42"/>
      <c r="AP2643" s="42"/>
      <c r="AQ2643" s="42"/>
      <c r="AR2643" s="42"/>
      <c r="AS2643" s="42" t="s">
        <v>3545</v>
      </c>
    </row>
    <row r="2644" spans="1:45" ht="15" customHeight="1">
      <c r="A2644" s="20" t="s">
        <v>45</v>
      </c>
      <c r="B2644" s="21" t="s">
        <v>46</v>
      </c>
      <c r="C2644" s="20" t="s">
        <v>188</v>
      </c>
      <c r="D2644" s="22" t="s">
        <v>48</v>
      </c>
      <c r="E2644" s="23" t="s">
        <v>3555</v>
      </c>
      <c r="F2644" s="20" t="s">
        <v>3556</v>
      </c>
      <c r="G2644" s="47" t="s">
        <v>77</v>
      </c>
      <c r="H2644" s="219" t="s">
        <v>3557</v>
      </c>
      <c r="I2644" s="24" t="s">
        <v>479</v>
      </c>
      <c r="J2644" s="26" t="s">
        <v>3558</v>
      </c>
      <c r="K2644" s="26" t="s">
        <v>3558</v>
      </c>
      <c r="L2644" s="48" t="s">
        <v>3559</v>
      </c>
      <c r="M2644" s="27">
        <v>45078</v>
      </c>
      <c r="N2644" s="47" t="s">
        <v>90</v>
      </c>
      <c r="O2644" s="50">
        <v>4300</v>
      </c>
      <c r="P2644" s="50">
        <v>3</v>
      </c>
      <c r="Q2644" s="51">
        <f t="shared" si="62"/>
        <v>12900</v>
      </c>
      <c r="R2644" s="69">
        <v>202310</v>
      </c>
      <c r="S2644" s="37" t="s">
        <v>3560</v>
      </c>
      <c r="T2644" s="42"/>
      <c r="U2644" s="70"/>
      <c r="V2644" s="42"/>
      <c r="W2644" s="226"/>
      <c r="X2644" s="42"/>
      <c r="Y2644" s="36"/>
      <c r="Z2644" s="36"/>
      <c r="AA2644" s="37"/>
      <c r="AB2644" s="38"/>
      <c r="AC2644" s="38"/>
      <c r="AD2644" s="38"/>
      <c r="AE2644" s="40"/>
      <c r="AF2644" s="40" t="s">
        <v>484</v>
      </c>
      <c r="AG2644" s="40"/>
      <c r="AH2644" s="42"/>
      <c r="AI2644" s="42"/>
      <c r="AJ2644" s="43"/>
      <c r="AK2644" s="43"/>
      <c r="AL2644" s="43"/>
      <c r="AM2644" s="43"/>
      <c r="AN2644" s="42"/>
      <c r="AO2644" s="42"/>
      <c r="AP2644" s="42"/>
      <c r="AQ2644" s="42"/>
      <c r="AR2644" s="42"/>
      <c r="AS2644" s="42"/>
    </row>
    <row r="2645" spans="1:45" ht="15" customHeight="1">
      <c r="A2645" s="20" t="s">
        <v>45</v>
      </c>
      <c r="B2645" s="21" t="s">
        <v>46</v>
      </c>
      <c r="C2645" s="20" t="s">
        <v>188</v>
      </c>
      <c r="D2645" s="22" t="s">
        <v>48</v>
      </c>
      <c r="E2645" s="23" t="s">
        <v>3555</v>
      </c>
      <c r="F2645" s="20" t="s">
        <v>3556</v>
      </c>
      <c r="G2645" s="47" t="s">
        <v>165</v>
      </c>
      <c r="H2645" s="219" t="s">
        <v>3557</v>
      </c>
      <c r="I2645" s="24" t="s">
        <v>491</v>
      </c>
      <c r="J2645" s="26" t="s">
        <v>3558</v>
      </c>
      <c r="K2645" s="26" t="s">
        <v>3558</v>
      </c>
      <c r="L2645" s="48" t="s">
        <v>3559</v>
      </c>
      <c r="M2645" s="27">
        <v>45078</v>
      </c>
      <c r="N2645" s="47" t="s">
        <v>168</v>
      </c>
      <c r="O2645" s="50">
        <v>0</v>
      </c>
      <c r="P2645" s="50">
        <v>1280</v>
      </c>
      <c r="Q2645" s="51">
        <f t="shared" si="62"/>
        <v>0</v>
      </c>
      <c r="R2645" s="69">
        <v>202310</v>
      </c>
      <c r="S2645" s="37" t="s">
        <v>3561</v>
      </c>
      <c r="T2645" s="42"/>
      <c r="U2645" s="70"/>
      <c r="V2645" s="42"/>
      <c r="W2645" s="226"/>
      <c r="X2645" s="42"/>
      <c r="Y2645" s="36"/>
      <c r="Z2645" s="36"/>
      <c r="AA2645" s="37"/>
      <c r="AB2645" s="38"/>
      <c r="AC2645" s="38"/>
      <c r="AD2645" s="38"/>
      <c r="AE2645" s="40"/>
      <c r="AF2645" s="40" t="s">
        <v>484</v>
      </c>
      <c r="AG2645" s="40"/>
      <c r="AH2645" s="42"/>
      <c r="AI2645" s="42"/>
      <c r="AJ2645" s="43"/>
      <c r="AK2645" s="43"/>
      <c r="AL2645" s="43"/>
      <c r="AM2645" s="43"/>
      <c r="AN2645" s="42"/>
      <c r="AO2645" s="42"/>
      <c r="AP2645" s="42"/>
      <c r="AQ2645" s="42"/>
      <c r="AR2645" s="42"/>
      <c r="AS2645" s="42"/>
    </row>
    <row r="2646" spans="1:45" ht="15" customHeight="1">
      <c r="A2646" s="20" t="s">
        <v>45</v>
      </c>
      <c r="B2646" s="21" t="s">
        <v>46</v>
      </c>
      <c r="C2646" s="20" t="s">
        <v>188</v>
      </c>
      <c r="D2646" s="22" t="s">
        <v>48</v>
      </c>
      <c r="E2646" s="23" t="s">
        <v>3555</v>
      </c>
      <c r="F2646" s="20" t="s">
        <v>3556</v>
      </c>
      <c r="G2646" s="47" t="s">
        <v>165</v>
      </c>
      <c r="H2646" s="219" t="s">
        <v>3557</v>
      </c>
      <c r="I2646" s="24" t="s">
        <v>491</v>
      </c>
      <c r="J2646" s="26" t="s">
        <v>3558</v>
      </c>
      <c r="K2646" s="26" t="s">
        <v>3558</v>
      </c>
      <c r="L2646" s="48" t="s">
        <v>3559</v>
      </c>
      <c r="M2646" s="27">
        <v>45078</v>
      </c>
      <c r="N2646" s="47" t="s">
        <v>646</v>
      </c>
      <c r="O2646" s="50">
        <v>0</v>
      </c>
      <c r="P2646" s="50">
        <v>0</v>
      </c>
      <c r="Q2646" s="51">
        <f t="shared" si="62"/>
        <v>0</v>
      </c>
      <c r="R2646" s="69">
        <v>202310</v>
      </c>
      <c r="S2646" s="37" t="s">
        <v>3562</v>
      </c>
      <c r="T2646" s="42"/>
      <c r="U2646" s="70"/>
      <c r="V2646" s="42"/>
      <c r="W2646" s="226"/>
      <c r="X2646" s="42"/>
      <c r="Y2646" s="36"/>
      <c r="Z2646" s="36"/>
      <c r="AA2646" s="37"/>
      <c r="AB2646" s="38"/>
      <c r="AC2646" s="38"/>
      <c r="AD2646" s="38"/>
      <c r="AE2646" s="40"/>
      <c r="AF2646" s="40" t="s">
        <v>484</v>
      </c>
      <c r="AG2646" s="40"/>
      <c r="AH2646" s="42"/>
      <c r="AI2646" s="42"/>
      <c r="AJ2646" s="43"/>
      <c r="AK2646" s="43"/>
      <c r="AL2646" s="43"/>
      <c r="AM2646" s="43"/>
      <c r="AN2646" s="42"/>
      <c r="AO2646" s="42"/>
      <c r="AP2646" s="42"/>
      <c r="AQ2646" s="42"/>
      <c r="AR2646" s="42"/>
      <c r="AS2646" s="42"/>
    </row>
    <row r="2647" spans="1:45" ht="15" customHeight="1">
      <c r="A2647" s="56" t="s">
        <v>45</v>
      </c>
      <c r="B2647" s="21" t="s">
        <v>46</v>
      </c>
      <c r="C2647" s="57" t="s">
        <v>814</v>
      </c>
      <c r="D2647" s="22" t="s">
        <v>48</v>
      </c>
      <c r="E2647" s="58" t="s">
        <v>2977</v>
      </c>
      <c r="F2647" s="56" t="s">
        <v>2978</v>
      </c>
      <c r="G2647" s="26" t="s">
        <v>165</v>
      </c>
      <c r="H2647" s="133" t="s">
        <v>3563</v>
      </c>
      <c r="I2647" s="26" t="s">
        <v>491</v>
      </c>
      <c r="J2647" s="56" t="s">
        <v>2980</v>
      </c>
      <c r="K2647" s="59" t="s">
        <v>2978</v>
      </c>
      <c r="L2647" s="48" t="s">
        <v>2981</v>
      </c>
      <c r="M2647" s="49">
        <v>45078</v>
      </c>
      <c r="N2647" s="49" t="s">
        <v>168</v>
      </c>
      <c r="O2647" s="60">
        <v>0</v>
      </c>
      <c r="P2647" s="61">
        <v>1280</v>
      </c>
      <c r="Q2647" s="51">
        <f t="shared" si="62"/>
        <v>0</v>
      </c>
      <c r="R2647" s="31">
        <v>202310</v>
      </c>
      <c r="S2647" s="37" t="s">
        <v>3564</v>
      </c>
      <c r="T2647" s="42"/>
      <c r="U2647" s="58"/>
      <c r="V2647" s="42"/>
      <c r="W2647" s="226"/>
      <c r="X2647" s="42"/>
      <c r="Y2647" s="36"/>
      <c r="Z2647" s="36"/>
      <c r="AA2647" s="37"/>
      <c r="AB2647" s="38"/>
      <c r="AC2647" s="38"/>
      <c r="AD2647" s="38"/>
      <c r="AE2647" s="40"/>
      <c r="AF2647" s="40" t="s">
        <v>484</v>
      </c>
      <c r="AG2647" s="40"/>
      <c r="AH2647" s="42"/>
      <c r="AI2647" s="42"/>
      <c r="AJ2647" s="43"/>
      <c r="AK2647" s="43"/>
      <c r="AL2647" s="43"/>
      <c r="AM2647" s="43"/>
      <c r="AN2647" s="42"/>
      <c r="AO2647" s="42"/>
      <c r="AP2647" s="42"/>
      <c r="AQ2647" s="42"/>
      <c r="AR2647" s="42"/>
      <c r="AS2647" s="42"/>
    </row>
    <row r="2648" spans="1:45" ht="15" customHeight="1">
      <c r="A2648" s="56" t="s">
        <v>45</v>
      </c>
      <c r="B2648" s="21" t="s">
        <v>46</v>
      </c>
      <c r="C2648" s="57" t="s">
        <v>814</v>
      </c>
      <c r="D2648" s="22" t="s">
        <v>48</v>
      </c>
      <c r="E2648" s="58" t="s">
        <v>2977</v>
      </c>
      <c r="F2648" s="56" t="s">
        <v>2978</v>
      </c>
      <c r="G2648" s="26" t="s">
        <v>165</v>
      </c>
      <c r="H2648" s="133" t="s">
        <v>2979</v>
      </c>
      <c r="I2648" s="26" t="s">
        <v>491</v>
      </c>
      <c r="J2648" s="56" t="s">
        <v>2980</v>
      </c>
      <c r="K2648" s="59" t="s">
        <v>2978</v>
      </c>
      <c r="L2648" s="48" t="s">
        <v>2981</v>
      </c>
      <c r="M2648" s="49">
        <v>45078</v>
      </c>
      <c r="N2648" s="49" t="s">
        <v>646</v>
      </c>
      <c r="O2648" s="60">
        <v>0</v>
      </c>
      <c r="P2648" s="61">
        <v>0</v>
      </c>
      <c r="Q2648" s="51">
        <f t="shared" si="62"/>
        <v>0</v>
      </c>
      <c r="R2648" s="31">
        <v>202310</v>
      </c>
      <c r="S2648" s="42" t="s">
        <v>3565</v>
      </c>
      <c r="T2648" s="42"/>
      <c r="U2648" s="58"/>
      <c r="V2648" s="42"/>
      <c r="W2648" s="226"/>
      <c r="X2648" s="42"/>
      <c r="Y2648" s="36"/>
      <c r="Z2648" s="36"/>
      <c r="AA2648" s="37"/>
      <c r="AB2648" s="38"/>
      <c r="AC2648" s="38"/>
      <c r="AD2648" s="38"/>
      <c r="AE2648" s="40"/>
      <c r="AF2648" s="40" t="s">
        <v>484</v>
      </c>
      <c r="AG2648" s="40"/>
      <c r="AH2648" s="42"/>
      <c r="AI2648" s="42"/>
      <c r="AJ2648" s="43"/>
      <c r="AK2648" s="43"/>
      <c r="AL2648" s="43"/>
      <c r="AM2648" s="43"/>
      <c r="AN2648" s="42"/>
      <c r="AO2648" s="42"/>
      <c r="AP2648" s="42"/>
      <c r="AQ2648" s="42"/>
      <c r="AR2648" s="42"/>
      <c r="AS2648" s="42"/>
    </row>
    <row r="2649" spans="1:45" ht="15" customHeight="1">
      <c r="A2649" s="56" t="s">
        <v>45</v>
      </c>
      <c r="B2649" s="21" t="s">
        <v>46</v>
      </c>
      <c r="C2649" s="57" t="s">
        <v>814</v>
      </c>
      <c r="D2649" s="22" t="s">
        <v>48</v>
      </c>
      <c r="E2649" s="58" t="s">
        <v>2841</v>
      </c>
      <c r="F2649" s="56" t="s">
        <v>2837</v>
      </c>
      <c r="G2649" s="26" t="s">
        <v>77</v>
      </c>
      <c r="H2649" s="25" t="s">
        <v>3566</v>
      </c>
      <c r="I2649" s="26" t="s">
        <v>479</v>
      </c>
      <c r="J2649" s="59" t="s">
        <v>3567</v>
      </c>
      <c r="K2649" s="59" t="s">
        <v>3567</v>
      </c>
      <c r="L2649" s="48" t="s">
        <v>3568</v>
      </c>
      <c r="M2649" s="49">
        <v>45085</v>
      </c>
      <c r="N2649" s="49" t="s">
        <v>90</v>
      </c>
      <c r="O2649" s="60">
        <v>4300</v>
      </c>
      <c r="P2649" s="61">
        <v>1</v>
      </c>
      <c r="Q2649" s="51">
        <f>ROUND(O2649*P2649,2)</f>
        <v>4300</v>
      </c>
      <c r="R2649" s="31">
        <v>202310</v>
      </c>
      <c r="S2649" s="62" t="s">
        <v>3569</v>
      </c>
      <c r="T2649" s="33"/>
      <c r="U2649" s="58"/>
      <c r="V2649" s="58"/>
      <c r="W2649" s="63"/>
      <c r="X2649" s="63"/>
      <c r="Y2649" s="36"/>
      <c r="Z2649" s="36"/>
      <c r="AA2649" s="36"/>
      <c r="AB2649" s="36"/>
      <c r="AC2649" s="36"/>
      <c r="AD2649" s="36"/>
      <c r="AE2649" s="36"/>
      <c r="AF2649" s="40" t="s">
        <v>484</v>
      </c>
      <c r="AG2649" s="42"/>
      <c r="AH2649" s="42"/>
      <c r="AI2649" s="43"/>
      <c r="AJ2649" s="43"/>
      <c r="AK2649" s="43"/>
      <c r="AL2649" s="43"/>
      <c r="AM2649" s="43"/>
      <c r="AN2649" s="42"/>
      <c r="AO2649" s="42"/>
      <c r="AP2649" s="42"/>
      <c r="AQ2649" s="43"/>
      <c r="AR2649" s="42"/>
      <c r="AS2649" s="42"/>
    </row>
    <row r="2650" spans="1:45" ht="15" customHeight="1">
      <c r="A2650" s="56" t="s">
        <v>45</v>
      </c>
      <c r="B2650" s="21" t="s">
        <v>46</v>
      </c>
      <c r="C2650" s="57" t="s">
        <v>814</v>
      </c>
      <c r="D2650" s="22" t="s">
        <v>48</v>
      </c>
      <c r="E2650" s="58" t="s">
        <v>2841</v>
      </c>
      <c r="F2650" s="56" t="s">
        <v>2837</v>
      </c>
      <c r="G2650" s="26" t="s">
        <v>165</v>
      </c>
      <c r="H2650" s="25" t="s">
        <v>3566</v>
      </c>
      <c r="I2650" s="26" t="s">
        <v>491</v>
      </c>
      <c r="J2650" s="59" t="s">
        <v>3567</v>
      </c>
      <c r="K2650" s="59" t="s">
        <v>3567</v>
      </c>
      <c r="L2650" s="48" t="s">
        <v>3568</v>
      </c>
      <c r="M2650" s="49">
        <v>45085</v>
      </c>
      <c r="N2650" s="49" t="s">
        <v>168</v>
      </c>
      <c r="O2650" s="60">
        <v>0</v>
      </c>
      <c r="P2650" s="61">
        <v>1280</v>
      </c>
      <c r="Q2650" s="51">
        <f t="shared" si="62"/>
        <v>0</v>
      </c>
      <c r="R2650" s="31">
        <v>202310</v>
      </c>
      <c r="S2650" s="62" t="s">
        <v>3570</v>
      </c>
      <c r="T2650" s="33"/>
      <c r="U2650" s="58"/>
      <c r="V2650" s="58"/>
      <c r="W2650" s="63"/>
      <c r="X2650" s="63"/>
      <c r="Y2650" s="36"/>
      <c r="Z2650" s="36"/>
      <c r="AA2650" s="36"/>
      <c r="AB2650" s="36"/>
      <c r="AC2650" s="36"/>
      <c r="AD2650" s="36"/>
      <c r="AE2650" s="36"/>
      <c r="AF2650" s="40" t="s">
        <v>484</v>
      </c>
      <c r="AG2650" s="42"/>
      <c r="AH2650" s="42"/>
      <c r="AI2650" s="43"/>
      <c r="AJ2650" s="43"/>
      <c r="AK2650" s="43"/>
      <c r="AL2650" s="43"/>
      <c r="AM2650" s="43"/>
      <c r="AN2650" s="42"/>
      <c r="AO2650" s="42"/>
      <c r="AP2650" s="42"/>
      <c r="AQ2650" s="43"/>
      <c r="AR2650" s="42"/>
      <c r="AS2650" s="42"/>
    </row>
    <row r="2651" spans="1:45" ht="15" customHeight="1">
      <c r="A2651" s="56" t="s">
        <v>45</v>
      </c>
      <c r="B2651" s="21" t="s">
        <v>46</v>
      </c>
      <c r="C2651" s="57" t="s">
        <v>814</v>
      </c>
      <c r="D2651" s="22" t="s">
        <v>48</v>
      </c>
      <c r="E2651" s="58" t="s">
        <v>2841</v>
      </c>
      <c r="F2651" s="56" t="s">
        <v>2837</v>
      </c>
      <c r="G2651" s="26" t="s">
        <v>165</v>
      </c>
      <c r="H2651" s="25" t="s">
        <v>3566</v>
      </c>
      <c r="I2651" s="26" t="s">
        <v>491</v>
      </c>
      <c r="J2651" s="59" t="s">
        <v>3567</v>
      </c>
      <c r="K2651" s="59" t="s">
        <v>3567</v>
      </c>
      <c r="L2651" s="48" t="s">
        <v>3568</v>
      </c>
      <c r="M2651" s="49">
        <v>45085</v>
      </c>
      <c r="N2651" s="49" t="s">
        <v>646</v>
      </c>
      <c r="O2651" s="60">
        <v>0</v>
      </c>
      <c r="P2651" s="61">
        <v>0</v>
      </c>
      <c r="Q2651" s="51">
        <f t="shared" si="62"/>
        <v>0</v>
      </c>
      <c r="R2651" s="31">
        <v>202310</v>
      </c>
      <c r="S2651" s="62" t="s">
        <v>3571</v>
      </c>
      <c r="T2651" s="33"/>
      <c r="U2651" s="58"/>
      <c r="V2651" s="58"/>
      <c r="W2651" s="63"/>
      <c r="X2651" s="63"/>
      <c r="Y2651" s="36"/>
      <c r="Z2651" s="36"/>
      <c r="AA2651" s="36"/>
      <c r="AB2651" s="36"/>
      <c r="AC2651" s="36"/>
      <c r="AD2651" s="36"/>
      <c r="AE2651" s="36"/>
      <c r="AF2651" s="40" t="s">
        <v>484</v>
      </c>
      <c r="AG2651" s="42"/>
      <c r="AH2651" s="42"/>
      <c r="AI2651" s="43"/>
      <c r="AJ2651" s="43"/>
      <c r="AK2651" s="43"/>
      <c r="AL2651" s="43"/>
      <c r="AM2651" s="43"/>
      <c r="AN2651" s="42"/>
      <c r="AO2651" s="42"/>
      <c r="AP2651" s="42"/>
      <c r="AQ2651" s="43"/>
      <c r="AR2651" s="42"/>
      <c r="AS2651" s="42"/>
    </row>
    <row r="2652" spans="1:45" ht="15" customHeight="1">
      <c r="A2652" s="20" t="s">
        <v>45</v>
      </c>
      <c r="B2652" s="21" t="s">
        <v>46</v>
      </c>
      <c r="C2652" s="22" t="s">
        <v>887</v>
      </c>
      <c r="D2652" s="21" t="s">
        <v>888</v>
      </c>
      <c r="E2652" s="23" t="s">
        <v>2741</v>
      </c>
      <c r="F2652" s="20" t="s">
        <v>2742</v>
      </c>
      <c r="G2652" s="20" t="s">
        <v>77</v>
      </c>
      <c r="H2652" s="25" t="s">
        <v>3572</v>
      </c>
      <c r="I2652" s="24" t="s">
        <v>479</v>
      </c>
      <c r="J2652" s="20" t="s">
        <v>3573</v>
      </c>
      <c r="K2652" s="26" t="s">
        <v>3573</v>
      </c>
      <c r="L2652" s="20" t="s">
        <v>2746</v>
      </c>
      <c r="M2652" s="156">
        <v>45088</v>
      </c>
      <c r="N2652" s="20" t="s">
        <v>2768</v>
      </c>
      <c r="O2652" s="28">
        <v>5000</v>
      </c>
      <c r="P2652" s="29">
        <v>1</v>
      </c>
      <c r="Q2652" s="51">
        <f>ROUND(O2652*P2652,2)</f>
        <v>5000</v>
      </c>
      <c r="R2652" s="31">
        <v>202310</v>
      </c>
      <c r="S2652" s="32" t="s">
        <v>3574</v>
      </c>
      <c r="T2652" s="33"/>
      <c r="U2652" s="32"/>
      <c r="V2652" s="32"/>
      <c r="W2652" s="34"/>
      <c r="X2652" s="35"/>
      <c r="Y2652" s="36"/>
      <c r="Z2652" s="36"/>
      <c r="AA2652" s="37"/>
      <c r="AB2652" s="38"/>
      <c r="AC2652" s="38"/>
      <c r="AD2652" s="38"/>
      <c r="AE2652" s="39"/>
      <c r="AF2652" s="40" t="s">
        <v>484</v>
      </c>
      <c r="AG2652" s="41"/>
      <c r="AH2652" s="42"/>
      <c r="AI2652" s="43"/>
      <c r="AJ2652" s="43"/>
      <c r="AK2652" s="43"/>
      <c r="AL2652" s="43"/>
      <c r="AM2652" s="43"/>
      <c r="AN2652" s="42"/>
      <c r="AO2652" s="42"/>
      <c r="AP2652" s="42"/>
      <c r="AQ2652" s="42"/>
      <c r="AR2652" s="42"/>
      <c r="AS2652" s="42"/>
    </row>
    <row r="2653" spans="1:45" ht="15" customHeight="1">
      <c r="A2653" s="20" t="s">
        <v>45</v>
      </c>
      <c r="B2653" s="21" t="s">
        <v>46</v>
      </c>
      <c r="C2653" s="22" t="s">
        <v>887</v>
      </c>
      <c r="D2653" s="21" t="s">
        <v>888</v>
      </c>
      <c r="E2653" s="23" t="s">
        <v>2741</v>
      </c>
      <c r="F2653" s="20" t="s">
        <v>2742</v>
      </c>
      <c r="G2653" s="20" t="s">
        <v>165</v>
      </c>
      <c r="H2653" s="25" t="s">
        <v>3572</v>
      </c>
      <c r="I2653" s="24" t="s">
        <v>491</v>
      </c>
      <c r="J2653" s="20" t="s">
        <v>3573</v>
      </c>
      <c r="K2653" s="26" t="s">
        <v>3573</v>
      </c>
      <c r="L2653" s="20" t="s">
        <v>2746</v>
      </c>
      <c r="M2653" s="156">
        <v>45088</v>
      </c>
      <c r="N2653" s="20" t="s">
        <v>168</v>
      </c>
      <c r="O2653" s="28">
        <v>0</v>
      </c>
      <c r="P2653" s="29">
        <v>256</v>
      </c>
      <c r="Q2653" s="30">
        <f t="shared" si="62"/>
        <v>0</v>
      </c>
      <c r="R2653" s="31">
        <v>202310</v>
      </c>
      <c r="S2653" s="32" t="s">
        <v>3575</v>
      </c>
      <c r="T2653" s="33"/>
      <c r="U2653" s="32"/>
      <c r="V2653" s="32"/>
      <c r="W2653" s="34"/>
      <c r="X2653" s="35"/>
      <c r="Y2653" s="36"/>
      <c r="Z2653" s="36"/>
      <c r="AA2653" s="37"/>
      <c r="AB2653" s="38"/>
      <c r="AC2653" s="38"/>
      <c r="AD2653" s="38"/>
      <c r="AE2653" s="39"/>
      <c r="AF2653" s="40" t="s">
        <v>484</v>
      </c>
      <c r="AG2653" s="41"/>
      <c r="AH2653" s="42"/>
      <c r="AI2653" s="43"/>
      <c r="AJ2653" s="43"/>
      <c r="AK2653" s="43"/>
      <c r="AL2653" s="43"/>
      <c r="AM2653" s="43"/>
      <c r="AN2653" s="42"/>
      <c r="AO2653" s="42"/>
      <c r="AP2653" s="42"/>
      <c r="AQ2653" s="42"/>
      <c r="AR2653" s="42"/>
      <c r="AS2653" s="42"/>
    </row>
    <row r="2654" spans="1:45" ht="15" customHeight="1">
      <c r="A2654" s="20" t="s">
        <v>45</v>
      </c>
      <c r="B2654" s="21" t="s">
        <v>46</v>
      </c>
      <c r="C2654" s="22" t="s">
        <v>887</v>
      </c>
      <c r="D2654" s="21" t="s">
        <v>888</v>
      </c>
      <c r="E2654" s="23" t="s">
        <v>2741</v>
      </c>
      <c r="F2654" s="20" t="s">
        <v>2742</v>
      </c>
      <c r="G2654" s="20" t="s">
        <v>165</v>
      </c>
      <c r="H2654" s="25" t="s">
        <v>3572</v>
      </c>
      <c r="I2654" s="24" t="s">
        <v>491</v>
      </c>
      <c r="J2654" s="20" t="s">
        <v>3573</v>
      </c>
      <c r="K2654" s="26" t="s">
        <v>3573</v>
      </c>
      <c r="L2654" s="20" t="s">
        <v>2746</v>
      </c>
      <c r="M2654" s="156">
        <v>45088</v>
      </c>
      <c r="N2654" s="20" t="s">
        <v>646</v>
      </c>
      <c r="O2654" s="28">
        <v>0</v>
      </c>
      <c r="P2654" s="29">
        <v>0</v>
      </c>
      <c r="Q2654" s="30">
        <f t="shared" si="62"/>
        <v>0</v>
      </c>
      <c r="R2654" s="31">
        <v>202310</v>
      </c>
      <c r="S2654" s="32" t="s">
        <v>3576</v>
      </c>
      <c r="T2654" s="33"/>
      <c r="U2654" s="32"/>
      <c r="V2654" s="32"/>
      <c r="W2654" s="34"/>
      <c r="X2654" s="35"/>
      <c r="Y2654" s="36"/>
      <c r="Z2654" s="36"/>
      <c r="AA2654" s="37"/>
      <c r="AB2654" s="38"/>
      <c r="AC2654" s="38"/>
      <c r="AD2654" s="38"/>
      <c r="AE2654" s="39"/>
      <c r="AF2654" s="40" t="s">
        <v>484</v>
      </c>
      <c r="AG2654" s="41"/>
      <c r="AH2654" s="42"/>
      <c r="AI2654" s="43"/>
      <c r="AJ2654" s="43"/>
      <c r="AK2654" s="43"/>
      <c r="AL2654" s="43"/>
      <c r="AM2654" s="43"/>
      <c r="AN2654" s="42"/>
      <c r="AO2654" s="42"/>
      <c r="AP2654" s="42"/>
      <c r="AQ2654" s="42"/>
      <c r="AR2654" s="42"/>
      <c r="AS2654" s="42"/>
    </row>
    <row r="2655" spans="1:45" ht="15" customHeight="1">
      <c r="A2655" s="21" t="s">
        <v>258</v>
      </c>
      <c r="B2655" s="22" t="s">
        <v>46</v>
      </c>
      <c r="C2655" s="21" t="s">
        <v>887</v>
      </c>
      <c r="D2655" s="21" t="s">
        <v>888</v>
      </c>
      <c r="E2655" s="80" t="s">
        <v>2405</v>
      </c>
      <c r="F2655" s="21" t="s">
        <v>2406</v>
      </c>
      <c r="G2655" s="101" t="s">
        <v>77</v>
      </c>
      <c r="H2655" s="25" t="s">
        <v>3577</v>
      </c>
      <c r="I2655" s="65" t="s">
        <v>479</v>
      </c>
      <c r="J2655" s="20" t="s">
        <v>3578</v>
      </c>
      <c r="K2655" s="20" t="s">
        <v>3578</v>
      </c>
      <c r="L2655" s="20" t="s">
        <v>3579</v>
      </c>
      <c r="M2655" s="27">
        <v>45078</v>
      </c>
      <c r="N2655" s="105" t="s">
        <v>1310</v>
      </c>
      <c r="O2655" s="147">
        <v>3000</v>
      </c>
      <c r="P2655" s="147">
        <v>2</v>
      </c>
      <c r="Q2655" s="51">
        <f t="shared" si="62"/>
        <v>6000</v>
      </c>
      <c r="R2655" s="31">
        <v>202310</v>
      </c>
      <c r="S2655" s="32" t="s">
        <v>3580</v>
      </c>
      <c r="T2655" s="33"/>
      <c r="U2655" s="54"/>
      <c r="V2655" s="54"/>
      <c r="W2655" s="52"/>
      <c r="X2655" s="52"/>
      <c r="Y2655" s="36"/>
      <c r="Z2655" s="36"/>
      <c r="AA2655" s="36"/>
      <c r="AB2655" s="36"/>
      <c r="AC2655" s="36"/>
      <c r="AD2655" s="36"/>
      <c r="AE2655" s="36"/>
      <c r="AF2655" s="53" t="s">
        <v>503</v>
      </c>
      <c r="AG2655" s="42"/>
      <c r="AH2655" s="43"/>
      <c r="AI2655" s="43"/>
      <c r="AJ2655" s="43"/>
      <c r="AK2655" s="43"/>
      <c r="AL2655" s="43"/>
      <c r="AM2655" s="43"/>
      <c r="AN2655" s="42"/>
      <c r="AO2655" s="42"/>
      <c r="AP2655" s="42"/>
      <c r="AQ2655" s="43"/>
      <c r="AR2655" s="42"/>
      <c r="AS2655" s="42"/>
    </row>
    <row r="2656" spans="1:45" ht="15" customHeight="1">
      <c r="A2656" s="21" t="s">
        <v>258</v>
      </c>
      <c r="B2656" s="22" t="s">
        <v>46</v>
      </c>
      <c r="C2656" s="21" t="s">
        <v>887</v>
      </c>
      <c r="D2656" s="21" t="s">
        <v>888</v>
      </c>
      <c r="E2656" s="80" t="s">
        <v>2405</v>
      </c>
      <c r="F2656" s="21" t="s">
        <v>2406</v>
      </c>
      <c r="G2656" s="101" t="s">
        <v>165</v>
      </c>
      <c r="H2656" s="25" t="s">
        <v>3577</v>
      </c>
      <c r="I2656" s="65" t="s">
        <v>491</v>
      </c>
      <c r="J2656" s="20" t="s">
        <v>3578</v>
      </c>
      <c r="K2656" s="20" t="s">
        <v>3578</v>
      </c>
      <c r="L2656" s="20" t="s">
        <v>3579</v>
      </c>
      <c r="M2656" s="27">
        <v>45078</v>
      </c>
      <c r="N2656" s="105" t="s">
        <v>168</v>
      </c>
      <c r="O2656" s="147">
        <v>20</v>
      </c>
      <c r="P2656" s="147">
        <v>160</v>
      </c>
      <c r="Q2656" s="51">
        <f t="shared" si="62"/>
        <v>3200</v>
      </c>
      <c r="R2656" s="31">
        <v>202310</v>
      </c>
      <c r="S2656" s="32" t="s">
        <v>3581</v>
      </c>
      <c r="T2656" s="33"/>
      <c r="U2656" s="54"/>
      <c r="V2656" s="54"/>
      <c r="W2656" s="52"/>
      <c r="X2656" s="52"/>
      <c r="Y2656" s="36"/>
      <c r="Z2656" s="36"/>
      <c r="AA2656" s="36"/>
      <c r="AB2656" s="36"/>
      <c r="AC2656" s="36"/>
      <c r="AD2656" s="36"/>
      <c r="AE2656" s="36"/>
      <c r="AF2656" s="53" t="s">
        <v>503</v>
      </c>
      <c r="AG2656" s="42"/>
      <c r="AH2656" s="43"/>
      <c r="AI2656" s="43"/>
      <c r="AJ2656" s="43"/>
      <c r="AK2656" s="43"/>
      <c r="AL2656" s="43"/>
      <c r="AM2656" s="43"/>
      <c r="AN2656" s="42"/>
      <c r="AO2656" s="42"/>
      <c r="AP2656" s="42"/>
      <c r="AQ2656" s="43"/>
      <c r="AR2656" s="42"/>
      <c r="AS2656" s="42"/>
    </row>
    <row r="2657" spans="1:45" ht="15" customHeight="1">
      <c r="A2657" s="21" t="s">
        <v>258</v>
      </c>
      <c r="B2657" s="22" t="s">
        <v>46</v>
      </c>
      <c r="C2657" s="21" t="s">
        <v>887</v>
      </c>
      <c r="D2657" s="21" t="s">
        <v>888</v>
      </c>
      <c r="E2657" s="80" t="s">
        <v>2405</v>
      </c>
      <c r="F2657" s="21" t="s">
        <v>2406</v>
      </c>
      <c r="G2657" s="101" t="s">
        <v>77</v>
      </c>
      <c r="H2657" s="25" t="s">
        <v>3577</v>
      </c>
      <c r="I2657" s="65" t="s">
        <v>479</v>
      </c>
      <c r="J2657" s="20" t="s">
        <v>3578</v>
      </c>
      <c r="K2657" s="20" t="s">
        <v>3578</v>
      </c>
      <c r="L2657" s="20" t="s">
        <v>3579</v>
      </c>
      <c r="M2657" s="27">
        <v>45102</v>
      </c>
      <c r="N2657" s="105" t="s">
        <v>1310</v>
      </c>
      <c r="O2657" s="147">
        <v>3000</v>
      </c>
      <c r="P2657" s="147">
        <v>-2</v>
      </c>
      <c r="Q2657" s="51">
        <f t="shared" si="62"/>
        <v>-6000</v>
      </c>
      <c r="R2657" s="31">
        <v>202310</v>
      </c>
      <c r="S2657" s="32" t="s">
        <v>3582</v>
      </c>
      <c r="T2657" s="33"/>
      <c r="U2657" s="54"/>
      <c r="V2657" s="54"/>
      <c r="W2657" s="52"/>
      <c r="X2657" s="52"/>
      <c r="Y2657" s="36"/>
      <c r="Z2657" s="36"/>
      <c r="AA2657" s="36"/>
      <c r="AB2657" s="36"/>
      <c r="AC2657" s="36"/>
      <c r="AD2657" s="36"/>
      <c r="AE2657" s="36"/>
      <c r="AF2657" s="53" t="s">
        <v>503</v>
      </c>
      <c r="AG2657" s="42"/>
      <c r="AH2657" s="43"/>
      <c r="AI2657" s="43"/>
      <c r="AJ2657" s="43"/>
      <c r="AK2657" s="43"/>
      <c r="AL2657" s="43"/>
      <c r="AM2657" s="43"/>
      <c r="AN2657" s="42"/>
      <c r="AO2657" s="42"/>
      <c r="AP2657" s="42"/>
      <c r="AQ2657" s="43"/>
      <c r="AR2657" s="42"/>
      <c r="AS2657" s="42"/>
    </row>
    <row r="2658" spans="1:45" ht="15" customHeight="1">
      <c r="A2658" s="21" t="s">
        <v>258</v>
      </c>
      <c r="B2658" s="22" t="s">
        <v>46</v>
      </c>
      <c r="C2658" s="21" t="s">
        <v>887</v>
      </c>
      <c r="D2658" s="21" t="s">
        <v>888</v>
      </c>
      <c r="E2658" s="80" t="s">
        <v>2405</v>
      </c>
      <c r="F2658" s="21" t="s">
        <v>2406</v>
      </c>
      <c r="G2658" s="101" t="s">
        <v>165</v>
      </c>
      <c r="H2658" s="25" t="s">
        <v>3577</v>
      </c>
      <c r="I2658" s="65" t="s">
        <v>491</v>
      </c>
      <c r="J2658" s="20" t="s">
        <v>3578</v>
      </c>
      <c r="K2658" s="20" t="s">
        <v>3578</v>
      </c>
      <c r="L2658" s="20" t="s">
        <v>3579</v>
      </c>
      <c r="M2658" s="27">
        <v>45102</v>
      </c>
      <c r="N2658" s="105" t="s">
        <v>168</v>
      </c>
      <c r="O2658" s="147">
        <v>20</v>
      </c>
      <c r="P2658" s="147">
        <v>-160</v>
      </c>
      <c r="Q2658" s="51">
        <f t="shared" si="62"/>
        <v>-3200</v>
      </c>
      <c r="R2658" s="31">
        <v>202310</v>
      </c>
      <c r="S2658" s="32" t="s">
        <v>3583</v>
      </c>
      <c r="T2658" s="33"/>
      <c r="U2658" s="54"/>
      <c r="V2658" s="54"/>
      <c r="W2658" s="52"/>
      <c r="X2658" s="52"/>
      <c r="Y2658" s="36"/>
      <c r="Z2658" s="36"/>
      <c r="AA2658" s="36"/>
      <c r="AB2658" s="36"/>
      <c r="AC2658" s="36"/>
      <c r="AD2658" s="36"/>
      <c r="AE2658" s="36"/>
      <c r="AF2658" s="53" t="s">
        <v>503</v>
      </c>
      <c r="AG2658" s="42"/>
      <c r="AH2658" s="43"/>
      <c r="AI2658" s="43"/>
      <c r="AJ2658" s="43"/>
      <c r="AK2658" s="43"/>
      <c r="AL2658" s="43"/>
      <c r="AM2658" s="43"/>
      <c r="AN2658" s="42"/>
      <c r="AO2658" s="42"/>
      <c r="AP2658" s="42"/>
      <c r="AQ2658" s="43"/>
      <c r="AR2658" s="42"/>
      <c r="AS2658" s="42"/>
    </row>
    <row r="2659" spans="1:45" ht="15" customHeight="1">
      <c r="A2659" s="21" t="s">
        <v>258</v>
      </c>
      <c r="B2659" s="22" t="s">
        <v>46</v>
      </c>
      <c r="C2659" s="21" t="s">
        <v>887</v>
      </c>
      <c r="D2659" s="21" t="s">
        <v>888</v>
      </c>
      <c r="E2659" s="80" t="s">
        <v>2405</v>
      </c>
      <c r="F2659" s="21" t="s">
        <v>2406</v>
      </c>
      <c r="G2659" s="101" t="s">
        <v>77</v>
      </c>
      <c r="H2659" s="25" t="s">
        <v>3577</v>
      </c>
      <c r="I2659" s="65" t="s">
        <v>479</v>
      </c>
      <c r="J2659" s="20" t="s">
        <v>3578</v>
      </c>
      <c r="K2659" s="20" t="s">
        <v>3578</v>
      </c>
      <c r="L2659" s="20" t="s">
        <v>3579</v>
      </c>
      <c r="M2659" s="27">
        <v>45139</v>
      </c>
      <c r="N2659" s="105" t="s">
        <v>1310</v>
      </c>
      <c r="O2659" s="147">
        <v>3000</v>
      </c>
      <c r="P2659" s="147">
        <v>2</v>
      </c>
      <c r="Q2659" s="51">
        <f t="shared" si="62"/>
        <v>6000</v>
      </c>
      <c r="R2659" s="31">
        <v>202310</v>
      </c>
      <c r="S2659" s="32" t="s">
        <v>3584</v>
      </c>
      <c r="T2659" s="33"/>
      <c r="U2659" s="54"/>
      <c r="V2659" s="54"/>
      <c r="W2659" s="52"/>
      <c r="X2659" s="52"/>
      <c r="Y2659" s="36"/>
      <c r="Z2659" s="36"/>
      <c r="AA2659" s="36"/>
      <c r="AB2659" s="36"/>
      <c r="AC2659" s="36"/>
      <c r="AD2659" s="36"/>
      <c r="AE2659" s="36"/>
      <c r="AF2659" s="53" t="s">
        <v>503</v>
      </c>
      <c r="AG2659" s="42"/>
      <c r="AH2659" s="43"/>
      <c r="AI2659" s="43"/>
      <c r="AJ2659" s="43"/>
      <c r="AK2659" s="43"/>
      <c r="AL2659" s="43"/>
      <c r="AM2659" s="43"/>
      <c r="AN2659" s="42"/>
      <c r="AO2659" s="42"/>
      <c r="AP2659" s="42"/>
      <c r="AQ2659" s="43"/>
      <c r="AR2659" s="42"/>
      <c r="AS2659" s="42"/>
    </row>
    <row r="2660" spans="1:45" ht="15" customHeight="1">
      <c r="A2660" s="21" t="s">
        <v>258</v>
      </c>
      <c r="B2660" s="22" t="s">
        <v>46</v>
      </c>
      <c r="C2660" s="21" t="s">
        <v>887</v>
      </c>
      <c r="D2660" s="21" t="s">
        <v>888</v>
      </c>
      <c r="E2660" s="80" t="s">
        <v>2405</v>
      </c>
      <c r="F2660" s="21" t="s">
        <v>2406</v>
      </c>
      <c r="G2660" s="101" t="s">
        <v>165</v>
      </c>
      <c r="H2660" s="25" t="s">
        <v>3577</v>
      </c>
      <c r="I2660" s="65" t="s">
        <v>491</v>
      </c>
      <c r="J2660" s="20" t="s">
        <v>3578</v>
      </c>
      <c r="K2660" s="20" t="s">
        <v>3578</v>
      </c>
      <c r="L2660" s="20" t="s">
        <v>3579</v>
      </c>
      <c r="M2660" s="27">
        <v>45139</v>
      </c>
      <c r="N2660" s="105" t="s">
        <v>168</v>
      </c>
      <c r="O2660" s="147">
        <v>20</v>
      </c>
      <c r="P2660" s="147">
        <v>160</v>
      </c>
      <c r="Q2660" s="51">
        <f t="shared" si="62"/>
        <v>3200</v>
      </c>
      <c r="R2660" s="31">
        <v>202310</v>
      </c>
      <c r="S2660" s="32" t="s">
        <v>3585</v>
      </c>
      <c r="T2660" s="33"/>
      <c r="U2660" s="54"/>
      <c r="V2660" s="54"/>
      <c r="W2660" s="52"/>
      <c r="X2660" s="52"/>
      <c r="Y2660" s="36"/>
      <c r="Z2660" s="36"/>
      <c r="AA2660" s="36"/>
      <c r="AB2660" s="36"/>
      <c r="AC2660" s="36"/>
      <c r="AD2660" s="36"/>
      <c r="AE2660" s="36"/>
      <c r="AF2660" s="53" t="s">
        <v>503</v>
      </c>
      <c r="AG2660" s="42"/>
      <c r="AH2660" s="43"/>
      <c r="AI2660" s="43"/>
      <c r="AJ2660" s="43"/>
      <c r="AK2660" s="43"/>
      <c r="AL2660" s="43"/>
      <c r="AM2660" s="43"/>
      <c r="AN2660" s="42"/>
      <c r="AO2660" s="42"/>
      <c r="AP2660" s="42"/>
      <c r="AQ2660" s="43"/>
      <c r="AR2660" s="42"/>
      <c r="AS2660" s="42"/>
    </row>
    <row r="2661" spans="1:45" ht="15" customHeight="1">
      <c r="A2661" s="21" t="s">
        <v>258</v>
      </c>
      <c r="B2661" s="22" t="s">
        <v>46</v>
      </c>
      <c r="C2661" s="21" t="s">
        <v>887</v>
      </c>
      <c r="D2661" s="21" t="s">
        <v>888</v>
      </c>
      <c r="E2661" s="80" t="s">
        <v>2405</v>
      </c>
      <c r="F2661" s="21" t="s">
        <v>2406</v>
      </c>
      <c r="G2661" s="101" t="s">
        <v>165</v>
      </c>
      <c r="H2661" s="25" t="s">
        <v>3577</v>
      </c>
      <c r="I2661" s="65" t="s">
        <v>491</v>
      </c>
      <c r="J2661" s="20" t="s">
        <v>3578</v>
      </c>
      <c r="K2661" s="20" t="s">
        <v>3578</v>
      </c>
      <c r="L2661" s="20" t="s">
        <v>3579</v>
      </c>
      <c r="M2661" s="27">
        <v>45139</v>
      </c>
      <c r="N2661" s="105" t="s">
        <v>656</v>
      </c>
      <c r="O2661" s="147">
        <v>0</v>
      </c>
      <c r="P2661" s="147"/>
      <c r="Q2661" s="51">
        <f t="shared" si="62"/>
        <v>0</v>
      </c>
      <c r="R2661" s="31">
        <v>202310</v>
      </c>
      <c r="S2661" s="32" t="s">
        <v>3586</v>
      </c>
      <c r="T2661" s="33"/>
      <c r="U2661" s="54"/>
      <c r="V2661" s="54"/>
      <c r="W2661" s="52"/>
      <c r="X2661" s="52"/>
      <c r="Y2661" s="36"/>
      <c r="Z2661" s="36"/>
      <c r="AA2661" s="36"/>
      <c r="AB2661" s="36"/>
      <c r="AC2661" s="36"/>
      <c r="AD2661" s="36"/>
      <c r="AE2661" s="36"/>
      <c r="AF2661" s="53" t="s">
        <v>503</v>
      </c>
      <c r="AG2661" s="42"/>
      <c r="AH2661" s="43"/>
      <c r="AI2661" s="43"/>
      <c r="AJ2661" s="43"/>
      <c r="AK2661" s="43"/>
      <c r="AL2661" s="43"/>
      <c r="AM2661" s="43"/>
      <c r="AN2661" s="42"/>
      <c r="AO2661" s="42"/>
      <c r="AP2661" s="42"/>
      <c r="AQ2661" s="43"/>
      <c r="AR2661" s="42"/>
      <c r="AS2661" s="42"/>
    </row>
    <row r="2662" spans="1:45" ht="15" customHeight="1">
      <c r="A2662" s="56" t="s">
        <v>45</v>
      </c>
      <c r="B2662" s="21" t="s">
        <v>46</v>
      </c>
      <c r="C2662" s="57" t="s">
        <v>814</v>
      </c>
      <c r="D2662" s="22" t="s">
        <v>48</v>
      </c>
      <c r="E2662" s="58" t="s">
        <v>2977</v>
      </c>
      <c r="F2662" s="56" t="s">
        <v>2978</v>
      </c>
      <c r="G2662" s="26" t="s">
        <v>165</v>
      </c>
      <c r="H2662" s="133" t="s">
        <v>2979</v>
      </c>
      <c r="I2662" s="26" t="s">
        <v>491</v>
      </c>
      <c r="J2662" s="56" t="s">
        <v>2980</v>
      </c>
      <c r="K2662" s="59" t="s">
        <v>2978</v>
      </c>
      <c r="L2662" s="48" t="s">
        <v>2981</v>
      </c>
      <c r="M2662" s="49">
        <v>44805</v>
      </c>
      <c r="N2662" s="49" t="s">
        <v>168</v>
      </c>
      <c r="O2662" s="60">
        <v>0</v>
      </c>
      <c r="P2662" s="61">
        <v>256</v>
      </c>
      <c r="Q2662" s="51">
        <f t="shared" si="62"/>
        <v>0</v>
      </c>
      <c r="R2662" s="31">
        <v>202310</v>
      </c>
      <c r="S2662" s="37" t="s">
        <v>3587</v>
      </c>
      <c r="T2662" s="42"/>
      <c r="U2662" s="58"/>
      <c r="V2662" s="42"/>
      <c r="W2662" s="226"/>
      <c r="X2662" s="42"/>
      <c r="Y2662" s="36"/>
      <c r="Z2662" s="36"/>
      <c r="AA2662" s="37"/>
      <c r="AB2662" s="38"/>
      <c r="AC2662" s="38"/>
      <c r="AD2662" s="38"/>
      <c r="AE2662" s="40"/>
      <c r="AF2662" s="40" t="s">
        <v>484</v>
      </c>
      <c r="AG2662" s="40"/>
      <c r="AH2662" s="42"/>
      <c r="AI2662" s="42"/>
      <c r="AJ2662" s="43"/>
      <c r="AK2662" s="43"/>
      <c r="AL2662" s="43"/>
      <c r="AM2662" s="43"/>
      <c r="AN2662" s="42"/>
      <c r="AO2662" s="42"/>
      <c r="AP2662" s="42"/>
      <c r="AQ2662" s="42"/>
      <c r="AR2662" s="42"/>
      <c r="AS2662" s="42"/>
    </row>
    <row r="2663" spans="1:45" ht="15" customHeight="1">
      <c r="A2663" s="56" t="s">
        <v>45</v>
      </c>
      <c r="B2663" s="21" t="s">
        <v>46</v>
      </c>
      <c r="C2663" s="57" t="s">
        <v>814</v>
      </c>
      <c r="D2663" s="22" t="s">
        <v>48</v>
      </c>
      <c r="E2663" s="58" t="s">
        <v>2977</v>
      </c>
      <c r="F2663" s="56" t="s">
        <v>2978</v>
      </c>
      <c r="G2663" s="26" t="s">
        <v>165</v>
      </c>
      <c r="H2663" s="133" t="s">
        <v>3563</v>
      </c>
      <c r="I2663" s="26" t="s">
        <v>491</v>
      </c>
      <c r="J2663" s="56" t="s">
        <v>2980</v>
      </c>
      <c r="K2663" s="59" t="s">
        <v>2978</v>
      </c>
      <c r="L2663" s="48" t="s">
        <v>2981</v>
      </c>
      <c r="M2663" s="49">
        <v>45163</v>
      </c>
      <c r="N2663" s="49" t="s">
        <v>168</v>
      </c>
      <c r="O2663" s="60">
        <v>0</v>
      </c>
      <c r="P2663" s="61">
        <v>192</v>
      </c>
      <c r="Q2663" s="51">
        <f t="shared" si="62"/>
        <v>0</v>
      </c>
      <c r="R2663" s="31">
        <v>202310</v>
      </c>
      <c r="S2663" s="37" t="s">
        <v>3588</v>
      </c>
      <c r="T2663" s="42"/>
      <c r="U2663" s="58"/>
      <c r="V2663" s="42"/>
      <c r="W2663" s="226"/>
      <c r="X2663" s="42"/>
      <c r="Y2663" s="36"/>
      <c r="Z2663" s="36"/>
      <c r="AA2663" s="37"/>
      <c r="AB2663" s="38"/>
      <c r="AC2663" s="38"/>
      <c r="AD2663" s="38"/>
      <c r="AE2663" s="40"/>
      <c r="AF2663" s="40" t="s">
        <v>484</v>
      </c>
      <c r="AG2663" s="40"/>
      <c r="AH2663" s="42"/>
      <c r="AI2663" s="42"/>
      <c r="AJ2663" s="43"/>
      <c r="AK2663" s="43"/>
      <c r="AL2663" s="43"/>
      <c r="AM2663" s="43"/>
      <c r="AN2663" s="42"/>
      <c r="AO2663" s="42"/>
      <c r="AP2663" s="42"/>
      <c r="AQ2663" s="42"/>
      <c r="AR2663" s="42"/>
      <c r="AS2663" s="42"/>
    </row>
    <row r="2664" spans="1:45" ht="15" customHeight="1">
      <c r="A2664" s="21" t="s">
        <v>258</v>
      </c>
      <c r="B2664" s="22" t="s">
        <v>46</v>
      </c>
      <c r="C2664" s="21" t="s">
        <v>887</v>
      </c>
      <c r="D2664" s="21" t="s">
        <v>888</v>
      </c>
      <c r="E2664" s="80" t="s">
        <v>2183</v>
      </c>
      <c r="F2664" s="21" t="s">
        <v>2184</v>
      </c>
      <c r="G2664" s="101" t="s">
        <v>77</v>
      </c>
      <c r="H2664" s="25" t="s">
        <v>3589</v>
      </c>
      <c r="I2664" s="65" t="s">
        <v>479</v>
      </c>
      <c r="J2664" s="104" t="s">
        <v>3590</v>
      </c>
      <c r="K2664" s="104" t="s">
        <v>3590</v>
      </c>
      <c r="L2664" s="48" t="s">
        <v>3591</v>
      </c>
      <c r="M2664" s="192">
        <v>45108</v>
      </c>
      <c r="N2664" s="194" t="s">
        <v>290</v>
      </c>
      <c r="O2664" s="147">
        <v>3000</v>
      </c>
      <c r="P2664" s="149">
        <v>1</v>
      </c>
      <c r="Q2664" s="51">
        <f>ROUND(O2664*P2664,2)</f>
        <v>3000</v>
      </c>
      <c r="R2664" s="31">
        <v>202310</v>
      </c>
      <c r="S2664" s="32" t="s">
        <v>3592</v>
      </c>
      <c r="T2664" s="33"/>
      <c r="U2664" s="54"/>
      <c r="V2664" s="195"/>
      <c r="W2664" s="36"/>
      <c r="X2664" s="36"/>
      <c r="Y2664" s="36">
        <v>45108</v>
      </c>
      <c r="Z2664" s="36">
        <v>45473</v>
      </c>
      <c r="AA2664" s="36"/>
      <c r="AB2664" s="36"/>
      <c r="AC2664" s="36"/>
      <c r="AD2664" s="36"/>
      <c r="AE2664" s="36"/>
      <c r="AF2664" s="53" t="s">
        <v>484</v>
      </c>
      <c r="AG2664" s="148"/>
      <c r="AH2664" s="43"/>
      <c r="AI2664" s="43"/>
      <c r="AJ2664" s="43"/>
      <c r="AK2664" s="43"/>
      <c r="AL2664" s="43"/>
      <c r="AM2664" s="42"/>
      <c r="AN2664" s="42"/>
      <c r="AO2664" s="42"/>
      <c r="AP2664" s="42"/>
      <c r="AQ2664" s="42"/>
      <c r="AR2664" s="42"/>
      <c r="AS2664" s="42"/>
    </row>
    <row r="2665" spans="1:45" ht="15" customHeight="1">
      <c r="A2665" s="21" t="s">
        <v>258</v>
      </c>
      <c r="B2665" s="22" t="s">
        <v>46</v>
      </c>
      <c r="C2665" s="21" t="s">
        <v>887</v>
      </c>
      <c r="D2665" s="21" t="s">
        <v>888</v>
      </c>
      <c r="E2665" s="80" t="s">
        <v>2183</v>
      </c>
      <c r="F2665" s="21" t="s">
        <v>2184</v>
      </c>
      <c r="G2665" s="101" t="s">
        <v>165</v>
      </c>
      <c r="H2665" s="25" t="s">
        <v>3589</v>
      </c>
      <c r="I2665" s="65" t="s">
        <v>491</v>
      </c>
      <c r="J2665" s="104" t="s">
        <v>3590</v>
      </c>
      <c r="K2665" s="104" t="s">
        <v>3590</v>
      </c>
      <c r="L2665" s="48" t="s">
        <v>3591</v>
      </c>
      <c r="M2665" s="192">
        <v>45108</v>
      </c>
      <c r="N2665" s="105"/>
      <c r="O2665" s="147">
        <v>0</v>
      </c>
      <c r="P2665" s="147">
        <v>544</v>
      </c>
      <c r="Q2665" s="51">
        <f t="shared" ref="Q2665:Q2671" si="63">ROUND(O2665*P2665,2)</f>
        <v>0</v>
      </c>
      <c r="R2665" s="31">
        <v>202310</v>
      </c>
      <c r="S2665" s="32" t="s">
        <v>3593</v>
      </c>
      <c r="T2665" s="33"/>
      <c r="U2665" s="54"/>
      <c r="V2665" s="151"/>
      <c r="W2665" s="42"/>
      <c r="X2665" s="42"/>
      <c r="Y2665" s="36">
        <v>45108</v>
      </c>
      <c r="Z2665" s="36">
        <v>45473</v>
      </c>
      <c r="AA2665" s="36"/>
      <c r="AB2665" s="36"/>
      <c r="AC2665" s="36"/>
      <c r="AD2665" s="36"/>
      <c r="AE2665" s="36"/>
      <c r="AF2665" s="53" t="s">
        <v>484</v>
      </c>
      <c r="AG2665" s="42"/>
      <c r="AH2665" s="42"/>
      <c r="AI2665" s="43"/>
      <c r="AJ2665" s="43"/>
      <c r="AK2665" s="43"/>
      <c r="AL2665" s="43"/>
      <c r="AM2665" s="43"/>
      <c r="AN2665" s="42"/>
      <c r="AO2665" s="42"/>
      <c r="AP2665" s="42"/>
      <c r="AQ2665" s="42"/>
      <c r="AR2665" s="42"/>
      <c r="AS2665" s="42"/>
    </row>
    <row r="2666" spans="1:45" ht="15" customHeight="1">
      <c r="A2666" s="21" t="s">
        <v>258</v>
      </c>
      <c r="B2666" s="22" t="s">
        <v>46</v>
      </c>
      <c r="C2666" s="21" t="s">
        <v>887</v>
      </c>
      <c r="D2666" s="21" t="s">
        <v>888</v>
      </c>
      <c r="E2666" s="80" t="s">
        <v>2183</v>
      </c>
      <c r="F2666" s="21" t="s">
        <v>2184</v>
      </c>
      <c r="G2666" s="101" t="s">
        <v>165</v>
      </c>
      <c r="H2666" s="25" t="s">
        <v>3589</v>
      </c>
      <c r="I2666" s="65" t="s">
        <v>491</v>
      </c>
      <c r="J2666" s="104" t="s">
        <v>3590</v>
      </c>
      <c r="K2666" s="104" t="s">
        <v>3590</v>
      </c>
      <c r="L2666" s="48" t="s">
        <v>3591</v>
      </c>
      <c r="M2666" s="192">
        <v>45108</v>
      </c>
      <c r="N2666" s="105"/>
      <c r="O2666" s="147">
        <v>0</v>
      </c>
      <c r="P2666" s="147">
        <v>0</v>
      </c>
      <c r="Q2666" s="51">
        <f t="shared" si="63"/>
        <v>0</v>
      </c>
      <c r="R2666" s="31">
        <v>202310</v>
      </c>
      <c r="S2666" s="32" t="s">
        <v>3594</v>
      </c>
      <c r="T2666" s="33"/>
      <c r="U2666" s="54"/>
      <c r="V2666" s="151"/>
      <c r="W2666" s="42"/>
      <c r="X2666" s="42"/>
      <c r="Y2666" s="36">
        <v>45108</v>
      </c>
      <c r="Z2666" s="36">
        <v>45473</v>
      </c>
      <c r="AA2666" s="36"/>
      <c r="AB2666" s="36"/>
      <c r="AC2666" s="36"/>
      <c r="AD2666" s="36"/>
      <c r="AE2666" s="36"/>
      <c r="AF2666" s="53" t="s">
        <v>484</v>
      </c>
      <c r="AG2666" s="42"/>
      <c r="AH2666" s="42"/>
      <c r="AI2666" s="43"/>
      <c r="AJ2666" s="43"/>
      <c r="AK2666" s="43"/>
      <c r="AL2666" s="43"/>
      <c r="AM2666" s="43"/>
      <c r="AN2666" s="42"/>
      <c r="AO2666" s="42"/>
      <c r="AP2666" s="42"/>
      <c r="AQ2666" s="42"/>
      <c r="AR2666" s="42"/>
      <c r="AS2666" s="42"/>
    </row>
    <row r="2667" spans="1:45" ht="15" customHeight="1">
      <c r="A2667" s="20" t="s">
        <v>45</v>
      </c>
      <c r="B2667" s="21" t="s">
        <v>46</v>
      </c>
      <c r="C2667" s="22" t="s">
        <v>887</v>
      </c>
      <c r="D2667" s="21" t="s">
        <v>888</v>
      </c>
      <c r="E2667" s="23" t="s">
        <v>3595</v>
      </c>
      <c r="F2667" s="20" t="s">
        <v>3596</v>
      </c>
      <c r="G2667" s="20" t="s">
        <v>77</v>
      </c>
      <c r="H2667" s="25" t="s">
        <v>3597</v>
      </c>
      <c r="I2667" s="24" t="s">
        <v>479</v>
      </c>
      <c r="J2667" s="26" t="s">
        <v>3598</v>
      </c>
      <c r="K2667" s="26" t="s">
        <v>3598</v>
      </c>
      <c r="L2667" s="20" t="s">
        <v>3599</v>
      </c>
      <c r="M2667" s="156">
        <v>45119</v>
      </c>
      <c r="N2667" s="20" t="s">
        <v>90</v>
      </c>
      <c r="O2667" s="28">
        <v>5000</v>
      </c>
      <c r="P2667" s="29">
        <v>1</v>
      </c>
      <c r="Q2667" s="30">
        <f t="shared" si="63"/>
        <v>5000</v>
      </c>
      <c r="R2667" s="31">
        <v>202310</v>
      </c>
      <c r="S2667" s="32" t="s">
        <v>3600</v>
      </c>
      <c r="T2667" s="33"/>
      <c r="U2667" s="32"/>
      <c r="V2667" s="32"/>
      <c r="W2667" s="34"/>
      <c r="X2667" s="35"/>
      <c r="Y2667" s="36"/>
      <c r="Z2667" s="36"/>
      <c r="AA2667" s="37"/>
      <c r="AB2667" s="38"/>
      <c r="AC2667" s="38"/>
      <c r="AD2667" s="38"/>
      <c r="AE2667" s="39"/>
      <c r="AF2667" s="40" t="s">
        <v>484</v>
      </c>
      <c r="AG2667" s="41"/>
      <c r="AH2667" s="42"/>
      <c r="AI2667" s="43"/>
      <c r="AJ2667" s="43"/>
      <c r="AK2667" s="43"/>
      <c r="AL2667" s="43"/>
      <c r="AM2667" s="43"/>
      <c r="AN2667" s="42"/>
      <c r="AO2667" s="42"/>
      <c r="AP2667" s="42"/>
      <c r="AQ2667" s="42"/>
      <c r="AR2667" s="42"/>
      <c r="AS2667" s="42"/>
    </row>
    <row r="2668" spans="1:45" ht="15" customHeight="1">
      <c r="A2668" s="20" t="s">
        <v>45</v>
      </c>
      <c r="B2668" s="21" t="s">
        <v>46</v>
      </c>
      <c r="C2668" s="22" t="s">
        <v>887</v>
      </c>
      <c r="D2668" s="21" t="s">
        <v>888</v>
      </c>
      <c r="E2668" s="23" t="s">
        <v>3595</v>
      </c>
      <c r="F2668" s="20" t="s">
        <v>3596</v>
      </c>
      <c r="G2668" s="20" t="s">
        <v>165</v>
      </c>
      <c r="H2668" s="25" t="s">
        <v>3597</v>
      </c>
      <c r="I2668" s="24" t="s">
        <v>491</v>
      </c>
      <c r="J2668" s="26" t="s">
        <v>3598</v>
      </c>
      <c r="K2668" s="26" t="s">
        <v>3598</v>
      </c>
      <c r="L2668" s="20" t="s">
        <v>3599</v>
      </c>
      <c r="M2668" s="156">
        <v>45119</v>
      </c>
      <c r="N2668" s="20"/>
      <c r="O2668" s="28">
        <v>0</v>
      </c>
      <c r="P2668" s="29">
        <v>512</v>
      </c>
      <c r="Q2668" s="30">
        <f t="shared" si="63"/>
        <v>0</v>
      </c>
      <c r="R2668" s="31">
        <v>202310</v>
      </c>
      <c r="S2668" s="32" t="s">
        <v>3601</v>
      </c>
      <c r="T2668" s="33"/>
      <c r="U2668" s="32"/>
      <c r="V2668" s="32"/>
      <c r="W2668" s="34"/>
      <c r="X2668" s="35"/>
      <c r="Y2668" s="36"/>
      <c r="Z2668" s="36"/>
      <c r="AA2668" s="37"/>
      <c r="AB2668" s="38"/>
      <c r="AC2668" s="38"/>
      <c r="AD2668" s="38"/>
      <c r="AE2668" s="39"/>
      <c r="AF2668" s="40" t="s">
        <v>484</v>
      </c>
      <c r="AG2668" s="41"/>
      <c r="AH2668" s="42"/>
      <c r="AI2668" s="43"/>
      <c r="AJ2668" s="43"/>
      <c r="AK2668" s="43"/>
      <c r="AL2668" s="43"/>
      <c r="AM2668" s="43"/>
      <c r="AN2668" s="42"/>
      <c r="AO2668" s="42"/>
      <c r="AP2668" s="42"/>
      <c r="AQ2668" s="42"/>
      <c r="AR2668" s="42"/>
      <c r="AS2668" s="42"/>
    </row>
    <row r="2669" spans="1:45" ht="15" customHeight="1">
      <c r="A2669" s="20" t="s">
        <v>45</v>
      </c>
      <c r="B2669" s="21" t="s">
        <v>46</v>
      </c>
      <c r="C2669" s="22" t="s">
        <v>887</v>
      </c>
      <c r="D2669" s="21" t="s">
        <v>888</v>
      </c>
      <c r="E2669" s="23" t="s">
        <v>3595</v>
      </c>
      <c r="F2669" s="20" t="s">
        <v>3596</v>
      </c>
      <c r="G2669" s="20" t="s">
        <v>165</v>
      </c>
      <c r="H2669" s="25" t="s">
        <v>3597</v>
      </c>
      <c r="I2669" s="24" t="s">
        <v>491</v>
      </c>
      <c r="J2669" s="26" t="s">
        <v>3598</v>
      </c>
      <c r="K2669" s="26" t="s">
        <v>3598</v>
      </c>
      <c r="L2669" s="20" t="s">
        <v>3599</v>
      </c>
      <c r="M2669" s="156">
        <v>45119</v>
      </c>
      <c r="N2669" s="20"/>
      <c r="O2669" s="28">
        <v>0</v>
      </c>
      <c r="P2669" s="29">
        <v>0</v>
      </c>
      <c r="Q2669" s="30">
        <f t="shared" si="63"/>
        <v>0</v>
      </c>
      <c r="R2669" s="31">
        <v>202310</v>
      </c>
      <c r="S2669" s="32" t="s">
        <v>3602</v>
      </c>
      <c r="T2669" s="33"/>
      <c r="U2669" s="32"/>
      <c r="V2669" s="32"/>
      <c r="W2669" s="34"/>
      <c r="X2669" s="35"/>
      <c r="Y2669" s="36"/>
      <c r="Z2669" s="36"/>
      <c r="AA2669" s="37"/>
      <c r="AB2669" s="38"/>
      <c r="AC2669" s="38"/>
      <c r="AD2669" s="38"/>
      <c r="AE2669" s="39"/>
      <c r="AF2669" s="40" t="s">
        <v>484</v>
      </c>
      <c r="AG2669" s="41"/>
      <c r="AH2669" s="42"/>
      <c r="AI2669" s="43"/>
      <c r="AJ2669" s="43"/>
      <c r="AK2669" s="43"/>
      <c r="AL2669" s="43"/>
      <c r="AM2669" s="43"/>
      <c r="AN2669" s="42"/>
      <c r="AO2669" s="42"/>
      <c r="AP2669" s="42"/>
      <c r="AQ2669" s="42"/>
      <c r="AR2669" s="42"/>
      <c r="AS2669" s="42"/>
    </row>
    <row r="2670" spans="1:45" ht="15" customHeight="1">
      <c r="A2670" s="20" t="s">
        <v>260</v>
      </c>
      <c r="B2670" s="21" t="s">
        <v>46</v>
      </c>
      <c r="C2670" s="22" t="s">
        <v>188</v>
      </c>
      <c r="D2670" s="21" t="s">
        <v>48</v>
      </c>
      <c r="E2670" s="23" t="s">
        <v>919</v>
      </c>
      <c r="F2670" s="20" t="s">
        <v>3603</v>
      </c>
      <c r="G2670" s="20" t="s">
        <v>77</v>
      </c>
      <c r="H2670" s="25" t="s">
        <v>3604</v>
      </c>
      <c r="I2670" s="24" t="s">
        <v>479</v>
      </c>
      <c r="J2670" s="26" t="s">
        <v>3605</v>
      </c>
      <c r="K2670" s="26" t="s">
        <v>3605</v>
      </c>
      <c r="L2670" s="20" t="s">
        <v>3606</v>
      </c>
      <c r="M2670" s="156">
        <v>45108</v>
      </c>
      <c r="N2670" s="20" t="s">
        <v>90</v>
      </c>
      <c r="O2670" s="28">
        <v>3500</v>
      </c>
      <c r="P2670" s="29">
        <v>1</v>
      </c>
      <c r="Q2670" s="30">
        <f t="shared" si="63"/>
        <v>3500</v>
      </c>
      <c r="R2670" s="31">
        <v>202310</v>
      </c>
      <c r="S2670" s="32" t="s">
        <v>3607</v>
      </c>
      <c r="T2670" s="33"/>
      <c r="U2670" s="32"/>
      <c r="V2670" s="32"/>
      <c r="W2670" s="34"/>
      <c r="X2670" s="35"/>
      <c r="Y2670" s="36"/>
      <c r="Z2670" s="36"/>
      <c r="AA2670" s="37"/>
      <c r="AB2670" s="38"/>
      <c r="AC2670" s="38"/>
      <c r="AD2670" s="38"/>
      <c r="AE2670" s="39"/>
      <c r="AF2670" s="40" t="s">
        <v>484</v>
      </c>
      <c r="AG2670" s="41"/>
      <c r="AH2670" s="42"/>
      <c r="AI2670" s="43"/>
      <c r="AJ2670" s="43"/>
      <c r="AK2670" s="43"/>
      <c r="AL2670" s="43"/>
      <c r="AM2670" s="43"/>
      <c r="AN2670" s="42"/>
      <c r="AO2670" s="42"/>
      <c r="AP2670" s="42"/>
      <c r="AQ2670" s="42"/>
      <c r="AR2670" s="42"/>
      <c r="AS2670" s="42" t="s">
        <v>1982</v>
      </c>
    </row>
    <row r="2671" spans="1:45" ht="15" customHeight="1">
      <c r="A2671" s="20" t="s">
        <v>260</v>
      </c>
      <c r="B2671" s="21" t="s">
        <v>46</v>
      </c>
      <c r="C2671" s="22" t="s">
        <v>188</v>
      </c>
      <c r="D2671" s="21" t="s">
        <v>48</v>
      </c>
      <c r="E2671" s="23" t="s">
        <v>919</v>
      </c>
      <c r="F2671" s="20" t="s">
        <v>3603</v>
      </c>
      <c r="G2671" s="20" t="s">
        <v>165</v>
      </c>
      <c r="H2671" s="25" t="s">
        <v>3604</v>
      </c>
      <c r="I2671" s="24" t="s">
        <v>491</v>
      </c>
      <c r="J2671" s="26" t="s">
        <v>3605</v>
      </c>
      <c r="K2671" s="26" t="s">
        <v>3605</v>
      </c>
      <c r="L2671" s="20" t="s">
        <v>3606</v>
      </c>
      <c r="M2671" s="156">
        <v>45108</v>
      </c>
      <c r="N2671" s="20"/>
      <c r="O2671" s="28">
        <v>0</v>
      </c>
      <c r="P2671" s="29">
        <v>640</v>
      </c>
      <c r="Q2671" s="30">
        <f t="shared" si="63"/>
        <v>0</v>
      </c>
      <c r="R2671" s="31">
        <v>202310</v>
      </c>
      <c r="S2671" s="32" t="s">
        <v>3608</v>
      </c>
      <c r="T2671" s="33"/>
      <c r="U2671" s="32"/>
      <c r="V2671" s="32"/>
      <c r="W2671" s="34"/>
      <c r="X2671" s="35"/>
      <c r="Y2671" s="36"/>
      <c r="Z2671" s="36"/>
      <c r="AA2671" s="37"/>
      <c r="AB2671" s="38"/>
      <c r="AC2671" s="38"/>
      <c r="AD2671" s="38"/>
      <c r="AE2671" s="39"/>
      <c r="AF2671" s="40" t="s">
        <v>484</v>
      </c>
      <c r="AG2671" s="41"/>
      <c r="AH2671" s="42"/>
      <c r="AI2671" s="43"/>
      <c r="AJ2671" s="43"/>
      <c r="AK2671" s="43"/>
      <c r="AL2671" s="43"/>
      <c r="AM2671" s="43"/>
      <c r="AN2671" s="42"/>
      <c r="AO2671" s="42"/>
      <c r="AP2671" s="42"/>
      <c r="AQ2671" s="42"/>
      <c r="AR2671" s="42"/>
      <c r="AS2671" s="42" t="s">
        <v>1982</v>
      </c>
    </row>
    <row r="2672" spans="1:45" ht="15" customHeight="1">
      <c r="A2672" s="20" t="s">
        <v>260</v>
      </c>
      <c r="B2672" s="21" t="s">
        <v>46</v>
      </c>
      <c r="C2672" s="22" t="s">
        <v>188</v>
      </c>
      <c r="D2672" s="21" t="s">
        <v>48</v>
      </c>
      <c r="E2672" s="23" t="s">
        <v>919</v>
      </c>
      <c r="F2672" s="20" t="s">
        <v>3603</v>
      </c>
      <c r="G2672" s="20" t="s">
        <v>165</v>
      </c>
      <c r="H2672" s="25" t="s">
        <v>3604</v>
      </c>
      <c r="I2672" s="24" t="s">
        <v>491</v>
      </c>
      <c r="J2672" s="26" t="s">
        <v>3605</v>
      </c>
      <c r="K2672" s="26" t="s">
        <v>3605</v>
      </c>
      <c r="L2672" s="20" t="s">
        <v>3606</v>
      </c>
      <c r="M2672" s="156">
        <v>45108</v>
      </c>
      <c r="N2672" s="20"/>
      <c r="O2672" s="28">
        <v>0</v>
      </c>
      <c r="P2672" s="29">
        <v>0</v>
      </c>
      <c r="Q2672" s="30">
        <v>0</v>
      </c>
      <c r="R2672" s="31">
        <v>202310</v>
      </c>
      <c r="S2672" s="32" t="s">
        <v>3609</v>
      </c>
      <c r="T2672" s="33"/>
      <c r="U2672" s="32"/>
      <c r="V2672" s="32"/>
      <c r="W2672" s="34"/>
      <c r="X2672" s="35"/>
      <c r="Y2672" s="36"/>
      <c r="Z2672" s="36"/>
      <c r="AA2672" s="37"/>
      <c r="AB2672" s="38"/>
      <c r="AC2672" s="38"/>
      <c r="AD2672" s="38"/>
      <c r="AE2672" s="39"/>
      <c r="AF2672" s="40" t="s">
        <v>484</v>
      </c>
      <c r="AG2672" s="41"/>
      <c r="AH2672" s="42"/>
      <c r="AI2672" s="43"/>
      <c r="AJ2672" s="43"/>
      <c r="AK2672" s="43"/>
      <c r="AL2672" s="43"/>
      <c r="AM2672" s="43"/>
      <c r="AN2672" s="42"/>
      <c r="AO2672" s="42"/>
      <c r="AP2672" s="42"/>
      <c r="AQ2672" s="42"/>
      <c r="AR2672" s="42"/>
      <c r="AS2672" s="42" t="s">
        <v>1982</v>
      </c>
    </row>
    <row r="2673" spans="1:45" ht="15" customHeight="1">
      <c r="A2673" s="20" t="s">
        <v>45</v>
      </c>
      <c r="B2673" s="21" t="s">
        <v>46</v>
      </c>
      <c r="C2673" s="20" t="s">
        <v>188</v>
      </c>
      <c r="D2673" s="22" t="s">
        <v>48</v>
      </c>
      <c r="E2673" s="23" t="s">
        <v>2526</v>
      </c>
      <c r="F2673" s="20" t="s">
        <v>2527</v>
      </c>
      <c r="G2673" s="47" t="s">
        <v>77</v>
      </c>
      <c r="H2673" s="25" t="s">
        <v>3610</v>
      </c>
      <c r="I2673" s="24" t="s">
        <v>479</v>
      </c>
      <c r="J2673" s="26" t="s">
        <v>3611</v>
      </c>
      <c r="K2673" s="26" t="s">
        <v>3611</v>
      </c>
      <c r="L2673" s="48" t="s">
        <v>2530</v>
      </c>
      <c r="M2673" s="27">
        <v>45108</v>
      </c>
      <c r="N2673" s="47" t="s">
        <v>290</v>
      </c>
      <c r="O2673" s="50">
        <v>4300</v>
      </c>
      <c r="P2673" s="50">
        <v>1</v>
      </c>
      <c r="Q2673" s="51">
        <f>ROUND(O2673*P2673,2)</f>
        <v>4300</v>
      </c>
      <c r="R2673" s="69">
        <v>202310</v>
      </c>
      <c r="S2673" s="54" t="s">
        <v>3612</v>
      </c>
      <c r="T2673" s="33"/>
      <c r="U2673" s="32"/>
      <c r="V2673" s="46"/>
      <c r="W2673" s="52"/>
      <c r="X2673" s="52"/>
      <c r="Y2673" s="36"/>
      <c r="Z2673" s="36"/>
      <c r="AA2673" s="36"/>
      <c r="AB2673" s="36"/>
      <c r="AC2673" s="36"/>
      <c r="AD2673" s="36"/>
      <c r="AE2673" s="36"/>
      <c r="AF2673" s="40" t="s">
        <v>484</v>
      </c>
      <c r="AG2673" s="42"/>
      <c r="AH2673" s="42"/>
      <c r="AI2673" s="43"/>
      <c r="AJ2673" s="43"/>
      <c r="AK2673" s="43"/>
      <c r="AL2673" s="43"/>
      <c r="AM2673" s="43"/>
      <c r="AN2673" s="42"/>
      <c r="AO2673" s="42"/>
      <c r="AP2673" s="42"/>
      <c r="AQ2673" s="43"/>
      <c r="AR2673" s="42"/>
      <c r="AS2673" s="42"/>
    </row>
    <row r="2674" spans="1:45" ht="15" customHeight="1">
      <c r="A2674" s="20" t="s">
        <v>45</v>
      </c>
      <c r="B2674" s="21" t="s">
        <v>46</v>
      </c>
      <c r="C2674" s="20" t="s">
        <v>188</v>
      </c>
      <c r="D2674" s="22" t="s">
        <v>48</v>
      </c>
      <c r="E2674" s="23" t="s">
        <v>2526</v>
      </c>
      <c r="F2674" s="20" t="s">
        <v>2527</v>
      </c>
      <c r="G2674" s="47" t="s">
        <v>165</v>
      </c>
      <c r="H2674" s="25" t="s">
        <v>3610</v>
      </c>
      <c r="I2674" s="24" t="s">
        <v>491</v>
      </c>
      <c r="J2674" s="26" t="s">
        <v>3611</v>
      </c>
      <c r="K2674" s="26" t="s">
        <v>3611</v>
      </c>
      <c r="L2674" s="48" t="s">
        <v>2530</v>
      </c>
      <c r="M2674" s="27">
        <v>45108</v>
      </c>
      <c r="N2674" s="47"/>
      <c r="O2674" s="50">
        <v>0</v>
      </c>
      <c r="P2674" s="50">
        <v>264</v>
      </c>
      <c r="Q2674" s="51">
        <f t="shared" ref="Q2674:Q2675" si="64">ROUND(O2674*P2674,2)</f>
        <v>0</v>
      </c>
      <c r="R2674" s="69">
        <v>202310</v>
      </c>
      <c r="S2674" s="54" t="s">
        <v>3613</v>
      </c>
      <c r="T2674" s="33"/>
      <c r="U2674" s="32"/>
      <c r="V2674" s="46"/>
      <c r="W2674" s="52"/>
      <c r="X2674" s="52"/>
      <c r="Y2674" s="36"/>
      <c r="Z2674" s="36"/>
      <c r="AA2674" s="36"/>
      <c r="AB2674" s="36"/>
      <c r="AC2674" s="36"/>
      <c r="AD2674" s="36"/>
      <c r="AE2674" s="36"/>
      <c r="AF2674" s="40" t="s">
        <v>484</v>
      </c>
      <c r="AG2674" s="42"/>
      <c r="AH2674" s="42"/>
      <c r="AI2674" s="43"/>
      <c r="AJ2674" s="43"/>
      <c r="AK2674" s="43"/>
      <c r="AL2674" s="43"/>
      <c r="AM2674" s="43"/>
      <c r="AN2674" s="42"/>
      <c r="AO2674" s="42"/>
      <c r="AP2674" s="42"/>
      <c r="AQ2674" s="43"/>
      <c r="AR2674" s="42"/>
      <c r="AS2674" s="42"/>
    </row>
    <row r="2675" spans="1:45" ht="15" customHeight="1">
      <c r="A2675" s="20" t="s">
        <v>45</v>
      </c>
      <c r="B2675" s="21" t="s">
        <v>46</v>
      </c>
      <c r="C2675" s="22" t="s">
        <v>188</v>
      </c>
      <c r="D2675" s="22" t="s">
        <v>48</v>
      </c>
      <c r="E2675" s="23" t="s">
        <v>2526</v>
      </c>
      <c r="F2675" s="20" t="s">
        <v>2527</v>
      </c>
      <c r="G2675" s="20" t="s">
        <v>165</v>
      </c>
      <c r="H2675" s="25" t="s">
        <v>3610</v>
      </c>
      <c r="I2675" s="24" t="s">
        <v>491</v>
      </c>
      <c r="J2675" s="26" t="s">
        <v>3611</v>
      </c>
      <c r="K2675" s="26" t="s">
        <v>3611</v>
      </c>
      <c r="L2675" s="48" t="s">
        <v>2530</v>
      </c>
      <c r="M2675" s="27">
        <v>45108</v>
      </c>
      <c r="N2675" s="227"/>
      <c r="O2675" s="50">
        <v>0</v>
      </c>
      <c r="P2675" s="50">
        <v>0</v>
      </c>
      <c r="Q2675" s="51">
        <f t="shared" si="64"/>
        <v>0</v>
      </c>
      <c r="R2675" s="31">
        <v>202310</v>
      </c>
      <c r="S2675" s="54" t="s">
        <v>3614</v>
      </c>
      <c r="T2675" s="33"/>
      <c r="U2675" s="32"/>
      <c r="V2675" s="32"/>
      <c r="W2675" s="228"/>
      <c r="X2675" s="35"/>
      <c r="Y2675" s="36"/>
      <c r="Z2675" s="36"/>
      <c r="AA2675" s="37"/>
      <c r="AB2675" s="38"/>
      <c r="AC2675" s="38"/>
      <c r="AD2675" s="38"/>
      <c r="AE2675" s="39"/>
      <c r="AF2675" s="40" t="s">
        <v>484</v>
      </c>
      <c r="AG2675" s="41"/>
      <c r="AH2675" s="42"/>
      <c r="AI2675" s="43"/>
      <c r="AJ2675" s="43"/>
      <c r="AK2675" s="43"/>
      <c r="AL2675" s="43"/>
      <c r="AM2675" s="43"/>
      <c r="AN2675" s="42"/>
      <c r="AO2675" s="42" t="s">
        <v>3615</v>
      </c>
      <c r="AP2675" s="42"/>
      <c r="AQ2675" s="42"/>
      <c r="AR2675" s="42"/>
      <c r="AS2675" s="42"/>
    </row>
    <row r="2676" spans="1:45" ht="15" customHeight="1">
      <c r="A2676" s="65" t="s">
        <v>57</v>
      </c>
      <c r="B2676" s="22" t="s">
        <v>83</v>
      </c>
      <c r="C2676" s="21" t="s">
        <v>58</v>
      </c>
      <c r="D2676" s="22" t="s">
        <v>85</v>
      </c>
      <c r="E2676" s="66" t="s">
        <v>3616</v>
      </c>
      <c r="F2676" s="65" t="s">
        <v>3617</v>
      </c>
      <c r="G2676" s="26" t="s">
        <v>114</v>
      </c>
      <c r="H2676" s="45" t="s">
        <v>3618</v>
      </c>
      <c r="I2676" s="26" t="s">
        <v>114</v>
      </c>
      <c r="J2676" s="32" t="s">
        <v>3619</v>
      </c>
      <c r="K2676" s="47"/>
      <c r="L2676" s="48"/>
      <c r="M2676" s="49">
        <v>45104</v>
      </c>
      <c r="N2676" s="20" t="s">
        <v>2509</v>
      </c>
      <c r="O2676" s="61">
        <v>19000</v>
      </c>
      <c r="P2676" s="51">
        <v>1</v>
      </c>
      <c r="Q2676" s="51">
        <f>ROUND(O2676*P2676,2)</f>
        <v>19000</v>
      </c>
      <c r="R2676" s="31">
        <v>202310</v>
      </c>
      <c r="S2676" s="32" t="s">
        <v>3620</v>
      </c>
      <c r="T2676" s="33"/>
      <c r="U2676" s="32"/>
      <c r="V2676" s="33"/>
      <c r="W2676" s="67"/>
      <c r="X2676" s="67"/>
      <c r="Y2676" s="36">
        <v>45104</v>
      </c>
      <c r="Z2676" s="36">
        <v>45469</v>
      </c>
      <c r="AA2676" s="36"/>
      <c r="AB2676" s="36"/>
      <c r="AC2676" s="36"/>
      <c r="AD2676" s="36"/>
      <c r="AE2676" s="36"/>
      <c r="AF2676" s="40" t="s">
        <v>56</v>
      </c>
      <c r="AG2676" s="42"/>
      <c r="AH2676" s="42"/>
      <c r="AI2676" s="43"/>
      <c r="AJ2676" s="43"/>
      <c r="AK2676" s="43"/>
      <c r="AL2676" s="43"/>
      <c r="AM2676" s="43"/>
      <c r="AN2676" s="42"/>
      <c r="AO2676" s="42"/>
      <c r="AP2676" s="42"/>
      <c r="AQ2676" s="43" t="s">
        <v>194</v>
      </c>
      <c r="AR2676" s="42"/>
      <c r="AS2676" s="42"/>
    </row>
    <row r="2677" spans="1:45" ht="15" customHeight="1">
      <c r="A2677" s="65" t="s">
        <v>57</v>
      </c>
      <c r="B2677" s="22" t="s">
        <v>83</v>
      </c>
      <c r="C2677" s="21" t="s">
        <v>58</v>
      </c>
      <c r="D2677" s="22" t="s">
        <v>85</v>
      </c>
      <c r="E2677" s="66" t="s">
        <v>3621</v>
      </c>
      <c r="F2677" s="65" t="s">
        <v>3622</v>
      </c>
      <c r="G2677" s="26" t="s">
        <v>114</v>
      </c>
      <c r="H2677" s="45" t="s">
        <v>3623</v>
      </c>
      <c r="I2677" s="26" t="s">
        <v>114</v>
      </c>
      <c r="J2677" s="32" t="s">
        <v>3624</v>
      </c>
      <c r="K2677" s="47"/>
      <c r="L2677" s="48"/>
      <c r="M2677" s="49">
        <v>45092</v>
      </c>
      <c r="N2677" s="20" t="s">
        <v>2509</v>
      </c>
      <c r="O2677" s="61">
        <v>9800</v>
      </c>
      <c r="P2677" s="51">
        <v>1</v>
      </c>
      <c r="Q2677" s="51">
        <f>ROUND(O2677*P2677,2)</f>
        <v>9800</v>
      </c>
      <c r="R2677" s="31">
        <v>202310</v>
      </c>
      <c r="S2677" s="32" t="s">
        <v>3625</v>
      </c>
      <c r="T2677" s="33" t="s">
        <v>3626</v>
      </c>
      <c r="U2677" s="32" t="s">
        <v>3627</v>
      </c>
      <c r="V2677" s="33"/>
      <c r="W2677" s="67"/>
      <c r="X2677" s="67"/>
      <c r="Y2677" s="36"/>
      <c r="Z2677" s="36"/>
      <c r="AA2677" s="36"/>
      <c r="AB2677" s="36"/>
      <c r="AC2677" s="36"/>
      <c r="AD2677" s="36"/>
      <c r="AE2677" s="36"/>
      <c r="AF2677" s="40" t="s">
        <v>56</v>
      </c>
      <c r="AG2677" s="42"/>
      <c r="AH2677" s="42"/>
      <c r="AI2677" s="43"/>
      <c r="AJ2677" s="43"/>
      <c r="AK2677" s="43"/>
      <c r="AL2677" s="43"/>
      <c r="AM2677" s="43"/>
      <c r="AN2677" s="42"/>
      <c r="AO2677" s="42"/>
      <c r="AP2677" s="42"/>
      <c r="AQ2677" s="43" t="s">
        <v>194</v>
      </c>
      <c r="AR2677" s="42"/>
      <c r="AS2677" s="42"/>
    </row>
    <row r="2678" spans="1:45" ht="15" customHeight="1">
      <c r="A2678" s="56" t="s">
        <v>45</v>
      </c>
      <c r="B2678" s="21" t="s">
        <v>46</v>
      </c>
      <c r="C2678" s="57" t="s">
        <v>188</v>
      </c>
      <c r="D2678" s="22" t="s">
        <v>48</v>
      </c>
      <c r="E2678" s="58" t="s">
        <v>2550</v>
      </c>
      <c r="F2678" s="56" t="s">
        <v>2551</v>
      </c>
      <c r="G2678" s="26" t="s">
        <v>62</v>
      </c>
      <c r="H2678" s="25" t="s">
        <v>3628</v>
      </c>
      <c r="I2678" s="24" t="s">
        <v>64</v>
      </c>
      <c r="J2678" s="56" t="s">
        <v>3629</v>
      </c>
      <c r="K2678" s="218"/>
      <c r="L2678" s="48"/>
      <c r="M2678" s="49">
        <v>45115</v>
      </c>
      <c r="N2678" s="49" t="s">
        <v>66</v>
      </c>
      <c r="O2678" s="60">
        <v>331</v>
      </c>
      <c r="P2678" s="61">
        <v>71.5</v>
      </c>
      <c r="Q2678" s="30">
        <f t="shared" ref="Q2678:Q2712" si="65">ROUND(O2678*P2678,2)</f>
        <v>23666.5</v>
      </c>
      <c r="R2678" s="31">
        <v>202310</v>
      </c>
      <c r="S2678" s="108" t="s">
        <v>3630</v>
      </c>
      <c r="T2678" s="33" t="s">
        <v>3631</v>
      </c>
      <c r="U2678" s="32"/>
      <c r="V2678" s="108"/>
      <c r="W2678" s="63"/>
      <c r="X2678" s="63"/>
      <c r="Y2678" s="36"/>
      <c r="Z2678" s="36"/>
      <c r="AA2678" s="36"/>
      <c r="AB2678" s="36"/>
      <c r="AC2678" s="36"/>
      <c r="AD2678" s="36"/>
      <c r="AE2678" s="36"/>
      <c r="AF2678" s="53" t="s">
        <v>68</v>
      </c>
      <c r="AG2678" s="42"/>
      <c r="AH2678" s="42"/>
      <c r="AI2678" s="43"/>
      <c r="AJ2678" s="43"/>
      <c r="AK2678" s="43"/>
      <c r="AL2678" s="43"/>
      <c r="AM2678" s="43"/>
      <c r="AN2678" s="42"/>
      <c r="AO2678" s="42"/>
      <c r="AP2678" s="42"/>
      <c r="AQ2678" s="43"/>
      <c r="AR2678" s="42"/>
      <c r="AS2678" s="42"/>
    </row>
    <row r="2679" spans="1:45" ht="15" customHeight="1">
      <c r="A2679" s="56" t="s">
        <v>45</v>
      </c>
      <c r="B2679" s="21" t="s">
        <v>46</v>
      </c>
      <c r="C2679" s="57" t="s">
        <v>188</v>
      </c>
      <c r="D2679" s="22" t="s">
        <v>48</v>
      </c>
      <c r="E2679" s="58" t="s">
        <v>2550</v>
      </c>
      <c r="F2679" s="56" t="s">
        <v>2551</v>
      </c>
      <c r="G2679" s="26" t="s">
        <v>62</v>
      </c>
      <c r="H2679" s="25" t="s">
        <v>3628</v>
      </c>
      <c r="I2679" s="24" t="s">
        <v>64</v>
      </c>
      <c r="J2679" s="56" t="s">
        <v>3632</v>
      </c>
      <c r="K2679" s="218"/>
      <c r="L2679" s="48"/>
      <c r="M2679" s="49">
        <v>45102</v>
      </c>
      <c r="N2679" s="49" t="s">
        <v>66</v>
      </c>
      <c r="O2679" s="60">
        <v>331</v>
      </c>
      <c r="P2679" s="61">
        <v>64</v>
      </c>
      <c r="Q2679" s="51">
        <f t="shared" si="65"/>
        <v>21184</v>
      </c>
      <c r="R2679" s="31">
        <v>202310</v>
      </c>
      <c r="S2679" s="108" t="s">
        <v>3633</v>
      </c>
      <c r="T2679" s="33" t="s">
        <v>3631</v>
      </c>
      <c r="U2679" s="32"/>
      <c r="V2679" s="108"/>
      <c r="W2679" s="63"/>
      <c r="X2679" s="63"/>
      <c r="Y2679" s="36"/>
      <c r="Z2679" s="36"/>
      <c r="AA2679" s="36"/>
      <c r="AB2679" s="36"/>
      <c r="AC2679" s="36"/>
      <c r="AD2679" s="36"/>
      <c r="AE2679" s="36"/>
      <c r="AF2679" s="53" t="s">
        <v>68</v>
      </c>
      <c r="AG2679" s="42"/>
      <c r="AH2679" s="42"/>
      <c r="AI2679" s="43"/>
      <c r="AJ2679" s="43"/>
      <c r="AK2679" s="43"/>
      <c r="AL2679" s="43"/>
      <c r="AM2679" s="43"/>
      <c r="AN2679" s="42"/>
      <c r="AO2679" s="42"/>
      <c r="AP2679" s="42"/>
      <c r="AQ2679" s="43"/>
      <c r="AR2679" s="42"/>
      <c r="AS2679" s="42"/>
    </row>
    <row r="2680" spans="1:45" ht="15" customHeight="1">
      <c r="A2680" s="56" t="s">
        <v>45</v>
      </c>
      <c r="B2680" s="21" t="s">
        <v>46</v>
      </c>
      <c r="C2680" s="57" t="s">
        <v>188</v>
      </c>
      <c r="D2680" s="22" t="s">
        <v>48</v>
      </c>
      <c r="E2680" s="58" t="s">
        <v>2550</v>
      </c>
      <c r="F2680" s="56" t="s">
        <v>2551</v>
      </c>
      <c r="G2680" s="26" t="s">
        <v>62</v>
      </c>
      <c r="H2680" s="25" t="s">
        <v>3628</v>
      </c>
      <c r="I2680" s="24" t="s">
        <v>64</v>
      </c>
      <c r="J2680" s="56" t="s">
        <v>3634</v>
      </c>
      <c r="K2680" s="218"/>
      <c r="L2680" s="48"/>
      <c r="M2680" s="49">
        <v>45114</v>
      </c>
      <c r="N2680" s="49" t="s">
        <v>66</v>
      </c>
      <c r="O2680" s="60">
        <v>331</v>
      </c>
      <c r="P2680" s="61">
        <v>34</v>
      </c>
      <c r="Q2680" s="30">
        <f t="shared" si="65"/>
        <v>11254</v>
      </c>
      <c r="R2680" s="31">
        <v>202310</v>
      </c>
      <c r="S2680" s="108" t="s">
        <v>3635</v>
      </c>
      <c r="T2680" s="33" t="s">
        <v>3631</v>
      </c>
      <c r="U2680" s="32"/>
      <c r="V2680" s="108"/>
      <c r="W2680" s="63"/>
      <c r="X2680" s="63"/>
      <c r="Y2680" s="36"/>
      <c r="Z2680" s="36"/>
      <c r="AA2680" s="36"/>
      <c r="AB2680" s="36"/>
      <c r="AC2680" s="36"/>
      <c r="AD2680" s="36"/>
      <c r="AE2680" s="36"/>
      <c r="AF2680" s="53" t="s">
        <v>68</v>
      </c>
      <c r="AG2680" s="42"/>
      <c r="AH2680" s="42"/>
      <c r="AI2680" s="43"/>
      <c r="AJ2680" s="43"/>
      <c r="AK2680" s="43"/>
      <c r="AL2680" s="43"/>
      <c r="AM2680" s="43"/>
      <c r="AN2680" s="42"/>
      <c r="AO2680" s="42"/>
      <c r="AP2680" s="42"/>
      <c r="AQ2680" s="43"/>
      <c r="AR2680" s="42"/>
      <c r="AS2680" s="42"/>
    </row>
    <row r="2681" spans="1:45" ht="15" customHeight="1">
      <c r="A2681" s="56" t="s">
        <v>45</v>
      </c>
      <c r="B2681" s="21" t="s">
        <v>46</v>
      </c>
      <c r="C2681" s="57" t="s">
        <v>188</v>
      </c>
      <c r="D2681" s="22" t="s">
        <v>48</v>
      </c>
      <c r="E2681" s="58" t="s">
        <v>2550</v>
      </c>
      <c r="F2681" s="56" t="s">
        <v>2551</v>
      </c>
      <c r="G2681" s="26" t="s">
        <v>62</v>
      </c>
      <c r="H2681" s="25" t="s">
        <v>3628</v>
      </c>
      <c r="I2681" s="24" t="s">
        <v>64</v>
      </c>
      <c r="J2681" s="56" t="s">
        <v>3636</v>
      </c>
      <c r="K2681" s="218"/>
      <c r="L2681" s="48"/>
      <c r="M2681" s="49">
        <v>45105</v>
      </c>
      <c r="N2681" s="49" t="s">
        <v>66</v>
      </c>
      <c r="O2681" s="60">
        <v>331</v>
      </c>
      <c r="P2681" s="61">
        <v>12</v>
      </c>
      <c r="Q2681" s="51">
        <f t="shared" si="65"/>
        <v>3972</v>
      </c>
      <c r="R2681" s="31">
        <v>202310</v>
      </c>
      <c r="S2681" s="108" t="s">
        <v>3637</v>
      </c>
      <c r="T2681" s="33" t="s">
        <v>3631</v>
      </c>
      <c r="U2681" s="32"/>
      <c r="V2681" s="108"/>
      <c r="W2681" s="63"/>
      <c r="X2681" s="63"/>
      <c r="Y2681" s="36"/>
      <c r="Z2681" s="36"/>
      <c r="AA2681" s="36"/>
      <c r="AB2681" s="36"/>
      <c r="AC2681" s="36"/>
      <c r="AD2681" s="36"/>
      <c r="AE2681" s="36"/>
      <c r="AF2681" s="53" t="s">
        <v>68</v>
      </c>
      <c r="AG2681" s="42"/>
      <c r="AH2681" s="42"/>
      <c r="AI2681" s="43"/>
      <c r="AJ2681" s="43"/>
      <c r="AK2681" s="43"/>
      <c r="AL2681" s="43"/>
      <c r="AM2681" s="43"/>
      <c r="AN2681" s="42"/>
      <c r="AO2681" s="42"/>
      <c r="AP2681" s="42"/>
      <c r="AQ2681" s="43"/>
      <c r="AR2681" s="42"/>
      <c r="AS2681" s="42"/>
    </row>
    <row r="2682" spans="1:45" ht="15" customHeight="1">
      <c r="A2682" s="56" t="s">
        <v>45</v>
      </c>
      <c r="B2682" s="21" t="s">
        <v>46</v>
      </c>
      <c r="C2682" s="57" t="s">
        <v>188</v>
      </c>
      <c r="D2682" s="22" t="s">
        <v>48</v>
      </c>
      <c r="E2682" s="58" t="s">
        <v>2550</v>
      </c>
      <c r="F2682" s="56" t="s">
        <v>2551</v>
      </c>
      <c r="G2682" s="26" t="s">
        <v>62</v>
      </c>
      <c r="H2682" s="25" t="s">
        <v>3628</v>
      </c>
      <c r="I2682" s="24" t="s">
        <v>64</v>
      </c>
      <c r="J2682" s="56" t="s">
        <v>3638</v>
      </c>
      <c r="K2682" s="218"/>
      <c r="L2682" s="48"/>
      <c r="M2682" s="49">
        <v>45105</v>
      </c>
      <c r="N2682" s="49" t="s">
        <v>66</v>
      </c>
      <c r="O2682" s="60">
        <v>331</v>
      </c>
      <c r="P2682" s="61">
        <v>30.6</v>
      </c>
      <c r="Q2682" s="51">
        <f t="shared" si="65"/>
        <v>10128.6</v>
      </c>
      <c r="R2682" s="31">
        <v>202310</v>
      </c>
      <c r="S2682" s="108" t="s">
        <v>3639</v>
      </c>
      <c r="T2682" s="33" t="s">
        <v>3631</v>
      </c>
      <c r="U2682" s="32"/>
      <c r="V2682" s="108"/>
      <c r="W2682" s="63"/>
      <c r="X2682" s="63"/>
      <c r="Y2682" s="36"/>
      <c r="Z2682" s="36"/>
      <c r="AA2682" s="36"/>
      <c r="AB2682" s="36"/>
      <c r="AC2682" s="36"/>
      <c r="AD2682" s="36"/>
      <c r="AE2682" s="36"/>
      <c r="AF2682" s="53" t="s">
        <v>68</v>
      </c>
      <c r="AG2682" s="42"/>
      <c r="AH2682" s="42"/>
      <c r="AI2682" s="43"/>
      <c r="AJ2682" s="43"/>
      <c r="AK2682" s="43"/>
      <c r="AL2682" s="43"/>
      <c r="AM2682" s="43"/>
      <c r="AN2682" s="42"/>
      <c r="AO2682" s="42"/>
      <c r="AP2682" s="42"/>
      <c r="AQ2682" s="43"/>
      <c r="AR2682" s="42"/>
      <c r="AS2682" s="42"/>
    </row>
    <row r="2683" spans="1:45" ht="15" customHeight="1">
      <c r="A2683" s="56" t="s">
        <v>45</v>
      </c>
      <c r="B2683" s="21" t="s">
        <v>46</v>
      </c>
      <c r="C2683" s="57" t="s">
        <v>188</v>
      </c>
      <c r="D2683" s="22" t="s">
        <v>48</v>
      </c>
      <c r="E2683" s="58" t="s">
        <v>2550</v>
      </c>
      <c r="F2683" s="56" t="s">
        <v>2551</v>
      </c>
      <c r="G2683" s="26" t="s">
        <v>62</v>
      </c>
      <c r="H2683" s="25" t="s">
        <v>3628</v>
      </c>
      <c r="I2683" s="24" t="s">
        <v>64</v>
      </c>
      <c r="J2683" s="56" t="s">
        <v>3640</v>
      </c>
      <c r="K2683" s="218"/>
      <c r="L2683" s="48"/>
      <c r="M2683" s="49">
        <v>45105</v>
      </c>
      <c r="N2683" s="49" t="s">
        <v>66</v>
      </c>
      <c r="O2683" s="60">
        <v>331</v>
      </c>
      <c r="P2683" s="61">
        <v>9.6999999999999993</v>
      </c>
      <c r="Q2683" s="51">
        <f t="shared" si="65"/>
        <v>3210.7</v>
      </c>
      <c r="R2683" s="31">
        <v>202310</v>
      </c>
      <c r="S2683" s="108" t="s">
        <v>3641</v>
      </c>
      <c r="T2683" s="33" t="s">
        <v>3631</v>
      </c>
      <c r="U2683" s="32"/>
      <c r="V2683" s="108"/>
      <c r="W2683" s="63"/>
      <c r="X2683" s="63"/>
      <c r="Y2683" s="36"/>
      <c r="Z2683" s="36"/>
      <c r="AA2683" s="36"/>
      <c r="AB2683" s="36"/>
      <c r="AC2683" s="36"/>
      <c r="AD2683" s="36"/>
      <c r="AE2683" s="36"/>
      <c r="AF2683" s="53" t="s">
        <v>68</v>
      </c>
      <c r="AG2683" s="42"/>
      <c r="AH2683" s="42"/>
      <c r="AI2683" s="43"/>
      <c r="AJ2683" s="43"/>
      <c r="AK2683" s="43"/>
      <c r="AL2683" s="43"/>
      <c r="AM2683" s="43"/>
      <c r="AN2683" s="42"/>
      <c r="AO2683" s="42"/>
      <c r="AP2683" s="42"/>
      <c r="AQ2683" s="43"/>
      <c r="AR2683" s="42"/>
      <c r="AS2683" s="42"/>
    </row>
    <row r="2684" spans="1:45" ht="15" customHeight="1">
      <c r="A2684" s="56" t="s">
        <v>45</v>
      </c>
      <c r="B2684" s="21" t="s">
        <v>46</v>
      </c>
      <c r="C2684" s="57" t="s">
        <v>188</v>
      </c>
      <c r="D2684" s="22" t="s">
        <v>48</v>
      </c>
      <c r="E2684" s="58" t="s">
        <v>2550</v>
      </c>
      <c r="F2684" s="56" t="s">
        <v>2551</v>
      </c>
      <c r="G2684" s="26" t="s">
        <v>62</v>
      </c>
      <c r="H2684" s="25" t="s">
        <v>3628</v>
      </c>
      <c r="I2684" s="24" t="s">
        <v>64</v>
      </c>
      <c r="J2684" s="56" t="s">
        <v>3642</v>
      </c>
      <c r="K2684" s="218"/>
      <c r="L2684" s="48"/>
      <c r="M2684" s="49">
        <v>45114</v>
      </c>
      <c r="N2684" s="49" t="s">
        <v>66</v>
      </c>
      <c r="O2684" s="60">
        <v>331</v>
      </c>
      <c r="P2684" s="61">
        <v>165.9</v>
      </c>
      <c r="Q2684" s="30">
        <f t="shared" si="65"/>
        <v>54912.9</v>
      </c>
      <c r="R2684" s="31">
        <v>202310</v>
      </c>
      <c r="S2684" s="108" t="s">
        <v>3643</v>
      </c>
      <c r="T2684" s="33" t="s">
        <v>3631</v>
      </c>
      <c r="U2684" s="32"/>
      <c r="V2684" s="108"/>
      <c r="W2684" s="63"/>
      <c r="X2684" s="63"/>
      <c r="Y2684" s="36"/>
      <c r="Z2684" s="36"/>
      <c r="AA2684" s="36"/>
      <c r="AB2684" s="36"/>
      <c r="AC2684" s="36"/>
      <c r="AD2684" s="36"/>
      <c r="AE2684" s="36"/>
      <c r="AF2684" s="53" t="s">
        <v>68</v>
      </c>
      <c r="AG2684" s="42"/>
      <c r="AH2684" s="42"/>
      <c r="AI2684" s="43"/>
      <c r="AJ2684" s="43"/>
      <c r="AK2684" s="43"/>
      <c r="AL2684" s="43"/>
      <c r="AM2684" s="43"/>
      <c r="AN2684" s="42"/>
      <c r="AO2684" s="42"/>
      <c r="AP2684" s="42"/>
      <c r="AQ2684" s="43"/>
      <c r="AR2684" s="42"/>
      <c r="AS2684" s="42"/>
    </row>
    <row r="2685" spans="1:45" ht="15" customHeight="1">
      <c r="A2685" s="56" t="s">
        <v>45</v>
      </c>
      <c r="B2685" s="21" t="s">
        <v>46</v>
      </c>
      <c r="C2685" s="57" t="s">
        <v>188</v>
      </c>
      <c r="D2685" s="22" t="s">
        <v>48</v>
      </c>
      <c r="E2685" s="58" t="s">
        <v>2550</v>
      </c>
      <c r="F2685" s="56" t="s">
        <v>2551</v>
      </c>
      <c r="G2685" s="26" t="s">
        <v>3644</v>
      </c>
      <c r="H2685" s="25" t="s">
        <v>3628</v>
      </c>
      <c r="I2685" s="24" t="s">
        <v>3645</v>
      </c>
      <c r="J2685" s="56" t="s">
        <v>3646</v>
      </c>
      <c r="K2685" s="218"/>
      <c r="L2685" s="48" t="s">
        <v>3647</v>
      </c>
      <c r="M2685" s="49">
        <v>45114</v>
      </c>
      <c r="N2685" s="49"/>
      <c r="O2685" s="60">
        <v>3999</v>
      </c>
      <c r="P2685" s="61">
        <v>1</v>
      </c>
      <c r="Q2685" s="30">
        <f t="shared" si="65"/>
        <v>3999</v>
      </c>
      <c r="R2685" s="31">
        <v>202310</v>
      </c>
      <c r="S2685" s="114" t="s">
        <v>3648</v>
      </c>
      <c r="T2685" s="33"/>
      <c r="U2685" s="32"/>
      <c r="V2685" s="108"/>
      <c r="W2685" s="63"/>
      <c r="X2685" s="63"/>
      <c r="Y2685" s="36"/>
      <c r="Z2685" s="36"/>
      <c r="AA2685" s="36"/>
      <c r="AB2685" s="36"/>
      <c r="AC2685" s="36"/>
      <c r="AD2685" s="36"/>
      <c r="AE2685" s="36"/>
      <c r="AF2685" s="53" t="s">
        <v>68</v>
      </c>
      <c r="AG2685" s="42"/>
      <c r="AH2685" s="42"/>
      <c r="AI2685" s="43"/>
      <c r="AJ2685" s="43"/>
      <c r="AK2685" s="43"/>
      <c r="AL2685" s="43"/>
      <c r="AM2685" s="43"/>
      <c r="AN2685" s="42"/>
      <c r="AO2685" s="42"/>
      <c r="AP2685" s="42"/>
      <c r="AQ2685" s="43"/>
      <c r="AR2685" s="42"/>
      <c r="AS2685" s="42"/>
    </row>
    <row r="2686" spans="1:45" ht="15" customHeight="1">
      <c r="A2686" s="56" t="s">
        <v>45</v>
      </c>
      <c r="B2686" s="21" t="s">
        <v>46</v>
      </c>
      <c r="C2686" s="57" t="s">
        <v>188</v>
      </c>
      <c r="D2686" s="22" t="s">
        <v>48</v>
      </c>
      <c r="E2686" s="58" t="s">
        <v>2550</v>
      </c>
      <c r="F2686" s="56" t="s">
        <v>2551</v>
      </c>
      <c r="G2686" s="26" t="s">
        <v>62</v>
      </c>
      <c r="H2686" s="25" t="s">
        <v>3628</v>
      </c>
      <c r="I2686" s="24" t="s">
        <v>64</v>
      </c>
      <c r="J2686" s="56" t="s">
        <v>3649</v>
      </c>
      <c r="K2686" s="218"/>
      <c r="L2686" s="48"/>
      <c r="M2686" s="49">
        <v>45115</v>
      </c>
      <c r="N2686" s="49" t="s">
        <v>66</v>
      </c>
      <c r="O2686" s="60">
        <v>331</v>
      </c>
      <c r="P2686" s="61">
        <v>158.4</v>
      </c>
      <c r="Q2686" s="30">
        <f t="shared" si="65"/>
        <v>52430.400000000001</v>
      </c>
      <c r="R2686" s="31">
        <v>202310</v>
      </c>
      <c r="S2686" s="108" t="s">
        <v>3650</v>
      </c>
      <c r="T2686" s="33" t="s">
        <v>3631</v>
      </c>
      <c r="U2686" s="32"/>
      <c r="V2686" s="108"/>
      <c r="W2686" s="63"/>
      <c r="X2686" s="63"/>
      <c r="Y2686" s="36"/>
      <c r="Z2686" s="36"/>
      <c r="AA2686" s="36"/>
      <c r="AB2686" s="36"/>
      <c r="AC2686" s="36"/>
      <c r="AD2686" s="36"/>
      <c r="AE2686" s="36"/>
      <c r="AF2686" s="53" t="s">
        <v>68</v>
      </c>
      <c r="AG2686" s="42"/>
      <c r="AH2686" s="42"/>
      <c r="AI2686" s="43"/>
      <c r="AJ2686" s="43"/>
      <c r="AK2686" s="43"/>
      <c r="AL2686" s="43"/>
      <c r="AM2686" s="43"/>
      <c r="AN2686" s="42"/>
      <c r="AO2686" s="42"/>
      <c r="AP2686" s="42"/>
      <c r="AQ2686" s="43"/>
      <c r="AR2686" s="42"/>
      <c r="AS2686" s="42"/>
    </row>
    <row r="2687" spans="1:45" ht="15" customHeight="1">
      <c r="A2687" s="56" t="s">
        <v>45</v>
      </c>
      <c r="B2687" s="21" t="s">
        <v>46</v>
      </c>
      <c r="C2687" s="57" t="s">
        <v>188</v>
      </c>
      <c r="D2687" s="22" t="s">
        <v>48</v>
      </c>
      <c r="E2687" s="58" t="s">
        <v>2550</v>
      </c>
      <c r="F2687" s="56" t="s">
        <v>2551</v>
      </c>
      <c r="G2687" s="26" t="s">
        <v>3644</v>
      </c>
      <c r="H2687" s="25" t="s">
        <v>3628</v>
      </c>
      <c r="I2687" s="24" t="s">
        <v>3645</v>
      </c>
      <c r="J2687" s="56" t="s">
        <v>3651</v>
      </c>
      <c r="K2687" s="218"/>
      <c r="L2687" s="48" t="s">
        <v>3652</v>
      </c>
      <c r="M2687" s="49">
        <v>45115</v>
      </c>
      <c r="N2687" s="49"/>
      <c r="O2687" s="60">
        <v>3999</v>
      </c>
      <c r="P2687" s="61">
        <v>1</v>
      </c>
      <c r="Q2687" s="30">
        <f t="shared" si="65"/>
        <v>3999</v>
      </c>
      <c r="R2687" s="31">
        <v>202310</v>
      </c>
      <c r="S2687" s="114" t="s">
        <v>3653</v>
      </c>
      <c r="T2687" s="33"/>
      <c r="U2687" s="32"/>
      <c r="V2687" s="108"/>
      <c r="W2687" s="63"/>
      <c r="X2687" s="63"/>
      <c r="Y2687" s="36"/>
      <c r="Z2687" s="36"/>
      <c r="AA2687" s="36"/>
      <c r="AB2687" s="36"/>
      <c r="AC2687" s="36"/>
      <c r="AD2687" s="36"/>
      <c r="AE2687" s="36"/>
      <c r="AF2687" s="53" t="s">
        <v>68</v>
      </c>
      <c r="AG2687" s="42"/>
      <c r="AH2687" s="42"/>
      <c r="AI2687" s="43"/>
      <c r="AJ2687" s="43"/>
      <c r="AK2687" s="43"/>
      <c r="AL2687" s="43"/>
      <c r="AM2687" s="43"/>
      <c r="AN2687" s="42"/>
      <c r="AO2687" s="42"/>
      <c r="AP2687" s="42"/>
      <c r="AQ2687" s="43"/>
      <c r="AR2687" s="42"/>
      <c r="AS2687" s="42"/>
    </row>
    <row r="2688" spans="1:45" ht="15" customHeight="1">
      <c r="A2688" s="56" t="s">
        <v>45</v>
      </c>
      <c r="B2688" s="21" t="s">
        <v>46</v>
      </c>
      <c r="C2688" s="57" t="s">
        <v>188</v>
      </c>
      <c r="D2688" s="22" t="s">
        <v>48</v>
      </c>
      <c r="E2688" s="58" t="s">
        <v>2550</v>
      </c>
      <c r="F2688" s="56" t="s">
        <v>2551</v>
      </c>
      <c r="G2688" s="26" t="s">
        <v>62</v>
      </c>
      <c r="H2688" s="25" t="s">
        <v>3628</v>
      </c>
      <c r="I2688" s="24" t="s">
        <v>64</v>
      </c>
      <c r="J2688" s="56" t="s">
        <v>3654</v>
      </c>
      <c r="K2688" s="218"/>
      <c r="L2688" s="48"/>
      <c r="M2688" s="49">
        <v>45113</v>
      </c>
      <c r="N2688" s="49" t="s">
        <v>66</v>
      </c>
      <c r="O2688" s="60">
        <v>331</v>
      </c>
      <c r="P2688" s="61">
        <v>161.80000000000001</v>
      </c>
      <c r="Q2688" s="30">
        <f t="shared" si="65"/>
        <v>53555.8</v>
      </c>
      <c r="R2688" s="31">
        <v>202310</v>
      </c>
      <c r="S2688" s="108" t="s">
        <v>3655</v>
      </c>
      <c r="T2688" s="33" t="s">
        <v>3631</v>
      </c>
      <c r="U2688" s="32"/>
      <c r="V2688" s="108"/>
      <c r="W2688" s="63"/>
      <c r="X2688" s="63"/>
      <c r="Y2688" s="36"/>
      <c r="Z2688" s="36"/>
      <c r="AA2688" s="36"/>
      <c r="AB2688" s="36"/>
      <c r="AC2688" s="36"/>
      <c r="AD2688" s="36"/>
      <c r="AE2688" s="36"/>
      <c r="AF2688" s="53" t="s">
        <v>68</v>
      </c>
      <c r="AG2688" s="42"/>
      <c r="AH2688" s="42"/>
      <c r="AI2688" s="43"/>
      <c r="AJ2688" s="43"/>
      <c r="AK2688" s="43"/>
      <c r="AL2688" s="43"/>
      <c r="AM2688" s="43"/>
      <c r="AN2688" s="42"/>
      <c r="AO2688" s="42"/>
      <c r="AP2688" s="42"/>
      <c r="AQ2688" s="43"/>
      <c r="AR2688" s="42"/>
      <c r="AS2688" s="42"/>
    </row>
    <row r="2689" spans="1:45" ht="15" customHeight="1">
      <c r="A2689" s="56" t="s">
        <v>45</v>
      </c>
      <c r="B2689" s="21" t="s">
        <v>46</v>
      </c>
      <c r="C2689" s="57" t="s">
        <v>188</v>
      </c>
      <c r="D2689" s="22" t="s">
        <v>48</v>
      </c>
      <c r="E2689" s="58" t="s">
        <v>2550</v>
      </c>
      <c r="F2689" s="56" t="s">
        <v>2551</v>
      </c>
      <c r="G2689" s="26" t="s">
        <v>3644</v>
      </c>
      <c r="H2689" s="25" t="s">
        <v>3628</v>
      </c>
      <c r="I2689" s="24" t="s">
        <v>3645</v>
      </c>
      <c r="J2689" s="56" t="s">
        <v>3656</v>
      </c>
      <c r="K2689" s="218"/>
      <c r="L2689" s="48" t="s">
        <v>3657</v>
      </c>
      <c r="M2689" s="49">
        <v>45113</v>
      </c>
      <c r="N2689" s="49"/>
      <c r="O2689" s="60">
        <v>3999</v>
      </c>
      <c r="P2689" s="61">
        <v>1</v>
      </c>
      <c r="Q2689" s="30">
        <f t="shared" si="65"/>
        <v>3999</v>
      </c>
      <c r="R2689" s="31">
        <v>202310</v>
      </c>
      <c r="S2689" s="108" t="s">
        <v>3658</v>
      </c>
      <c r="T2689" s="33"/>
      <c r="U2689" s="32"/>
      <c r="V2689" s="108"/>
      <c r="W2689" s="63"/>
      <c r="X2689" s="63"/>
      <c r="Y2689" s="36"/>
      <c r="Z2689" s="36"/>
      <c r="AA2689" s="36"/>
      <c r="AB2689" s="36"/>
      <c r="AC2689" s="36"/>
      <c r="AD2689" s="36"/>
      <c r="AE2689" s="36"/>
      <c r="AF2689" s="53" t="s">
        <v>68</v>
      </c>
      <c r="AG2689" s="42"/>
      <c r="AH2689" s="42"/>
      <c r="AI2689" s="43"/>
      <c r="AJ2689" s="43"/>
      <c r="AK2689" s="43"/>
      <c r="AL2689" s="43"/>
      <c r="AM2689" s="43"/>
      <c r="AN2689" s="42"/>
      <c r="AO2689" s="42"/>
      <c r="AP2689" s="42"/>
      <c r="AQ2689" s="43"/>
      <c r="AR2689" s="42"/>
      <c r="AS2689" s="42"/>
    </row>
    <row r="2690" spans="1:45" ht="15" customHeight="1">
      <c r="A2690" s="65" t="s">
        <v>57</v>
      </c>
      <c r="B2690" s="21" t="s">
        <v>46</v>
      </c>
      <c r="C2690" s="21" t="s">
        <v>188</v>
      </c>
      <c r="D2690" s="22" t="s">
        <v>59</v>
      </c>
      <c r="E2690" s="66" t="s">
        <v>372</v>
      </c>
      <c r="F2690" s="65" t="s">
        <v>373</v>
      </c>
      <c r="G2690" s="26" t="s">
        <v>77</v>
      </c>
      <c r="H2690" s="45" t="s">
        <v>3659</v>
      </c>
      <c r="I2690" s="26" t="s">
        <v>78</v>
      </c>
      <c r="J2690" s="46" t="s">
        <v>3660</v>
      </c>
      <c r="K2690" s="47"/>
      <c r="L2690" s="48" t="s">
        <v>376</v>
      </c>
      <c r="M2690" s="49">
        <v>45109</v>
      </c>
      <c r="N2690" s="47" t="s">
        <v>382</v>
      </c>
      <c r="O2690" s="61">
        <v>0</v>
      </c>
      <c r="P2690" s="61">
        <v>12</v>
      </c>
      <c r="Q2690" s="30">
        <f t="shared" si="65"/>
        <v>0</v>
      </c>
      <c r="R2690" s="31">
        <v>202310</v>
      </c>
      <c r="S2690" s="32" t="s">
        <v>3661</v>
      </c>
      <c r="T2690" s="42"/>
      <c r="U2690" s="70"/>
      <c r="V2690" s="42"/>
      <c r="W2690" s="226"/>
      <c r="X2690" s="42"/>
      <c r="Y2690" s="36"/>
      <c r="Z2690" s="36"/>
      <c r="AA2690" s="37"/>
      <c r="AB2690" s="38"/>
      <c r="AC2690" s="38"/>
      <c r="AD2690" s="38"/>
      <c r="AE2690" s="40"/>
      <c r="AF2690" s="53" t="s">
        <v>68</v>
      </c>
      <c r="AG2690" s="40"/>
      <c r="AH2690" s="42"/>
      <c r="AI2690" s="42"/>
      <c r="AJ2690" s="43"/>
      <c r="AK2690" s="43"/>
      <c r="AL2690" s="43"/>
      <c r="AM2690" s="43"/>
      <c r="AN2690" s="42"/>
      <c r="AO2690" s="42"/>
      <c r="AP2690" s="42"/>
      <c r="AQ2690" s="42"/>
      <c r="AR2690" s="42"/>
      <c r="AS2690" s="42"/>
    </row>
    <row r="2691" spans="1:45" ht="15" customHeight="1">
      <c r="A2691" s="65" t="s">
        <v>57</v>
      </c>
      <c r="B2691" s="21" t="s">
        <v>46</v>
      </c>
      <c r="C2691" s="21" t="s">
        <v>188</v>
      </c>
      <c r="D2691" s="22" t="s">
        <v>59</v>
      </c>
      <c r="E2691" s="66" t="s">
        <v>372</v>
      </c>
      <c r="F2691" s="65" t="s">
        <v>373</v>
      </c>
      <c r="G2691" s="26" t="s">
        <v>77</v>
      </c>
      <c r="H2691" s="45" t="s">
        <v>3659</v>
      </c>
      <c r="I2691" s="26" t="s">
        <v>78</v>
      </c>
      <c r="J2691" s="46" t="s">
        <v>3660</v>
      </c>
      <c r="K2691" s="47"/>
      <c r="L2691" s="48" t="s">
        <v>376</v>
      </c>
      <c r="M2691" s="49">
        <v>45109</v>
      </c>
      <c r="N2691" s="47" t="s">
        <v>177</v>
      </c>
      <c r="O2691" s="61">
        <v>2024</v>
      </c>
      <c r="P2691" s="61">
        <v>5</v>
      </c>
      <c r="Q2691" s="30">
        <f t="shared" si="65"/>
        <v>10120</v>
      </c>
      <c r="R2691" s="31">
        <v>202310</v>
      </c>
      <c r="S2691" s="32" t="s">
        <v>3662</v>
      </c>
      <c r="T2691" s="42"/>
      <c r="U2691" s="70"/>
      <c r="V2691" s="42"/>
      <c r="W2691" s="226"/>
      <c r="X2691" s="42"/>
      <c r="Y2691" s="36"/>
      <c r="Z2691" s="36"/>
      <c r="AA2691" s="37"/>
      <c r="AB2691" s="38"/>
      <c r="AC2691" s="38"/>
      <c r="AD2691" s="38"/>
      <c r="AE2691" s="40"/>
      <c r="AF2691" s="53" t="s">
        <v>68</v>
      </c>
      <c r="AG2691" s="40"/>
      <c r="AH2691" s="42"/>
      <c r="AI2691" s="42"/>
      <c r="AJ2691" s="43"/>
      <c r="AK2691" s="43"/>
      <c r="AL2691" s="43"/>
      <c r="AM2691" s="43"/>
      <c r="AN2691" s="42"/>
      <c r="AO2691" s="42"/>
      <c r="AP2691" s="42"/>
      <c r="AQ2691" s="42"/>
      <c r="AR2691" s="42"/>
      <c r="AS2691" s="42"/>
    </row>
    <row r="2692" spans="1:45" ht="15" customHeight="1">
      <c r="A2692" s="65" t="s">
        <v>57</v>
      </c>
      <c r="B2692" s="21" t="s">
        <v>46</v>
      </c>
      <c r="C2692" s="21" t="s">
        <v>188</v>
      </c>
      <c r="D2692" s="22" t="s">
        <v>59</v>
      </c>
      <c r="E2692" s="66" t="s">
        <v>372</v>
      </c>
      <c r="F2692" s="65" t="s">
        <v>373</v>
      </c>
      <c r="G2692" s="26" t="s">
        <v>77</v>
      </c>
      <c r="H2692" s="45" t="s">
        <v>3659</v>
      </c>
      <c r="I2692" s="26" t="s">
        <v>78</v>
      </c>
      <c r="J2692" s="46" t="s">
        <v>3660</v>
      </c>
      <c r="K2692" s="47"/>
      <c r="L2692" s="48" t="s">
        <v>376</v>
      </c>
      <c r="M2692" s="49">
        <v>45109</v>
      </c>
      <c r="N2692" s="47" t="s">
        <v>182</v>
      </c>
      <c r="O2692" s="61">
        <v>4048</v>
      </c>
      <c r="P2692" s="61">
        <v>120</v>
      </c>
      <c r="Q2692" s="30">
        <f t="shared" si="65"/>
        <v>485760</v>
      </c>
      <c r="R2692" s="31">
        <v>202310</v>
      </c>
      <c r="S2692" s="79" t="s">
        <v>3663</v>
      </c>
      <c r="T2692" s="33"/>
      <c r="U2692" s="32"/>
      <c r="V2692" s="33"/>
      <c r="W2692" s="67"/>
      <c r="X2692" s="67"/>
      <c r="Y2692" s="36"/>
      <c r="Z2692" s="36"/>
      <c r="AA2692" s="36"/>
      <c r="AB2692" s="36"/>
      <c r="AC2692" s="36"/>
      <c r="AD2692" s="36"/>
      <c r="AE2692" s="36"/>
      <c r="AF2692" s="53" t="s">
        <v>68</v>
      </c>
      <c r="AG2692" s="42"/>
      <c r="AH2692" s="42"/>
      <c r="AI2692" s="43"/>
      <c r="AJ2692" s="43"/>
      <c r="AK2692" s="43"/>
      <c r="AL2692" s="43"/>
      <c r="AM2692" s="43"/>
      <c r="AN2692" s="42"/>
      <c r="AO2692" s="42"/>
      <c r="AP2692" s="42"/>
      <c r="AQ2692" s="43"/>
      <c r="AR2692" s="42"/>
      <c r="AS2692" s="42"/>
    </row>
    <row r="2693" spans="1:45" ht="15" customHeight="1">
      <c r="A2693" s="65" t="s">
        <v>57</v>
      </c>
      <c r="B2693" s="21" t="s">
        <v>46</v>
      </c>
      <c r="C2693" s="21" t="s">
        <v>188</v>
      </c>
      <c r="D2693" s="22" t="s">
        <v>59</v>
      </c>
      <c r="E2693" s="66" t="s">
        <v>372</v>
      </c>
      <c r="F2693" s="65" t="s">
        <v>373</v>
      </c>
      <c r="G2693" s="26" t="s">
        <v>77</v>
      </c>
      <c r="H2693" s="45" t="s">
        <v>3659</v>
      </c>
      <c r="I2693" s="26" t="s">
        <v>78</v>
      </c>
      <c r="J2693" s="46" t="s">
        <v>3660</v>
      </c>
      <c r="K2693" s="47"/>
      <c r="L2693" s="48" t="s">
        <v>376</v>
      </c>
      <c r="M2693" s="49">
        <v>45110</v>
      </c>
      <c r="N2693" s="47" t="s">
        <v>182</v>
      </c>
      <c r="O2693" s="61">
        <v>4048</v>
      </c>
      <c r="P2693" s="61">
        <v>44</v>
      </c>
      <c r="Q2693" s="30">
        <f t="shared" si="65"/>
        <v>178112</v>
      </c>
      <c r="R2693" s="31">
        <v>202310</v>
      </c>
      <c r="S2693" s="79" t="s">
        <v>3664</v>
      </c>
      <c r="T2693" s="33"/>
      <c r="U2693" s="32"/>
      <c r="V2693" s="33"/>
      <c r="W2693" s="67"/>
      <c r="X2693" s="67"/>
      <c r="Y2693" s="36"/>
      <c r="Z2693" s="36"/>
      <c r="AA2693" s="36"/>
      <c r="AB2693" s="36"/>
      <c r="AC2693" s="36"/>
      <c r="AD2693" s="36"/>
      <c r="AE2693" s="36"/>
      <c r="AF2693" s="53" t="s">
        <v>68</v>
      </c>
      <c r="AG2693" s="42"/>
      <c r="AH2693" s="42"/>
      <c r="AI2693" s="43"/>
      <c r="AJ2693" s="43"/>
      <c r="AK2693" s="43"/>
      <c r="AL2693" s="43"/>
      <c r="AM2693" s="43"/>
      <c r="AN2693" s="42"/>
      <c r="AO2693" s="42"/>
      <c r="AP2693" s="42"/>
      <c r="AQ2693" s="43"/>
      <c r="AR2693" s="42"/>
      <c r="AS2693" s="42"/>
    </row>
    <row r="2694" spans="1:45" ht="15" customHeight="1">
      <c r="A2694" s="65" t="s">
        <v>57</v>
      </c>
      <c r="B2694" s="21" t="s">
        <v>46</v>
      </c>
      <c r="C2694" s="21" t="s">
        <v>188</v>
      </c>
      <c r="D2694" s="22" t="s">
        <v>59</v>
      </c>
      <c r="E2694" s="66" t="s">
        <v>372</v>
      </c>
      <c r="F2694" s="65" t="s">
        <v>373</v>
      </c>
      <c r="G2694" s="26" t="s">
        <v>77</v>
      </c>
      <c r="H2694" s="45" t="s">
        <v>3659</v>
      </c>
      <c r="I2694" s="26" t="s">
        <v>78</v>
      </c>
      <c r="J2694" s="46" t="s">
        <v>3660</v>
      </c>
      <c r="K2694" s="47"/>
      <c r="L2694" s="48" t="s">
        <v>376</v>
      </c>
      <c r="M2694" s="49">
        <v>45111</v>
      </c>
      <c r="N2694" s="47" t="s">
        <v>182</v>
      </c>
      <c r="O2694" s="61">
        <v>4048</v>
      </c>
      <c r="P2694" s="61">
        <v>4</v>
      </c>
      <c r="Q2694" s="30">
        <f t="shared" si="65"/>
        <v>16192</v>
      </c>
      <c r="R2694" s="31">
        <v>202310</v>
      </c>
      <c r="S2694" s="79" t="s">
        <v>3665</v>
      </c>
      <c r="T2694" s="33"/>
      <c r="U2694" s="32"/>
      <c r="V2694" s="33"/>
      <c r="W2694" s="67"/>
      <c r="X2694" s="67"/>
      <c r="Y2694" s="36"/>
      <c r="Z2694" s="36"/>
      <c r="AA2694" s="36"/>
      <c r="AB2694" s="36"/>
      <c r="AC2694" s="36"/>
      <c r="AD2694" s="36"/>
      <c r="AE2694" s="36"/>
      <c r="AF2694" s="53" t="s">
        <v>68</v>
      </c>
      <c r="AG2694" s="42"/>
      <c r="AH2694" s="42"/>
      <c r="AI2694" s="43"/>
      <c r="AJ2694" s="43"/>
      <c r="AK2694" s="43"/>
      <c r="AL2694" s="43"/>
      <c r="AM2694" s="43"/>
      <c r="AN2694" s="42"/>
      <c r="AO2694" s="42"/>
      <c r="AP2694" s="42"/>
      <c r="AQ2694" s="43"/>
      <c r="AR2694" s="42"/>
      <c r="AS2694" s="42"/>
    </row>
    <row r="2695" spans="1:45" ht="15" customHeight="1">
      <c r="A2695" s="65" t="s">
        <v>57</v>
      </c>
      <c r="B2695" s="21" t="s">
        <v>46</v>
      </c>
      <c r="C2695" s="21" t="s">
        <v>188</v>
      </c>
      <c r="D2695" s="22" t="s">
        <v>59</v>
      </c>
      <c r="E2695" s="66" t="s">
        <v>372</v>
      </c>
      <c r="F2695" s="65" t="s">
        <v>373</v>
      </c>
      <c r="G2695" s="26" t="s">
        <v>77</v>
      </c>
      <c r="H2695" s="45" t="s">
        <v>3659</v>
      </c>
      <c r="I2695" s="26" t="s">
        <v>78</v>
      </c>
      <c r="J2695" s="46" t="s">
        <v>3660</v>
      </c>
      <c r="K2695" s="47"/>
      <c r="L2695" s="48" t="s">
        <v>376</v>
      </c>
      <c r="M2695" s="49">
        <v>45113</v>
      </c>
      <c r="N2695" s="47" t="s">
        <v>182</v>
      </c>
      <c r="O2695" s="61">
        <v>4048</v>
      </c>
      <c r="P2695" s="61">
        <v>97</v>
      </c>
      <c r="Q2695" s="30">
        <f t="shared" si="65"/>
        <v>392656</v>
      </c>
      <c r="R2695" s="31">
        <v>202310</v>
      </c>
      <c r="S2695" s="79" t="s">
        <v>3666</v>
      </c>
      <c r="T2695" s="33"/>
      <c r="U2695" s="32"/>
      <c r="V2695" s="33"/>
      <c r="W2695" s="67"/>
      <c r="X2695" s="67"/>
      <c r="Y2695" s="36"/>
      <c r="Z2695" s="36"/>
      <c r="AA2695" s="36"/>
      <c r="AB2695" s="36"/>
      <c r="AC2695" s="36"/>
      <c r="AD2695" s="36"/>
      <c r="AE2695" s="36"/>
      <c r="AF2695" s="53" t="s">
        <v>68</v>
      </c>
      <c r="AG2695" s="42"/>
      <c r="AH2695" s="42"/>
      <c r="AI2695" s="43"/>
      <c r="AJ2695" s="43"/>
      <c r="AK2695" s="43"/>
      <c r="AL2695" s="43"/>
      <c r="AM2695" s="43"/>
      <c r="AN2695" s="42"/>
      <c r="AO2695" s="42"/>
      <c r="AP2695" s="42"/>
      <c r="AQ2695" s="43"/>
      <c r="AR2695" s="42"/>
      <c r="AS2695" s="42"/>
    </row>
    <row r="2696" spans="1:45" ht="15" customHeight="1">
      <c r="A2696" s="65" t="s">
        <v>57</v>
      </c>
      <c r="B2696" s="21" t="s">
        <v>46</v>
      </c>
      <c r="C2696" s="21" t="s">
        <v>188</v>
      </c>
      <c r="D2696" s="22" t="s">
        <v>59</v>
      </c>
      <c r="E2696" s="66" t="s">
        <v>372</v>
      </c>
      <c r="F2696" s="65" t="s">
        <v>373</v>
      </c>
      <c r="G2696" s="26" t="s">
        <v>77</v>
      </c>
      <c r="H2696" s="45" t="s">
        <v>3659</v>
      </c>
      <c r="I2696" s="26" t="s">
        <v>78</v>
      </c>
      <c r="J2696" s="46" t="s">
        <v>3660</v>
      </c>
      <c r="K2696" s="47"/>
      <c r="L2696" s="48" t="s">
        <v>376</v>
      </c>
      <c r="M2696" s="49">
        <v>45114</v>
      </c>
      <c r="N2696" s="47" t="s">
        <v>182</v>
      </c>
      <c r="O2696" s="61">
        <v>4048</v>
      </c>
      <c r="P2696" s="61">
        <v>55</v>
      </c>
      <c r="Q2696" s="30">
        <f t="shared" si="65"/>
        <v>222640</v>
      </c>
      <c r="R2696" s="31">
        <v>202310</v>
      </c>
      <c r="S2696" s="79" t="s">
        <v>3667</v>
      </c>
      <c r="T2696" s="33"/>
      <c r="U2696" s="32"/>
      <c r="V2696" s="33"/>
      <c r="W2696" s="67"/>
      <c r="X2696" s="67"/>
      <c r="Y2696" s="36"/>
      <c r="Z2696" s="36"/>
      <c r="AA2696" s="36"/>
      <c r="AB2696" s="36"/>
      <c r="AC2696" s="36"/>
      <c r="AD2696" s="36"/>
      <c r="AE2696" s="36"/>
      <c r="AF2696" s="53" t="s">
        <v>68</v>
      </c>
      <c r="AG2696" s="42"/>
      <c r="AH2696" s="42"/>
      <c r="AI2696" s="43"/>
      <c r="AJ2696" s="43"/>
      <c r="AK2696" s="43"/>
      <c r="AL2696" s="43"/>
      <c r="AM2696" s="43"/>
      <c r="AN2696" s="42"/>
      <c r="AO2696" s="42"/>
      <c r="AP2696" s="42"/>
      <c r="AQ2696" s="43"/>
      <c r="AR2696" s="42"/>
      <c r="AS2696" s="42"/>
    </row>
    <row r="2697" spans="1:45" ht="15" customHeight="1">
      <c r="A2697" s="65" t="s">
        <v>57</v>
      </c>
      <c r="B2697" s="21" t="s">
        <v>46</v>
      </c>
      <c r="C2697" s="21" t="s">
        <v>188</v>
      </c>
      <c r="D2697" s="22" t="s">
        <v>59</v>
      </c>
      <c r="E2697" s="66" t="s">
        <v>372</v>
      </c>
      <c r="F2697" s="65" t="s">
        <v>373</v>
      </c>
      <c r="G2697" s="26" t="s">
        <v>77</v>
      </c>
      <c r="H2697" s="45" t="s">
        <v>3659</v>
      </c>
      <c r="I2697" s="26" t="s">
        <v>78</v>
      </c>
      <c r="J2697" s="46" t="s">
        <v>3660</v>
      </c>
      <c r="K2697" s="47"/>
      <c r="L2697" s="48" t="s">
        <v>376</v>
      </c>
      <c r="M2697" s="49">
        <v>45116</v>
      </c>
      <c r="N2697" s="47" t="s">
        <v>182</v>
      </c>
      <c r="O2697" s="61">
        <v>4048</v>
      </c>
      <c r="P2697" s="61">
        <v>7</v>
      </c>
      <c r="Q2697" s="30">
        <f t="shared" si="65"/>
        <v>28336</v>
      </c>
      <c r="R2697" s="31">
        <v>202310</v>
      </c>
      <c r="S2697" s="79" t="s">
        <v>3668</v>
      </c>
      <c r="T2697" s="33"/>
      <c r="U2697" s="32"/>
      <c r="V2697" s="33"/>
      <c r="W2697" s="67"/>
      <c r="X2697" s="67"/>
      <c r="Y2697" s="36"/>
      <c r="Z2697" s="36"/>
      <c r="AA2697" s="36"/>
      <c r="AB2697" s="36"/>
      <c r="AC2697" s="36"/>
      <c r="AD2697" s="36"/>
      <c r="AE2697" s="36"/>
      <c r="AF2697" s="53" t="s">
        <v>68</v>
      </c>
      <c r="AG2697" s="42"/>
      <c r="AH2697" s="42"/>
      <c r="AI2697" s="43"/>
      <c r="AJ2697" s="43"/>
      <c r="AK2697" s="43"/>
      <c r="AL2697" s="43"/>
      <c r="AM2697" s="43"/>
      <c r="AN2697" s="42"/>
      <c r="AO2697" s="42"/>
      <c r="AP2697" s="42"/>
      <c r="AQ2697" s="43"/>
      <c r="AR2697" s="42"/>
      <c r="AS2697" s="42"/>
    </row>
    <row r="2698" spans="1:45" ht="15" customHeight="1">
      <c r="A2698" s="65" t="s">
        <v>57</v>
      </c>
      <c r="B2698" s="21" t="s">
        <v>46</v>
      </c>
      <c r="C2698" s="21" t="s">
        <v>188</v>
      </c>
      <c r="D2698" s="22" t="s">
        <v>59</v>
      </c>
      <c r="E2698" s="66" t="s">
        <v>372</v>
      </c>
      <c r="F2698" s="65" t="s">
        <v>373</v>
      </c>
      <c r="G2698" s="26" t="s">
        <v>77</v>
      </c>
      <c r="H2698" s="45" t="s">
        <v>3659</v>
      </c>
      <c r="I2698" s="26" t="s">
        <v>78</v>
      </c>
      <c r="J2698" s="46" t="s">
        <v>3660</v>
      </c>
      <c r="K2698" s="47"/>
      <c r="L2698" s="48" t="s">
        <v>376</v>
      </c>
      <c r="M2698" s="49">
        <v>45117</v>
      </c>
      <c r="N2698" s="47" t="s">
        <v>182</v>
      </c>
      <c r="O2698" s="61">
        <v>4048</v>
      </c>
      <c r="P2698" s="61">
        <v>22</v>
      </c>
      <c r="Q2698" s="30">
        <f t="shared" si="65"/>
        <v>89056</v>
      </c>
      <c r="R2698" s="31">
        <v>202310</v>
      </c>
      <c r="S2698" s="79" t="s">
        <v>3669</v>
      </c>
      <c r="T2698" s="33"/>
      <c r="U2698" s="32"/>
      <c r="V2698" s="33"/>
      <c r="W2698" s="67"/>
      <c r="X2698" s="67"/>
      <c r="Y2698" s="36"/>
      <c r="Z2698" s="36"/>
      <c r="AA2698" s="36"/>
      <c r="AB2698" s="36"/>
      <c r="AC2698" s="36"/>
      <c r="AD2698" s="36"/>
      <c r="AE2698" s="36"/>
      <c r="AF2698" s="53" t="s">
        <v>68</v>
      </c>
      <c r="AG2698" s="42"/>
      <c r="AH2698" s="42"/>
      <c r="AI2698" s="43"/>
      <c r="AJ2698" s="43"/>
      <c r="AK2698" s="43"/>
      <c r="AL2698" s="43"/>
      <c r="AM2698" s="43"/>
      <c r="AN2698" s="42"/>
      <c r="AO2698" s="42"/>
      <c r="AP2698" s="42"/>
      <c r="AQ2698" s="43"/>
      <c r="AR2698" s="42"/>
      <c r="AS2698" s="42"/>
    </row>
    <row r="2699" spans="1:45" ht="15" customHeight="1">
      <c r="A2699" s="65" t="s">
        <v>57</v>
      </c>
      <c r="B2699" s="21" t="s">
        <v>46</v>
      </c>
      <c r="C2699" s="21" t="s">
        <v>188</v>
      </c>
      <c r="D2699" s="22" t="s">
        <v>59</v>
      </c>
      <c r="E2699" s="66" t="s">
        <v>372</v>
      </c>
      <c r="F2699" s="65" t="s">
        <v>373</v>
      </c>
      <c r="G2699" s="26" t="s">
        <v>77</v>
      </c>
      <c r="H2699" s="45" t="s">
        <v>3659</v>
      </c>
      <c r="I2699" s="26" t="s">
        <v>78</v>
      </c>
      <c r="J2699" s="46" t="s">
        <v>3660</v>
      </c>
      <c r="K2699" s="47"/>
      <c r="L2699" s="48" t="s">
        <v>376</v>
      </c>
      <c r="M2699" s="49">
        <v>45119</v>
      </c>
      <c r="N2699" s="47" t="s">
        <v>182</v>
      </c>
      <c r="O2699" s="61">
        <v>4048</v>
      </c>
      <c r="P2699" s="61">
        <v>28</v>
      </c>
      <c r="Q2699" s="30">
        <f t="shared" si="65"/>
        <v>113344</v>
      </c>
      <c r="R2699" s="31">
        <v>202310</v>
      </c>
      <c r="S2699" s="79" t="s">
        <v>3670</v>
      </c>
      <c r="T2699" s="42"/>
      <c r="U2699" s="70"/>
      <c r="V2699" s="42"/>
      <c r="W2699" s="226"/>
      <c r="X2699" s="42"/>
      <c r="Y2699" s="36"/>
      <c r="Z2699" s="36"/>
      <c r="AA2699" s="37"/>
      <c r="AB2699" s="38"/>
      <c r="AC2699" s="38"/>
      <c r="AD2699" s="38"/>
      <c r="AE2699" s="40"/>
      <c r="AF2699" s="53" t="s">
        <v>68</v>
      </c>
      <c r="AG2699" s="40"/>
      <c r="AH2699" s="42"/>
      <c r="AI2699" s="42"/>
      <c r="AJ2699" s="43"/>
      <c r="AK2699" s="43"/>
      <c r="AL2699" s="43"/>
      <c r="AM2699" s="43"/>
      <c r="AN2699" s="42"/>
      <c r="AO2699" s="42"/>
      <c r="AP2699" s="42"/>
      <c r="AQ2699" s="42"/>
      <c r="AR2699" s="42"/>
      <c r="AS2699" s="42"/>
    </row>
    <row r="2700" spans="1:45" ht="15" customHeight="1">
      <c r="A2700" s="65" t="s">
        <v>57</v>
      </c>
      <c r="B2700" s="21" t="s">
        <v>46</v>
      </c>
      <c r="C2700" s="21" t="s">
        <v>188</v>
      </c>
      <c r="D2700" s="22" t="s">
        <v>59</v>
      </c>
      <c r="E2700" s="66" t="s">
        <v>372</v>
      </c>
      <c r="F2700" s="65" t="s">
        <v>373</v>
      </c>
      <c r="G2700" s="26" t="s">
        <v>77</v>
      </c>
      <c r="H2700" s="45" t="s">
        <v>3659</v>
      </c>
      <c r="I2700" s="26" t="s">
        <v>78</v>
      </c>
      <c r="J2700" s="46" t="s">
        <v>3660</v>
      </c>
      <c r="K2700" s="47"/>
      <c r="L2700" s="48" t="s">
        <v>376</v>
      </c>
      <c r="M2700" s="49">
        <v>45120</v>
      </c>
      <c r="N2700" s="47" t="s">
        <v>182</v>
      </c>
      <c r="O2700" s="61">
        <v>4048</v>
      </c>
      <c r="P2700" s="61">
        <v>15</v>
      </c>
      <c r="Q2700" s="30">
        <f t="shared" si="65"/>
        <v>60720</v>
      </c>
      <c r="R2700" s="31">
        <v>202310</v>
      </c>
      <c r="S2700" s="79" t="s">
        <v>3671</v>
      </c>
      <c r="T2700" s="42"/>
      <c r="U2700" s="70"/>
      <c r="V2700" s="42"/>
      <c r="W2700" s="226"/>
      <c r="X2700" s="42"/>
      <c r="Y2700" s="36"/>
      <c r="Z2700" s="36"/>
      <c r="AA2700" s="37"/>
      <c r="AB2700" s="38"/>
      <c r="AC2700" s="38"/>
      <c r="AD2700" s="38"/>
      <c r="AE2700" s="40"/>
      <c r="AF2700" s="53" t="s">
        <v>68</v>
      </c>
      <c r="AG2700" s="40"/>
      <c r="AH2700" s="42"/>
      <c r="AI2700" s="42"/>
      <c r="AJ2700" s="43"/>
      <c r="AK2700" s="43"/>
      <c r="AL2700" s="43"/>
      <c r="AM2700" s="43"/>
      <c r="AN2700" s="42"/>
      <c r="AO2700" s="42"/>
      <c r="AP2700" s="42"/>
      <c r="AQ2700" s="42"/>
      <c r="AR2700" s="42"/>
      <c r="AS2700" s="42"/>
    </row>
    <row r="2701" spans="1:45" ht="15" customHeight="1">
      <c r="A2701" s="65" t="s">
        <v>57</v>
      </c>
      <c r="B2701" s="21" t="s">
        <v>46</v>
      </c>
      <c r="C2701" s="21" t="s">
        <v>188</v>
      </c>
      <c r="D2701" s="22" t="s">
        <v>59</v>
      </c>
      <c r="E2701" s="66" t="s">
        <v>372</v>
      </c>
      <c r="F2701" s="65" t="s">
        <v>373</v>
      </c>
      <c r="G2701" s="26" t="s">
        <v>77</v>
      </c>
      <c r="H2701" s="45" t="s">
        <v>3659</v>
      </c>
      <c r="I2701" s="26" t="s">
        <v>78</v>
      </c>
      <c r="J2701" s="46" t="s">
        <v>3660</v>
      </c>
      <c r="K2701" s="47"/>
      <c r="L2701" s="48" t="s">
        <v>376</v>
      </c>
      <c r="M2701" s="49">
        <v>45121</v>
      </c>
      <c r="N2701" s="47" t="s">
        <v>182</v>
      </c>
      <c r="O2701" s="61">
        <v>4048</v>
      </c>
      <c r="P2701" s="61">
        <v>24</v>
      </c>
      <c r="Q2701" s="30">
        <f t="shared" si="65"/>
        <v>97152</v>
      </c>
      <c r="R2701" s="31">
        <v>202310</v>
      </c>
      <c r="S2701" s="79" t="s">
        <v>3672</v>
      </c>
      <c r="T2701" s="42"/>
      <c r="U2701" s="70"/>
      <c r="V2701" s="42"/>
      <c r="W2701" s="226"/>
      <c r="X2701" s="42"/>
      <c r="Y2701" s="36"/>
      <c r="Z2701" s="36"/>
      <c r="AA2701" s="37"/>
      <c r="AB2701" s="38"/>
      <c r="AC2701" s="38"/>
      <c r="AD2701" s="38"/>
      <c r="AE2701" s="40"/>
      <c r="AF2701" s="53" t="s">
        <v>68</v>
      </c>
      <c r="AG2701" s="40"/>
      <c r="AH2701" s="42"/>
      <c r="AI2701" s="42"/>
      <c r="AJ2701" s="43"/>
      <c r="AK2701" s="43"/>
      <c r="AL2701" s="43"/>
      <c r="AM2701" s="43"/>
      <c r="AN2701" s="42"/>
      <c r="AO2701" s="42"/>
      <c r="AP2701" s="42"/>
      <c r="AQ2701" s="42"/>
      <c r="AR2701" s="42"/>
      <c r="AS2701" s="42"/>
    </row>
    <row r="2702" spans="1:45" ht="15" customHeight="1">
      <c r="A2702" s="65" t="s">
        <v>57</v>
      </c>
      <c r="B2702" s="21" t="s">
        <v>46</v>
      </c>
      <c r="C2702" s="21" t="s">
        <v>188</v>
      </c>
      <c r="D2702" s="22" t="s">
        <v>59</v>
      </c>
      <c r="E2702" s="66" t="s">
        <v>372</v>
      </c>
      <c r="F2702" s="65" t="s">
        <v>373</v>
      </c>
      <c r="G2702" s="26" t="s">
        <v>77</v>
      </c>
      <c r="H2702" s="45" t="s">
        <v>3659</v>
      </c>
      <c r="I2702" s="26" t="s">
        <v>78</v>
      </c>
      <c r="J2702" s="46" t="s">
        <v>3660</v>
      </c>
      <c r="K2702" s="47"/>
      <c r="L2702" s="48" t="s">
        <v>376</v>
      </c>
      <c r="M2702" s="49">
        <v>45128</v>
      </c>
      <c r="N2702" s="47" t="s">
        <v>182</v>
      </c>
      <c r="O2702" s="61">
        <v>4048</v>
      </c>
      <c r="P2702" s="61">
        <v>1</v>
      </c>
      <c r="Q2702" s="30">
        <f t="shared" si="65"/>
        <v>4048</v>
      </c>
      <c r="R2702" s="31">
        <v>202310</v>
      </c>
      <c r="S2702" s="79" t="s">
        <v>3673</v>
      </c>
      <c r="T2702" s="42"/>
      <c r="U2702" s="70"/>
      <c r="V2702" s="42"/>
      <c r="W2702" s="226"/>
      <c r="X2702" s="42"/>
      <c r="Y2702" s="36"/>
      <c r="Z2702" s="36"/>
      <c r="AA2702" s="37"/>
      <c r="AB2702" s="38"/>
      <c r="AC2702" s="38"/>
      <c r="AD2702" s="38"/>
      <c r="AE2702" s="40"/>
      <c r="AF2702" s="53" t="s">
        <v>68</v>
      </c>
      <c r="AG2702" s="40"/>
      <c r="AH2702" s="42"/>
      <c r="AI2702" s="42"/>
      <c r="AJ2702" s="43"/>
      <c r="AK2702" s="43"/>
      <c r="AL2702" s="43"/>
      <c r="AM2702" s="43"/>
      <c r="AN2702" s="42"/>
      <c r="AO2702" s="42"/>
      <c r="AP2702" s="42"/>
      <c r="AQ2702" s="42"/>
      <c r="AR2702" s="42"/>
      <c r="AS2702" s="42"/>
    </row>
    <row r="2703" spans="1:45" ht="15" customHeight="1">
      <c r="A2703" s="65" t="s">
        <v>57</v>
      </c>
      <c r="B2703" s="21" t="s">
        <v>46</v>
      </c>
      <c r="C2703" s="21" t="s">
        <v>188</v>
      </c>
      <c r="D2703" s="22" t="s">
        <v>59</v>
      </c>
      <c r="E2703" s="66" t="s">
        <v>372</v>
      </c>
      <c r="F2703" s="65" t="s">
        <v>373</v>
      </c>
      <c r="G2703" s="26" t="s">
        <v>77</v>
      </c>
      <c r="H2703" s="45" t="s">
        <v>3659</v>
      </c>
      <c r="I2703" s="26" t="s">
        <v>78</v>
      </c>
      <c r="J2703" s="46" t="s">
        <v>3660</v>
      </c>
      <c r="K2703" s="47"/>
      <c r="L2703" s="48" t="s">
        <v>376</v>
      </c>
      <c r="M2703" s="49">
        <v>45132</v>
      </c>
      <c r="N2703" s="47" t="s">
        <v>182</v>
      </c>
      <c r="O2703" s="61">
        <v>4048</v>
      </c>
      <c r="P2703" s="61">
        <v>44</v>
      </c>
      <c r="Q2703" s="30">
        <f t="shared" si="65"/>
        <v>178112</v>
      </c>
      <c r="R2703" s="31">
        <v>202310</v>
      </c>
      <c r="S2703" s="79" t="s">
        <v>3674</v>
      </c>
      <c r="T2703" s="42"/>
      <c r="U2703" s="70"/>
      <c r="V2703" s="42"/>
      <c r="W2703" s="226"/>
      <c r="X2703" s="42"/>
      <c r="Y2703" s="36"/>
      <c r="Z2703" s="36"/>
      <c r="AA2703" s="37"/>
      <c r="AB2703" s="38"/>
      <c r="AC2703" s="38"/>
      <c r="AD2703" s="38"/>
      <c r="AE2703" s="40"/>
      <c r="AF2703" s="53" t="s">
        <v>68</v>
      </c>
      <c r="AG2703" s="40"/>
      <c r="AH2703" s="42"/>
      <c r="AI2703" s="42"/>
      <c r="AJ2703" s="43"/>
      <c r="AK2703" s="43"/>
      <c r="AL2703" s="43"/>
      <c r="AM2703" s="43"/>
      <c r="AN2703" s="42"/>
      <c r="AO2703" s="42"/>
      <c r="AP2703" s="42"/>
      <c r="AQ2703" s="42"/>
      <c r="AR2703" s="42"/>
      <c r="AS2703" s="42"/>
    </row>
    <row r="2704" spans="1:45" ht="15" customHeight="1">
      <c r="A2704" s="65" t="s">
        <v>57</v>
      </c>
      <c r="B2704" s="21" t="s">
        <v>46</v>
      </c>
      <c r="C2704" s="21" t="s">
        <v>188</v>
      </c>
      <c r="D2704" s="22" t="s">
        <v>59</v>
      </c>
      <c r="E2704" s="66" t="s">
        <v>372</v>
      </c>
      <c r="F2704" s="65" t="s">
        <v>373</v>
      </c>
      <c r="G2704" s="26" t="s">
        <v>77</v>
      </c>
      <c r="H2704" s="45" t="s">
        <v>3659</v>
      </c>
      <c r="I2704" s="26" t="s">
        <v>78</v>
      </c>
      <c r="J2704" s="46" t="s">
        <v>3660</v>
      </c>
      <c r="K2704" s="47"/>
      <c r="L2704" s="48" t="s">
        <v>376</v>
      </c>
      <c r="M2704" s="49">
        <v>45133</v>
      </c>
      <c r="N2704" s="47" t="s">
        <v>182</v>
      </c>
      <c r="O2704" s="61">
        <v>4048</v>
      </c>
      <c r="P2704" s="61">
        <v>1</v>
      </c>
      <c r="Q2704" s="30">
        <f t="shared" si="65"/>
        <v>4048</v>
      </c>
      <c r="R2704" s="31">
        <v>202310</v>
      </c>
      <c r="S2704" s="79" t="s">
        <v>3675</v>
      </c>
      <c r="T2704" s="42"/>
      <c r="U2704" s="70"/>
      <c r="V2704" s="42"/>
      <c r="W2704" s="226"/>
      <c r="X2704" s="42"/>
      <c r="Y2704" s="36"/>
      <c r="Z2704" s="36"/>
      <c r="AA2704" s="37"/>
      <c r="AB2704" s="38"/>
      <c r="AC2704" s="38"/>
      <c r="AD2704" s="38"/>
      <c r="AE2704" s="40"/>
      <c r="AF2704" s="53" t="s">
        <v>68</v>
      </c>
      <c r="AG2704" s="40"/>
      <c r="AH2704" s="42"/>
      <c r="AI2704" s="42"/>
      <c r="AJ2704" s="43"/>
      <c r="AK2704" s="43"/>
      <c r="AL2704" s="43"/>
      <c r="AM2704" s="43"/>
      <c r="AN2704" s="42"/>
      <c r="AO2704" s="42"/>
      <c r="AP2704" s="42"/>
      <c r="AQ2704" s="42"/>
      <c r="AR2704" s="42"/>
      <c r="AS2704" s="42"/>
    </row>
    <row r="2705" spans="1:45" ht="15" customHeight="1">
      <c r="A2705" s="65" t="s">
        <v>57</v>
      </c>
      <c r="B2705" s="21" t="s">
        <v>46</v>
      </c>
      <c r="C2705" s="21" t="s">
        <v>188</v>
      </c>
      <c r="D2705" s="22" t="s">
        <v>59</v>
      </c>
      <c r="E2705" s="66" t="s">
        <v>372</v>
      </c>
      <c r="F2705" s="65" t="s">
        <v>373</v>
      </c>
      <c r="G2705" s="26" t="s">
        <v>77</v>
      </c>
      <c r="H2705" s="45" t="s">
        <v>3659</v>
      </c>
      <c r="I2705" s="26" t="s">
        <v>78</v>
      </c>
      <c r="J2705" s="46" t="s">
        <v>3660</v>
      </c>
      <c r="K2705" s="47"/>
      <c r="L2705" s="48" t="s">
        <v>376</v>
      </c>
      <c r="M2705" s="49">
        <v>45109</v>
      </c>
      <c r="N2705" s="47" t="s">
        <v>388</v>
      </c>
      <c r="O2705" s="61">
        <v>11040</v>
      </c>
      <c r="P2705" s="61">
        <v>2</v>
      </c>
      <c r="Q2705" s="30">
        <f t="shared" si="65"/>
        <v>22080</v>
      </c>
      <c r="R2705" s="31">
        <v>202310</v>
      </c>
      <c r="S2705" s="32" t="s">
        <v>3676</v>
      </c>
      <c r="T2705" s="33"/>
      <c r="U2705" s="32"/>
      <c r="V2705" s="33"/>
      <c r="W2705" s="67"/>
      <c r="X2705" s="67"/>
      <c r="Y2705" s="36"/>
      <c r="Z2705" s="36"/>
      <c r="AA2705" s="36"/>
      <c r="AB2705" s="36"/>
      <c r="AC2705" s="36"/>
      <c r="AD2705" s="36"/>
      <c r="AE2705" s="36"/>
      <c r="AF2705" s="53" t="s">
        <v>68</v>
      </c>
      <c r="AG2705" s="42"/>
      <c r="AH2705" s="42"/>
      <c r="AI2705" s="43"/>
      <c r="AJ2705" s="43"/>
      <c r="AK2705" s="43"/>
      <c r="AL2705" s="43"/>
      <c r="AM2705" s="43"/>
      <c r="AN2705" s="42"/>
      <c r="AO2705" s="42"/>
      <c r="AP2705" s="42"/>
      <c r="AQ2705" s="43"/>
      <c r="AR2705" s="42"/>
      <c r="AS2705" s="42"/>
    </row>
    <row r="2706" spans="1:45" ht="15" customHeight="1">
      <c r="A2706" s="65" t="s">
        <v>57</v>
      </c>
      <c r="B2706" s="21" t="s">
        <v>46</v>
      </c>
      <c r="C2706" s="21" t="s">
        <v>188</v>
      </c>
      <c r="D2706" s="22" t="s">
        <v>59</v>
      </c>
      <c r="E2706" s="66" t="s">
        <v>372</v>
      </c>
      <c r="F2706" s="65" t="s">
        <v>373</v>
      </c>
      <c r="G2706" s="26" t="s">
        <v>77</v>
      </c>
      <c r="H2706" s="45" t="s">
        <v>3659</v>
      </c>
      <c r="I2706" s="26" t="s">
        <v>78</v>
      </c>
      <c r="J2706" s="46" t="s">
        <v>3660</v>
      </c>
      <c r="K2706" s="47"/>
      <c r="L2706" s="48" t="s">
        <v>376</v>
      </c>
      <c r="M2706" s="49">
        <v>45133</v>
      </c>
      <c r="N2706" s="47" t="s">
        <v>182</v>
      </c>
      <c r="O2706" s="61">
        <v>4048</v>
      </c>
      <c r="P2706" s="61">
        <v>-23</v>
      </c>
      <c r="Q2706" s="30">
        <f t="shared" si="65"/>
        <v>-93104</v>
      </c>
      <c r="R2706" s="31">
        <v>202310</v>
      </c>
      <c r="S2706" s="32" t="s">
        <v>3677</v>
      </c>
      <c r="T2706" s="42"/>
      <c r="U2706" s="32"/>
      <c r="V2706" s="42"/>
      <c r="W2706" s="226"/>
      <c r="X2706" s="42"/>
      <c r="Y2706" s="36"/>
      <c r="Z2706" s="36"/>
      <c r="AA2706" s="37"/>
      <c r="AB2706" s="38"/>
      <c r="AC2706" s="38"/>
      <c r="AD2706" s="38"/>
      <c r="AE2706" s="40"/>
      <c r="AF2706" s="53" t="s">
        <v>68</v>
      </c>
      <c r="AG2706" s="40"/>
      <c r="AH2706" s="42"/>
      <c r="AI2706" s="42"/>
      <c r="AJ2706" s="43"/>
      <c r="AK2706" s="43"/>
      <c r="AL2706" s="43"/>
      <c r="AM2706" s="43"/>
      <c r="AN2706" s="42"/>
      <c r="AO2706" s="42"/>
      <c r="AP2706" s="42"/>
      <c r="AQ2706" s="42"/>
      <c r="AR2706" s="42"/>
      <c r="AS2706" s="42"/>
    </row>
    <row r="2707" spans="1:45" ht="15" customHeight="1">
      <c r="A2707" s="65" t="s">
        <v>57</v>
      </c>
      <c r="B2707" s="21" t="s">
        <v>46</v>
      </c>
      <c r="C2707" s="21" t="s">
        <v>188</v>
      </c>
      <c r="D2707" s="22" t="s">
        <v>59</v>
      </c>
      <c r="E2707" s="66" t="s">
        <v>372</v>
      </c>
      <c r="F2707" s="65" t="s">
        <v>373</v>
      </c>
      <c r="G2707" s="26" t="s">
        <v>77</v>
      </c>
      <c r="H2707" s="45" t="s">
        <v>3659</v>
      </c>
      <c r="I2707" s="26" t="s">
        <v>78</v>
      </c>
      <c r="J2707" s="46" t="s">
        <v>3660</v>
      </c>
      <c r="K2707" s="47"/>
      <c r="L2707" s="48" t="s">
        <v>376</v>
      </c>
      <c r="M2707" s="49">
        <v>45140</v>
      </c>
      <c r="N2707" s="47" t="s">
        <v>182</v>
      </c>
      <c r="O2707" s="61">
        <v>4048</v>
      </c>
      <c r="P2707" s="61">
        <v>-8</v>
      </c>
      <c r="Q2707" s="51">
        <f t="shared" si="65"/>
        <v>-32384</v>
      </c>
      <c r="R2707" s="31">
        <v>202310</v>
      </c>
      <c r="S2707" s="32" t="s">
        <v>3678</v>
      </c>
      <c r="T2707" s="42"/>
      <c r="U2707" s="32"/>
      <c r="V2707" s="42"/>
      <c r="W2707" s="226"/>
      <c r="X2707" s="42"/>
      <c r="Y2707" s="36"/>
      <c r="Z2707" s="36"/>
      <c r="AA2707" s="37"/>
      <c r="AB2707" s="38"/>
      <c r="AC2707" s="38"/>
      <c r="AD2707" s="38"/>
      <c r="AE2707" s="40"/>
      <c r="AF2707" s="53" t="s">
        <v>68</v>
      </c>
      <c r="AG2707" s="40"/>
      <c r="AH2707" s="42"/>
      <c r="AI2707" s="42"/>
      <c r="AJ2707" s="43"/>
      <c r="AK2707" s="43"/>
      <c r="AL2707" s="43"/>
      <c r="AM2707" s="43"/>
      <c r="AN2707" s="42"/>
      <c r="AO2707" s="42"/>
      <c r="AP2707" s="42"/>
      <c r="AQ2707" s="42"/>
      <c r="AR2707" s="42"/>
      <c r="AS2707" s="42"/>
    </row>
    <row r="2708" spans="1:45" ht="15" customHeight="1">
      <c r="A2708" s="65" t="s">
        <v>57</v>
      </c>
      <c r="B2708" s="21" t="s">
        <v>46</v>
      </c>
      <c r="C2708" s="21" t="s">
        <v>188</v>
      </c>
      <c r="D2708" s="22" t="s">
        <v>59</v>
      </c>
      <c r="E2708" s="66" t="s">
        <v>372</v>
      </c>
      <c r="F2708" s="65" t="s">
        <v>373</v>
      </c>
      <c r="G2708" s="26" t="s">
        <v>77</v>
      </c>
      <c r="H2708" s="45" t="s">
        <v>3659</v>
      </c>
      <c r="I2708" s="26" t="s">
        <v>78</v>
      </c>
      <c r="J2708" s="46" t="s">
        <v>3660</v>
      </c>
      <c r="K2708" s="47"/>
      <c r="L2708" s="48" t="s">
        <v>376</v>
      </c>
      <c r="M2708" s="49">
        <v>45147</v>
      </c>
      <c r="N2708" s="47" t="s">
        <v>182</v>
      </c>
      <c r="O2708" s="61">
        <v>4048</v>
      </c>
      <c r="P2708" s="61">
        <v>9</v>
      </c>
      <c r="Q2708" s="51">
        <f t="shared" si="65"/>
        <v>36432</v>
      </c>
      <c r="R2708" s="31">
        <v>202310</v>
      </c>
      <c r="S2708" s="32" t="s">
        <v>3679</v>
      </c>
      <c r="T2708" s="42"/>
      <c r="U2708" s="32"/>
      <c r="V2708" s="42"/>
      <c r="W2708" s="226"/>
      <c r="X2708" s="42"/>
      <c r="Y2708" s="36"/>
      <c r="Z2708" s="36"/>
      <c r="AA2708" s="37"/>
      <c r="AB2708" s="38"/>
      <c r="AC2708" s="38"/>
      <c r="AD2708" s="38"/>
      <c r="AE2708" s="40"/>
      <c r="AF2708" s="53" t="s">
        <v>68</v>
      </c>
      <c r="AG2708" s="40"/>
      <c r="AH2708" s="42"/>
      <c r="AI2708" s="42"/>
      <c r="AJ2708" s="43"/>
      <c r="AK2708" s="43"/>
      <c r="AL2708" s="43"/>
      <c r="AM2708" s="43"/>
      <c r="AN2708" s="42"/>
      <c r="AO2708" s="42"/>
      <c r="AP2708" s="42"/>
      <c r="AQ2708" s="42"/>
      <c r="AR2708" s="42"/>
      <c r="AS2708" s="42"/>
    </row>
    <row r="2709" spans="1:45" ht="15" customHeight="1">
      <c r="A2709" s="65" t="s">
        <v>57</v>
      </c>
      <c r="B2709" s="21" t="s">
        <v>46</v>
      </c>
      <c r="C2709" s="21" t="s">
        <v>188</v>
      </c>
      <c r="D2709" s="22" t="s">
        <v>59</v>
      </c>
      <c r="E2709" s="66" t="s">
        <v>372</v>
      </c>
      <c r="F2709" s="65" t="s">
        <v>373</v>
      </c>
      <c r="G2709" s="26" t="s">
        <v>77</v>
      </c>
      <c r="H2709" s="45" t="s">
        <v>3659</v>
      </c>
      <c r="I2709" s="26" t="s">
        <v>78</v>
      </c>
      <c r="J2709" s="46" t="s">
        <v>3660</v>
      </c>
      <c r="K2709" s="47"/>
      <c r="L2709" s="48" t="s">
        <v>376</v>
      </c>
      <c r="M2709" s="49">
        <v>45148</v>
      </c>
      <c r="N2709" s="47" t="s">
        <v>182</v>
      </c>
      <c r="O2709" s="61">
        <v>4048</v>
      </c>
      <c r="P2709" s="61">
        <v>11</v>
      </c>
      <c r="Q2709" s="51">
        <f t="shared" si="65"/>
        <v>44528</v>
      </c>
      <c r="R2709" s="31">
        <v>202310</v>
      </c>
      <c r="S2709" s="32" t="s">
        <v>3680</v>
      </c>
      <c r="T2709" s="42"/>
      <c r="U2709" s="32"/>
      <c r="V2709" s="42"/>
      <c r="W2709" s="226"/>
      <c r="X2709" s="42"/>
      <c r="Y2709" s="36"/>
      <c r="Z2709" s="36"/>
      <c r="AA2709" s="37"/>
      <c r="AB2709" s="38"/>
      <c r="AC2709" s="38"/>
      <c r="AD2709" s="38"/>
      <c r="AE2709" s="40"/>
      <c r="AF2709" s="53" t="s">
        <v>68</v>
      </c>
      <c r="AG2709" s="40"/>
      <c r="AH2709" s="42"/>
      <c r="AI2709" s="42"/>
      <c r="AJ2709" s="43"/>
      <c r="AK2709" s="43"/>
      <c r="AL2709" s="43"/>
      <c r="AM2709" s="43"/>
      <c r="AN2709" s="42"/>
      <c r="AO2709" s="42"/>
      <c r="AP2709" s="42"/>
      <c r="AQ2709" s="42"/>
      <c r="AR2709" s="42"/>
      <c r="AS2709" s="42"/>
    </row>
    <row r="2710" spans="1:45" ht="15" customHeight="1">
      <c r="A2710" s="65" t="s">
        <v>57</v>
      </c>
      <c r="B2710" s="21" t="s">
        <v>46</v>
      </c>
      <c r="C2710" s="21" t="s">
        <v>188</v>
      </c>
      <c r="D2710" s="22" t="s">
        <v>59</v>
      </c>
      <c r="E2710" s="66" t="s">
        <v>372</v>
      </c>
      <c r="F2710" s="65" t="s">
        <v>373</v>
      </c>
      <c r="G2710" s="26" t="s">
        <v>77</v>
      </c>
      <c r="H2710" s="45" t="s">
        <v>3659</v>
      </c>
      <c r="I2710" s="26" t="s">
        <v>78</v>
      </c>
      <c r="J2710" s="46" t="s">
        <v>3660</v>
      </c>
      <c r="K2710" s="47"/>
      <c r="L2710" s="48" t="s">
        <v>376</v>
      </c>
      <c r="M2710" s="49">
        <v>45160</v>
      </c>
      <c r="N2710" s="47" t="s">
        <v>182</v>
      </c>
      <c r="O2710" s="61">
        <v>4048</v>
      </c>
      <c r="P2710" s="61">
        <v>13</v>
      </c>
      <c r="Q2710" s="51">
        <f t="shared" si="65"/>
        <v>52624</v>
      </c>
      <c r="R2710" s="31">
        <v>202310</v>
      </c>
      <c r="S2710" s="32" t="s">
        <v>3681</v>
      </c>
      <c r="T2710" s="42"/>
      <c r="U2710" s="32"/>
      <c r="V2710" s="42"/>
      <c r="W2710" s="226"/>
      <c r="X2710" s="42"/>
      <c r="Y2710" s="36"/>
      <c r="Z2710" s="36"/>
      <c r="AA2710" s="37"/>
      <c r="AB2710" s="38"/>
      <c r="AC2710" s="38"/>
      <c r="AD2710" s="38"/>
      <c r="AE2710" s="40"/>
      <c r="AF2710" s="53" t="s">
        <v>68</v>
      </c>
      <c r="AG2710" s="40"/>
      <c r="AH2710" s="42"/>
      <c r="AI2710" s="42"/>
      <c r="AJ2710" s="43"/>
      <c r="AK2710" s="43"/>
      <c r="AL2710" s="43"/>
      <c r="AM2710" s="43"/>
      <c r="AN2710" s="42"/>
      <c r="AO2710" s="42"/>
      <c r="AP2710" s="42"/>
      <c r="AQ2710" s="42"/>
      <c r="AR2710" s="42"/>
      <c r="AS2710" s="42"/>
    </row>
    <row r="2711" spans="1:45" ht="15" customHeight="1">
      <c r="A2711" s="65" t="s">
        <v>57</v>
      </c>
      <c r="B2711" s="21" t="s">
        <v>46</v>
      </c>
      <c r="C2711" s="21" t="s">
        <v>188</v>
      </c>
      <c r="D2711" s="22" t="s">
        <v>59</v>
      </c>
      <c r="E2711" s="66" t="s">
        <v>372</v>
      </c>
      <c r="F2711" s="65" t="s">
        <v>373</v>
      </c>
      <c r="G2711" s="26" t="s">
        <v>77</v>
      </c>
      <c r="H2711" s="45" t="s">
        <v>3659</v>
      </c>
      <c r="I2711" s="26" t="s">
        <v>78</v>
      </c>
      <c r="J2711" s="46" t="s">
        <v>3660</v>
      </c>
      <c r="K2711" s="47"/>
      <c r="L2711" s="48" t="s">
        <v>376</v>
      </c>
      <c r="M2711" s="49">
        <v>45174</v>
      </c>
      <c r="N2711" s="47" t="s">
        <v>182</v>
      </c>
      <c r="O2711" s="61">
        <v>4048</v>
      </c>
      <c r="P2711" s="61">
        <v>13</v>
      </c>
      <c r="Q2711" s="51">
        <f t="shared" si="65"/>
        <v>52624</v>
      </c>
      <c r="R2711" s="31">
        <v>202310</v>
      </c>
      <c r="S2711" s="32" t="s">
        <v>3682</v>
      </c>
      <c r="T2711" s="42"/>
      <c r="U2711" s="32"/>
      <c r="V2711" s="42"/>
      <c r="W2711" s="226"/>
      <c r="X2711" s="42"/>
      <c r="Y2711" s="36"/>
      <c r="Z2711" s="36"/>
      <c r="AA2711" s="37"/>
      <c r="AB2711" s="38"/>
      <c r="AC2711" s="38"/>
      <c r="AD2711" s="38"/>
      <c r="AE2711" s="40"/>
      <c r="AF2711" s="53" t="s">
        <v>68</v>
      </c>
      <c r="AG2711" s="40"/>
      <c r="AH2711" s="42"/>
      <c r="AI2711" s="42"/>
      <c r="AJ2711" s="43"/>
      <c r="AK2711" s="43"/>
      <c r="AL2711" s="43"/>
      <c r="AM2711" s="43"/>
      <c r="AN2711" s="42"/>
      <c r="AO2711" s="42"/>
      <c r="AP2711" s="42"/>
      <c r="AQ2711" s="42"/>
      <c r="AR2711" s="42"/>
      <c r="AS2711" s="42"/>
    </row>
    <row r="2712" spans="1:45" ht="15" customHeight="1">
      <c r="A2712" s="65" t="s">
        <v>57</v>
      </c>
      <c r="B2712" s="21" t="s">
        <v>46</v>
      </c>
      <c r="C2712" s="21" t="s">
        <v>188</v>
      </c>
      <c r="D2712" s="22" t="s">
        <v>59</v>
      </c>
      <c r="E2712" s="66" t="s">
        <v>372</v>
      </c>
      <c r="F2712" s="65" t="s">
        <v>373</v>
      </c>
      <c r="G2712" s="26" t="s">
        <v>77</v>
      </c>
      <c r="H2712" s="45" t="s">
        <v>3659</v>
      </c>
      <c r="I2712" s="26" t="s">
        <v>78</v>
      </c>
      <c r="J2712" s="46" t="s">
        <v>3660</v>
      </c>
      <c r="K2712" s="47"/>
      <c r="L2712" s="48" t="s">
        <v>376</v>
      </c>
      <c r="M2712" s="49">
        <v>45194</v>
      </c>
      <c r="N2712" s="47" t="s">
        <v>182</v>
      </c>
      <c r="O2712" s="61">
        <v>4048</v>
      </c>
      <c r="P2712" s="61">
        <v>7</v>
      </c>
      <c r="Q2712" s="51">
        <f t="shared" si="65"/>
        <v>28336</v>
      </c>
      <c r="R2712" s="31">
        <v>202310</v>
      </c>
      <c r="S2712" s="32" t="s">
        <v>3683</v>
      </c>
      <c r="T2712" s="42"/>
      <c r="U2712" s="32"/>
      <c r="V2712" s="42"/>
      <c r="W2712" s="226"/>
      <c r="X2712" s="42"/>
      <c r="Y2712" s="36"/>
      <c r="Z2712" s="36"/>
      <c r="AA2712" s="37"/>
      <c r="AB2712" s="38"/>
      <c r="AC2712" s="38"/>
      <c r="AD2712" s="38"/>
      <c r="AE2712" s="40"/>
      <c r="AF2712" s="53" t="s">
        <v>68</v>
      </c>
      <c r="AG2712" s="40"/>
      <c r="AH2712" s="42"/>
      <c r="AI2712" s="42"/>
      <c r="AJ2712" s="43"/>
      <c r="AK2712" s="43"/>
      <c r="AL2712" s="43"/>
      <c r="AM2712" s="43"/>
      <c r="AN2712" s="42"/>
      <c r="AO2712" s="42"/>
      <c r="AP2712" s="42"/>
      <c r="AQ2712" s="42"/>
      <c r="AR2712" s="42"/>
      <c r="AS2712" s="42"/>
    </row>
    <row r="2713" spans="1:45" ht="15" customHeight="1">
      <c r="A2713" s="65" t="s">
        <v>57</v>
      </c>
      <c r="B2713" s="21" t="s">
        <v>46</v>
      </c>
      <c r="C2713" s="21" t="s">
        <v>188</v>
      </c>
      <c r="D2713" s="22" t="s">
        <v>59</v>
      </c>
      <c r="E2713" s="66" t="s">
        <v>372</v>
      </c>
      <c r="F2713" s="65" t="s">
        <v>373</v>
      </c>
      <c r="G2713" s="26" t="s">
        <v>77</v>
      </c>
      <c r="H2713" s="45" t="s">
        <v>3659</v>
      </c>
      <c r="I2713" s="26" t="s">
        <v>78</v>
      </c>
      <c r="J2713" s="46" t="s">
        <v>3660</v>
      </c>
      <c r="K2713" s="47"/>
      <c r="L2713" s="48" t="s">
        <v>376</v>
      </c>
      <c r="M2713" s="49">
        <v>45207</v>
      </c>
      <c r="N2713" s="47" t="s">
        <v>182</v>
      </c>
      <c r="O2713" s="61">
        <v>4048</v>
      </c>
      <c r="P2713" s="61">
        <v>2</v>
      </c>
      <c r="Q2713" s="51">
        <f>ROUND(O2713*P2713*24/31,2)</f>
        <v>6267.87</v>
      </c>
      <c r="R2713" s="31">
        <v>202310</v>
      </c>
      <c r="S2713" s="32" t="s">
        <v>3684</v>
      </c>
      <c r="T2713" s="42"/>
      <c r="U2713" s="32"/>
      <c r="V2713" s="42"/>
      <c r="W2713" s="226"/>
      <c r="X2713" s="42"/>
      <c r="Y2713" s="36"/>
      <c r="Z2713" s="36"/>
      <c r="AA2713" s="37"/>
      <c r="AB2713" s="38"/>
      <c r="AC2713" s="38"/>
      <c r="AD2713" s="38"/>
      <c r="AE2713" s="40"/>
      <c r="AF2713" s="53" t="s">
        <v>68</v>
      </c>
      <c r="AG2713" s="40"/>
      <c r="AH2713" s="42"/>
      <c r="AI2713" s="42"/>
      <c r="AJ2713" s="43"/>
      <c r="AK2713" s="43"/>
      <c r="AL2713" s="43"/>
      <c r="AM2713" s="43"/>
      <c r="AN2713" s="42"/>
      <c r="AO2713" s="42"/>
      <c r="AP2713" s="42"/>
      <c r="AQ2713" s="42"/>
      <c r="AR2713" s="42"/>
      <c r="AS2713" s="42"/>
    </row>
    <row r="2714" spans="1:45" ht="15" customHeight="1">
      <c r="A2714" s="65" t="s">
        <v>57</v>
      </c>
      <c r="B2714" s="21" t="s">
        <v>46</v>
      </c>
      <c r="C2714" s="21" t="s">
        <v>188</v>
      </c>
      <c r="D2714" s="22" t="s">
        <v>59</v>
      </c>
      <c r="E2714" s="66" t="s">
        <v>372</v>
      </c>
      <c r="F2714" s="65" t="s">
        <v>373</v>
      </c>
      <c r="G2714" s="26" t="s">
        <v>77</v>
      </c>
      <c r="H2714" s="45" t="s">
        <v>3659</v>
      </c>
      <c r="I2714" s="102" t="s">
        <v>366</v>
      </c>
      <c r="J2714" s="46" t="s">
        <v>3660</v>
      </c>
      <c r="K2714" s="47"/>
      <c r="L2714" s="48" t="s">
        <v>376</v>
      </c>
      <c r="M2714" s="49"/>
      <c r="N2714" s="47"/>
      <c r="O2714" s="61">
        <v>0.72299999999999998</v>
      </c>
      <c r="P2714" s="61">
        <f>Q2714/O2714</f>
        <v>2766251.7289073304</v>
      </c>
      <c r="Q2714" s="30">
        <v>2000000</v>
      </c>
      <c r="R2714" s="31">
        <v>202310</v>
      </c>
      <c r="S2714" s="32" t="s">
        <v>3685</v>
      </c>
      <c r="T2714" s="42" t="s">
        <v>3686</v>
      </c>
      <c r="U2714" s="70"/>
      <c r="V2714" s="42"/>
      <c r="W2714" s="226"/>
      <c r="X2714" s="42"/>
      <c r="Y2714" s="36"/>
      <c r="Z2714" s="36"/>
      <c r="AA2714" s="37"/>
      <c r="AB2714" s="38"/>
      <c r="AC2714" s="38"/>
      <c r="AD2714" s="38"/>
      <c r="AE2714" s="40"/>
      <c r="AF2714" s="53" t="s">
        <v>68</v>
      </c>
      <c r="AG2714" s="40"/>
      <c r="AH2714" s="42"/>
      <c r="AI2714" s="42"/>
      <c r="AJ2714" s="43"/>
      <c r="AK2714" s="43"/>
      <c r="AL2714" s="43"/>
      <c r="AM2714" s="43"/>
      <c r="AN2714" s="42"/>
      <c r="AO2714" s="42"/>
      <c r="AP2714" s="42"/>
      <c r="AQ2714" s="42"/>
      <c r="AR2714" s="42"/>
      <c r="AS2714" s="42"/>
    </row>
    <row r="2715" spans="1:45" ht="15" customHeight="1">
      <c r="A2715" s="65" t="s">
        <v>57</v>
      </c>
      <c r="B2715" s="22" t="s">
        <v>46</v>
      </c>
      <c r="C2715" s="21" t="s">
        <v>188</v>
      </c>
      <c r="D2715" s="22" t="s">
        <v>59</v>
      </c>
      <c r="E2715" s="66" t="s">
        <v>3687</v>
      </c>
      <c r="F2715" s="65" t="s">
        <v>3688</v>
      </c>
      <c r="G2715" s="26" t="s">
        <v>77</v>
      </c>
      <c r="H2715" s="45" t="s">
        <v>3689</v>
      </c>
      <c r="I2715" s="26" t="s">
        <v>78</v>
      </c>
      <c r="J2715" s="46" t="s">
        <v>3690</v>
      </c>
      <c r="K2715" s="47"/>
      <c r="L2715" s="48" t="s">
        <v>3691</v>
      </c>
      <c r="M2715" s="49">
        <v>45144</v>
      </c>
      <c r="N2715" s="47" t="s">
        <v>404</v>
      </c>
      <c r="O2715" s="61">
        <v>1584</v>
      </c>
      <c r="P2715" s="61">
        <v>5</v>
      </c>
      <c r="Q2715" s="51">
        <f t="shared" ref="Q2715:Q2725" si="66">ROUND(O2715*P2715,2)</f>
        <v>7920</v>
      </c>
      <c r="R2715" s="31">
        <v>202310</v>
      </c>
      <c r="S2715" s="32" t="s">
        <v>3692</v>
      </c>
      <c r="T2715" s="33"/>
      <c r="U2715" s="32"/>
      <c r="V2715" s="33"/>
      <c r="W2715" s="67"/>
      <c r="X2715" s="67"/>
      <c r="Y2715" s="36">
        <v>45114</v>
      </c>
      <c r="Z2715" s="36">
        <v>46209</v>
      </c>
      <c r="AA2715" s="36"/>
      <c r="AB2715" s="36"/>
      <c r="AC2715" s="36"/>
      <c r="AD2715" s="36"/>
      <c r="AE2715" s="36"/>
      <c r="AF2715" s="53" t="s">
        <v>68</v>
      </c>
      <c r="AG2715" s="42"/>
      <c r="AH2715" s="42"/>
      <c r="AI2715" s="43"/>
      <c r="AJ2715" s="43"/>
      <c r="AK2715" s="43"/>
      <c r="AL2715" s="43"/>
      <c r="AM2715" s="43"/>
      <c r="AN2715" s="42"/>
      <c r="AO2715" s="42"/>
      <c r="AP2715" s="42"/>
      <c r="AQ2715" s="43"/>
      <c r="AR2715" s="42"/>
      <c r="AS2715" s="42"/>
    </row>
    <row r="2716" spans="1:45" ht="15" customHeight="1">
      <c r="A2716" s="65" t="s">
        <v>57</v>
      </c>
      <c r="B2716" s="22" t="s">
        <v>46</v>
      </c>
      <c r="C2716" s="21" t="s">
        <v>188</v>
      </c>
      <c r="D2716" s="22" t="s">
        <v>59</v>
      </c>
      <c r="E2716" s="66" t="s">
        <v>3687</v>
      </c>
      <c r="F2716" s="65" t="s">
        <v>3688</v>
      </c>
      <c r="G2716" s="26" t="s">
        <v>77</v>
      </c>
      <c r="H2716" s="45" t="s">
        <v>3689</v>
      </c>
      <c r="I2716" s="26" t="s">
        <v>78</v>
      </c>
      <c r="J2716" s="46" t="s">
        <v>3690</v>
      </c>
      <c r="K2716" s="47"/>
      <c r="L2716" s="48" t="s">
        <v>3691</v>
      </c>
      <c r="M2716" s="49">
        <v>45144</v>
      </c>
      <c r="N2716" s="47" t="s">
        <v>3693</v>
      </c>
      <c r="O2716" s="61">
        <v>3168</v>
      </c>
      <c r="P2716" s="61">
        <v>156</v>
      </c>
      <c r="Q2716" s="51">
        <f t="shared" si="66"/>
        <v>494208</v>
      </c>
      <c r="R2716" s="31">
        <v>202310</v>
      </c>
      <c r="S2716" s="32" t="s">
        <v>3694</v>
      </c>
      <c r="T2716" s="33"/>
      <c r="U2716" s="32"/>
      <c r="V2716" s="33"/>
      <c r="W2716" s="67"/>
      <c r="X2716" s="67"/>
      <c r="Y2716" s="36">
        <v>45114</v>
      </c>
      <c r="Z2716" s="36">
        <v>46209</v>
      </c>
      <c r="AA2716" s="36"/>
      <c r="AB2716" s="36"/>
      <c r="AC2716" s="36"/>
      <c r="AD2716" s="36"/>
      <c r="AE2716" s="36"/>
      <c r="AF2716" s="53" t="s">
        <v>68</v>
      </c>
      <c r="AG2716" s="42"/>
      <c r="AH2716" s="42"/>
      <c r="AI2716" s="43"/>
      <c r="AJ2716" s="43"/>
      <c r="AK2716" s="43"/>
      <c r="AL2716" s="43"/>
      <c r="AM2716" s="43"/>
      <c r="AN2716" s="42"/>
      <c r="AO2716" s="42"/>
      <c r="AP2716" s="42"/>
      <c r="AQ2716" s="43"/>
      <c r="AR2716" s="42"/>
      <c r="AS2716" s="42"/>
    </row>
    <row r="2717" spans="1:45" ht="15" customHeight="1">
      <c r="A2717" s="65" t="s">
        <v>57</v>
      </c>
      <c r="B2717" s="22" t="s">
        <v>46</v>
      </c>
      <c r="C2717" s="21" t="s">
        <v>188</v>
      </c>
      <c r="D2717" s="22" t="s">
        <v>59</v>
      </c>
      <c r="E2717" s="66" t="s">
        <v>3687</v>
      </c>
      <c r="F2717" s="65" t="s">
        <v>3688</v>
      </c>
      <c r="G2717" s="26" t="s">
        <v>77</v>
      </c>
      <c r="H2717" s="45" t="s">
        <v>3689</v>
      </c>
      <c r="I2717" s="26" t="s">
        <v>78</v>
      </c>
      <c r="J2717" s="46" t="s">
        <v>3690</v>
      </c>
      <c r="K2717" s="47"/>
      <c r="L2717" s="48" t="s">
        <v>3691</v>
      </c>
      <c r="M2717" s="49">
        <v>45144</v>
      </c>
      <c r="N2717" s="47" t="s">
        <v>3695</v>
      </c>
      <c r="O2717" s="61">
        <v>8640</v>
      </c>
      <c r="P2717" s="61">
        <v>6</v>
      </c>
      <c r="Q2717" s="51">
        <f t="shared" si="66"/>
        <v>51840</v>
      </c>
      <c r="R2717" s="31">
        <v>202310</v>
      </c>
      <c r="S2717" s="32" t="s">
        <v>3696</v>
      </c>
      <c r="T2717" s="33"/>
      <c r="U2717" s="32"/>
      <c r="V2717" s="33"/>
      <c r="W2717" s="67"/>
      <c r="X2717" s="67"/>
      <c r="Y2717" s="36">
        <v>45114</v>
      </c>
      <c r="Z2717" s="36">
        <v>46209</v>
      </c>
      <c r="AA2717" s="36"/>
      <c r="AB2717" s="36"/>
      <c r="AC2717" s="36"/>
      <c r="AD2717" s="36"/>
      <c r="AE2717" s="36"/>
      <c r="AF2717" s="53" t="s">
        <v>68</v>
      </c>
      <c r="AG2717" s="42"/>
      <c r="AH2717" s="42"/>
      <c r="AI2717" s="43"/>
      <c r="AJ2717" s="43"/>
      <c r="AK2717" s="43"/>
      <c r="AL2717" s="43"/>
      <c r="AM2717" s="43"/>
      <c r="AN2717" s="42"/>
      <c r="AO2717" s="42"/>
      <c r="AP2717" s="42"/>
      <c r="AQ2717" s="43"/>
      <c r="AR2717" s="42"/>
      <c r="AS2717" s="42"/>
    </row>
    <row r="2718" spans="1:45" ht="15" customHeight="1">
      <c r="A2718" s="65" t="s">
        <v>57</v>
      </c>
      <c r="B2718" s="22" t="s">
        <v>46</v>
      </c>
      <c r="C2718" s="21" t="s">
        <v>188</v>
      </c>
      <c r="D2718" s="22" t="s">
        <v>59</v>
      </c>
      <c r="E2718" s="66" t="s">
        <v>3687</v>
      </c>
      <c r="F2718" s="65" t="s">
        <v>3688</v>
      </c>
      <c r="G2718" s="26" t="s">
        <v>77</v>
      </c>
      <c r="H2718" s="45" t="s">
        <v>3689</v>
      </c>
      <c r="I2718" s="26" t="s">
        <v>78</v>
      </c>
      <c r="J2718" s="46" t="s">
        <v>3690</v>
      </c>
      <c r="K2718" s="47"/>
      <c r="L2718" s="48" t="s">
        <v>3691</v>
      </c>
      <c r="M2718" s="49">
        <v>45144</v>
      </c>
      <c r="N2718" s="47" t="s">
        <v>3697</v>
      </c>
      <c r="O2718" s="61">
        <v>0</v>
      </c>
      <c r="P2718" s="61">
        <v>4</v>
      </c>
      <c r="Q2718" s="51">
        <f t="shared" si="66"/>
        <v>0</v>
      </c>
      <c r="R2718" s="31">
        <v>202310</v>
      </c>
      <c r="S2718" s="32" t="s">
        <v>3698</v>
      </c>
      <c r="T2718" s="33"/>
      <c r="U2718" s="32"/>
      <c r="V2718" s="33"/>
      <c r="W2718" s="67"/>
      <c r="X2718" s="67"/>
      <c r="Y2718" s="36">
        <v>45114</v>
      </c>
      <c r="Z2718" s="36">
        <v>46209</v>
      </c>
      <c r="AA2718" s="36"/>
      <c r="AB2718" s="36"/>
      <c r="AC2718" s="36"/>
      <c r="AD2718" s="36"/>
      <c r="AE2718" s="36"/>
      <c r="AF2718" s="53" t="s">
        <v>68</v>
      </c>
      <c r="AG2718" s="42"/>
      <c r="AH2718" s="42"/>
      <c r="AI2718" s="43"/>
      <c r="AJ2718" s="43"/>
      <c r="AK2718" s="43"/>
      <c r="AL2718" s="43"/>
      <c r="AM2718" s="43"/>
      <c r="AN2718" s="42"/>
      <c r="AO2718" s="42"/>
      <c r="AP2718" s="42"/>
      <c r="AQ2718" s="43"/>
      <c r="AR2718" s="42"/>
      <c r="AS2718" s="42"/>
    </row>
    <row r="2719" spans="1:45" ht="15" customHeight="1">
      <c r="A2719" s="65" t="s">
        <v>57</v>
      </c>
      <c r="B2719" s="22" t="s">
        <v>46</v>
      </c>
      <c r="C2719" s="21" t="s">
        <v>188</v>
      </c>
      <c r="D2719" s="22" t="s">
        <v>59</v>
      </c>
      <c r="E2719" s="66" t="s">
        <v>3687</v>
      </c>
      <c r="F2719" s="65" t="s">
        <v>3688</v>
      </c>
      <c r="G2719" s="26" t="s">
        <v>77</v>
      </c>
      <c r="H2719" s="45" t="s">
        <v>3689</v>
      </c>
      <c r="I2719" s="26" t="s">
        <v>78</v>
      </c>
      <c r="J2719" s="46" t="s">
        <v>3690</v>
      </c>
      <c r="K2719" s="47"/>
      <c r="L2719" s="48" t="s">
        <v>3691</v>
      </c>
      <c r="M2719" s="49">
        <v>45146</v>
      </c>
      <c r="N2719" s="47" t="s">
        <v>3693</v>
      </c>
      <c r="O2719" s="61">
        <v>3168</v>
      </c>
      <c r="P2719" s="61">
        <v>2</v>
      </c>
      <c r="Q2719" s="51">
        <f t="shared" si="66"/>
        <v>6336</v>
      </c>
      <c r="R2719" s="31">
        <v>202310</v>
      </c>
      <c r="S2719" s="32" t="s">
        <v>3699</v>
      </c>
      <c r="T2719" s="33"/>
      <c r="U2719" s="32"/>
      <c r="V2719" s="33"/>
      <c r="W2719" s="67"/>
      <c r="X2719" s="67"/>
      <c r="Y2719" s="36">
        <v>45114</v>
      </c>
      <c r="Z2719" s="36">
        <v>46209</v>
      </c>
      <c r="AA2719" s="36"/>
      <c r="AB2719" s="36"/>
      <c r="AC2719" s="36"/>
      <c r="AD2719" s="36"/>
      <c r="AE2719" s="36"/>
      <c r="AF2719" s="53" t="s">
        <v>68</v>
      </c>
      <c r="AG2719" s="42"/>
      <c r="AH2719" s="42"/>
      <c r="AI2719" s="43"/>
      <c r="AJ2719" s="43"/>
      <c r="AK2719" s="43"/>
      <c r="AL2719" s="43"/>
      <c r="AM2719" s="43"/>
      <c r="AN2719" s="42"/>
      <c r="AO2719" s="42"/>
      <c r="AP2719" s="42"/>
      <c r="AQ2719" s="43"/>
      <c r="AR2719" s="42"/>
      <c r="AS2719" s="42"/>
    </row>
    <row r="2720" spans="1:45" ht="15" customHeight="1">
      <c r="A2720" s="65" t="s">
        <v>57</v>
      </c>
      <c r="B2720" s="22" t="s">
        <v>46</v>
      </c>
      <c r="C2720" s="21" t="s">
        <v>188</v>
      </c>
      <c r="D2720" s="22" t="s">
        <v>59</v>
      </c>
      <c r="E2720" s="66" t="s">
        <v>3687</v>
      </c>
      <c r="F2720" s="65" t="s">
        <v>3688</v>
      </c>
      <c r="G2720" s="26" t="s">
        <v>77</v>
      </c>
      <c r="H2720" s="45" t="s">
        <v>3689</v>
      </c>
      <c r="I2720" s="26" t="s">
        <v>78</v>
      </c>
      <c r="J2720" s="46" t="s">
        <v>3690</v>
      </c>
      <c r="K2720" s="47"/>
      <c r="L2720" s="48" t="s">
        <v>3691</v>
      </c>
      <c r="M2720" s="49">
        <v>45154</v>
      </c>
      <c r="N2720" s="47" t="s">
        <v>3693</v>
      </c>
      <c r="O2720" s="61">
        <v>3168</v>
      </c>
      <c r="P2720" s="61">
        <v>1</v>
      </c>
      <c r="Q2720" s="51">
        <f t="shared" si="66"/>
        <v>3168</v>
      </c>
      <c r="R2720" s="31">
        <v>202310</v>
      </c>
      <c r="S2720" s="32" t="s">
        <v>3700</v>
      </c>
      <c r="T2720" s="33"/>
      <c r="U2720" s="32"/>
      <c r="V2720" s="33"/>
      <c r="W2720" s="67"/>
      <c r="X2720" s="67"/>
      <c r="Y2720" s="36">
        <v>45114</v>
      </c>
      <c r="Z2720" s="36">
        <v>46209</v>
      </c>
      <c r="AA2720" s="36"/>
      <c r="AB2720" s="36"/>
      <c r="AC2720" s="36"/>
      <c r="AD2720" s="36"/>
      <c r="AE2720" s="36"/>
      <c r="AF2720" s="53" t="s">
        <v>68</v>
      </c>
      <c r="AG2720" s="42"/>
      <c r="AH2720" s="42"/>
      <c r="AI2720" s="43"/>
      <c r="AJ2720" s="43"/>
      <c r="AK2720" s="43"/>
      <c r="AL2720" s="43"/>
      <c r="AM2720" s="43"/>
      <c r="AN2720" s="42"/>
      <c r="AO2720" s="42"/>
      <c r="AP2720" s="42"/>
      <c r="AQ2720" s="43"/>
      <c r="AR2720" s="42"/>
      <c r="AS2720" s="42"/>
    </row>
    <row r="2721" spans="1:45" ht="15" customHeight="1">
      <c r="A2721" s="65" t="s">
        <v>57</v>
      </c>
      <c r="B2721" s="22" t="s">
        <v>46</v>
      </c>
      <c r="C2721" s="21" t="s">
        <v>188</v>
      </c>
      <c r="D2721" s="22" t="s">
        <v>59</v>
      </c>
      <c r="E2721" s="66" t="s">
        <v>3687</v>
      </c>
      <c r="F2721" s="65" t="s">
        <v>3688</v>
      </c>
      <c r="G2721" s="26" t="s">
        <v>77</v>
      </c>
      <c r="H2721" s="45" t="s">
        <v>3689</v>
      </c>
      <c r="I2721" s="26" t="s">
        <v>78</v>
      </c>
      <c r="J2721" s="46" t="s">
        <v>3690</v>
      </c>
      <c r="K2721" s="47"/>
      <c r="L2721" s="48" t="s">
        <v>3691</v>
      </c>
      <c r="M2721" s="49">
        <v>45155</v>
      </c>
      <c r="N2721" s="47" t="s">
        <v>3693</v>
      </c>
      <c r="O2721" s="61">
        <v>3168</v>
      </c>
      <c r="P2721" s="61">
        <v>1</v>
      </c>
      <c r="Q2721" s="51">
        <f t="shared" si="66"/>
        <v>3168</v>
      </c>
      <c r="R2721" s="31">
        <v>202310</v>
      </c>
      <c r="S2721" s="32" t="s">
        <v>3701</v>
      </c>
      <c r="T2721" s="33"/>
      <c r="U2721" s="32"/>
      <c r="V2721" s="33"/>
      <c r="W2721" s="67"/>
      <c r="X2721" s="67"/>
      <c r="Y2721" s="36">
        <v>45114</v>
      </c>
      <c r="Z2721" s="36">
        <v>46209</v>
      </c>
      <c r="AA2721" s="36"/>
      <c r="AB2721" s="36"/>
      <c r="AC2721" s="36"/>
      <c r="AD2721" s="36"/>
      <c r="AE2721" s="36"/>
      <c r="AF2721" s="53" t="s">
        <v>68</v>
      </c>
      <c r="AG2721" s="42"/>
      <c r="AH2721" s="42"/>
      <c r="AI2721" s="43"/>
      <c r="AJ2721" s="43"/>
      <c r="AK2721" s="43"/>
      <c r="AL2721" s="43"/>
      <c r="AM2721" s="43"/>
      <c r="AN2721" s="42"/>
      <c r="AO2721" s="42"/>
      <c r="AP2721" s="42"/>
      <c r="AQ2721" s="43"/>
      <c r="AR2721" s="42"/>
      <c r="AS2721" s="42"/>
    </row>
    <row r="2722" spans="1:45" ht="15" customHeight="1">
      <c r="A2722" s="65" t="s">
        <v>57</v>
      </c>
      <c r="B2722" s="22" t="s">
        <v>46</v>
      </c>
      <c r="C2722" s="21" t="s">
        <v>188</v>
      </c>
      <c r="D2722" s="22" t="s">
        <v>59</v>
      </c>
      <c r="E2722" s="66" t="s">
        <v>3687</v>
      </c>
      <c r="F2722" s="65" t="s">
        <v>3688</v>
      </c>
      <c r="G2722" s="26" t="s">
        <v>77</v>
      </c>
      <c r="H2722" s="45" t="s">
        <v>3689</v>
      </c>
      <c r="I2722" s="26" t="s">
        <v>78</v>
      </c>
      <c r="J2722" s="46" t="s">
        <v>3690</v>
      </c>
      <c r="K2722" s="47"/>
      <c r="L2722" s="48" t="s">
        <v>3691</v>
      </c>
      <c r="M2722" s="49">
        <v>45161</v>
      </c>
      <c r="N2722" s="47" t="s">
        <v>3693</v>
      </c>
      <c r="O2722" s="61">
        <v>3168</v>
      </c>
      <c r="P2722" s="61">
        <v>91</v>
      </c>
      <c r="Q2722" s="51">
        <f t="shared" si="66"/>
        <v>288288</v>
      </c>
      <c r="R2722" s="31">
        <v>202310</v>
      </c>
      <c r="S2722" s="32" t="s">
        <v>3702</v>
      </c>
      <c r="T2722" s="33"/>
      <c r="U2722" s="32"/>
      <c r="V2722" s="33"/>
      <c r="W2722" s="67"/>
      <c r="X2722" s="67"/>
      <c r="Y2722" s="36">
        <v>45114</v>
      </c>
      <c r="Z2722" s="36">
        <v>46209</v>
      </c>
      <c r="AA2722" s="36"/>
      <c r="AB2722" s="36"/>
      <c r="AC2722" s="36"/>
      <c r="AD2722" s="36"/>
      <c r="AE2722" s="36"/>
      <c r="AF2722" s="53" t="s">
        <v>68</v>
      </c>
      <c r="AG2722" s="42"/>
      <c r="AH2722" s="42"/>
      <c r="AI2722" s="43"/>
      <c r="AJ2722" s="43"/>
      <c r="AK2722" s="43"/>
      <c r="AL2722" s="43"/>
      <c r="AM2722" s="43"/>
      <c r="AN2722" s="42"/>
      <c r="AO2722" s="42"/>
      <c r="AP2722" s="42"/>
      <c r="AQ2722" s="43"/>
      <c r="AR2722" s="42"/>
      <c r="AS2722" s="42"/>
    </row>
    <row r="2723" spans="1:45" ht="15" customHeight="1">
      <c r="A2723" s="65" t="s">
        <v>57</v>
      </c>
      <c r="B2723" s="22" t="s">
        <v>46</v>
      </c>
      <c r="C2723" s="21" t="s">
        <v>188</v>
      </c>
      <c r="D2723" s="22" t="s">
        <v>59</v>
      </c>
      <c r="E2723" s="66" t="s">
        <v>3687</v>
      </c>
      <c r="F2723" s="65" t="s">
        <v>3688</v>
      </c>
      <c r="G2723" s="26" t="s">
        <v>77</v>
      </c>
      <c r="H2723" s="45" t="s">
        <v>3689</v>
      </c>
      <c r="I2723" s="26" t="s">
        <v>78</v>
      </c>
      <c r="J2723" s="46" t="s">
        <v>3690</v>
      </c>
      <c r="K2723" s="47"/>
      <c r="L2723" s="48" t="s">
        <v>3691</v>
      </c>
      <c r="M2723" s="49">
        <v>45187</v>
      </c>
      <c r="N2723" s="47" t="s">
        <v>3693</v>
      </c>
      <c r="O2723" s="61">
        <v>3168</v>
      </c>
      <c r="P2723" s="61">
        <v>2</v>
      </c>
      <c r="Q2723" s="51">
        <f t="shared" si="66"/>
        <v>6336</v>
      </c>
      <c r="R2723" s="31">
        <v>202310</v>
      </c>
      <c r="S2723" s="32" t="s">
        <v>3703</v>
      </c>
      <c r="T2723" s="33"/>
      <c r="U2723" s="32"/>
      <c r="V2723" s="33"/>
      <c r="W2723" s="67"/>
      <c r="X2723" s="67"/>
      <c r="Y2723" s="36">
        <v>45114</v>
      </c>
      <c r="Z2723" s="36">
        <v>46209</v>
      </c>
      <c r="AA2723" s="36"/>
      <c r="AB2723" s="36"/>
      <c r="AC2723" s="36"/>
      <c r="AD2723" s="36"/>
      <c r="AE2723" s="36"/>
      <c r="AF2723" s="53" t="s">
        <v>68</v>
      </c>
      <c r="AG2723" s="42"/>
      <c r="AH2723" s="42"/>
      <c r="AI2723" s="43"/>
      <c r="AJ2723" s="43"/>
      <c r="AK2723" s="43"/>
      <c r="AL2723" s="43"/>
      <c r="AM2723" s="43"/>
      <c r="AN2723" s="42"/>
      <c r="AO2723" s="42"/>
      <c r="AP2723" s="42"/>
      <c r="AQ2723" s="43"/>
      <c r="AR2723" s="42"/>
      <c r="AS2723" s="42"/>
    </row>
    <row r="2724" spans="1:45" ht="15" customHeight="1">
      <c r="A2724" s="65" t="s">
        <v>57</v>
      </c>
      <c r="B2724" s="22" t="s">
        <v>46</v>
      </c>
      <c r="C2724" s="21" t="s">
        <v>188</v>
      </c>
      <c r="D2724" s="22" t="s">
        <v>59</v>
      </c>
      <c r="E2724" s="66" t="s">
        <v>3687</v>
      </c>
      <c r="F2724" s="65" t="s">
        <v>3688</v>
      </c>
      <c r="G2724" s="26" t="s">
        <v>77</v>
      </c>
      <c r="H2724" s="45" t="s">
        <v>3689</v>
      </c>
      <c r="I2724" s="26" t="s">
        <v>78</v>
      </c>
      <c r="J2724" s="46" t="s">
        <v>3690</v>
      </c>
      <c r="K2724" s="47"/>
      <c r="L2724" s="48" t="s">
        <v>3691</v>
      </c>
      <c r="M2724" s="49">
        <v>45195</v>
      </c>
      <c r="N2724" s="47" t="s">
        <v>3693</v>
      </c>
      <c r="O2724" s="61">
        <v>3168</v>
      </c>
      <c r="P2724" s="61">
        <v>21</v>
      </c>
      <c r="Q2724" s="51">
        <f t="shared" si="66"/>
        <v>66528</v>
      </c>
      <c r="R2724" s="31">
        <v>202310</v>
      </c>
      <c r="S2724" s="32" t="s">
        <v>3704</v>
      </c>
      <c r="T2724" s="33"/>
      <c r="U2724" s="32"/>
      <c r="V2724" s="33"/>
      <c r="W2724" s="67"/>
      <c r="X2724" s="67"/>
      <c r="Y2724" s="36">
        <v>45114</v>
      </c>
      <c r="Z2724" s="36">
        <v>46209</v>
      </c>
      <c r="AA2724" s="36"/>
      <c r="AB2724" s="36"/>
      <c r="AC2724" s="36"/>
      <c r="AD2724" s="36"/>
      <c r="AE2724" s="36"/>
      <c r="AF2724" s="53" t="s">
        <v>68</v>
      </c>
      <c r="AG2724" s="42"/>
      <c r="AH2724" s="42"/>
      <c r="AI2724" s="43"/>
      <c r="AJ2724" s="43"/>
      <c r="AK2724" s="43"/>
      <c r="AL2724" s="43"/>
      <c r="AM2724" s="43"/>
      <c r="AN2724" s="42"/>
      <c r="AO2724" s="42"/>
      <c r="AP2724" s="42"/>
      <c r="AQ2724" s="43"/>
      <c r="AR2724" s="42"/>
      <c r="AS2724" s="42"/>
    </row>
    <row r="2725" spans="1:45" ht="15" customHeight="1">
      <c r="A2725" s="65" t="s">
        <v>57</v>
      </c>
      <c r="B2725" s="22" t="s">
        <v>46</v>
      </c>
      <c r="C2725" s="21" t="s">
        <v>188</v>
      </c>
      <c r="D2725" s="22" t="s">
        <v>59</v>
      </c>
      <c r="E2725" s="66" t="s">
        <v>3687</v>
      </c>
      <c r="F2725" s="65" t="s">
        <v>3688</v>
      </c>
      <c r="G2725" s="26" t="s">
        <v>77</v>
      </c>
      <c r="H2725" s="45" t="s">
        <v>3689</v>
      </c>
      <c r="I2725" s="26" t="s">
        <v>78</v>
      </c>
      <c r="J2725" s="46" t="s">
        <v>3690</v>
      </c>
      <c r="K2725" s="47"/>
      <c r="L2725" s="48" t="s">
        <v>3691</v>
      </c>
      <c r="M2725" s="49">
        <v>45197</v>
      </c>
      <c r="N2725" s="47" t="s">
        <v>3693</v>
      </c>
      <c r="O2725" s="61">
        <v>3168</v>
      </c>
      <c r="P2725" s="61">
        <v>3</v>
      </c>
      <c r="Q2725" s="51">
        <f t="shared" si="66"/>
        <v>9504</v>
      </c>
      <c r="R2725" s="31">
        <v>202310</v>
      </c>
      <c r="S2725" s="32" t="s">
        <v>3705</v>
      </c>
      <c r="T2725" s="33"/>
      <c r="U2725" s="32"/>
      <c r="V2725" s="33"/>
      <c r="W2725" s="67"/>
      <c r="X2725" s="67"/>
      <c r="Y2725" s="36">
        <v>45114</v>
      </c>
      <c r="Z2725" s="36">
        <v>46209</v>
      </c>
      <c r="AA2725" s="36"/>
      <c r="AB2725" s="36"/>
      <c r="AC2725" s="36"/>
      <c r="AD2725" s="36"/>
      <c r="AE2725" s="36"/>
      <c r="AF2725" s="53" t="s">
        <v>68</v>
      </c>
      <c r="AG2725" s="42"/>
      <c r="AH2725" s="42"/>
      <c r="AI2725" s="43"/>
      <c r="AJ2725" s="43"/>
      <c r="AK2725" s="43"/>
      <c r="AL2725" s="43"/>
      <c r="AM2725" s="43"/>
      <c r="AN2725" s="42"/>
      <c r="AO2725" s="42"/>
      <c r="AP2725" s="42"/>
      <c r="AQ2725" s="43"/>
      <c r="AR2725" s="42"/>
      <c r="AS2725" s="42"/>
    </row>
    <row r="2726" spans="1:45" ht="15" customHeight="1">
      <c r="A2726" s="65" t="s">
        <v>57</v>
      </c>
      <c r="B2726" s="22" t="s">
        <v>46</v>
      </c>
      <c r="C2726" s="21" t="s">
        <v>188</v>
      </c>
      <c r="D2726" s="22" t="s">
        <v>59</v>
      </c>
      <c r="E2726" s="66" t="s">
        <v>3687</v>
      </c>
      <c r="F2726" s="65" t="s">
        <v>3688</v>
      </c>
      <c r="G2726" s="26" t="s">
        <v>77</v>
      </c>
      <c r="H2726" s="45" t="s">
        <v>3689</v>
      </c>
      <c r="I2726" s="26" t="s">
        <v>78</v>
      </c>
      <c r="J2726" s="46" t="s">
        <v>3690</v>
      </c>
      <c r="K2726" s="47"/>
      <c r="L2726" s="48" t="s">
        <v>3691</v>
      </c>
      <c r="M2726" s="49">
        <v>45211</v>
      </c>
      <c r="N2726" s="47" t="s">
        <v>3693</v>
      </c>
      <c r="O2726" s="61">
        <v>3168</v>
      </c>
      <c r="P2726" s="61">
        <v>30</v>
      </c>
      <c r="Q2726" s="51">
        <f>ROUND(O2726*P2726*20/31,2)</f>
        <v>61316.13</v>
      </c>
      <c r="R2726" s="31">
        <v>202310</v>
      </c>
      <c r="S2726" s="32" t="s">
        <v>3706</v>
      </c>
      <c r="T2726" s="33"/>
      <c r="U2726" s="32"/>
      <c r="V2726" s="33"/>
      <c r="W2726" s="67"/>
      <c r="X2726" s="67"/>
      <c r="Y2726" s="36">
        <v>45114</v>
      </c>
      <c r="Z2726" s="36">
        <v>46209</v>
      </c>
      <c r="AA2726" s="36"/>
      <c r="AB2726" s="36"/>
      <c r="AC2726" s="36"/>
      <c r="AD2726" s="36"/>
      <c r="AE2726" s="36"/>
      <c r="AF2726" s="53" t="s">
        <v>68</v>
      </c>
      <c r="AG2726" s="42"/>
      <c r="AH2726" s="42"/>
      <c r="AI2726" s="43"/>
      <c r="AJ2726" s="43"/>
      <c r="AK2726" s="43"/>
      <c r="AL2726" s="43"/>
      <c r="AM2726" s="43"/>
      <c r="AN2726" s="42"/>
      <c r="AO2726" s="42"/>
      <c r="AP2726" s="42"/>
      <c r="AQ2726" s="43"/>
      <c r="AR2726" s="42"/>
      <c r="AS2726" s="42"/>
    </row>
    <row r="2727" spans="1:45" ht="15" customHeight="1">
      <c r="A2727" s="65" t="s">
        <v>57</v>
      </c>
      <c r="B2727" s="22" t="s">
        <v>46</v>
      </c>
      <c r="C2727" s="21" t="s">
        <v>188</v>
      </c>
      <c r="D2727" s="22" t="s">
        <v>59</v>
      </c>
      <c r="E2727" s="66" t="s">
        <v>3687</v>
      </c>
      <c r="F2727" s="65" t="s">
        <v>3688</v>
      </c>
      <c r="G2727" s="26" t="s">
        <v>77</v>
      </c>
      <c r="H2727" s="45" t="s">
        <v>3689</v>
      </c>
      <c r="I2727" s="102" t="s">
        <v>366</v>
      </c>
      <c r="J2727" s="46" t="s">
        <v>3707</v>
      </c>
      <c r="K2727" s="47"/>
      <c r="L2727" s="48" t="s">
        <v>3691</v>
      </c>
      <c r="M2727" s="49"/>
      <c r="N2727" s="47"/>
      <c r="O2727" s="61">
        <v>0.72599999999999998</v>
      </c>
      <c r="P2727" s="61">
        <f>Q2727/O2727</f>
        <v>688705.23415977962</v>
      </c>
      <c r="Q2727" s="30">
        <v>500000</v>
      </c>
      <c r="R2727" s="31">
        <v>202310</v>
      </c>
      <c r="S2727" s="33" t="s">
        <v>3708</v>
      </c>
      <c r="T2727" s="33" t="s">
        <v>3709</v>
      </c>
      <c r="U2727" s="32"/>
      <c r="V2727" s="33"/>
      <c r="W2727" s="67"/>
      <c r="X2727" s="67"/>
      <c r="Y2727" s="36">
        <v>45114</v>
      </c>
      <c r="Z2727" s="36">
        <v>46209</v>
      </c>
      <c r="AA2727" s="36"/>
      <c r="AB2727" s="36"/>
      <c r="AC2727" s="36"/>
      <c r="AD2727" s="36"/>
      <c r="AE2727" s="36"/>
      <c r="AF2727" s="53" t="s">
        <v>68</v>
      </c>
      <c r="AG2727" s="42"/>
      <c r="AH2727" s="42"/>
      <c r="AI2727" s="43"/>
      <c r="AJ2727" s="43"/>
      <c r="AK2727" s="43"/>
      <c r="AL2727" s="43"/>
      <c r="AM2727" s="43"/>
      <c r="AN2727" s="42"/>
      <c r="AO2727" s="42"/>
      <c r="AP2727" s="42"/>
      <c r="AQ2727" s="43"/>
      <c r="AR2727" s="42"/>
      <c r="AS2727" s="42"/>
    </row>
    <row r="2728" spans="1:45" ht="15" customHeight="1">
      <c r="A2728" s="65" t="s">
        <v>57</v>
      </c>
      <c r="B2728" s="22" t="s">
        <v>46</v>
      </c>
      <c r="C2728" s="21" t="s">
        <v>188</v>
      </c>
      <c r="D2728" s="22" t="s">
        <v>59</v>
      </c>
      <c r="E2728" s="66" t="s">
        <v>3687</v>
      </c>
      <c r="F2728" s="65" t="s">
        <v>3688</v>
      </c>
      <c r="G2728" s="26" t="s">
        <v>77</v>
      </c>
      <c r="H2728" s="45" t="s">
        <v>3689</v>
      </c>
      <c r="I2728" s="26" t="s">
        <v>78</v>
      </c>
      <c r="J2728" s="46" t="s">
        <v>3710</v>
      </c>
      <c r="K2728" s="47"/>
      <c r="L2728" s="48" t="s">
        <v>3691</v>
      </c>
      <c r="M2728" s="49">
        <v>45207</v>
      </c>
      <c r="N2728" s="47" t="s">
        <v>404</v>
      </c>
      <c r="O2728" s="61">
        <v>1584</v>
      </c>
      <c r="P2728" s="61">
        <v>1</v>
      </c>
      <c r="Q2728" s="51">
        <f>ROUND(O2728*P2728*24/31,2)</f>
        <v>1226.32</v>
      </c>
      <c r="R2728" s="31">
        <v>202310</v>
      </c>
      <c r="S2728" s="32" t="s">
        <v>3711</v>
      </c>
      <c r="T2728" s="33"/>
      <c r="U2728" s="94"/>
      <c r="V2728" s="172"/>
      <c r="W2728" s="132"/>
      <c r="X2728" s="132"/>
      <c r="Y2728" s="97">
        <v>45114</v>
      </c>
      <c r="Z2728" s="97">
        <v>46209</v>
      </c>
      <c r="AA2728" s="36"/>
      <c r="AB2728" s="36"/>
      <c r="AC2728" s="36"/>
      <c r="AD2728" s="36"/>
      <c r="AE2728" s="36"/>
      <c r="AF2728" s="53" t="s">
        <v>68</v>
      </c>
      <c r="AG2728" s="42"/>
      <c r="AH2728" s="42"/>
      <c r="AI2728" s="43"/>
      <c r="AJ2728" s="43"/>
      <c r="AK2728" s="43"/>
      <c r="AL2728" s="43"/>
      <c r="AM2728" s="43"/>
      <c r="AN2728" s="42"/>
      <c r="AO2728" s="42"/>
      <c r="AP2728" s="42"/>
      <c r="AQ2728" s="43"/>
      <c r="AR2728" s="42"/>
      <c r="AS2728" s="42"/>
    </row>
    <row r="2729" spans="1:45" ht="15" customHeight="1">
      <c r="A2729" s="65" t="s">
        <v>57</v>
      </c>
      <c r="B2729" s="22" t="s">
        <v>46</v>
      </c>
      <c r="C2729" s="21" t="s">
        <v>188</v>
      </c>
      <c r="D2729" s="22" t="s">
        <v>59</v>
      </c>
      <c r="E2729" s="66" t="s">
        <v>3687</v>
      </c>
      <c r="F2729" s="65" t="s">
        <v>3688</v>
      </c>
      <c r="G2729" s="26" t="s">
        <v>77</v>
      </c>
      <c r="H2729" s="45" t="s">
        <v>3689</v>
      </c>
      <c r="I2729" s="26" t="s">
        <v>78</v>
      </c>
      <c r="J2729" s="46" t="s">
        <v>3710</v>
      </c>
      <c r="K2729" s="47"/>
      <c r="L2729" s="48" t="s">
        <v>3691</v>
      </c>
      <c r="M2729" s="49">
        <v>45209</v>
      </c>
      <c r="N2729" s="47" t="s">
        <v>3693</v>
      </c>
      <c r="O2729" s="61">
        <v>3168</v>
      </c>
      <c r="P2729" s="61">
        <v>4</v>
      </c>
      <c r="Q2729" s="51">
        <f>ROUND(O2729*P2729*22/31,2)</f>
        <v>8993.0300000000007</v>
      </c>
      <c r="R2729" s="31">
        <v>202310</v>
      </c>
      <c r="S2729" s="32" t="s">
        <v>3712</v>
      </c>
      <c r="T2729" s="33"/>
      <c r="U2729" s="94"/>
      <c r="V2729" s="172"/>
      <c r="W2729" s="132"/>
      <c r="X2729" s="132"/>
      <c r="Y2729" s="97">
        <v>45114</v>
      </c>
      <c r="Z2729" s="97">
        <v>46209</v>
      </c>
      <c r="AA2729" s="36"/>
      <c r="AB2729" s="36"/>
      <c r="AC2729" s="36"/>
      <c r="AD2729" s="36"/>
      <c r="AE2729" s="36"/>
      <c r="AF2729" s="53" t="s">
        <v>68</v>
      </c>
      <c r="AG2729" s="42"/>
      <c r="AH2729" s="42"/>
      <c r="AI2729" s="43"/>
      <c r="AJ2729" s="43"/>
      <c r="AK2729" s="43"/>
      <c r="AL2729" s="43"/>
      <c r="AM2729" s="43"/>
      <c r="AN2729" s="42"/>
      <c r="AO2729" s="42"/>
      <c r="AP2729" s="42"/>
      <c r="AQ2729" s="43"/>
      <c r="AR2729" s="42"/>
      <c r="AS2729" s="42"/>
    </row>
    <row r="2730" spans="1:45" ht="15" customHeight="1">
      <c r="A2730" s="65" t="s">
        <v>57</v>
      </c>
      <c r="B2730" s="22" t="s">
        <v>46</v>
      </c>
      <c r="C2730" s="21" t="s">
        <v>188</v>
      </c>
      <c r="D2730" s="22" t="s">
        <v>59</v>
      </c>
      <c r="E2730" s="66" t="s">
        <v>3687</v>
      </c>
      <c r="F2730" s="65" t="s">
        <v>3688</v>
      </c>
      <c r="G2730" s="26" t="s">
        <v>77</v>
      </c>
      <c r="H2730" s="45" t="s">
        <v>3689</v>
      </c>
      <c r="I2730" s="26" t="s">
        <v>78</v>
      </c>
      <c r="J2730" s="46" t="s">
        <v>3710</v>
      </c>
      <c r="K2730" s="47"/>
      <c r="L2730" s="48" t="s">
        <v>3691</v>
      </c>
      <c r="M2730" s="49">
        <v>45211</v>
      </c>
      <c r="N2730" s="47" t="s">
        <v>3693</v>
      </c>
      <c r="O2730" s="61">
        <v>3168</v>
      </c>
      <c r="P2730" s="61">
        <v>60</v>
      </c>
      <c r="Q2730" s="51">
        <f>ROUND(O2730*P2730*20/31,2)</f>
        <v>122632.26</v>
      </c>
      <c r="R2730" s="31">
        <v>202310</v>
      </c>
      <c r="S2730" s="32" t="s">
        <v>3713</v>
      </c>
      <c r="T2730" s="33"/>
      <c r="U2730" s="94"/>
      <c r="V2730" s="172"/>
      <c r="W2730" s="132"/>
      <c r="X2730" s="132"/>
      <c r="Y2730" s="97">
        <v>45114</v>
      </c>
      <c r="Z2730" s="97">
        <v>46209</v>
      </c>
      <c r="AA2730" s="36"/>
      <c r="AB2730" s="36"/>
      <c r="AC2730" s="36"/>
      <c r="AD2730" s="36"/>
      <c r="AE2730" s="36"/>
      <c r="AF2730" s="53" t="s">
        <v>68</v>
      </c>
      <c r="AG2730" s="42"/>
      <c r="AH2730" s="42"/>
      <c r="AI2730" s="43"/>
      <c r="AJ2730" s="43"/>
      <c r="AK2730" s="43"/>
      <c r="AL2730" s="43"/>
      <c r="AM2730" s="43"/>
      <c r="AN2730" s="42"/>
      <c r="AO2730" s="42"/>
      <c r="AP2730" s="42"/>
      <c r="AQ2730" s="43"/>
      <c r="AR2730" s="42"/>
      <c r="AS2730" s="42"/>
    </row>
    <row r="2731" spans="1:45" ht="15" customHeight="1">
      <c r="A2731" s="65" t="s">
        <v>57</v>
      </c>
      <c r="B2731" s="22" t="s">
        <v>46</v>
      </c>
      <c r="C2731" s="21" t="s">
        <v>188</v>
      </c>
      <c r="D2731" s="22" t="s">
        <v>59</v>
      </c>
      <c r="E2731" s="66" t="s">
        <v>3687</v>
      </c>
      <c r="F2731" s="65" t="s">
        <v>3688</v>
      </c>
      <c r="G2731" s="26" t="s">
        <v>77</v>
      </c>
      <c r="H2731" s="45" t="s">
        <v>3689</v>
      </c>
      <c r="I2731" s="102" t="s">
        <v>366</v>
      </c>
      <c r="J2731" s="46" t="s">
        <v>3710</v>
      </c>
      <c r="K2731" s="47"/>
      <c r="L2731" s="48" t="s">
        <v>3691</v>
      </c>
      <c r="M2731" s="49"/>
      <c r="N2731" s="47"/>
      <c r="O2731" s="61">
        <v>0.72599999999999998</v>
      </c>
      <c r="P2731" s="61">
        <f>Q2731/O2731</f>
        <v>137741.04683195593</v>
      </c>
      <c r="Q2731" s="30">
        <v>100000</v>
      </c>
      <c r="R2731" s="31">
        <v>202310</v>
      </c>
      <c r="S2731" s="33" t="s">
        <v>3714</v>
      </c>
      <c r="T2731" s="33" t="s">
        <v>3709</v>
      </c>
      <c r="U2731" s="32"/>
      <c r="V2731" s="33"/>
      <c r="W2731" s="67"/>
      <c r="X2731" s="67"/>
      <c r="Y2731" s="36">
        <v>45114</v>
      </c>
      <c r="Z2731" s="36">
        <v>46209</v>
      </c>
      <c r="AA2731" s="36"/>
      <c r="AB2731" s="36"/>
      <c r="AC2731" s="36"/>
      <c r="AD2731" s="36"/>
      <c r="AE2731" s="36"/>
      <c r="AF2731" s="53" t="s">
        <v>68</v>
      </c>
      <c r="AG2731" s="42"/>
      <c r="AH2731" s="42"/>
      <c r="AI2731" s="43"/>
      <c r="AJ2731" s="43"/>
      <c r="AK2731" s="43"/>
      <c r="AL2731" s="43"/>
      <c r="AM2731" s="43"/>
      <c r="AN2731" s="42"/>
      <c r="AO2731" s="42"/>
      <c r="AP2731" s="42"/>
      <c r="AQ2731" s="43"/>
      <c r="AR2731" s="42"/>
      <c r="AS2731" s="42"/>
    </row>
    <row r="2732" spans="1:45" ht="15" customHeight="1">
      <c r="A2732" s="21" t="s">
        <v>260</v>
      </c>
      <c r="B2732" s="21" t="s">
        <v>46</v>
      </c>
      <c r="C2732" s="21" t="s">
        <v>188</v>
      </c>
      <c r="D2732" s="21" t="s">
        <v>48</v>
      </c>
      <c r="E2732" s="80" t="s">
        <v>919</v>
      </c>
      <c r="F2732" s="21" t="s">
        <v>953</v>
      </c>
      <c r="G2732" s="101" t="s">
        <v>77</v>
      </c>
      <c r="H2732" s="25" t="s">
        <v>1147</v>
      </c>
      <c r="I2732" s="102" t="s">
        <v>78</v>
      </c>
      <c r="J2732" s="65" t="s">
        <v>1148</v>
      </c>
      <c r="K2732" s="104"/>
      <c r="L2732" s="48" t="s">
        <v>956</v>
      </c>
      <c r="M2732" s="27">
        <v>44883</v>
      </c>
      <c r="N2732" s="105" t="s">
        <v>177</v>
      </c>
      <c r="O2732" s="106">
        <v>5900</v>
      </c>
      <c r="P2732" s="106">
        <v>1</v>
      </c>
      <c r="Q2732" s="51">
        <f t="shared" ref="Q2732:Q2748" si="67">ROUND(O2732*P2732,2)</f>
        <v>5900</v>
      </c>
      <c r="R2732" s="31">
        <v>202310</v>
      </c>
      <c r="S2732" s="117" t="s">
        <v>3715</v>
      </c>
      <c r="T2732" s="33"/>
      <c r="U2732" s="117"/>
      <c r="V2732" s="118"/>
      <c r="W2732" s="67"/>
      <c r="X2732" s="67"/>
      <c r="Y2732" s="36">
        <v>44637</v>
      </c>
      <c r="Z2732" s="36">
        <v>46828</v>
      </c>
      <c r="AA2732" s="36"/>
      <c r="AB2732" s="36"/>
      <c r="AC2732" s="36"/>
      <c r="AD2732" s="36"/>
      <c r="AE2732" s="36"/>
      <c r="AF2732" s="53" t="s">
        <v>68</v>
      </c>
      <c r="AG2732" s="42"/>
      <c r="AH2732" s="42"/>
      <c r="AI2732" s="43"/>
      <c r="AJ2732" s="43"/>
      <c r="AK2732" s="43"/>
      <c r="AL2732" s="43"/>
      <c r="AM2732" s="43"/>
      <c r="AN2732" s="42"/>
      <c r="AO2732" s="42"/>
      <c r="AP2732" s="42"/>
      <c r="AQ2732" s="43"/>
      <c r="AR2732" s="42"/>
      <c r="AS2732" s="42"/>
    </row>
    <row r="2733" spans="1:45" ht="15" customHeight="1">
      <c r="A2733" s="21" t="s">
        <v>260</v>
      </c>
      <c r="B2733" s="21" t="s">
        <v>46</v>
      </c>
      <c r="C2733" s="21" t="s">
        <v>188</v>
      </c>
      <c r="D2733" s="21" t="s">
        <v>48</v>
      </c>
      <c r="E2733" s="80" t="s">
        <v>919</v>
      </c>
      <c r="F2733" s="21" t="s">
        <v>953</v>
      </c>
      <c r="G2733" s="101" t="s">
        <v>77</v>
      </c>
      <c r="H2733" s="25" t="s">
        <v>1147</v>
      </c>
      <c r="I2733" s="102" t="s">
        <v>78</v>
      </c>
      <c r="J2733" s="65" t="s">
        <v>1148</v>
      </c>
      <c r="K2733" s="104"/>
      <c r="L2733" s="48" t="s">
        <v>956</v>
      </c>
      <c r="M2733" s="27">
        <v>44894</v>
      </c>
      <c r="N2733" s="105" t="s">
        <v>177</v>
      </c>
      <c r="O2733" s="106">
        <v>5900</v>
      </c>
      <c r="P2733" s="106">
        <v>1</v>
      </c>
      <c r="Q2733" s="51">
        <f t="shared" si="67"/>
        <v>5900</v>
      </c>
      <c r="R2733" s="31">
        <v>202310</v>
      </c>
      <c r="S2733" s="117" t="s">
        <v>3716</v>
      </c>
      <c r="T2733" s="33"/>
      <c r="U2733" s="117"/>
      <c r="V2733" s="118"/>
      <c r="W2733" s="67"/>
      <c r="X2733" s="67"/>
      <c r="Y2733" s="36">
        <v>44637</v>
      </c>
      <c r="Z2733" s="36">
        <v>46828</v>
      </c>
      <c r="AA2733" s="36"/>
      <c r="AB2733" s="36"/>
      <c r="AC2733" s="36"/>
      <c r="AD2733" s="36"/>
      <c r="AE2733" s="36"/>
      <c r="AF2733" s="53" t="s">
        <v>68</v>
      </c>
      <c r="AG2733" s="42"/>
      <c r="AH2733" s="42"/>
      <c r="AI2733" s="43"/>
      <c r="AJ2733" s="43"/>
      <c r="AK2733" s="43"/>
      <c r="AL2733" s="43"/>
      <c r="AM2733" s="43"/>
      <c r="AN2733" s="42"/>
      <c r="AO2733" s="42"/>
      <c r="AP2733" s="42"/>
      <c r="AQ2733" s="43"/>
      <c r="AR2733" s="42"/>
      <c r="AS2733" s="42"/>
    </row>
    <row r="2734" spans="1:45" ht="15" customHeight="1">
      <c r="A2734" s="21" t="s">
        <v>260</v>
      </c>
      <c r="B2734" s="21" t="s">
        <v>46</v>
      </c>
      <c r="C2734" s="21" t="s">
        <v>188</v>
      </c>
      <c r="D2734" s="21" t="s">
        <v>48</v>
      </c>
      <c r="E2734" s="80" t="s">
        <v>919</v>
      </c>
      <c r="F2734" s="21" t="s">
        <v>953</v>
      </c>
      <c r="G2734" s="101" t="s">
        <v>77</v>
      </c>
      <c r="H2734" s="25" t="s">
        <v>1147</v>
      </c>
      <c r="I2734" s="102" t="s">
        <v>78</v>
      </c>
      <c r="J2734" s="65" t="s">
        <v>1148</v>
      </c>
      <c r="K2734" s="104"/>
      <c r="L2734" s="48" t="s">
        <v>956</v>
      </c>
      <c r="M2734" s="27">
        <v>44903</v>
      </c>
      <c r="N2734" s="105" t="s">
        <v>177</v>
      </c>
      <c r="O2734" s="106">
        <v>5900</v>
      </c>
      <c r="P2734" s="106">
        <v>1</v>
      </c>
      <c r="Q2734" s="51">
        <f t="shared" si="67"/>
        <v>5900</v>
      </c>
      <c r="R2734" s="31">
        <v>202310</v>
      </c>
      <c r="S2734" s="117" t="s">
        <v>3717</v>
      </c>
      <c r="T2734" s="33"/>
      <c r="U2734" s="117"/>
      <c r="V2734" s="118"/>
      <c r="W2734" s="67"/>
      <c r="X2734" s="67"/>
      <c r="Y2734" s="36">
        <v>44637</v>
      </c>
      <c r="Z2734" s="36">
        <v>46828</v>
      </c>
      <c r="AA2734" s="36"/>
      <c r="AB2734" s="36"/>
      <c r="AC2734" s="36"/>
      <c r="AD2734" s="36"/>
      <c r="AE2734" s="36"/>
      <c r="AF2734" s="53" t="s">
        <v>68</v>
      </c>
      <c r="AG2734" s="42"/>
      <c r="AH2734" s="42"/>
      <c r="AI2734" s="43"/>
      <c r="AJ2734" s="43"/>
      <c r="AK2734" s="43"/>
      <c r="AL2734" s="43"/>
      <c r="AM2734" s="43"/>
      <c r="AN2734" s="42"/>
      <c r="AO2734" s="42"/>
      <c r="AP2734" s="42"/>
      <c r="AQ2734" s="43"/>
      <c r="AR2734" s="42"/>
      <c r="AS2734" s="42"/>
    </row>
    <row r="2735" spans="1:45" ht="15" customHeight="1">
      <c r="A2735" s="21" t="s">
        <v>260</v>
      </c>
      <c r="B2735" s="21" t="s">
        <v>46</v>
      </c>
      <c r="C2735" s="21" t="s">
        <v>188</v>
      </c>
      <c r="D2735" s="21" t="s">
        <v>48</v>
      </c>
      <c r="E2735" s="80" t="s">
        <v>919</v>
      </c>
      <c r="F2735" s="21" t="s">
        <v>953</v>
      </c>
      <c r="G2735" s="101" t="s">
        <v>77</v>
      </c>
      <c r="H2735" s="25" t="s">
        <v>1147</v>
      </c>
      <c r="I2735" s="102" t="s">
        <v>78</v>
      </c>
      <c r="J2735" s="65" t="s">
        <v>1148</v>
      </c>
      <c r="K2735" s="104"/>
      <c r="L2735" s="48" t="s">
        <v>956</v>
      </c>
      <c r="M2735" s="27">
        <v>44991</v>
      </c>
      <c r="N2735" s="105" t="s">
        <v>177</v>
      </c>
      <c r="O2735" s="106">
        <v>5900</v>
      </c>
      <c r="P2735" s="106">
        <v>1</v>
      </c>
      <c r="Q2735" s="51">
        <f t="shared" si="67"/>
        <v>5900</v>
      </c>
      <c r="R2735" s="31">
        <v>202310</v>
      </c>
      <c r="S2735" s="117" t="s">
        <v>3718</v>
      </c>
      <c r="T2735" s="33"/>
      <c r="U2735" s="117"/>
      <c r="V2735" s="118"/>
      <c r="W2735" s="67"/>
      <c r="X2735" s="67"/>
      <c r="Y2735" s="36">
        <v>44637</v>
      </c>
      <c r="Z2735" s="36">
        <v>46828</v>
      </c>
      <c r="AA2735" s="36"/>
      <c r="AB2735" s="36"/>
      <c r="AC2735" s="36"/>
      <c r="AD2735" s="36"/>
      <c r="AE2735" s="36"/>
      <c r="AF2735" s="53" t="s">
        <v>68</v>
      </c>
      <c r="AG2735" s="42"/>
      <c r="AH2735" s="42"/>
      <c r="AI2735" s="43"/>
      <c r="AJ2735" s="43"/>
      <c r="AK2735" s="43"/>
      <c r="AL2735" s="43"/>
      <c r="AM2735" s="43"/>
      <c r="AN2735" s="42"/>
      <c r="AO2735" s="42"/>
      <c r="AP2735" s="42"/>
      <c r="AQ2735" s="43"/>
      <c r="AR2735" s="42"/>
      <c r="AS2735" s="42"/>
    </row>
    <row r="2736" spans="1:45" ht="15" customHeight="1">
      <c r="A2736" s="21" t="s">
        <v>260</v>
      </c>
      <c r="B2736" s="21" t="s">
        <v>46</v>
      </c>
      <c r="C2736" s="21" t="s">
        <v>188</v>
      </c>
      <c r="D2736" s="21" t="s">
        <v>48</v>
      </c>
      <c r="E2736" s="80" t="s">
        <v>919</v>
      </c>
      <c r="F2736" s="21" t="s">
        <v>953</v>
      </c>
      <c r="G2736" s="101" t="s">
        <v>77</v>
      </c>
      <c r="H2736" s="25" t="s">
        <v>1147</v>
      </c>
      <c r="I2736" s="102" t="s">
        <v>78</v>
      </c>
      <c r="J2736" s="65" t="s">
        <v>1148</v>
      </c>
      <c r="K2736" s="104"/>
      <c r="L2736" s="48" t="s">
        <v>956</v>
      </c>
      <c r="M2736" s="27" t="s">
        <v>3719</v>
      </c>
      <c r="N2736" s="105" t="s">
        <v>177</v>
      </c>
      <c r="O2736" s="106">
        <v>5900</v>
      </c>
      <c r="P2736" s="106">
        <v>1</v>
      </c>
      <c r="Q2736" s="51">
        <f t="shared" si="67"/>
        <v>5900</v>
      </c>
      <c r="R2736" s="31">
        <v>202310</v>
      </c>
      <c r="S2736" s="117" t="s">
        <v>3720</v>
      </c>
      <c r="T2736" s="33"/>
      <c r="U2736" s="117"/>
      <c r="V2736" s="118"/>
      <c r="W2736" s="67"/>
      <c r="X2736" s="67"/>
      <c r="Y2736" s="36">
        <v>44637</v>
      </c>
      <c r="Z2736" s="36">
        <v>46828</v>
      </c>
      <c r="AA2736" s="36"/>
      <c r="AB2736" s="36"/>
      <c r="AC2736" s="36"/>
      <c r="AD2736" s="36"/>
      <c r="AE2736" s="36"/>
      <c r="AF2736" s="53" t="s">
        <v>68</v>
      </c>
      <c r="AG2736" s="42"/>
      <c r="AH2736" s="42"/>
      <c r="AI2736" s="43"/>
      <c r="AJ2736" s="43"/>
      <c r="AK2736" s="43"/>
      <c r="AL2736" s="43"/>
      <c r="AM2736" s="43"/>
      <c r="AN2736" s="42"/>
      <c r="AO2736" s="42"/>
      <c r="AP2736" s="42"/>
      <c r="AQ2736" s="43"/>
      <c r="AR2736" s="42"/>
      <c r="AS2736" s="42"/>
    </row>
    <row r="2737" spans="1:45" ht="15" customHeight="1">
      <c r="A2737" s="21" t="s">
        <v>260</v>
      </c>
      <c r="B2737" s="21" t="s">
        <v>46</v>
      </c>
      <c r="C2737" s="21" t="s">
        <v>188</v>
      </c>
      <c r="D2737" s="21" t="s">
        <v>48</v>
      </c>
      <c r="E2737" s="80" t="s">
        <v>919</v>
      </c>
      <c r="F2737" s="21" t="s">
        <v>953</v>
      </c>
      <c r="G2737" s="101" t="s">
        <v>77</v>
      </c>
      <c r="H2737" s="25" t="s">
        <v>1147</v>
      </c>
      <c r="I2737" s="102" t="s">
        <v>78</v>
      </c>
      <c r="J2737" s="65" t="s">
        <v>1148</v>
      </c>
      <c r="K2737" s="104"/>
      <c r="L2737" s="48" t="s">
        <v>956</v>
      </c>
      <c r="M2737" s="27">
        <v>45016</v>
      </c>
      <c r="N2737" s="105" t="s">
        <v>1151</v>
      </c>
      <c r="O2737" s="106">
        <v>11200</v>
      </c>
      <c r="P2737" s="106">
        <v>1</v>
      </c>
      <c r="Q2737" s="51">
        <f t="shared" si="67"/>
        <v>11200</v>
      </c>
      <c r="R2737" s="31">
        <v>202310</v>
      </c>
      <c r="S2737" s="117" t="s">
        <v>3721</v>
      </c>
      <c r="T2737" s="33"/>
      <c r="U2737" s="117"/>
      <c r="V2737" s="118"/>
      <c r="W2737" s="67"/>
      <c r="X2737" s="67"/>
      <c r="Y2737" s="36">
        <v>44637</v>
      </c>
      <c r="Z2737" s="36">
        <v>46828</v>
      </c>
      <c r="AA2737" s="36"/>
      <c r="AB2737" s="36"/>
      <c r="AC2737" s="36"/>
      <c r="AD2737" s="36"/>
      <c r="AE2737" s="36"/>
      <c r="AF2737" s="53" t="s">
        <v>68</v>
      </c>
      <c r="AG2737" s="42"/>
      <c r="AH2737" s="42"/>
      <c r="AI2737" s="43"/>
      <c r="AJ2737" s="43"/>
      <c r="AK2737" s="43"/>
      <c r="AL2737" s="43"/>
      <c r="AM2737" s="43"/>
      <c r="AN2737" s="42"/>
      <c r="AO2737" s="42"/>
      <c r="AP2737" s="42"/>
      <c r="AQ2737" s="43"/>
      <c r="AR2737" s="42"/>
      <c r="AS2737" s="42"/>
    </row>
    <row r="2738" spans="1:45" ht="15" customHeight="1">
      <c r="A2738" s="21" t="s">
        <v>260</v>
      </c>
      <c r="B2738" s="21" t="s">
        <v>46</v>
      </c>
      <c r="C2738" s="21" t="s">
        <v>188</v>
      </c>
      <c r="D2738" s="21" t="s">
        <v>48</v>
      </c>
      <c r="E2738" s="80" t="s">
        <v>919</v>
      </c>
      <c r="F2738" s="21" t="s">
        <v>953</v>
      </c>
      <c r="G2738" s="101" t="s">
        <v>77</v>
      </c>
      <c r="H2738" s="25" t="s">
        <v>1147</v>
      </c>
      <c r="I2738" s="102" t="s">
        <v>78</v>
      </c>
      <c r="J2738" s="65" t="s">
        <v>1148</v>
      </c>
      <c r="K2738" s="104"/>
      <c r="L2738" s="48" t="s">
        <v>956</v>
      </c>
      <c r="M2738" s="27">
        <v>45155</v>
      </c>
      <c r="N2738" s="105" t="s">
        <v>1151</v>
      </c>
      <c r="O2738" s="106">
        <v>11200</v>
      </c>
      <c r="P2738" s="106">
        <v>1</v>
      </c>
      <c r="Q2738" s="51">
        <f t="shared" si="67"/>
        <v>11200</v>
      </c>
      <c r="R2738" s="31">
        <v>202310</v>
      </c>
      <c r="S2738" s="117" t="s">
        <v>3722</v>
      </c>
      <c r="T2738" s="33"/>
      <c r="U2738" s="117"/>
      <c r="V2738" s="118"/>
      <c r="W2738" s="67"/>
      <c r="X2738" s="67"/>
      <c r="Y2738" s="36">
        <v>44637</v>
      </c>
      <c r="Z2738" s="36">
        <v>46828</v>
      </c>
      <c r="AA2738" s="36"/>
      <c r="AB2738" s="36"/>
      <c r="AC2738" s="36"/>
      <c r="AD2738" s="36"/>
      <c r="AE2738" s="36"/>
      <c r="AF2738" s="53" t="s">
        <v>68</v>
      </c>
      <c r="AG2738" s="42"/>
      <c r="AH2738" s="42"/>
      <c r="AI2738" s="43"/>
      <c r="AJ2738" s="43"/>
      <c r="AK2738" s="43"/>
      <c r="AL2738" s="43"/>
      <c r="AM2738" s="43"/>
      <c r="AN2738" s="42"/>
      <c r="AO2738" s="42"/>
      <c r="AP2738" s="42"/>
      <c r="AQ2738" s="43"/>
      <c r="AR2738" s="42"/>
      <c r="AS2738" s="42"/>
    </row>
    <row r="2739" spans="1:45" ht="15" customHeight="1">
      <c r="A2739" s="21" t="s">
        <v>260</v>
      </c>
      <c r="B2739" s="21" t="s">
        <v>46</v>
      </c>
      <c r="C2739" s="21" t="s">
        <v>188</v>
      </c>
      <c r="D2739" s="21" t="s">
        <v>48</v>
      </c>
      <c r="E2739" s="80" t="s">
        <v>919</v>
      </c>
      <c r="F2739" s="21" t="s">
        <v>953</v>
      </c>
      <c r="G2739" s="101" t="s">
        <v>77</v>
      </c>
      <c r="H2739" s="25" t="s">
        <v>1147</v>
      </c>
      <c r="I2739" s="102" t="s">
        <v>78</v>
      </c>
      <c r="J2739" s="65" t="s">
        <v>1148</v>
      </c>
      <c r="K2739" s="104"/>
      <c r="L2739" s="48" t="s">
        <v>956</v>
      </c>
      <c r="M2739" s="27">
        <v>45196</v>
      </c>
      <c r="N2739" s="105" t="s">
        <v>3693</v>
      </c>
      <c r="O2739" s="106">
        <v>8595</v>
      </c>
      <c r="P2739" s="106">
        <v>12</v>
      </c>
      <c r="Q2739" s="51">
        <f t="shared" si="67"/>
        <v>103140</v>
      </c>
      <c r="R2739" s="31">
        <v>202310</v>
      </c>
      <c r="S2739" s="117" t="s">
        <v>3723</v>
      </c>
      <c r="T2739" s="33"/>
      <c r="U2739" s="117"/>
      <c r="V2739" s="118"/>
      <c r="W2739" s="67"/>
      <c r="X2739" s="67"/>
      <c r="Y2739" s="36">
        <v>44637</v>
      </c>
      <c r="Z2739" s="36">
        <v>46828</v>
      </c>
      <c r="AA2739" s="36"/>
      <c r="AB2739" s="36"/>
      <c r="AC2739" s="36"/>
      <c r="AD2739" s="36"/>
      <c r="AE2739" s="36"/>
      <c r="AF2739" s="53" t="s">
        <v>68</v>
      </c>
      <c r="AG2739" s="42"/>
      <c r="AH2739" s="42"/>
      <c r="AI2739" s="43"/>
      <c r="AJ2739" s="43"/>
      <c r="AK2739" s="43"/>
      <c r="AL2739" s="43"/>
      <c r="AM2739" s="43"/>
      <c r="AN2739" s="42"/>
      <c r="AO2739" s="42"/>
      <c r="AP2739" s="42"/>
      <c r="AQ2739" s="43"/>
      <c r="AR2739" s="42"/>
      <c r="AS2739" s="42"/>
    </row>
    <row r="2740" spans="1:45" ht="15" customHeight="1">
      <c r="A2740" s="135" t="s">
        <v>45</v>
      </c>
      <c r="B2740" s="136" t="s">
        <v>837</v>
      </c>
      <c r="C2740" s="136" t="s">
        <v>838</v>
      </c>
      <c r="D2740" s="136" t="s">
        <v>48</v>
      </c>
      <c r="E2740" s="198" t="s">
        <v>3540</v>
      </c>
      <c r="F2740" s="76" t="s">
        <v>3541</v>
      </c>
      <c r="G2740" s="74" t="s">
        <v>165</v>
      </c>
      <c r="H2740" s="136" t="s">
        <v>3550</v>
      </c>
      <c r="I2740" s="76" t="s">
        <v>3724</v>
      </c>
      <c r="J2740" s="76" t="s">
        <v>3725</v>
      </c>
      <c r="K2740" s="76" t="s">
        <v>3725</v>
      </c>
      <c r="L2740" s="199" t="s">
        <v>3543</v>
      </c>
      <c r="M2740" s="75">
        <v>45170</v>
      </c>
      <c r="N2740" s="200" t="s">
        <v>1542</v>
      </c>
      <c r="O2740" s="207">
        <v>6740</v>
      </c>
      <c r="P2740" s="201"/>
      <c r="Q2740" s="208">
        <f t="shared" si="67"/>
        <v>0</v>
      </c>
      <c r="R2740" s="31">
        <v>202310</v>
      </c>
      <c r="S2740" s="203" t="s">
        <v>3726</v>
      </c>
      <c r="T2740" s="42"/>
      <c r="U2740" s="70"/>
      <c r="V2740" s="42"/>
      <c r="W2740" s="226"/>
      <c r="X2740" s="42"/>
      <c r="Y2740" s="36"/>
      <c r="Z2740" s="36"/>
      <c r="AA2740" s="37" t="s">
        <v>3727</v>
      </c>
      <c r="AB2740" s="38">
        <v>0.4</v>
      </c>
      <c r="AC2740" s="38">
        <v>200</v>
      </c>
      <c r="AD2740" s="38">
        <f>AB2740*AC2740</f>
        <v>80</v>
      </c>
      <c r="AE2740" s="40" t="s">
        <v>130</v>
      </c>
      <c r="AF2740" s="190" t="s">
        <v>484</v>
      </c>
      <c r="AG2740" s="40">
        <v>200</v>
      </c>
      <c r="AH2740" s="42"/>
      <c r="AI2740" s="42"/>
      <c r="AJ2740" s="43"/>
      <c r="AK2740" s="43"/>
      <c r="AL2740" s="43"/>
      <c r="AM2740" s="43"/>
      <c r="AN2740" s="42"/>
      <c r="AO2740" s="42"/>
      <c r="AP2740" s="42"/>
      <c r="AQ2740" s="42"/>
      <c r="AR2740" s="42"/>
      <c r="AS2740" s="42" t="s">
        <v>3545</v>
      </c>
    </row>
    <row r="2741" spans="1:45" ht="15" customHeight="1">
      <c r="A2741" s="20" t="s">
        <v>57</v>
      </c>
      <c r="B2741" s="21" t="s">
        <v>3728</v>
      </c>
      <c r="C2741" s="22" t="s">
        <v>84</v>
      </c>
      <c r="D2741" s="22" t="s">
        <v>3729</v>
      </c>
      <c r="E2741" s="23" t="s">
        <v>3730</v>
      </c>
      <c r="F2741" s="20" t="s">
        <v>3731</v>
      </c>
      <c r="G2741" s="20" t="s">
        <v>165</v>
      </c>
      <c r="H2741" s="25" t="s">
        <v>3732</v>
      </c>
      <c r="I2741" s="24" t="s">
        <v>3724</v>
      </c>
      <c r="J2741" s="20" t="s">
        <v>3733</v>
      </c>
      <c r="K2741" s="26" t="s">
        <v>3734</v>
      </c>
      <c r="L2741" s="20"/>
      <c r="M2741" s="156">
        <v>44044</v>
      </c>
      <c r="N2741" s="20"/>
      <c r="O2741" s="28">
        <v>8500</v>
      </c>
      <c r="P2741" s="229"/>
      <c r="Q2741" s="30">
        <f t="shared" si="67"/>
        <v>0</v>
      </c>
      <c r="R2741" s="31">
        <v>202310</v>
      </c>
      <c r="S2741" s="32" t="s">
        <v>3735</v>
      </c>
      <c r="T2741" s="32"/>
      <c r="U2741" s="32"/>
      <c r="V2741" s="32"/>
      <c r="W2741" s="226"/>
      <c r="X2741" s="35"/>
      <c r="Y2741" s="36"/>
      <c r="Z2741" s="36"/>
      <c r="AA2741" s="37" t="s">
        <v>3736</v>
      </c>
      <c r="AB2741" s="38">
        <v>0</v>
      </c>
      <c r="AC2741" s="38"/>
      <c r="AD2741" s="38">
        <v>0</v>
      </c>
      <c r="AE2741" s="39" t="s">
        <v>3737</v>
      </c>
      <c r="AF2741" s="40" t="s">
        <v>3738</v>
      </c>
      <c r="AG2741" s="41"/>
      <c r="AH2741" s="42"/>
      <c r="AI2741" s="43"/>
      <c r="AJ2741" s="43">
        <f t="shared" ref="AJ2741:AJ2788" si="68">X2741</f>
        <v>0</v>
      </c>
      <c r="AK2741" s="43">
        <f t="shared" ref="AK2741:AK2753" si="69">AJ2741*O2741</f>
        <v>0</v>
      </c>
      <c r="AL2741" s="43"/>
      <c r="AM2741" s="43"/>
      <c r="AN2741" s="42"/>
      <c r="AO2741" s="42" t="s">
        <v>3739</v>
      </c>
      <c r="AP2741" s="42"/>
      <c r="AQ2741" s="42" t="s">
        <v>92</v>
      </c>
      <c r="AR2741" s="42" t="s">
        <v>3740</v>
      </c>
      <c r="AS2741" s="42"/>
    </row>
    <row r="2742" spans="1:45" ht="15" customHeight="1">
      <c r="A2742" s="20" t="s">
        <v>57</v>
      </c>
      <c r="B2742" s="21" t="s">
        <v>3728</v>
      </c>
      <c r="C2742" s="22" t="s">
        <v>84</v>
      </c>
      <c r="D2742" s="22" t="s">
        <v>3729</v>
      </c>
      <c r="E2742" s="23" t="s">
        <v>3730</v>
      </c>
      <c r="F2742" s="20" t="s">
        <v>3731</v>
      </c>
      <c r="G2742" s="20" t="s">
        <v>165</v>
      </c>
      <c r="H2742" s="25" t="s">
        <v>3732</v>
      </c>
      <c r="I2742" s="24" t="s">
        <v>3724</v>
      </c>
      <c r="J2742" s="20" t="s">
        <v>3733</v>
      </c>
      <c r="K2742" s="26" t="s">
        <v>3741</v>
      </c>
      <c r="L2742" s="20"/>
      <c r="M2742" s="156">
        <v>44409</v>
      </c>
      <c r="N2742" s="20"/>
      <c r="O2742" s="28">
        <v>8500</v>
      </c>
      <c r="P2742" s="29"/>
      <c r="Q2742" s="30">
        <f t="shared" si="67"/>
        <v>0</v>
      </c>
      <c r="R2742" s="31">
        <v>202310</v>
      </c>
      <c r="S2742" s="32" t="s">
        <v>3735</v>
      </c>
      <c r="T2742" s="32"/>
      <c r="U2742" s="32"/>
      <c r="V2742" s="32"/>
      <c r="W2742" s="226"/>
      <c r="X2742" s="35"/>
      <c r="Y2742" s="36"/>
      <c r="Z2742" s="36"/>
      <c r="AA2742" s="37" t="s">
        <v>3742</v>
      </c>
      <c r="AB2742" s="38">
        <v>0</v>
      </c>
      <c r="AC2742" s="38"/>
      <c r="AD2742" s="38">
        <v>0</v>
      </c>
      <c r="AE2742" s="39" t="s">
        <v>3737</v>
      </c>
      <c r="AF2742" s="40" t="s">
        <v>3738</v>
      </c>
      <c r="AG2742" s="41"/>
      <c r="AH2742" s="42"/>
      <c r="AI2742" s="43"/>
      <c r="AJ2742" s="43">
        <f t="shared" si="68"/>
        <v>0</v>
      </c>
      <c r="AK2742" s="43">
        <f t="shared" si="69"/>
        <v>0</v>
      </c>
      <c r="AL2742" s="43"/>
      <c r="AM2742" s="43"/>
      <c r="AN2742" s="42"/>
      <c r="AO2742" s="42" t="s">
        <v>3739</v>
      </c>
      <c r="AP2742" s="42"/>
      <c r="AQ2742" s="42" t="s">
        <v>92</v>
      </c>
      <c r="AR2742" s="42" t="s">
        <v>3740</v>
      </c>
      <c r="AS2742" s="42"/>
    </row>
    <row r="2743" spans="1:45" ht="15" customHeight="1">
      <c r="A2743" s="20" t="s">
        <v>57</v>
      </c>
      <c r="B2743" s="21" t="s">
        <v>3728</v>
      </c>
      <c r="C2743" s="22" t="s">
        <v>84</v>
      </c>
      <c r="D2743" s="22" t="s">
        <v>3729</v>
      </c>
      <c r="E2743" s="23" t="s">
        <v>3730</v>
      </c>
      <c r="F2743" s="20" t="s">
        <v>3731</v>
      </c>
      <c r="G2743" s="20" t="s">
        <v>165</v>
      </c>
      <c r="H2743" s="25" t="s">
        <v>3732</v>
      </c>
      <c r="I2743" s="24" t="s">
        <v>3724</v>
      </c>
      <c r="J2743" s="20" t="s">
        <v>3733</v>
      </c>
      <c r="K2743" s="26" t="s">
        <v>3743</v>
      </c>
      <c r="L2743" s="20"/>
      <c r="M2743" s="156">
        <v>44440</v>
      </c>
      <c r="N2743" s="20"/>
      <c r="O2743" s="28">
        <v>8500</v>
      </c>
      <c r="P2743" s="229"/>
      <c r="Q2743" s="30">
        <f t="shared" si="67"/>
        <v>0</v>
      </c>
      <c r="R2743" s="31">
        <v>202310</v>
      </c>
      <c r="S2743" s="32" t="s">
        <v>3735</v>
      </c>
      <c r="T2743" s="32"/>
      <c r="U2743" s="32"/>
      <c r="V2743" s="32"/>
      <c r="W2743" s="226"/>
      <c r="X2743" s="35"/>
      <c r="Y2743" s="36"/>
      <c r="Z2743" s="36"/>
      <c r="AA2743" s="37" t="s">
        <v>3744</v>
      </c>
      <c r="AB2743" s="38">
        <v>0</v>
      </c>
      <c r="AC2743" s="38"/>
      <c r="AD2743" s="38">
        <v>0</v>
      </c>
      <c r="AE2743" s="39" t="s">
        <v>3737</v>
      </c>
      <c r="AF2743" s="40" t="s">
        <v>3738</v>
      </c>
      <c r="AG2743" s="41"/>
      <c r="AH2743" s="42"/>
      <c r="AI2743" s="43"/>
      <c r="AJ2743" s="43">
        <f t="shared" si="68"/>
        <v>0</v>
      </c>
      <c r="AK2743" s="43">
        <f t="shared" si="69"/>
        <v>0</v>
      </c>
      <c r="AL2743" s="43"/>
      <c r="AM2743" s="43"/>
      <c r="AN2743" s="42"/>
      <c r="AO2743" s="42" t="s">
        <v>3739</v>
      </c>
      <c r="AP2743" s="42"/>
      <c r="AQ2743" s="42" t="s">
        <v>92</v>
      </c>
      <c r="AR2743" s="42" t="s">
        <v>3740</v>
      </c>
      <c r="AS2743" s="42"/>
    </row>
    <row r="2744" spans="1:45" ht="15" customHeight="1">
      <c r="A2744" s="20" t="s">
        <v>57</v>
      </c>
      <c r="B2744" s="21" t="s">
        <v>3728</v>
      </c>
      <c r="C2744" s="22" t="s">
        <v>84</v>
      </c>
      <c r="D2744" s="22" t="s">
        <v>3729</v>
      </c>
      <c r="E2744" s="23" t="s">
        <v>3730</v>
      </c>
      <c r="F2744" s="20" t="s">
        <v>3731</v>
      </c>
      <c r="G2744" s="20" t="s">
        <v>165</v>
      </c>
      <c r="H2744" s="25" t="s">
        <v>3732</v>
      </c>
      <c r="I2744" s="24" t="s">
        <v>3724</v>
      </c>
      <c r="J2744" s="20" t="s">
        <v>3745</v>
      </c>
      <c r="K2744" s="26" t="s">
        <v>3746</v>
      </c>
      <c r="L2744" s="20"/>
      <c r="M2744" s="156">
        <v>44440</v>
      </c>
      <c r="N2744" s="20"/>
      <c r="O2744" s="28">
        <v>8500</v>
      </c>
      <c r="P2744" s="229"/>
      <c r="Q2744" s="30">
        <f t="shared" si="67"/>
        <v>0</v>
      </c>
      <c r="R2744" s="31">
        <v>202310</v>
      </c>
      <c r="S2744" s="32" t="s">
        <v>3747</v>
      </c>
      <c r="T2744" s="32"/>
      <c r="U2744" s="32"/>
      <c r="V2744" s="32"/>
      <c r="W2744" s="226"/>
      <c r="X2744" s="35"/>
      <c r="Y2744" s="36"/>
      <c r="Z2744" s="36"/>
      <c r="AA2744" s="37" t="s">
        <v>3748</v>
      </c>
      <c r="AB2744" s="38"/>
      <c r="AC2744" s="38"/>
      <c r="AD2744" s="38">
        <v>0</v>
      </c>
      <c r="AE2744" s="39" t="s">
        <v>3737</v>
      </c>
      <c r="AF2744" s="40" t="s">
        <v>3738</v>
      </c>
      <c r="AG2744" s="41"/>
      <c r="AH2744" s="42"/>
      <c r="AI2744" s="43"/>
      <c r="AJ2744" s="43">
        <f t="shared" si="68"/>
        <v>0</v>
      </c>
      <c r="AK2744" s="43">
        <f t="shared" si="69"/>
        <v>0</v>
      </c>
      <c r="AL2744" s="43"/>
      <c r="AM2744" s="43"/>
      <c r="AN2744" s="42"/>
      <c r="AO2744" s="42" t="s">
        <v>3739</v>
      </c>
      <c r="AP2744" s="42"/>
      <c r="AQ2744" s="42" t="s">
        <v>92</v>
      </c>
      <c r="AR2744" s="42" t="s">
        <v>3740</v>
      </c>
      <c r="AS2744" s="42"/>
    </row>
    <row r="2745" spans="1:45" ht="15" customHeight="1">
      <c r="A2745" s="20" t="s">
        <v>57</v>
      </c>
      <c r="B2745" s="21" t="s">
        <v>3728</v>
      </c>
      <c r="C2745" s="22" t="s">
        <v>84</v>
      </c>
      <c r="D2745" s="22" t="s">
        <v>3729</v>
      </c>
      <c r="E2745" s="23" t="s">
        <v>3730</v>
      </c>
      <c r="F2745" s="20" t="s">
        <v>3731</v>
      </c>
      <c r="G2745" s="20" t="s">
        <v>165</v>
      </c>
      <c r="H2745" s="25" t="s">
        <v>3749</v>
      </c>
      <c r="I2745" s="24" t="s">
        <v>3724</v>
      </c>
      <c r="J2745" s="20"/>
      <c r="K2745" s="26" t="s">
        <v>3750</v>
      </c>
      <c r="L2745" s="20"/>
      <c r="M2745" s="156">
        <v>45078</v>
      </c>
      <c r="N2745" s="20"/>
      <c r="O2745" s="28">
        <v>5400</v>
      </c>
      <c r="P2745" s="229"/>
      <c r="Q2745" s="30">
        <f t="shared" si="67"/>
        <v>0</v>
      </c>
      <c r="R2745" s="31">
        <v>202310</v>
      </c>
      <c r="S2745" s="32" t="s">
        <v>3751</v>
      </c>
      <c r="T2745" s="32"/>
      <c r="U2745" s="32"/>
      <c r="V2745" s="32"/>
      <c r="W2745" s="226"/>
      <c r="X2745" s="35"/>
      <c r="Y2745" s="36"/>
      <c r="Z2745" s="36"/>
      <c r="AA2745" s="37" t="s">
        <v>3752</v>
      </c>
      <c r="AB2745" s="38">
        <v>0</v>
      </c>
      <c r="AC2745" s="38"/>
      <c r="AD2745" s="38">
        <v>0</v>
      </c>
      <c r="AE2745" s="39" t="s">
        <v>3737</v>
      </c>
      <c r="AF2745" s="40" t="s">
        <v>3753</v>
      </c>
      <c r="AG2745" s="41"/>
      <c r="AH2745" s="42"/>
      <c r="AI2745" s="43"/>
      <c r="AJ2745" s="43">
        <f t="shared" si="68"/>
        <v>0</v>
      </c>
      <c r="AK2745" s="43">
        <f t="shared" si="69"/>
        <v>0</v>
      </c>
      <c r="AL2745" s="43"/>
      <c r="AM2745" s="43"/>
      <c r="AN2745" s="42"/>
      <c r="AO2745" s="42"/>
      <c r="AP2745" s="42"/>
      <c r="AQ2745" s="42"/>
      <c r="AR2745" s="42" t="s">
        <v>3754</v>
      </c>
      <c r="AS2745" s="42"/>
    </row>
    <row r="2746" spans="1:45" ht="15" customHeight="1">
      <c r="A2746" s="20" t="s">
        <v>57</v>
      </c>
      <c r="B2746" s="21" t="s">
        <v>3728</v>
      </c>
      <c r="C2746" s="22" t="s">
        <v>84</v>
      </c>
      <c r="D2746" s="22" t="s">
        <v>3729</v>
      </c>
      <c r="E2746" s="23" t="s">
        <v>3755</v>
      </c>
      <c r="F2746" s="20" t="s">
        <v>3756</v>
      </c>
      <c r="G2746" s="20" t="s">
        <v>165</v>
      </c>
      <c r="H2746" s="219" t="s">
        <v>3757</v>
      </c>
      <c r="I2746" s="24" t="s">
        <v>3724</v>
      </c>
      <c r="J2746" s="20" t="s">
        <v>3758</v>
      </c>
      <c r="K2746" s="26" t="s">
        <v>3759</v>
      </c>
      <c r="L2746" s="20"/>
      <c r="M2746" s="156">
        <v>45017</v>
      </c>
      <c r="N2746" s="20"/>
      <c r="O2746" s="28">
        <v>5300</v>
      </c>
      <c r="P2746" s="229"/>
      <c r="Q2746" s="30">
        <f t="shared" si="67"/>
        <v>0</v>
      </c>
      <c r="R2746" s="31">
        <v>202310</v>
      </c>
      <c r="S2746" s="32" t="s">
        <v>3760</v>
      </c>
      <c r="T2746" s="32"/>
      <c r="U2746" s="32"/>
      <c r="V2746" s="32"/>
      <c r="W2746" s="226"/>
      <c r="X2746" s="35"/>
      <c r="Y2746" s="36">
        <v>45017</v>
      </c>
      <c r="Z2746" s="36">
        <v>45382</v>
      </c>
      <c r="AA2746" s="37" t="s">
        <v>3761</v>
      </c>
      <c r="AB2746" s="38">
        <v>0</v>
      </c>
      <c r="AC2746" s="38"/>
      <c r="AD2746" s="38">
        <v>0</v>
      </c>
      <c r="AE2746" s="39" t="s">
        <v>3737</v>
      </c>
      <c r="AF2746" s="40" t="s">
        <v>3753</v>
      </c>
      <c r="AG2746" s="41"/>
      <c r="AH2746" s="42"/>
      <c r="AI2746" s="43"/>
      <c r="AJ2746" s="43">
        <f t="shared" si="68"/>
        <v>0</v>
      </c>
      <c r="AK2746" s="43">
        <f t="shared" si="69"/>
        <v>0</v>
      </c>
      <c r="AL2746" s="43"/>
      <c r="AM2746" s="43"/>
      <c r="AN2746" s="42"/>
      <c r="AO2746" s="42" t="s">
        <v>3762</v>
      </c>
      <c r="AP2746" s="42"/>
      <c r="AQ2746" s="42" t="s">
        <v>3763</v>
      </c>
      <c r="AR2746" s="42" t="s">
        <v>3740</v>
      </c>
      <c r="AS2746" s="42"/>
    </row>
    <row r="2747" spans="1:45" ht="15" customHeight="1">
      <c r="A2747" s="20" t="s">
        <v>57</v>
      </c>
      <c r="B2747" s="21" t="s">
        <v>3728</v>
      </c>
      <c r="C2747" s="22" t="s">
        <v>84</v>
      </c>
      <c r="D2747" s="22" t="s">
        <v>3729</v>
      </c>
      <c r="E2747" s="23" t="s">
        <v>3755</v>
      </c>
      <c r="F2747" s="20" t="s">
        <v>3756</v>
      </c>
      <c r="G2747" s="20" t="s">
        <v>165</v>
      </c>
      <c r="H2747" s="219" t="s">
        <v>3757</v>
      </c>
      <c r="I2747" s="24" t="s">
        <v>3724</v>
      </c>
      <c r="J2747" s="20" t="s">
        <v>3764</v>
      </c>
      <c r="K2747" s="26" t="s">
        <v>3765</v>
      </c>
      <c r="L2747" s="20"/>
      <c r="M2747" s="156">
        <v>45017</v>
      </c>
      <c r="N2747" s="20"/>
      <c r="O2747" s="28">
        <v>5300</v>
      </c>
      <c r="P2747" s="229"/>
      <c r="Q2747" s="30">
        <f t="shared" si="67"/>
        <v>0</v>
      </c>
      <c r="R2747" s="31">
        <v>202310</v>
      </c>
      <c r="S2747" s="32" t="s">
        <v>3760</v>
      </c>
      <c r="T2747" s="32"/>
      <c r="U2747" s="32"/>
      <c r="V2747" s="32"/>
      <c r="W2747" s="226"/>
      <c r="X2747" s="35"/>
      <c r="Y2747" s="36">
        <v>45017</v>
      </c>
      <c r="Z2747" s="36">
        <v>45382</v>
      </c>
      <c r="AA2747" s="37" t="s">
        <v>3766</v>
      </c>
      <c r="AB2747" s="38">
        <v>0</v>
      </c>
      <c r="AC2747" s="38"/>
      <c r="AD2747" s="38">
        <v>0</v>
      </c>
      <c r="AE2747" s="39" t="s">
        <v>3737</v>
      </c>
      <c r="AF2747" s="40" t="s">
        <v>3753</v>
      </c>
      <c r="AG2747" s="41"/>
      <c r="AH2747" s="42"/>
      <c r="AI2747" s="43"/>
      <c r="AJ2747" s="43">
        <f t="shared" si="68"/>
        <v>0</v>
      </c>
      <c r="AK2747" s="43">
        <f t="shared" si="69"/>
        <v>0</v>
      </c>
      <c r="AL2747" s="43"/>
      <c r="AM2747" s="43"/>
      <c r="AN2747" s="42"/>
      <c r="AO2747" s="42" t="s">
        <v>3762</v>
      </c>
      <c r="AP2747" s="42"/>
      <c r="AQ2747" s="42" t="s">
        <v>3763</v>
      </c>
      <c r="AR2747" s="42" t="s">
        <v>3754</v>
      </c>
      <c r="AS2747" s="42"/>
    </row>
    <row r="2748" spans="1:45" ht="15" customHeight="1">
      <c r="A2748" s="20" t="s">
        <v>57</v>
      </c>
      <c r="B2748" s="21" t="s">
        <v>3728</v>
      </c>
      <c r="C2748" s="22" t="s">
        <v>84</v>
      </c>
      <c r="D2748" s="22" t="s">
        <v>3729</v>
      </c>
      <c r="E2748" s="23" t="s">
        <v>3767</v>
      </c>
      <c r="F2748" s="20" t="s">
        <v>3768</v>
      </c>
      <c r="G2748" s="20" t="s">
        <v>165</v>
      </c>
      <c r="H2748" s="25" t="s">
        <v>3769</v>
      </c>
      <c r="I2748" s="24" t="s">
        <v>3724</v>
      </c>
      <c r="J2748" s="20" t="s">
        <v>3770</v>
      </c>
      <c r="K2748" s="26" t="s">
        <v>3771</v>
      </c>
      <c r="L2748" s="20"/>
      <c r="M2748" s="156">
        <v>44593</v>
      </c>
      <c r="N2748" s="20"/>
      <c r="O2748" s="28">
        <v>8500</v>
      </c>
      <c r="P2748" s="229"/>
      <c r="Q2748" s="30">
        <f t="shared" si="67"/>
        <v>0</v>
      </c>
      <c r="R2748" s="31">
        <v>202310</v>
      </c>
      <c r="S2748" s="32" t="s">
        <v>3772</v>
      </c>
      <c r="T2748" s="32"/>
      <c r="U2748" s="32" t="s">
        <v>3773</v>
      </c>
      <c r="V2748" s="32"/>
      <c r="W2748" s="226"/>
      <c r="X2748" s="228"/>
      <c r="Y2748" s="36">
        <v>44958</v>
      </c>
      <c r="Z2748" s="36">
        <v>45322</v>
      </c>
      <c r="AA2748" s="37" t="s">
        <v>3774</v>
      </c>
      <c r="AB2748" s="38">
        <v>0</v>
      </c>
      <c r="AC2748" s="38"/>
      <c r="AD2748" s="38">
        <v>0</v>
      </c>
      <c r="AE2748" s="39" t="s">
        <v>3737</v>
      </c>
      <c r="AF2748" s="40" t="s">
        <v>3738</v>
      </c>
      <c r="AG2748" s="41"/>
      <c r="AH2748" s="42"/>
      <c r="AI2748" s="43"/>
      <c r="AJ2748" s="43">
        <f t="shared" si="68"/>
        <v>0</v>
      </c>
      <c r="AK2748" s="43">
        <f t="shared" si="69"/>
        <v>0</v>
      </c>
      <c r="AL2748" s="43"/>
      <c r="AM2748" s="43"/>
      <c r="AN2748" s="42"/>
      <c r="AO2748" s="42" t="s">
        <v>3775</v>
      </c>
      <c r="AP2748" s="42"/>
      <c r="AQ2748" s="42" t="s">
        <v>92</v>
      </c>
      <c r="AR2748" s="42" t="s">
        <v>3740</v>
      </c>
      <c r="AS2748" s="42"/>
    </row>
    <row r="2749" spans="1:45" ht="15" customHeight="1">
      <c r="A2749" s="20" t="s">
        <v>57</v>
      </c>
      <c r="B2749" s="21" t="s">
        <v>83</v>
      </c>
      <c r="C2749" s="22" t="s">
        <v>58</v>
      </c>
      <c r="D2749" s="22" t="s">
        <v>85</v>
      </c>
      <c r="E2749" s="23" t="s">
        <v>86</v>
      </c>
      <c r="F2749" s="20" t="s">
        <v>87</v>
      </c>
      <c r="G2749" s="20" t="s">
        <v>165</v>
      </c>
      <c r="H2749" s="25" t="s">
        <v>88</v>
      </c>
      <c r="I2749" s="24" t="s">
        <v>3776</v>
      </c>
      <c r="J2749" s="20" t="s">
        <v>3777</v>
      </c>
      <c r="K2749" s="26" t="s">
        <v>3778</v>
      </c>
      <c r="L2749" s="20"/>
      <c r="M2749" s="156">
        <v>43313</v>
      </c>
      <c r="N2749" s="20" t="s">
        <v>3779</v>
      </c>
      <c r="O2749" s="28">
        <v>5000</v>
      </c>
      <c r="P2749" s="29">
        <v>3</v>
      </c>
      <c r="Q2749" s="30">
        <f>O2749*P2749</f>
        <v>15000</v>
      </c>
      <c r="R2749" s="31">
        <v>202310</v>
      </c>
      <c r="S2749" s="32" t="s">
        <v>3780</v>
      </c>
      <c r="T2749" s="32"/>
      <c r="U2749" s="32"/>
      <c r="V2749" s="32"/>
      <c r="W2749" s="226"/>
      <c r="X2749" s="35"/>
      <c r="Y2749" s="36">
        <v>44044</v>
      </c>
      <c r="Z2749" s="36">
        <v>45504</v>
      </c>
      <c r="AA2749" s="37" t="s">
        <v>3781</v>
      </c>
      <c r="AB2749" s="38" t="s">
        <v>3782</v>
      </c>
      <c r="AC2749" s="38">
        <v>30</v>
      </c>
      <c r="AD2749" s="38">
        <v>3</v>
      </c>
      <c r="AE2749" s="39" t="s">
        <v>3194</v>
      </c>
      <c r="AF2749" s="40" t="s">
        <v>3783</v>
      </c>
      <c r="AG2749" s="41"/>
      <c r="AH2749" s="42"/>
      <c r="AI2749" s="43"/>
      <c r="AJ2749" s="43">
        <f t="shared" si="68"/>
        <v>0</v>
      </c>
      <c r="AK2749" s="43">
        <f t="shared" si="69"/>
        <v>0</v>
      </c>
      <c r="AL2749" s="43"/>
      <c r="AM2749" s="43"/>
      <c r="AN2749" s="42"/>
      <c r="AO2749" s="42" t="s">
        <v>3739</v>
      </c>
      <c r="AP2749" s="42"/>
      <c r="AQ2749" s="43" t="s">
        <v>92</v>
      </c>
      <c r="AR2749" s="42"/>
      <c r="AS2749" s="42"/>
    </row>
    <row r="2750" spans="1:45" ht="15" customHeight="1">
      <c r="A2750" s="20" t="s">
        <v>57</v>
      </c>
      <c r="B2750" s="21" t="s">
        <v>3728</v>
      </c>
      <c r="C2750" s="22" t="s">
        <v>84</v>
      </c>
      <c r="D2750" s="22" t="s">
        <v>3729</v>
      </c>
      <c r="E2750" s="23" t="s">
        <v>3784</v>
      </c>
      <c r="F2750" s="20" t="s">
        <v>3785</v>
      </c>
      <c r="G2750" s="20" t="s">
        <v>165</v>
      </c>
      <c r="H2750" s="25" t="s">
        <v>3786</v>
      </c>
      <c r="I2750" s="24" t="s">
        <v>3724</v>
      </c>
      <c r="J2750" s="20" t="s">
        <v>3787</v>
      </c>
      <c r="K2750" s="26" t="s">
        <v>3788</v>
      </c>
      <c r="L2750" s="20"/>
      <c r="M2750" s="156">
        <v>44531</v>
      </c>
      <c r="N2750" s="20"/>
      <c r="O2750" s="28">
        <v>6500</v>
      </c>
      <c r="P2750" s="229"/>
      <c r="Q2750" s="30">
        <f t="shared" ref="Q2750:Q2753" si="70">ROUND(O2750*P2750,2)</f>
        <v>0</v>
      </c>
      <c r="R2750" s="31">
        <v>202310</v>
      </c>
      <c r="S2750" s="32" t="s">
        <v>3789</v>
      </c>
      <c r="T2750" s="32"/>
      <c r="U2750" s="32"/>
      <c r="V2750" s="32"/>
      <c r="W2750" s="226"/>
      <c r="X2750" s="35"/>
      <c r="Y2750" s="36">
        <v>45047</v>
      </c>
      <c r="Z2750" s="36">
        <v>45412</v>
      </c>
      <c r="AA2750" s="37" t="s">
        <v>3790</v>
      </c>
      <c r="AB2750" s="38">
        <v>0</v>
      </c>
      <c r="AC2750" s="38"/>
      <c r="AD2750" s="38">
        <v>0</v>
      </c>
      <c r="AE2750" s="39" t="s">
        <v>3737</v>
      </c>
      <c r="AF2750" s="40" t="s">
        <v>3738</v>
      </c>
      <c r="AG2750" s="41"/>
      <c r="AH2750" s="42"/>
      <c r="AI2750" s="43"/>
      <c r="AJ2750" s="43">
        <f t="shared" si="68"/>
        <v>0</v>
      </c>
      <c r="AK2750" s="43">
        <f t="shared" si="69"/>
        <v>0</v>
      </c>
      <c r="AL2750" s="43"/>
      <c r="AM2750" s="43"/>
      <c r="AN2750" s="42"/>
      <c r="AO2750" s="42" t="s">
        <v>3791</v>
      </c>
      <c r="AP2750" s="42"/>
      <c r="AQ2750" s="42" t="s">
        <v>92</v>
      </c>
      <c r="AR2750" s="42" t="s">
        <v>3740</v>
      </c>
      <c r="AS2750" s="42"/>
    </row>
    <row r="2751" spans="1:45" ht="15" customHeight="1">
      <c r="A2751" s="20" t="s">
        <v>57</v>
      </c>
      <c r="B2751" s="21" t="s">
        <v>3728</v>
      </c>
      <c r="C2751" s="22" t="s">
        <v>84</v>
      </c>
      <c r="D2751" s="22" t="s">
        <v>3729</v>
      </c>
      <c r="E2751" s="23" t="s">
        <v>3792</v>
      </c>
      <c r="F2751" s="20" t="s">
        <v>3793</v>
      </c>
      <c r="G2751" s="20" t="s">
        <v>165</v>
      </c>
      <c r="H2751" s="219" t="s">
        <v>3794</v>
      </c>
      <c r="I2751" s="24" t="s">
        <v>3724</v>
      </c>
      <c r="J2751" s="20"/>
      <c r="K2751" s="26" t="s">
        <v>3795</v>
      </c>
      <c r="L2751" s="20"/>
      <c r="M2751" s="156">
        <v>45017</v>
      </c>
      <c r="N2751" s="20"/>
      <c r="O2751" s="28">
        <v>5300</v>
      </c>
      <c r="P2751" s="229"/>
      <c r="Q2751" s="30">
        <f t="shared" si="70"/>
        <v>0</v>
      </c>
      <c r="R2751" s="31">
        <v>202310</v>
      </c>
      <c r="S2751" s="32" t="s">
        <v>3796</v>
      </c>
      <c r="T2751" s="32"/>
      <c r="U2751" s="32"/>
      <c r="V2751" s="32"/>
      <c r="W2751" s="226"/>
      <c r="X2751" s="35"/>
      <c r="Y2751" s="36"/>
      <c r="Z2751" s="36"/>
      <c r="AA2751" s="37" t="s">
        <v>3797</v>
      </c>
      <c r="AB2751" s="38">
        <v>0</v>
      </c>
      <c r="AC2751" s="38"/>
      <c r="AD2751" s="38">
        <v>0</v>
      </c>
      <c r="AE2751" s="39" t="s">
        <v>3737</v>
      </c>
      <c r="AF2751" s="40" t="s">
        <v>3753</v>
      </c>
      <c r="AG2751" s="41"/>
      <c r="AH2751" s="42"/>
      <c r="AI2751" s="43"/>
      <c r="AJ2751" s="43">
        <f t="shared" si="68"/>
        <v>0</v>
      </c>
      <c r="AK2751" s="43">
        <f t="shared" si="69"/>
        <v>0</v>
      </c>
      <c r="AL2751" s="43"/>
      <c r="AM2751" s="43"/>
      <c r="AN2751" s="42"/>
      <c r="AO2751" s="42"/>
      <c r="AP2751" s="42"/>
      <c r="AQ2751" s="42"/>
      <c r="AR2751" s="42" t="s">
        <v>3740</v>
      </c>
      <c r="AS2751" s="42"/>
    </row>
    <row r="2752" spans="1:45" ht="15" customHeight="1">
      <c r="A2752" s="20" t="s">
        <v>57</v>
      </c>
      <c r="B2752" s="21" t="s">
        <v>3728</v>
      </c>
      <c r="C2752" s="22" t="s">
        <v>84</v>
      </c>
      <c r="D2752" s="22" t="s">
        <v>3729</v>
      </c>
      <c r="E2752" s="23" t="s">
        <v>3792</v>
      </c>
      <c r="F2752" s="20" t="s">
        <v>3793</v>
      </c>
      <c r="G2752" s="20" t="s">
        <v>165</v>
      </c>
      <c r="H2752" s="219" t="s">
        <v>3794</v>
      </c>
      <c r="I2752" s="24" t="s">
        <v>3724</v>
      </c>
      <c r="J2752" s="20"/>
      <c r="K2752" s="26" t="s">
        <v>3798</v>
      </c>
      <c r="L2752" s="20"/>
      <c r="M2752" s="156">
        <v>45017</v>
      </c>
      <c r="N2752" s="20"/>
      <c r="O2752" s="28">
        <v>5300</v>
      </c>
      <c r="P2752" s="229"/>
      <c r="Q2752" s="30">
        <f t="shared" si="70"/>
        <v>0</v>
      </c>
      <c r="R2752" s="31">
        <v>202310</v>
      </c>
      <c r="S2752" s="32" t="s">
        <v>3799</v>
      </c>
      <c r="T2752" s="32"/>
      <c r="U2752" s="32"/>
      <c r="V2752" s="32"/>
      <c r="W2752" s="226"/>
      <c r="X2752" s="35"/>
      <c r="Y2752" s="36"/>
      <c r="Z2752" s="36"/>
      <c r="AA2752" s="37" t="s">
        <v>3800</v>
      </c>
      <c r="AB2752" s="38">
        <v>0</v>
      </c>
      <c r="AC2752" s="38"/>
      <c r="AD2752" s="38">
        <v>0</v>
      </c>
      <c r="AE2752" s="39" t="s">
        <v>3737</v>
      </c>
      <c r="AF2752" s="40" t="s">
        <v>3753</v>
      </c>
      <c r="AG2752" s="41"/>
      <c r="AH2752" s="42"/>
      <c r="AI2752" s="43"/>
      <c r="AJ2752" s="43">
        <f t="shared" si="68"/>
        <v>0</v>
      </c>
      <c r="AK2752" s="43">
        <f t="shared" si="69"/>
        <v>0</v>
      </c>
      <c r="AL2752" s="43"/>
      <c r="AM2752" s="43"/>
      <c r="AN2752" s="42"/>
      <c r="AO2752" s="42"/>
      <c r="AP2752" s="42"/>
      <c r="AQ2752" s="42"/>
      <c r="AR2752" s="42" t="s">
        <v>3754</v>
      </c>
      <c r="AS2752" s="42"/>
    </row>
    <row r="2753" spans="1:45" ht="15" customHeight="1">
      <c r="A2753" s="20" t="s">
        <v>57</v>
      </c>
      <c r="B2753" s="21" t="s">
        <v>3728</v>
      </c>
      <c r="C2753" s="22" t="s">
        <v>84</v>
      </c>
      <c r="D2753" s="22" t="s">
        <v>3729</v>
      </c>
      <c r="E2753" s="23" t="s">
        <v>3801</v>
      </c>
      <c r="F2753" s="20" t="s">
        <v>3802</v>
      </c>
      <c r="G2753" s="20" t="s">
        <v>165</v>
      </c>
      <c r="H2753" s="25" t="s">
        <v>3803</v>
      </c>
      <c r="I2753" s="24" t="s">
        <v>3724</v>
      </c>
      <c r="J2753" s="20" t="s">
        <v>3733</v>
      </c>
      <c r="K2753" s="26" t="s">
        <v>3804</v>
      </c>
      <c r="L2753" s="20"/>
      <c r="M2753" s="156">
        <v>42705</v>
      </c>
      <c r="N2753" s="20"/>
      <c r="O2753" s="28">
        <v>8500</v>
      </c>
      <c r="P2753" s="29"/>
      <c r="Q2753" s="30">
        <f t="shared" si="70"/>
        <v>0</v>
      </c>
      <c r="R2753" s="31">
        <v>202310</v>
      </c>
      <c r="S2753" s="32" t="s">
        <v>3805</v>
      </c>
      <c r="T2753" s="32"/>
      <c r="U2753" s="32"/>
      <c r="V2753" s="32"/>
      <c r="W2753" s="226"/>
      <c r="X2753" s="35"/>
      <c r="Y2753" s="36">
        <v>44348</v>
      </c>
      <c r="Z2753" s="36">
        <v>44712</v>
      </c>
      <c r="AA2753" s="37" t="s">
        <v>3806</v>
      </c>
      <c r="AB2753" s="38">
        <v>0</v>
      </c>
      <c r="AC2753" s="38"/>
      <c r="AD2753" s="38">
        <v>0</v>
      </c>
      <c r="AE2753" s="39">
        <v>0</v>
      </c>
      <c r="AF2753" s="40" t="s">
        <v>3738</v>
      </c>
      <c r="AG2753" s="41"/>
      <c r="AH2753" s="42"/>
      <c r="AI2753" s="43"/>
      <c r="AJ2753" s="43">
        <f t="shared" si="68"/>
        <v>0</v>
      </c>
      <c r="AK2753" s="43">
        <f t="shared" si="69"/>
        <v>0</v>
      </c>
      <c r="AL2753" s="43"/>
      <c r="AM2753" s="43"/>
      <c r="AN2753" s="42"/>
      <c r="AO2753" s="42"/>
      <c r="AP2753" s="42"/>
      <c r="AQ2753" s="42" t="s">
        <v>3807</v>
      </c>
      <c r="AR2753" s="42" t="s">
        <v>3740</v>
      </c>
      <c r="AS2753" s="42"/>
    </row>
    <row r="2754" spans="1:45" ht="15" customHeight="1">
      <c r="A2754" s="20" t="s">
        <v>57</v>
      </c>
      <c r="B2754" s="21" t="s">
        <v>3728</v>
      </c>
      <c r="C2754" s="22" t="s">
        <v>84</v>
      </c>
      <c r="D2754" s="22" t="s">
        <v>3729</v>
      </c>
      <c r="E2754" s="23" t="s">
        <v>3808</v>
      </c>
      <c r="F2754" s="20" t="s">
        <v>3809</v>
      </c>
      <c r="G2754" s="20" t="s">
        <v>165</v>
      </c>
      <c r="H2754" s="25" t="s">
        <v>3810</v>
      </c>
      <c r="I2754" s="24" t="s">
        <v>3724</v>
      </c>
      <c r="J2754" s="20"/>
      <c r="K2754" s="26" t="s">
        <v>3811</v>
      </c>
      <c r="L2754" s="20"/>
      <c r="M2754" s="156">
        <v>44774</v>
      </c>
      <c r="N2754" s="20"/>
      <c r="O2754" s="230" t="s">
        <v>3812</v>
      </c>
      <c r="P2754" s="228"/>
      <c r="Q2754" s="30">
        <f>ROUND(0.0388*P2754,2)</f>
        <v>0</v>
      </c>
      <c r="R2754" s="31">
        <v>202310</v>
      </c>
      <c r="S2754" s="32" t="s">
        <v>3813</v>
      </c>
      <c r="T2754" s="32"/>
      <c r="U2754" s="32" t="s">
        <v>3814</v>
      </c>
      <c r="V2754" s="32"/>
      <c r="W2754" s="226"/>
      <c r="X2754" s="35"/>
      <c r="Y2754" s="36"/>
      <c r="Z2754" s="36"/>
      <c r="AA2754" s="37" t="s">
        <v>3815</v>
      </c>
      <c r="AB2754" s="38">
        <v>0</v>
      </c>
      <c r="AC2754" s="38"/>
      <c r="AD2754" s="38">
        <v>0</v>
      </c>
      <c r="AE2754" s="39">
        <v>0</v>
      </c>
      <c r="AF2754" s="40" t="s">
        <v>3816</v>
      </c>
      <c r="AG2754" s="41"/>
      <c r="AH2754" s="42"/>
      <c r="AI2754" s="43"/>
      <c r="AJ2754" s="43">
        <f t="shared" si="68"/>
        <v>0</v>
      </c>
      <c r="AK2754" s="43"/>
      <c r="AL2754" s="43"/>
      <c r="AM2754" s="43"/>
      <c r="AN2754" s="42"/>
      <c r="AO2754" s="42"/>
      <c r="AP2754" s="42"/>
      <c r="AQ2754" s="42" t="s">
        <v>194</v>
      </c>
      <c r="AR2754" s="42" t="s">
        <v>3740</v>
      </c>
      <c r="AS2754" s="42"/>
    </row>
    <row r="2755" spans="1:45" ht="15" customHeight="1">
      <c r="A2755" s="20" t="s">
        <v>57</v>
      </c>
      <c r="B2755" s="21" t="s">
        <v>3728</v>
      </c>
      <c r="C2755" s="22" t="s">
        <v>84</v>
      </c>
      <c r="D2755" s="22" t="s">
        <v>3729</v>
      </c>
      <c r="E2755" s="23" t="s">
        <v>3817</v>
      </c>
      <c r="F2755" s="20" t="s">
        <v>3818</v>
      </c>
      <c r="G2755" s="20" t="s">
        <v>165</v>
      </c>
      <c r="H2755" s="25" t="s">
        <v>3819</v>
      </c>
      <c r="I2755" s="24" t="s">
        <v>3724</v>
      </c>
      <c r="J2755" s="20" t="s">
        <v>3820</v>
      </c>
      <c r="K2755" s="26" t="s">
        <v>3820</v>
      </c>
      <c r="L2755" s="20"/>
      <c r="M2755" s="156">
        <v>44682</v>
      </c>
      <c r="N2755" s="20"/>
      <c r="O2755" s="28">
        <v>5350</v>
      </c>
      <c r="P2755" s="231"/>
      <c r="Q2755" s="30">
        <f t="shared" ref="Q2755:Q2770" si="71">ROUND(O2755*P2755,2)</f>
        <v>0</v>
      </c>
      <c r="R2755" s="31">
        <v>202310</v>
      </c>
      <c r="S2755" s="32" t="s">
        <v>3821</v>
      </c>
      <c r="T2755" s="32"/>
      <c r="U2755" s="32"/>
      <c r="V2755" s="32"/>
      <c r="W2755" s="226"/>
      <c r="X2755" s="35"/>
      <c r="Y2755" s="36">
        <v>44927</v>
      </c>
      <c r="Z2755" s="36">
        <v>45291</v>
      </c>
      <c r="AA2755" s="37" t="s">
        <v>3822</v>
      </c>
      <c r="AB2755" s="38">
        <v>0</v>
      </c>
      <c r="AC2755" s="38"/>
      <c r="AD2755" s="38">
        <v>0</v>
      </c>
      <c r="AE2755" s="39" t="s">
        <v>3737</v>
      </c>
      <c r="AF2755" s="40" t="s">
        <v>3753</v>
      </c>
      <c r="AG2755" s="41"/>
      <c r="AH2755" s="42"/>
      <c r="AI2755" s="43"/>
      <c r="AJ2755" s="43">
        <f t="shared" si="68"/>
        <v>0</v>
      </c>
      <c r="AK2755" s="43">
        <f t="shared" ref="AK2755:AK2770" si="72">AJ2755*O2755</f>
        <v>0</v>
      </c>
      <c r="AL2755" s="43"/>
      <c r="AM2755" s="43"/>
      <c r="AN2755" s="42"/>
      <c r="AO2755" s="42" t="s">
        <v>3823</v>
      </c>
      <c r="AP2755" s="42"/>
      <c r="AQ2755" s="42" t="s">
        <v>92</v>
      </c>
      <c r="AR2755" s="42" t="s">
        <v>3754</v>
      </c>
      <c r="AS2755" s="42"/>
    </row>
    <row r="2756" spans="1:45" ht="15" customHeight="1">
      <c r="A2756" s="20" t="s">
        <v>57</v>
      </c>
      <c r="B2756" s="21" t="s">
        <v>3728</v>
      </c>
      <c r="C2756" s="22" t="s">
        <v>84</v>
      </c>
      <c r="D2756" s="22" t="s">
        <v>3729</v>
      </c>
      <c r="E2756" s="23" t="s">
        <v>3817</v>
      </c>
      <c r="F2756" s="20" t="s">
        <v>3818</v>
      </c>
      <c r="G2756" s="20" t="s">
        <v>165</v>
      </c>
      <c r="H2756" s="25" t="s">
        <v>3824</v>
      </c>
      <c r="I2756" s="24" t="s">
        <v>3724</v>
      </c>
      <c r="J2756" s="20" t="s">
        <v>3825</v>
      </c>
      <c r="K2756" s="26" t="s">
        <v>3826</v>
      </c>
      <c r="L2756" s="20"/>
      <c r="M2756" s="156">
        <v>44409</v>
      </c>
      <c r="N2756" s="20"/>
      <c r="O2756" s="28">
        <v>5550</v>
      </c>
      <c r="P2756" s="29"/>
      <c r="Q2756" s="30">
        <f t="shared" si="71"/>
        <v>0</v>
      </c>
      <c r="R2756" s="31">
        <v>202310</v>
      </c>
      <c r="S2756" s="32" t="s">
        <v>3827</v>
      </c>
      <c r="T2756" s="32"/>
      <c r="U2756" s="32"/>
      <c r="V2756" s="32"/>
      <c r="W2756" s="226"/>
      <c r="X2756" s="35"/>
      <c r="Y2756" s="36">
        <v>44743</v>
      </c>
      <c r="Z2756" s="36">
        <v>45107</v>
      </c>
      <c r="AA2756" s="37" t="s">
        <v>3828</v>
      </c>
      <c r="AB2756" s="38" t="s">
        <v>3807</v>
      </c>
      <c r="AC2756" s="38"/>
      <c r="AD2756" s="38">
        <v>0</v>
      </c>
      <c r="AE2756" s="39" t="s">
        <v>3737</v>
      </c>
      <c r="AF2756" s="40" t="s">
        <v>3753</v>
      </c>
      <c r="AG2756" s="41"/>
      <c r="AH2756" s="42"/>
      <c r="AI2756" s="43"/>
      <c r="AJ2756" s="43">
        <f t="shared" si="68"/>
        <v>0</v>
      </c>
      <c r="AK2756" s="43">
        <f t="shared" si="72"/>
        <v>0</v>
      </c>
      <c r="AL2756" s="43"/>
      <c r="AM2756" s="43"/>
      <c r="AN2756" s="42"/>
      <c r="AO2756" s="42" t="s">
        <v>3823</v>
      </c>
      <c r="AP2756" s="42"/>
      <c r="AQ2756" s="42" t="s">
        <v>92</v>
      </c>
      <c r="AR2756" s="42" t="s">
        <v>3754</v>
      </c>
      <c r="AS2756" s="42"/>
    </row>
    <row r="2757" spans="1:45" ht="15" customHeight="1">
      <c r="A2757" s="20" t="s">
        <v>57</v>
      </c>
      <c r="B2757" s="21" t="s">
        <v>3728</v>
      </c>
      <c r="C2757" s="22" t="s">
        <v>84</v>
      </c>
      <c r="D2757" s="22" t="s">
        <v>3729</v>
      </c>
      <c r="E2757" s="23" t="s">
        <v>3817</v>
      </c>
      <c r="F2757" s="20" t="s">
        <v>3818</v>
      </c>
      <c r="G2757" s="20" t="s">
        <v>165</v>
      </c>
      <c r="H2757" s="25" t="s">
        <v>3824</v>
      </c>
      <c r="I2757" s="24" t="s">
        <v>3724</v>
      </c>
      <c r="J2757" s="20" t="s">
        <v>3825</v>
      </c>
      <c r="K2757" s="26" t="s">
        <v>3829</v>
      </c>
      <c r="L2757" s="20"/>
      <c r="M2757" s="156">
        <v>44470</v>
      </c>
      <c r="N2757" s="20"/>
      <c r="O2757" s="28">
        <v>5300</v>
      </c>
      <c r="P2757" s="29"/>
      <c r="Q2757" s="30">
        <f t="shared" si="71"/>
        <v>0</v>
      </c>
      <c r="R2757" s="31">
        <v>202310</v>
      </c>
      <c r="S2757" s="32" t="s">
        <v>3830</v>
      </c>
      <c r="T2757" s="32"/>
      <c r="U2757" s="32"/>
      <c r="V2757" s="32"/>
      <c r="W2757" s="226"/>
      <c r="X2757" s="35"/>
      <c r="Y2757" s="36">
        <v>44743</v>
      </c>
      <c r="Z2757" s="36">
        <v>45107</v>
      </c>
      <c r="AA2757" s="37" t="s">
        <v>3831</v>
      </c>
      <c r="AB2757" s="38" t="s">
        <v>3807</v>
      </c>
      <c r="AC2757" s="38"/>
      <c r="AD2757" s="38">
        <v>0</v>
      </c>
      <c r="AE2757" s="39" t="s">
        <v>3737</v>
      </c>
      <c r="AF2757" s="40" t="s">
        <v>3753</v>
      </c>
      <c r="AG2757" s="41"/>
      <c r="AH2757" s="42"/>
      <c r="AI2757" s="43"/>
      <c r="AJ2757" s="43">
        <f t="shared" si="68"/>
        <v>0</v>
      </c>
      <c r="AK2757" s="43">
        <f t="shared" si="72"/>
        <v>0</v>
      </c>
      <c r="AL2757" s="43"/>
      <c r="AM2757" s="43"/>
      <c r="AN2757" s="42"/>
      <c r="AO2757" s="42" t="s">
        <v>3823</v>
      </c>
      <c r="AP2757" s="42"/>
      <c r="AQ2757" s="42" t="s">
        <v>92</v>
      </c>
      <c r="AR2757" s="42" t="s">
        <v>3754</v>
      </c>
      <c r="AS2757" s="42"/>
    </row>
    <row r="2758" spans="1:45" ht="15" customHeight="1">
      <c r="A2758" s="20" t="s">
        <v>57</v>
      </c>
      <c r="B2758" s="21" t="s">
        <v>3728</v>
      </c>
      <c r="C2758" s="22" t="s">
        <v>84</v>
      </c>
      <c r="D2758" s="22" t="s">
        <v>3729</v>
      </c>
      <c r="E2758" s="23" t="s">
        <v>3832</v>
      </c>
      <c r="F2758" s="20" t="s">
        <v>3833</v>
      </c>
      <c r="G2758" s="20" t="s">
        <v>165</v>
      </c>
      <c r="H2758" s="25" t="s">
        <v>3834</v>
      </c>
      <c r="I2758" s="24" t="s">
        <v>3724</v>
      </c>
      <c r="J2758" s="20" t="s">
        <v>3835</v>
      </c>
      <c r="K2758" s="26" t="s">
        <v>3836</v>
      </c>
      <c r="L2758" s="20"/>
      <c r="M2758" s="156">
        <v>44835</v>
      </c>
      <c r="N2758" s="20"/>
      <c r="O2758" s="28">
        <v>4500</v>
      </c>
      <c r="P2758" s="231"/>
      <c r="Q2758" s="30">
        <f t="shared" si="71"/>
        <v>0</v>
      </c>
      <c r="R2758" s="31">
        <v>202310</v>
      </c>
      <c r="S2758" s="32" t="s">
        <v>3837</v>
      </c>
      <c r="T2758" s="32"/>
      <c r="U2758" s="32"/>
      <c r="V2758" s="32"/>
      <c r="W2758" s="226"/>
      <c r="X2758" s="35"/>
      <c r="Y2758" s="36">
        <v>44896</v>
      </c>
      <c r="Z2758" s="36">
        <v>45260</v>
      </c>
      <c r="AA2758" s="37" t="s">
        <v>3838</v>
      </c>
      <c r="AB2758" s="38">
        <v>0</v>
      </c>
      <c r="AC2758" s="38"/>
      <c r="AD2758" s="38">
        <v>0</v>
      </c>
      <c r="AE2758" s="39" t="s">
        <v>3737</v>
      </c>
      <c r="AF2758" s="40" t="s">
        <v>3753</v>
      </c>
      <c r="AG2758" s="41"/>
      <c r="AH2758" s="42"/>
      <c r="AI2758" s="43"/>
      <c r="AJ2758" s="43">
        <f t="shared" si="68"/>
        <v>0</v>
      </c>
      <c r="AK2758" s="43">
        <f t="shared" si="72"/>
        <v>0</v>
      </c>
      <c r="AL2758" s="43"/>
      <c r="AM2758" s="43"/>
      <c r="AN2758" s="42"/>
      <c r="AO2758" s="42" t="s">
        <v>3839</v>
      </c>
      <c r="AP2758" s="42"/>
      <c r="AQ2758" s="42" t="s">
        <v>92</v>
      </c>
      <c r="AR2758" s="42" t="s">
        <v>3754</v>
      </c>
      <c r="AS2758" s="42"/>
    </row>
    <row r="2759" spans="1:45" ht="25" customHeight="1">
      <c r="A2759" s="20" t="s">
        <v>57</v>
      </c>
      <c r="B2759" s="21" t="s">
        <v>3728</v>
      </c>
      <c r="C2759" s="22" t="s">
        <v>84</v>
      </c>
      <c r="D2759" s="22" t="s">
        <v>3729</v>
      </c>
      <c r="E2759" s="23" t="s">
        <v>3832</v>
      </c>
      <c r="F2759" s="20" t="s">
        <v>3833</v>
      </c>
      <c r="G2759" s="20" t="s">
        <v>165</v>
      </c>
      <c r="H2759" s="25" t="s">
        <v>3834</v>
      </c>
      <c r="I2759" s="24" t="s">
        <v>3724</v>
      </c>
      <c r="J2759" s="20" t="s">
        <v>3835</v>
      </c>
      <c r="K2759" s="26" t="s">
        <v>3840</v>
      </c>
      <c r="L2759" s="20"/>
      <c r="M2759" s="156">
        <v>44986</v>
      </c>
      <c r="N2759" s="20"/>
      <c r="O2759" s="28">
        <v>4000</v>
      </c>
      <c r="P2759" s="231"/>
      <c r="Q2759" s="30">
        <f t="shared" si="71"/>
        <v>0</v>
      </c>
      <c r="R2759" s="31">
        <v>202310</v>
      </c>
      <c r="S2759" s="32" t="s">
        <v>3841</v>
      </c>
      <c r="T2759" s="32"/>
      <c r="U2759" s="32"/>
      <c r="V2759" s="32"/>
      <c r="W2759" s="226"/>
      <c r="X2759" s="35"/>
      <c r="Y2759" s="36">
        <v>44896</v>
      </c>
      <c r="Z2759" s="36">
        <v>45260</v>
      </c>
      <c r="AA2759" s="37" t="s">
        <v>3842</v>
      </c>
      <c r="AB2759" s="38">
        <v>0</v>
      </c>
      <c r="AC2759" s="38"/>
      <c r="AD2759" s="38">
        <v>0</v>
      </c>
      <c r="AE2759" s="39" t="s">
        <v>3737</v>
      </c>
      <c r="AF2759" s="40" t="s">
        <v>3753</v>
      </c>
      <c r="AG2759" s="41"/>
      <c r="AH2759" s="42"/>
      <c r="AI2759" s="43"/>
      <c r="AJ2759" s="43">
        <f t="shared" si="68"/>
        <v>0</v>
      </c>
      <c r="AK2759" s="43">
        <f t="shared" si="72"/>
        <v>0</v>
      </c>
      <c r="AL2759" s="43"/>
      <c r="AM2759" s="43"/>
      <c r="AN2759" s="42"/>
      <c r="AO2759" s="42"/>
      <c r="AP2759" s="42"/>
      <c r="AQ2759" s="42" t="s">
        <v>92</v>
      </c>
      <c r="AR2759" s="42" t="s">
        <v>3754</v>
      </c>
      <c r="AS2759" s="42"/>
    </row>
    <row r="2760" spans="1:45" ht="15" customHeight="1">
      <c r="A2760" s="20" t="s">
        <v>258</v>
      </c>
      <c r="B2760" s="21" t="s">
        <v>46</v>
      </c>
      <c r="C2760" s="22" t="s">
        <v>188</v>
      </c>
      <c r="D2760" s="21" t="s">
        <v>48</v>
      </c>
      <c r="E2760" s="23" t="s">
        <v>431</v>
      </c>
      <c r="F2760" s="20" t="s">
        <v>432</v>
      </c>
      <c r="G2760" s="20" t="s">
        <v>165</v>
      </c>
      <c r="H2760" s="25" t="s">
        <v>3843</v>
      </c>
      <c r="I2760" s="24" t="s">
        <v>3776</v>
      </c>
      <c r="J2760" s="20" t="s">
        <v>3844</v>
      </c>
      <c r="K2760" s="26" t="s">
        <v>3845</v>
      </c>
      <c r="L2760" s="20"/>
      <c r="M2760" s="156" t="s">
        <v>3846</v>
      </c>
      <c r="N2760" s="20" t="s">
        <v>3847</v>
      </c>
      <c r="O2760" s="28">
        <v>175000</v>
      </c>
      <c r="P2760" s="29"/>
      <c r="Q2760" s="30">
        <f t="shared" si="71"/>
        <v>0</v>
      </c>
      <c r="R2760" s="31">
        <v>202310</v>
      </c>
      <c r="S2760" s="32" t="s">
        <v>3848</v>
      </c>
      <c r="T2760" s="32"/>
      <c r="U2760" s="32"/>
      <c r="V2760" s="32"/>
      <c r="W2760" s="232"/>
      <c r="X2760" s="35"/>
      <c r="Y2760" s="36"/>
      <c r="Z2760" s="36"/>
      <c r="AA2760" s="37" t="s">
        <v>3849</v>
      </c>
      <c r="AB2760" s="38">
        <v>0.1</v>
      </c>
      <c r="AC2760" s="38">
        <v>20</v>
      </c>
      <c r="AD2760" s="38">
        <v>2</v>
      </c>
      <c r="AE2760" s="39" t="s">
        <v>3850</v>
      </c>
      <c r="AF2760" s="40" t="s">
        <v>3783</v>
      </c>
      <c r="AG2760" s="41"/>
      <c r="AH2760" s="42"/>
      <c r="AI2760" s="43"/>
      <c r="AJ2760" s="43">
        <f t="shared" si="68"/>
        <v>0</v>
      </c>
      <c r="AK2760" s="43">
        <f t="shared" si="72"/>
        <v>0</v>
      </c>
      <c r="AL2760" s="43"/>
      <c r="AM2760" s="43"/>
      <c r="AN2760" s="42"/>
      <c r="AO2760" s="42" t="s">
        <v>3739</v>
      </c>
      <c r="AP2760" s="42"/>
      <c r="AQ2760" s="42"/>
      <c r="AR2760" s="42"/>
      <c r="AS2760" s="42" t="s">
        <v>552</v>
      </c>
    </row>
    <row r="2761" spans="1:45" ht="15" customHeight="1">
      <c r="A2761" s="20" t="s">
        <v>258</v>
      </c>
      <c r="B2761" s="21" t="s">
        <v>46</v>
      </c>
      <c r="C2761" s="22" t="s">
        <v>188</v>
      </c>
      <c r="D2761" s="22" t="s">
        <v>48</v>
      </c>
      <c r="E2761" s="23" t="s">
        <v>431</v>
      </c>
      <c r="F2761" s="20" t="s">
        <v>432</v>
      </c>
      <c r="G2761" s="20" t="s">
        <v>165</v>
      </c>
      <c r="H2761" s="25" t="s">
        <v>632</v>
      </c>
      <c r="I2761" s="24" t="s">
        <v>3724</v>
      </c>
      <c r="J2761" s="20" t="s">
        <v>3851</v>
      </c>
      <c r="K2761" s="26" t="s">
        <v>3852</v>
      </c>
      <c r="L2761" s="20"/>
      <c r="M2761" s="233" t="s">
        <v>3853</v>
      </c>
      <c r="N2761" s="227" t="s">
        <v>3854</v>
      </c>
      <c r="O2761" s="28">
        <v>9000</v>
      </c>
      <c r="P2761" s="29"/>
      <c r="Q2761" s="30">
        <f t="shared" si="71"/>
        <v>0</v>
      </c>
      <c r="R2761" s="31">
        <v>202310</v>
      </c>
      <c r="S2761" s="32" t="s">
        <v>3855</v>
      </c>
      <c r="T2761" s="32"/>
      <c r="U2761" s="109"/>
      <c r="V2761" s="32"/>
      <c r="W2761" s="232"/>
      <c r="X2761" s="35"/>
      <c r="Y2761" s="36"/>
      <c r="Z2761" s="36"/>
      <c r="AA2761" s="37" t="s">
        <v>3856</v>
      </c>
      <c r="AB2761" s="38">
        <v>0.3</v>
      </c>
      <c r="AC2761" s="38">
        <v>200</v>
      </c>
      <c r="AD2761" s="38">
        <f>AB2761*AC2761</f>
        <v>60</v>
      </c>
      <c r="AE2761" s="39" t="s">
        <v>3850</v>
      </c>
      <c r="AF2761" s="40" t="s">
        <v>503</v>
      </c>
      <c r="AG2761" s="41"/>
      <c r="AH2761" s="42">
        <v>200</v>
      </c>
      <c r="AI2761" s="43"/>
      <c r="AJ2761" s="43">
        <f t="shared" si="68"/>
        <v>0</v>
      </c>
      <c r="AK2761" s="43">
        <f t="shared" si="72"/>
        <v>0</v>
      </c>
      <c r="AL2761" s="43"/>
      <c r="AM2761" s="43"/>
      <c r="AN2761" s="42"/>
      <c r="AO2761" s="42" t="s">
        <v>3857</v>
      </c>
      <c r="AP2761" s="42"/>
      <c r="AQ2761" s="42"/>
      <c r="AR2761" s="42"/>
      <c r="AS2761" s="42" t="s">
        <v>552</v>
      </c>
    </row>
    <row r="2762" spans="1:45" ht="15" customHeight="1">
      <c r="A2762" s="20" t="s">
        <v>258</v>
      </c>
      <c r="B2762" s="21" t="s">
        <v>46</v>
      </c>
      <c r="C2762" s="22" t="s">
        <v>188</v>
      </c>
      <c r="D2762" s="21" t="s">
        <v>48</v>
      </c>
      <c r="E2762" s="23" t="s">
        <v>431</v>
      </c>
      <c r="F2762" s="20" t="s">
        <v>432</v>
      </c>
      <c r="G2762" s="20" t="s">
        <v>165</v>
      </c>
      <c r="H2762" s="25" t="s">
        <v>610</v>
      </c>
      <c r="I2762" s="24" t="s">
        <v>3858</v>
      </c>
      <c r="J2762" s="20" t="s">
        <v>3859</v>
      </c>
      <c r="K2762" s="26" t="s">
        <v>3860</v>
      </c>
      <c r="L2762" s="20"/>
      <c r="M2762" s="156" t="s">
        <v>3861</v>
      </c>
      <c r="N2762" s="20" t="s">
        <v>3862</v>
      </c>
      <c r="O2762" s="28">
        <v>13333.33</v>
      </c>
      <c r="P2762" s="29"/>
      <c r="Q2762" s="30">
        <f t="shared" si="71"/>
        <v>0</v>
      </c>
      <c r="R2762" s="31">
        <v>202310</v>
      </c>
      <c r="S2762" s="32" t="s">
        <v>3863</v>
      </c>
      <c r="T2762" s="32"/>
      <c r="U2762" s="32"/>
      <c r="V2762" s="32"/>
      <c r="W2762" s="232"/>
      <c r="X2762" s="35"/>
      <c r="Y2762" s="36"/>
      <c r="Z2762" s="36"/>
      <c r="AA2762" s="37" t="s">
        <v>3864</v>
      </c>
      <c r="AB2762" s="38">
        <v>0.2</v>
      </c>
      <c r="AC2762" s="38">
        <v>240</v>
      </c>
      <c r="AD2762" s="38">
        <v>48</v>
      </c>
      <c r="AE2762" s="39" t="s">
        <v>3850</v>
      </c>
      <c r="AF2762" s="40" t="s">
        <v>56</v>
      </c>
      <c r="AG2762" s="41"/>
      <c r="AH2762" s="42"/>
      <c r="AI2762" s="43"/>
      <c r="AJ2762" s="43">
        <f t="shared" si="68"/>
        <v>0</v>
      </c>
      <c r="AK2762" s="43">
        <f t="shared" si="72"/>
        <v>0</v>
      </c>
      <c r="AL2762" s="43"/>
      <c r="AM2762" s="43"/>
      <c r="AN2762" s="42"/>
      <c r="AO2762" s="42" t="s">
        <v>3865</v>
      </c>
      <c r="AP2762" s="42"/>
      <c r="AQ2762" s="42"/>
      <c r="AR2762" s="42"/>
      <c r="AS2762" s="42" t="s">
        <v>552</v>
      </c>
    </row>
    <row r="2763" spans="1:45" ht="15" customHeight="1">
      <c r="A2763" s="20" t="s">
        <v>258</v>
      </c>
      <c r="B2763" s="21" t="s">
        <v>46</v>
      </c>
      <c r="C2763" s="22" t="s">
        <v>188</v>
      </c>
      <c r="D2763" s="21" t="s">
        <v>48</v>
      </c>
      <c r="E2763" s="23" t="s">
        <v>431</v>
      </c>
      <c r="F2763" s="20" t="s">
        <v>432</v>
      </c>
      <c r="G2763" s="20" t="s">
        <v>165</v>
      </c>
      <c r="H2763" s="25" t="s">
        <v>610</v>
      </c>
      <c r="I2763" s="24" t="s">
        <v>3858</v>
      </c>
      <c r="J2763" s="20" t="s">
        <v>3866</v>
      </c>
      <c r="K2763" s="26" t="s">
        <v>3867</v>
      </c>
      <c r="L2763" s="20"/>
      <c r="M2763" s="156" t="s">
        <v>3868</v>
      </c>
      <c r="N2763" s="20" t="s">
        <v>3869</v>
      </c>
      <c r="O2763" s="28">
        <v>13333.33</v>
      </c>
      <c r="P2763" s="29"/>
      <c r="Q2763" s="30">
        <f t="shared" si="71"/>
        <v>0</v>
      </c>
      <c r="R2763" s="31">
        <v>202310</v>
      </c>
      <c r="S2763" s="32" t="s">
        <v>3870</v>
      </c>
      <c r="T2763" s="32"/>
      <c r="U2763" s="32"/>
      <c r="V2763" s="32"/>
      <c r="W2763" s="232"/>
      <c r="X2763" s="35"/>
      <c r="Y2763" s="36"/>
      <c r="Z2763" s="36"/>
      <c r="AA2763" s="37" t="s">
        <v>3871</v>
      </c>
      <c r="AB2763" s="38">
        <v>0.2</v>
      </c>
      <c r="AC2763" s="38">
        <v>40</v>
      </c>
      <c r="AD2763" s="38">
        <v>8</v>
      </c>
      <c r="AE2763" s="39" t="s">
        <v>3850</v>
      </c>
      <c r="AF2763" s="40" t="s">
        <v>56</v>
      </c>
      <c r="AG2763" s="41"/>
      <c r="AH2763" s="42"/>
      <c r="AI2763" s="43"/>
      <c r="AJ2763" s="43">
        <f t="shared" si="68"/>
        <v>0</v>
      </c>
      <c r="AK2763" s="43">
        <f t="shared" si="72"/>
        <v>0</v>
      </c>
      <c r="AL2763" s="43"/>
      <c r="AM2763" s="43"/>
      <c r="AN2763" s="42"/>
      <c r="AO2763" s="42" t="s">
        <v>3865</v>
      </c>
      <c r="AP2763" s="42"/>
      <c r="AQ2763" s="42"/>
      <c r="AR2763" s="42"/>
      <c r="AS2763" s="42" t="s">
        <v>552</v>
      </c>
    </row>
    <row r="2764" spans="1:45" ht="15" customHeight="1">
      <c r="A2764" s="20" t="s">
        <v>258</v>
      </c>
      <c r="B2764" s="21" t="s">
        <v>46</v>
      </c>
      <c r="C2764" s="22" t="s">
        <v>188</v>
      </c>
      <c r="D2764" s="21" t="s">
        <v>48</v>
      </c>
      <c r="E2764" s="23" t="s">
        <v>431</v>
      </c>
      <c r="F2764" s="20" t="s">
        <v>547</v>
      </c>
      <c r="G2764" s="20" t="s">
        <v>165</v>
      </c>
      <c r="H2764" s="45" t="s">
        <v>548</v>
      </c>
      <c r="I2764" s="24" t="s">
        <v>3858</v>
      </c>
      <c r="J2764" s="20" t="s">
        <v>3872</v>
      </c>
      <c r="K2764" s="26" t="s">
        <v>3873</v>
      </c>
      <c r="L2764" s="20"/>
      <c r="M2764" s="156">
        <v>44453</v>
      </c>
      <c r="N2764" s="20" t="s">
        <v>3874</v>
      </c>
      <c r="O2764" s="28">
        <v>9000</v>
      </c>
      <c r="P2764" s="29"/>
      <c r="Q2764" s="30">
        <f t="shared" si="71"/>
        <v>0</v>
      </c>
      <c r="R2764" s="31">
        <v>202310</v>
      </c>
      <c r="S2764" s="32" t="s">
        <v>3875</v>
      </c>
      <c r="T2764" s="32"/>
      <c r="U2764" s="32"/>
      <c r="V2764" s="32"/>
      <c r="W2764" s="232"/>
      <c r="X2764" s="35"/>
      <c r="Y2764" s="36"/>
      <c r="Z2764" s="36"/>
      <c r="AA2764" s="37" t="s">
        <v>550</v>
      </c>
      <c r="AB2764" s="38">
        <v>0.3</v>
      </c>
      <c r="AC2764" s="38">
        <v>180</v>
      </c>
      <c r="AD2764" s="38">
        <v>54</v>
      </c>
      <c r="AE2764" s="39" t="s">
        <v>3850</v>
      </c>
      <c r="AF2764" s="40" t="s">
        <v>56</v>
      </c>
      <c r="AG2764" s="41"/>
      <c r="AH2764" s="42"/>
      <c r="AI2764" s="43"/>
      <c r="AJ2764" s="43">
        <f t="shared" si="68"/>
        <v>0</v>
      </c>
      <c r="AK2764" s="43">
        <f t="shared" si="72"/>
        <v>0</v>
      </c>
      <c r="AL2764" s="43"/>
      <c r="AM2764" s="43"/>
      <c r="AN2764" s="42"/>
      <c r="AO2764" s="42" t="s">
        <v>3876</v>
      </c>
      <c r="AP2764" s="42"/>
      <c r="AQ2764" s="42"/>
      <c r="AR2764" s="42"/>
      <c r="AS2764" s="42" t="s">
        <v>552</v>
      </c>
    </row>
    <row r="2765" spans="1:45" ht="15" customHeight="1">
      <c r="A2765" s="20" t="s">
        <v>258</v>
      </c>
      <c r="B2765" s="21" t="s">
        <v>46</v>
      </c>
      <c r="C2765" s="22" t="s">
        <v>188</v>
      </c>
      <c r="D2765" s="22" t="s">
        <v>48</v>
      </c>
      <c r="E2765" s="23" t="s">
        <v>431</v>
      </c>
      <c r="F2765" s="20" t="s">
        <v>432</v>
      </c>
      <c r="G2765" s="20" t="s">
        <v>165</v>
      </c>
      <c r="H2765" s="45" t="s">
        <v>478</v>
      </c>
      <c r="I2765" s="24" t="s">
        <v>3724</v>
      </c>
      <c r="J2765" s="20" t="s">
        <v>3877</v>
      </c>
      <c r="K2765" s="26" t="s">
        <v>492</v>
      </c>
      <c r="L2765" s="20"/>
      <c r="M2765" s="156" t="s">
        <v>3878</v>
      </c>
      <c r="N2765" s="227" t="s">
        <v>3879</v>
      </c>
      <c r="O2765" s="28">
        <v>9000</v>
      </c>
      <c r="P2765" s="29"/>
      <c r="Q2765" s="30">
        <f t="shared" si="71"/>
        <v>0</v>
      </c>
      <c r="R2765" s="31">
        <v>202310</v>
      </c>
      <c r="S2765" s="32" t="s">
        <v>3880</v>
      </c>
      <c r="T2765" s="32"/>
      <c r="U2765" s="108"/>
      <c r="V2765" s="32"/>
      <c r="W2765" s="232"/>
      <c r="X2765" s="35"/>
      <c r="Y2765" s="36"/>
      <c r="Z2765" s="36"/>
      <c r="AA2765" s="37" t="s">
        <v>3881</v>
      </c>
      <c r="AB2765" s="38">
        <v>0.3</v>
      </c>
      <c r="AC2765" s="38">
        <v>180</v>
      </c>
      <c r="AD2765" s="38">
        <v>54</v>
      </c>
      <c r="AE2765" s="39" t="s">
        <v>3850</v>
      </c>
      <c r="AF2765" s="40" t="s">
        <v>503</v>
      </c>
      <c r="AG2765" s="41"/>
      <c r="AH2765" s="42">
        <v>180</v>
      </c>
      <c r="AI2765" s="43"/>
      <c r="AJ2765" s="43">
        <f t="shared" si="68"/>
        <v>0</v>
      </c>
      <c r="AK2765" s="43">
        <f t="shared" si="72"/>
        <v>0</v>
      </c>
      <c r="AL2765" s="43"/>
      <c r="AM2765" s="43"/>
      <c r="AN2765" s="42"/>
      <c r="AO2765" s="42" t="s">
        <v>3882</v>
      </c>
      <c r="AP2765" s="42"/>
      <c r="AQ2765" s="42"/>
      <c r="AR2765" s="42"/>
      <c r="AS2765" s="42" t="s">
        <v>497</v>
      </c>
    </row>
    <row r="2766" spans="1:45" ht="15" customHeight="1">
      <c r="A2766" s="20" t="s">
        <v>260</v>
      </c>
      <c r="B2766" s="21" t="s">
        <v>46</v>
      </c>
      <c r="C2766" s="22" t="s">
        <v>188</v>
      </c>
      <c r="D2766" s="22" t="s">
        <v>48</v>
      </c>
      <c r="E2766" s="23" t="s">
        <v>431</v>
      </c>
      <c r="F2766" s="20" t="s">
        <v>432</v>
      </c>
      <c r="G2766" s="20" t="s">
        <v>165</v>
      </c>
      <c r="H2766" s="45" t="s">
        <v>478</v>
      </c>
      <c r="I2766" s="24" t="s">
        <v>3724</v>
      </c>
      <c r="J2766" s="20" t="s">
        <v>3883</v>
      </c>
      <c r="K2766" s="26" t="s">
        <v>3603</v>
      </c>
      <c r="L2766" s="20"/>
      <c r="M2766" s="156" t="s">
        <v>3884</v>
      </c>
      <c r="N2766" s="20" t="s">
        <v>3885</v>
      </c>
      <c r="O2766" s="28">
        <v>7794</v>
      </c>
      <c r="P2766" s="29"/>
      <c r="Q2766" s="30">
        <f t="shared" si="71"/>
        <v>0</v>
      </c>
      <c r="R2766" s="31">
        <v>202310</v>
      </c>
      <c r="S2766" s="32" t="s">
        <v>3886</v>
      </c>
      <c r="T2766" s="32"/>
      <c r="U2766" s="108"/>
      <c r="V2766" s="32"/>
      <c r="W2766" s="232"/>
      <c r="X2766" s="35"/>
      <c r="Y2766" s="36"/>
      <c r="Z2766" s="36"/>
      <c r="AA2766" s="37" t="s">
        <v>3887</v>
      </c>
      <c r="AB2766" s="38">
        <v>0.3</v>
      </c>
      <c r="AC2766" s="38">
        <v>280</v>
      </c>
      <c r="AD2766" s="38">
        <v>84</v>
      </c>
      <c r="AE2766" s="39" t="s">
        <v>3850</v>
      </c>
      <c r="AF2766" s="40" t="s">
        <v>503</v>
      </c>
      <c r="AG2766" s="41"/>
      <c r="AH2766" s="42">
        <v>280</v>
      </c>
      <c r="AI2766" s="43"/>
      <c r="AJ2766" s="43">
        <f t="shared" si="68"/>
        <v>0</v>
      </c>
      <c r="AK2766" s="43">
        <f t="shared" si="72"/>
        <v>0</v>
      </c>
      <c r="AL2766" s="43"/>
      <c r="AM2766" s="43"/>
      <c r="AN2766" s="42"/>
      <c r="AO2766" s="42" t="s">
        <v>3882</v>
      </c>
      <c r="AP2766" s="42"/>
      <c r="AQ2766" s="42"/>
      <c r="AR2766" s="42"/>
      <c r="AS2766" s="42" t="s">
        <v>497</v>
      </c>
    </row>
    <row r="2767" spans="1:45" ht="15" customHeight="1">
      <c r="A2767" s="20" t="s">
        <v>45</v>
      </c>
      <c r="B2767" s="21" t="s">
        <v>46</v>
      </c>
      <c r="C2767" s="22" t="s">
        <v>188</v>
      </c>
      <c r="D2767" s="22" t="s">
        <v>48</v>
      </c>
      <c r="E2767" s="23" t="s">
        <v>431</v>
      </c>
      <c r="F2767" s="20" t="s">
        <v>432</v>
      </c>
      <c r="G2767" s="20" t="s">
        <v>165</v>
      </c>
      <c r="H2767" s="45" t="s">
        <v>478</v>
      </c>
      <c r="I2767" s="24" t="s">
        <v>3724</v>
      </c>
      <c r="J2767" s="20" t="s">
        <v>3888</v>
      </c>
      <c r="K2767" s="26" t="s">
        <v>3889</v>
      </c>
      <c r="L2767" s="20"/>
      <c r="M2767" s="156" t="s">
        <v>3890</v>
      </c>
      <c r="N2767" s="20" t="s">
        <v>3891</v>
      </c>
      <c r="O2767" s="28">
        <v>5000</v>
      </c>
      <c r="P2767" s="29"/>
      <c r="Q2767" s="30">
        <f t="shared" si="71"/>
        <v>0</v>
      </c>
      <c r="R2767" s="31">
        <v>202310</v>
      </c>
      <c r="S2767" s="32" t="s">
        <v>3892</v>
      </c>
      <c r="T2767" s="32"/>
      <c r="U2767" s="108"/>
      <c r="V2767" s="32"/>
      <c r="W2767" s="232"/>
      <c r="X2767" s="35"/>
      <c r="Y2767" s="36"/>
      <c r="Z2767" s="36"/>
      <c r="AA2767" s="37" t="s">
        <v>3893</v>
      </c>
      <c r="AB2767" s="38">
        <v>0.3</v>
      </c>
      <c r="AC2767" s="38">
        <v>260</v>
      </c>
      <c r="AD2767" s="38">
        <v>78</v>
      </c>
      <c r="AE2767" s="39" t="s">
        <v>3850</v>
      </c>
      <c r="AF2767" s="40" t="s">
        <v>503</v>
      </c>
      <c r="AG2767" s="41"/>
      <c r="AH2767" s="42">
        <v>260</v>
      </c>
      <c r="AI2767" s="43"/>
      <c r="AJ2767" s="43">
        <f t="shared" si="68"/>
        <v>0</v>
      </c>
      <c r="AK2767" s="43">
        <f t="shared" si="72"/>
        <v>0</v>
      </c>
      <c r="AL2767" s="43"/>
      <c r="AM2767" s="43"/>
      <c r="AN2767" s="42"/>
      <c r="AO2767" s="42" t="s">
        <v>3882</v>
      </c>
      <c r="AP2767" s="42"/>
      <c r="AQ2767" s="42"/>
      <c r="AR2767" s="42"/>
      <c r="AS2767" s="42" t="s">
        <v>497</v>
      </c>
    </row>
    <row r="2768" spans="1:45" ht="15" customHeight="1">
      <c r="A2768" s="20" t="s">
        <v>258</v>
      </c>
      <c r="B2768" s="21" t="s">
        <v>46</v>
      </c>
      <c r="C2768" s="22" t="s">
        <v>188</v>
      </c>
      <c r="D2768" s="22" t="s">
        <v>48</v>
      </c>
      <c r="E2768" s="23" t="s">
        <v>431</v>
      </c>
      <c r="F2768" s="20" t="s">
        <v>432</v>
      </c>
      <c r="G2768" s="20" t="s">
        <v>165</v>
      </c>
      <c r="H2768" s="25" t="s">
        <v>632</v>
      </c>
      <c r="I2768" s="24" t="s">
        <v>3724</v>
      </c>
      <c r="J2768" s="20" t="s">
        <v>626</v>
      </c>
      <c r="K2768" s="26" t="s">
        <v>627</v>
      </c>
      <c r="L2768" s="20" t="s">
        <v>628</v>
      </c>
      <c r="M2768" s="233" t="s">
        <v>3894</v>
      </c>
      <c r="N2768" s="227" t="s">
        <v>3895</v>
      </c>
      <c r="O2768" s="28">
        <v>6000</v>
      </c>
      <c r="P2768" s="29"/>
      <c r="Q2768" s="30">
        <f t="shared" si="71"/>
        <v>0</v>
      </c>
      <c r="R2768" s="31">
        <v>202310</v>
      </c>
      <c r="S2768" s="32" t="s">
        <v>3896</v>
      </c>
      <c r="T2768" s="32"/>
      <c r="U2768" s="109"/>
      <c r="V2768" s="32"/>
      <c r="W2768" s="232"/>
      <c r="X2768" s="35"/>
      <c r="Y2768" s="36"/>
      <c r="Z2768" s="36"/>
      <c r="AA2768" s="37" t="s">
        <v>3897</v>
      </c>
      <c r="AB2768" s="38">
        <v>0.3</v>
      </c>
      <c r="AC2768" s="38">
        <v>140</v>
      </c>
      <c r="AD2768" s="38">
        <f>AB2768*AC2768</f>
        <v>42</v>
      </c>
      <c r="AE2768" s="39" t="s">
        <v>3850</v>
      </c>
      <c r="AF2768" s="40" t="s">
        <v>484</v>
      </c>
      <c r="AG2768" s="41">
        <v>140</v>
      </c>
      <c r="AH2768" s="42"/>
      <c r="AI2768" s="43"/>
      <c r="AJ2768" s="43">
        <f t="shared" si="68"/>
        <v>0</v>
      </c>
      <c r="AK2768" s="43">
        <f t="shared" si="72"/>
        <v>0</v>
      </c>
      <c r="AL2768" s="43"/>
      <c r="AM2768" s="43"/>
      <c r="AN2768" s="42"/>
      <c r="AO2768" s="42" t="s">
        <v>3857</v>
      </c>
      <c r="AP2768" s="42"/>
      <c r="AQ2768" s="42"/>
      <c r="AR2768" s="42"/>
      <c r="AS2768" s="42" t="s">
        <v>552</v>
      </c>
    </row>
    <row r="2769" spans="1:45" ht="15" customHeight="1">
      <c r="A2769" s="20" t="s">
        <v>258</v>
      </c>
      <c r="B2769" s="21" t="s">
        <v>46</v>
      </c>
      <c r="C2769" s="22" t="s">
        <v>188</v>
      </c>
      <c r="D2769" s="22" t="s">
        <v>48</v>
      </c>
      <c r="E2769" s="23" t="s">
        <v>431</v>
      </c>
      <c r="F2769" s="20" t="s">
        <v>432</v>
      </c>
      <c r="G2769" s="47" t="s">
        <v>165</v>
      </c>
      <c r="H2769" s="234" t="s">
        <v>648</v>
      </c>
      <c r="I2769" s="24" t="s">
        <v>3724</v>
      </c>
      <c r="J2769" s="47" t="s">
        <v>649</v>
      </c>
      <c r="K2769" s="26" t="s">
        <v>650</v>
      </c>
      <c r="L2769" s="48" t="s">
        <v>651</v>
      </c>
      <c r="M2769" s="75" t="s">
        <v>3898</v>
      </c>
      <c r="N2769" s="75" t="s">
        <v>3899</v>
      </c>
      <c r="O2769" s="50">
        <v>9000</v>
      </c>
      <c r="P2769" s="51"/>
      <c r="Q2769" s="51">
        <f t="shared" si="71"/>
        <v>0</v>
      </c>
      <c r="R2769" s="31">
        <v>202310</v>
      </c>
      <c r="S2769" s="108" t="s">
        <v>3900</v>
      </c>
      <c r="T2769" s="109"/>
      <c r="U2769" s="109"/>
      <c r="V2769" s="109"/>
      <c r="W2769" s="232"/>
      <c r="X2769" s="52"/>
      <c r="Y2769" s="36"/>
      <c r="Z2769" s="36"/>
      <c r="AA2769" s="37" t="s">
        <v>3901</v>
      </c>
      <c r="AB2769" s="38">
        <v>0.3</v>
      </c>
      <c r="AC2769" s="235">
        <v>10</v>
      </c>
      <c r="AD2769" s="38">
        <v>3</v>
      </c>
      <c r="AE2769" s="39" t="s">
        <v>3850</v>
      </c>
      <c r="AF2769" s="40" t="s">
        <v>484</v>
      </c>
      <c r="AG2769" s="42">
        <v>10</v>
      </c>
      <c r="AH2769" s="42"/>
      <c r="AI2769" s="43"/>
      <c r="AJ2769" s="43">
        <f t="shared" si="68"/>
        <v>0</v>
      </c>
      <c r="AK2769" s="43">
        <f t="shared" si="72"/>
        <v>0</v>
      </c>
      <c r="AL2769" s="43"/>
      <c r="AM2769" s="43"/>
      <c r="AN2769" s="42"/>
      <c r="AO2769" s="42"/>
      <c r="AP2769" s="42"/>
      <c r="AQ2769" s="43"/>
      <c r="AR2769" s="42"/>
      <c r="AS2769" s="42" t="s">
        <v>552</v>
      </c>
    </row>
    <row r="2770" spans="1:45" ht="15" customHeight="1">
      <c r="A2770" s="20" t="s">
        <v>57</v>
      </c>
      <c r="B2770" s="21" t="s">
        <v>3728</v>
      </c>
      <c r="C2770" s="22" t="s">
        <v>84</v>
      </c>
      <c r="D2770" s="22" t="s">
        <v>3729</v>
      </c>
      <c r="E2770" s="23" t="s">
        <v>3902</v>
      </c>
      <c r="F2770" s="20" t="s">
        <v>3903</v>
      </c>
      <c r="G2770" s="20" t="s">
        <v>165</v>
      </c>
      <c r="H2770" s="219" t="s">
        <v>3904</v>
      </c>
      <c r="I2770" s="24" t="s">
        <v>3724</v>
      </c>
      <c r="J2770" s="20" t="s">
        <v>3835</v>
      </c>
      <c r="K2770" s="26" t="s">
        <v>3905</v>
      </c>
      <c r="L2770" s="20"/>
      <c r="M2770" s="156">
        <v>45017</v>
      </c>
      <c r="N2770" s="20"/>
      <c r="O2770" s="28">
        <v>4900</v>
      </c>
      <c r="P2770" s="231"/>
      <c r="Q2770" s="30">
        <f t="shared" si="71"/>
        <v>0</v>
      </c>
      <c r="R2770" s="31">
        <v>202310</v>
      </c>
      <c r="S2770" s="32" t="s">
        <v>3906</v>
      </c>
      <c r="T2770" s="32"/>
      <c r="U2770" s="32"/>
      <c r="V2770" s="32"/>
      <c r="W2770" s="226"/>
      <c r="X2770" s="35"/>
      <c r="Y2770" s="36"/>
      <c r="Z2770" s="36"/>
      <c r="AA2770" s="37" t="s">
        <v>3907</v>
      </c>
      <c r="AB2770" s="38">
        <v>0</v>
      </c>
      <c r="AC2770" s="38"/>
      <c r="AD2770" s="38">
        <v>0</v>
      </c>
      <c r="AE2770" s="39" t="s">
        <v>3737</v>
      </c>
      <c r="AF2770" s="40" t="s">
        <v>3753</v>
      </c>
      <c r="AG2770" s="41"/>
      <c r="AH2770" s="42"/>
      <c r="AI2770" s="43"/>
      <c r="AJ2770" s="43">
        <f t="shared" si="68"/>
        <v>0</v>
      </c>
      <c r="AK2770" s="43">
        <f t="shared" si="72"/>
        <v>0</v>
      </c>
      <c r="AL2770" s="43"/>
      <c r="AM2770" s="43"/>
      <c r="AN2770" s="42"/>
      <c r="AO2770" s="42" t="s">
        <v>3908</v>
      </c>
      <c r="AP2770" s="42"/>
      <c r="AQ2770" s="42" t="s">
        <v>92</v>
      </c>
      <c r="AR2770" s="42" t="s">
        <v>3754</v>
      </c>
      <c r="AS2770" s="42"/>
    </row>
    <row r="2771" spans="1:45" ht="15" customHeight="1">
      <c r="A2771" s="20" t="s">
        <v>57</v>
      </c>
      <c r="B2771" s="21" t="s">
        <v>3728</v>
      </c>
      <c r="C2771" s="22" t="s">
        <v>84</v>
      </c>
      <c r="D2771" s="22" t="s">
        <v>3729</v>
      </c>
      <c r="E2771" s="23" t="s">
        <v>3909</v>
      </c>
      <c r="F2771" s="20" t="s">
        <v>3910</v>
      </c>
      <c r="G2771" s="20" t="s">
        <v>165</v>
      </c>
      <c r="H2771" s="25" t="s">
        <v>3911</v>
      </c>
      <c r="I2771" s="24" t="s">
        <v>3724</v>
      </c>
      <c r="J2771" s="20" t="s">
        <v>3912</v>
      </c>
      <c r="K2771" s="26" t="s">
        <v>3913</v>
      </c>
      <c r="L2771" s="20"/>
      <c r="M2771" s="156">
        <v>43922</v>
      </c>
      <c r="N2771" s="20"/>
      <c r="O2771" s="230" t="s">
        <v>3914</v>
      </c>
      <c r="P2771" s="29"/>
      <c r="Q2771" s="30">
        <v>0</v>
      </c>
      <c r="R2771" s="31">
        <v>202310</v>
      </c>
      <c r="S2771" s="32" t="s">
        <v>3915</v>
      </c>
      <c r="T2771" s="32"/>
      <c r="U2771" s="32"/>
      <c r="V2771" s="32"/>
      <c r="W2771" s="226"/>
      <c r="X2771" s="29"/>
      <c r="Y2771" s="36">
        <v>45017</v>
      </c>
      <c r="Z2771" s="36">
        <v>45382</v>
      </c>
      <c r="AA2771" s="37"/>
      <c r="AB2771" s="38">
        <v>0</v>
      </c>
      <c r="AC2771" s="38"/>
      <c r="AD2771" s="38">
        <v>0</v>
      </c>
      <c r="AE2771" s="39" t="s">
        <v>3737</v>
      </c>
      <c r="AF2771" s="40" t="s">
        <v>3753</v>
      </c>
      <c r="AG2771" s="41"/>
      <c r="AH2771" s="42"/>
      <c r="AI2771" s="43"/>
      <c r="AJ2771" s="43">
        <f t="shared" si="68"/>
        <v>0</v>
      </c>
      <c r="AK2771" s="43"/>
      <c r="AL2771" s="43"/>
      <c r="AM2771" s="43"/>
      <c r="AN2771" s="42"/>
      <c r="AO2771" s="42" t="s">
        <v>3823</v>
      </c>
      <c r="AP2771" s="42"/>
      <c r="AQ2771" s="42" t="s">
        <v>92</v>
      </c>
      <c r="AR2771" s="42" t="s">
        <v>3754</v>
      </c>
      <c r="AS2771" s="42"/>
    </row>
    <row r="2772" spans="1:45" ht="15" customHeight="1">
      <c r="A2772" s="20" t="s">
        <v>57</v>
      </c>
      <c r="B2772" s="21" t="s">
        <v>3728</v>
      </c>
      <c r="C2772" s="22" t="s">
        <v>84</v>
      </c>
      <c r="D2772" s="22" t="s">
        <v>3729</v>
      </c>
      <c r="E2772" s="23" t="s">
        <v>3909</v>
      </c>
      <c r="F2772" s="20" t="s">
        <v>3910</v>
      </c>
      <c r="G2772" s="20" t="s">
        <v>165</v>
      </c>
      <c r="H2772" s="25" t="s">
        <v>3911</v>
      </c>
      <c r="I2772" s="24" t="s">
        <v>3724</v>
      </c>
      <c r="J2772" s="20"/>
      <c r="K2772" s="26" t="s">
        <v>3916</v>
      </c>
      <c r="L2772" s="20"/>
      <c r="M2772" s="156"/>
      <c r="N2772" s="20"/>
      <c r="O2772" s="28">
        <v>0.2</v>
      </c>
      <c r="P2772" s="29"/>
      <c r="Q2772" s="30">
        <f>ROUND(O2772*P2772,2)</f>
        <v>0</v>
      </c>
      <c r="R2772" s="31">
        <v>202310</v>
      </c>
      <c r="S2772" s="32" t="s">
        <v>3917</v>
      </c>
      <c r="T2772" s="32"/>
      <c r="U2772" s="32"/>
      <c r="V2772" s="32"/>
      <c r="W2772" s="226"/>
      <c r="X2772" s="35"/>
      <c r="Y2772" s="36">
        <v>45017</v>
      </c>
      <c r="Z2772" s="36">
        <v>45382</v>
      </c>
      <c r="AA2772" s="37"/>
      <c r="AB2772" s="38">
        <v>0</v>
      </c>
      <c r="AC2772" s="38"/>
      <c r="AD2772" s="38">
        <v>0</v>
      </c>
      <c r="AE2772" s="39" t="s">
        <v>3737</v>
      </c>
      <c r="AF2772" s="40" t="s">
        <v>3753</v>
      </c>
      <c r="AG2772" s="41"/>
      <c r="AH2772" s="42"/>
      <c r="AI2772" s="43"/>
      <c r="AJ2772" s="43">
        <f t="shared" si="68"/>
        <v>0</v>
      </c>
      <c r="AK2772" s="43">
        <f>AJ2772*O2772</f>
        <v>0</v>
      </c>
      <c r="AL2772" s="43"/>
      <c r="AM2772" s="43"/>
      <c r="AN2772" s="42"/>
      <c r="AO2772" s="42" t="s">
        <v>3823</v>
      </c>
      <c r="AP2772" s="42"/>
      <c r="AQ2772" s="42" t="s">
        <v>92</v>
      </c>
      <c r="AR2772" s="42" t="s">
        <v>3754</v>
      </c>
      <c r="AS2772" s="42"/>
    </row>
    <row r="2773" spans="1:45" ht="15" customHeight="1">
      <c r="A2773" s="20" t="s">
        <v>57</v>
      </c>
      <c r="B2773" s="21" t="s">
        <v>3728</v>
      </c>
      <c r="C2773" s="22" t="s">
        <v>84</v>
      </c>
      <c r="D2773" s="22" t="s">
        <v>3729</v>
      </c>
      <c r="E2773" s="23" t="s">
        <v>3909</v>
      </c>
      <c r="F2773" s="20" t="s">
        <v>3910</v>
      </c>
      <c r="G2773" s="20" t="s">
        <v>165</v>
      </c>
      <c r="H2773" s="25" t="s">
        <v>3911</v>
      </c>
      <c r="I2773" s="24" t="s">
        <v>3724</v>
      </c>
      <c r="J2773" s="20" t="s">
        <v>3918</v>
      </c>
      <c r="K2773" s="26" t="s">
        <v>3919</v>
      </c>
      <c r="L2773" s="20"/>
      <c r="M2773" s="156">
        <v>43922</v>
      </c>
      <c r="N2773" s="20"/>
      <c r="O2773" s="28" t="s">
        <v>3920</v>
      </c>
      <c r="P2773" s="29"/>
      <c r="Q2773" s="30">
        <f>ROUND(P2773*0.3,2)</f>
        <v>0</v>
      </c>
      <c r="R2773" s="31">
        <v>202310</v>
      </c>
      <c r="S2773" s="32" t="s">
        <v>3921</v>
      </c>
      <c r="T2773" s="32"/>
      <c r="U2773" s="32"/>
      <c r="V2773" s="32"/>
      <c r="W2773" s="226"/>
      <c r="X2773" s="35"/>
      <c r="Y2773" s="36">
        <v>45017</v>
      </c>
      <c r="Z2773" s="36">
        <v>45382</v>
      </c>
      <c r="AA2773" s="37"/>
      <c r="AB2773" s="38">
        <v>0</v>
      </c>
      <c r="AC2773" s="38"/>
      <c r="AD2773" s="38">
        <v>0</v>
      </c>
      <c r="AE2773" s="39" t="s">
        <v>3737</v>
      </c>
      <c r="AF2773" s="40" t="s">
        <v>3753</v>
      </c>
      <c r="AG2773" s="41"/>
      <c r="AH2773" s="42"/>
      <c r="AI2773" s="43"/>
      <c r="AJ2773" s="43">
        <f t="shared" si="68"/>
        <v>0</v>
      </c>
      <c r="AK2773" s="43"/>
      <c r="AL2773" s="43"/>
      <c r="AM2773" s="43"/>
      <c r="AN2773" s="42"/>
      <c r="AO2773" s="42" t="s">
        <v>3823</v>
      </c>
      <c r="AP2773" s="42"/>
      <c r="AQ2773" s="42" t="s">
        <v>92</v>
      </c>
      <c r="AR2773" s="42" t="s">
        <v>3754</v>
      </c>
      <c r="AS2773" s="42"/>
    </row>
    <row r="2774" spans="1:45" ht="15" customHeight="1">
      <c r="A2774" s="20" t="s">
        <v>57</v>
      </c>
      <c r="B2774" s="21" t="s">
        <v>3728</v>
      </c>
      <c r="C2774" s="22" t="s">
        <v>84</v>
      </c>
      <c r="D2774" s="22" t="s">
        <v>3729</v>
      </c>
      <c r="E2774" s="23" t="s">
        <v>3922</v>
      </c>
      <c r="F2774" s="20" t="s">
        <v>3923</v>
      </c>
      <c r="G2774" s="20" t="s">
        <v>165</v>
      </c>
      <c r="H2774" s="25" t="s">
        <v>3924</v>
      </c>
      <c r="I2774" s="24" t="s">
        <v>3724</v>
      </c>
      <c r="J2774" s="20" t="s">
        <v>3925</v>
      </c>
      <c r="K2774" s="26" t="s">
        <v>3925</v>
      </c>
      <c r="L2774" s="20"/>
      <c r="M2774" s="156">
        <v>44197</v>
      </c>
      <c r="N2774" s="20"/>
      <c r="O2774" s="28">
        <v>6200</v>
      </c>
      <c r="P2774" s="231"/>
      <c r="Q2774" s="30">
        <f t="shared" ref="Q2774:Q2794" si="73">ROUND(O2774*P2774,2)</f>
        <v>0</v>
      </c>
      <c r="R2774" s="31">
        <v>202310</v>
      </c>
      <c r="S2774" s="32" t="s">
        <v>3926</v>
      </c>
      <c r="T2774" s="32"/>
      <c r="U2774" s="32"/>
      <c r="V2774" s="32"/>
      <c r="W2774" s="226"/>
      <c r="X2774" s="35"/>
      <c r="Y2774" s="36"/>
      <c r="Z2774" s="36"/>
      <c r="AA2774" s="37" t="s">
        <v>3927</v>
      </c>
      <c r="AB2774" s="38">
        <v>0</v>
      </c>
      <c r="AC2774" s="38"/>
      <c r="AD2774" s="38">
        <v>0</v>
      </c>
      <c r="AE2774" s="39" t="s">
        <v>3737</v>
      </c>
      <c r="AF2774" s="40" t="s">
        <v>3753</v>
      </c>
      <c r="AG2774" s="41"/>
      <c r="AH2774" s="42"/>
      <c r="AI2774" s="43"/>
      <c r="AJ2774" s="43">
        <f t="shared" si="68"/>
        <v>0</v>
      </c>
      <c r="AK2774" s="43">
        <f t="shared" ref="AK2774:AK2788" si="74">AJ2774*O2774</f>
        <v>0</v>
      </c>
      <c r="AL2774" s="43"/>
      <c r="AM2774" s="43"/>
      <c r="AN2774" s="42"/>
      <c r="AO2774" s="42" t="s">
        <v>3823</v>
      </c>
      <c r="AP2774" s="42"/>
      <c r="AQ2774" s="42" t="s">
        <v>92</v>
      </c>
      <c r="AR2774" s="42" t="s">
        <v>3754</v>
      </c>
      <c r="AS2774" s="42"/>
    </row>
    <row r="2775" spans="1:45" ht="15" customHeight="1">
      <c r="A2775" s="20" t="s">
        <v>57</v>
      </c>
      <c r="B2775" s="21" t="s">
        <v>3728</v>
      </c>
      <c r="C2775" s="22" t="s">
        <v>84</v>
      </c>
      <c r="D2775" s="22" t="s">
        <v>3729</v>
      </c>
      <c r="E2775" s="23" t="s">
        <v>3922</v>
      </c>
      <c r="F2775" s="20" t="s">
        <v>3923</v>
      </c>
      <c r="G2775" s="20" t="s">
        <v>165</v>
      </c>
      <c r="H2775" s="25" t="s">
        <v>3928</v>
      </c>
      <c r="I2775" s="24" t="s">
        <v>3724</v>
      </c>
      <c r="J2775" s="20" t="s">
        <v>3929</v>
      </c>
      <c r="K2775" s="26" t="s">
        <v>3929</v>
      </c>
      <c r="L2775" s="20"/>
      <c r="M2775" s="156">
        <v>44197</v>
      </c>
      <c r="N2775" s="20"/>
      <c r="O2775" s="28">
        <v>4800</v>
      </c>
      <c r="P2775" s="231"/>
      <c r="Q2775" s="30">
        <f t="shared" si="73"/>
        <v>0</v>
      </c>
      <c r="R2775" s="31">
        <v>202310</v>
      </c>
      <c r="S2775" s="32" t="s">
        <v>3930</v>
      </c>
      <c r="T2775" s="32"/>
      <c r="U2775" s="32"/>
      <c r="V2775" s="32"/>
      <c r="W2775" s="226"/>
      <c r="X2775" s="35"/>
      <c r="Y2775" s="36">
        <v>45047</v>
      </c>
      <c r="Z2775" s="36">
        <v>45412</v>
      </c>
      <c r="AA2775" s="37" t="s">
        <v>3931</v>
      </c>
      <c r="AB2775" s="38">
        <v>0</v>
      </c>
      <c r="AC2775" s="38"/>
      <c r="AD2775" s="38">
        <v>0</v>
      </c>
      <c r="AE2775" s="39" t="s">
        <v>3737</v>
      </c>
      <c r="AF2775" s="40" t="s">
        <v>3753</v>
      </c>
      <c r="AG2775" s="41"/>
      <c r="AH2775" s="42"/>
      <c r="AI2775" s="43"/>
      <c r="AJ2775" s="43">
        <f t="shared" si="68"/>
        <v>0</v>
      </c>
      <c r="AK2775" s="43">
        <f t="shared" si="74"/>
        <v>0</v>
      </c>
      <c r="AL2775" s="43"/>
      <c r="AM2775" s="43"/>
      <c r="AN2775" s="42"/>
      <c r="AO2775" s="42" t="s">
        <v>3823</v>
      </c>
      <c r="AP2775" s="42"/>
      <c r="AQ2775" s="42" t="s">
        <v>92</v>
      </c>
      <c r="AR2775" s="42" t="s">
        <v>3754</v>
      </c>
      <c r="AS2775" s="42"/>
    </row>
    <row r="2776" spans="1:45" ht="15" customHeight="1">
      <c r="A2776" s="20" t="s">
        <v>57</v>
      </c>
      <c r="B2776" s="21" t="s">
        <v>3728</v>
      </c>
      <c r="C2776" s="22" t="s">
        <v>84</v>
      </c>
      <c r="D2776" s="22" t="s">
        <v>3729</v>
      </c>
      <c r="E2776" s="23" t="s">
        <v>3932</v>
      </c>
      <c r="F2776" s="20" t="s">
        <v>3933</v>
      </c>
      <c r="G2776" s="20" t="s">
        <v>165</v>
      </c>
      <c r="H2776" s="25" t="s">
        <v>3934</v>
      </c>
      <c r="I2776" s="24" t="s">
        <v>3724</v>
      </c>
      <c r="J2776" s="20"/>
      <c r="K2776" s="26" t="s">
        <v>3935</v>
      </c>
      <c r="L2776" s="20"/>
      <c r="M2776" s="156">
        <v>44562</v>
      </c>
      <c r="N2776" s="20"/>
      <c r="O2776" s="28">
        <v>5800</v>
      </c>
      <c r="P2776" s="231"/>
      <c r="Q2776" s="30">
        <f t="shared" si="73"/>
        <v>0</v>
      </c>
      <c r="R2776" s="31">
        <v>202310</v>
      </c>
      <c r="S2776" s="32" t="s">
        <v>3936</v>
      </c>
      <c r="T2776" s="32"/>
      <c r="U2776" s="32" t="s">
        <v>3937</v>
      </c>
      <c r="V2776" s="32"/>
      <c r="W2776" s="226"/>
      <c r="X2776" s="236"/>
      <c r="Y2776" s="36">
        <v>44866</v>
      </c>
      <c r="Z2776" s="36">
        <v>45230</v>
      </c>
      <c r="AA2776" s="37" t="s">
        <v>3938</v>
      </c>
      <c r="AB2776" s="38"/>
      <c r="AC2776" s="38"/>
      <c r="AD2776" s="38">
        <v>0</v>
      </c>
      <c r="AE2776" s="39" t="s">
        <v>3737</v>
      </c>
      <c r="AF2776" s="40" t="s">
        <v>3816</v>
      </c>
      <c r="AG2776" s="41"/>
      <c r="AH2776" s="42"/>
      <c r="AI2776" s="43"/>
      <c r="AJ2776" s="43">
        <f t="shared" si="68"/>
        <v>0</v>
      </c>
      <c r="AK2776" s="43">
        <f t="shared" si="74"/>
        <v>0</v>
      </c>
      <c r="AL2776" s="43"/>
      <c r="AM2776" s="43"/>
      <c r="AN2776" s="42"/>
      <c r="AO2776" s="42"/>
      <c r="AP2776" s="42"/>
      <c r="AQ2776" s="42" t="s">
        <v>3939</v>
      </c>
      <c r="AR2776" s="42" t="s">
        <v>3740</v>
      </c>
      <c r="AS2776" s="42"/>
    </row>
    <row r="2777" spans="1:45" ht="15" customHeight="1">
      <c r="A2777" s="20" t="s">
        <v>57</v>
      </c>
      <c r="B2777" s="21" t="s">
        <v>3728</v>
      </c>
      <c r="C2777" s="22" t="s">
        <v>84</v>
      </c>
      <c r="D2777" s="22" t="s">
        <v>3729</v>
      </c>
      <c r="E2777" s="23" t="s">
        <v>3940</v>
      </c>
      <c r="F2777" s="20" t="s">
        <v>3941</v>
      </c>
      <c r="G2777" s="20" t="s">
        <v>165</v>
      </c>
      <c r="H2777" s="25" t="s">
        <v>3942</v>
      </c>
      <c r="I2777" s="24" t="s">
        <v>3724</v>
      </c>
      <c r="J2777" s="20"/>
      <c r="K2777" s="26" t="s">
        <v>3943</v>
      </c>
      <c r="L2777" s="20"/>
      <c r="M2777" s="156">
        <v>44896</v>
      </c>
      <c r="N2777" s="20"/>
      <c r="O2777" s="28">
        <v>8400</v>
      </c>
      <c r="P2777" s="231"/>
      <c r="Q2777" s="30">
        <f t="shared" si="73"/>
        <v>0</v>
      </c>
      <c r="R2777" s="31">
        <v>202310</v>
      </c>
      <c r="S2777" s="32" t="s">
        <v>3944</v>
      </c>
      <c r="T2777" s="32"/>
      <c r="U2777" s="32"/>
      <c r="V2777" s="32"/>
      <c r="W2777" s="226"/>
      <c r="X2777" s="35"/>
      <c r="Y2777" s="36">
        <v>44896</v>
      </c>
      <c r="Z2777" s="36">
        <v>45260</v>
      </c>
      <c r="AA2777" s="37" t="s">
        <v>3945</v>
      </c>
      <c r="AB2777" s="38">
        <v>0</v>
      </c>
      <c r="AC2777" s="38"/>
      <c r="AD2777" s="38">
        <v>0</v>
      </c>
      <c r="AE2777" s="39" t="s">
        <v>3737</v>
      </c>
      <c r="AF2777" s="40" t="s">
        <v>3738</v>
      </c>
      <c r="AG2777" s="41"/>
      <c r="AH2777" s="42"/>
      <c r="AI2777" s="43"/>
      <c r="AJ2777" s="43">
        <f t="shared" si="68"/>
        <v>0</v>
      </c>
      <c r="AK2777" s="43">
        <f t="shared" si="74"/>
        <v>0</v>
      </c>
      <c r="AL2777" s="43"/>
      <c r="AM2777" s="43"/>
      <c r="AN2777" s="42"/>
      <c r="AO2777" s="42" t="s">
        <v>3946</v>
      </c>
      <c r="AP2777" s="42"/>
      <c r="AQ2777" s="42" t="s">
        <v>92</v>
      </c>
      <c r="AR2777" s="42" t="s">
        <v>3740</v>
      </c>
      <c r="AS2777" s="42"/>
    </row>
    <row r="2778" spans="1:45" ht="15" customHeight="1">
      <c r="A2778" s="20" t="s">
        <v>57</v>
      </c>
      <c r="B2778" s="21" t="s">
        <v>3728</v>
      </c>
      <c r="C2778" s="22" t="s">
        <v>84</v>
      </c>
      <c r="D2778" s="22" t="s">
        <v>3729</v>
      </c>
      <c r="E2778" s="23" t="s">
        <v>3947</v>
      </c>
      <c r="F2778" s="20" t="s">
        <v>3948</v>
      </c>
      <c r="G2778" s="20" t="s">
        <v>165</v>
      </c>
      <c r="H2778" s="25" t="s">
        <v>3949</v>
      </c>
      <c r="I2778" s="24" t="s">
        <v>3724</v>
      </c>
      <c r="J2778" s="20" t="s">
        <v>3950</v>
      </c>
      <c r="K2778" s="26" t="s">
        <v>3951</v>
      </c>
      <c r="L2778" s="20"/>
      <c r="M2778" s="156">
        <v>44593</v>
      </c>
      <c r="N2778" s="20"/>
      <c r="O2778" s="28">
        <v>5400</v>
      </c>
      <c r="P2778" s="231"/>
      <c r="Q2778" s="30">
        <f t="shared" si="73"/>
        <v>0</v>
      </c>
      <c r="R2778" s="31">
        <v>202310</v>
      </c>
      <c r="S2778" s="32" t="s">
        <v>3952</v>
      </c>
      <c r="T2778" s="32"/>
      <c r="U2778" s="32"/>
      <c r="V2778" s="32"/>
      <c r="W2778" s="226"/>
      <c r="X2778" s="35"/>
      <c r="Y2778" s="36">
        <v>44958</v>
      </c>
      <c r="Z2778" s="36">
        <v>45322</v>
      </c>
      <c r="AA2778" s="37" t="s">
        <v>3953</v>
      </c>
      <c r="AB2778" s="38">
        <v>0</v>
      </c>
      <c r="AC2778" s="38"/>
      <c r="AD2778" s="38">
        <v>0</v>
      </c>
      <c r="AE2778" s="39" t="s">
        <v>3737</v>
      </c>
      <c r="AF2778" s="40" t="s">
        <v>3753</v>
      </c>
      <c r="AG2778" s="41"/>
      <c r="AH2778" s="42"/>
      <c r="AI2778" s="43"/>
      <c r="AJ2778" s="43">
        <f t="shared" si="68"/>
        <v>0</v>
      </c>
      <c r="AK2778" s="43">
        <f t="shared" si="74"/>
        <v>0</v>
      </c>
      <c r="AL2778" s="43"/>
      <c r="AM2778" s="43"/>
      <c r="AN2778" s="42"/>
      <c r="AO2778" s="42" t="s">
        <v>3954</v>
      </c>
      <c r="AP2778" s="42"/>
      <c r="AQ2778" s="42" t="s">
        <v>92</v>
      </c>
      <c r="AR2778" s="42" t="s">
        <v>3754</v>
      </c>
      <c r="AS2778" s="42"/>
    </row>
    <row r="2779" spans="1:45" ht="15" customHeight="1">
      <c r="A2779" s="20" t="s">
        <v>57</v>
      </c>
      <c r="B2779" s="21" t="s">
        <v>3728</v>
      </c>
      <c r="C2779" s="22" t="s">
        <v>84</v>
      </c>
      <c r="D2779" s="22" t="s">
        <v>3729</v>
      </c>
      <c r="E2779" s="23" t="s">
        <v>3947</v>
      </c>
      <c r="F2779" s="20" t="s">
        <v>3948</v>
      </c>
      <c r="G2779" s="20" t="s">
        <v>165</v>
      </c>
      <c r="H2779" s="25" t="s">
        <v>3955</v>
      </c>
      <c r="I2779" s="24" t="s">
        <v>3724</v>
      </c>
      <c r="J2779" s="20" t="s">
        <v>3956</v>
      </c>
      <c r="K2779" s="26" t="s">
        <v>3957</v>
      </c>
      <c r="L2779" s="20"/>
      <c r="M2779" s="156">
        <v>44287</v>
      </c>
      <c r="N2779" s="20"/>
      <c r="O2779" s="28">
        <v>3500</v>
      </c>
      <c r="P2779" s="231"/>
      <c r="Q2779" s="30">
        <f t="shared" si="73"/>
        <v>0</v>
      </c>
      <c r="R2779" s="31">
        <v>202310</v>
      </c>
      <c r="S2779" s="32" t="s">
        <v>3958</v>
      </c>
      <c r="T2779" s="32"/>
      <c r="U2779" s="32"/>
      <c r="V2779" s="32"/>
      <c r="W2779" s="226"/>
      <c r="X2779" s="35"/>
      <c r="Y2779" s="36">
        <v>45017</v>
      </c>
      <c r="Z2779" s="36">
        <v>45382</v>
      </c>
      <c r="AA2779" s="37" t="s">
        <v>3959</v>
      </c>
      <c r="AB2779" s="38">
        <v>0</v>
      </c>
      <c r="AC2779" s="38"/>
      <c r="AD2779" s="38">
        <v>0</v>
      </c>
      <c r="AE2779" s="39" t="s">
        <v>3737</v>
      </c>
      <c r="AF2779" s="40" t="s">
        <v>3738</v>
      </c>
      <c r="AG2779" s="41"/>
      <c r="AH2779" s="42"/>
      <c r="AI2779" s="43"/>
      <c r="AJ2779" s="43">
        <f t="shared" si="68"/>
        <v>0</v>
      </c>
      <c r="AK2779" s="43">
        <f t="shared" si="74"/>
        <v>0</v>
      </c>
      <c r="AL2779" s="43"/>
      <c r="AM2779" s="43"/>
      <c r="AN2779" s="42"/>
      <c r="AO2779" s="42" t="s">
        <v>3960</v>
      </c>
      <c r="AP2779" s="42"/>
      <c r="AQ2779" s="42" t="s">
        <v>92</v>
      </c>
      <c r="AR2779" s="42" t="s">
        <v>3740</v>
      </c>
      <c r="AS2779" s="42"/>
    </row>
    <row r="2780" spans="1:45" ht="15" customHeight="1">
      <c r="A2780" s="20" t="s">
        <v>57</v>
      </c>
      <c r="B2780" s="21" t="s">
        <v>3728</v>
      </c>
      <c r="C2780" s="22" t="s">
        <v>84</v>
      </c>
      <c r="D2780" s="22" t="s">
        <v>3729</v>
      </c>
      <c r="E2780" s="23" t="s">
        <v>3947</v>
      </c>
      <c r="F2780" s="20" t="s">
        <v>3948</v>
      </c>
      <c r="G2780" s="20" t="s">
        <v>165</v>
      </c>
      <c r="H2780" s="25" t="s">
        <v>3955</v>
      </c>
      <c r="I2780" s="24" t="s">
        <v>3724</v>
      </c>
      <c r="J2780" s="20" t="s">
        <v>3961</v>
      </c>
      <c r="K2780" s="26" t="s">
        <v>3962</v>
      </c>
      <c r="L2780" s="20"/>
      <c r="M2780" s="156">
        <v>44774</v>
      </c>
      <c r="N2780" s="20"/>
      <c r="O2780" s="28">
        <v>6500</v>
      </c>
      <c r="P2780" s="231"/>
      <c r="Q2780" s="30">
        <f t="shared" si="73"/>
        <v>0</v>
      </c>
      <c r="R2780" s="31">
        <v>202310</v>
      </c>
      <c r="S2780" s="32" t="s">
        <v>3963</v>
      </c>
      <c r="T2780" s="32"/>
      <c r="U2780" s="32"/>
      <c r="V2780" s="32"/>
      <c r="W2780" s="226"/>
      <c r="X2780" s="35"/>
      <c r="Y2780" s="36">
        <v>45017</v>
      </c>
      <c r="Z2780" s="36">
        <v>45382</v>
      </c>
      <c r="AA2780" s="37" t="s">
        <v>3964</v>
      </c>
      <c r="AB2780" s="38">
        <v>0</v>
      </c>
      <c r="AC2780" s="38"/>
      <c r="AD2780" s="38">
        <v>0</v>
      </c>
      <c r="AE2780" s="39" t="s">
        <v>3737</v>
      </c>
      <c r="AF2780" s="40" t="s">
        <v>3738</v>
      </c>
      <c r="AG2780" s="41"/>
      <c r="AH2780" s="42"/>
      <c r="AI2780" s="43"/>
      <c r="AJ2780" s="43">
        <f t="shared" si="68"/>
        <v>0</v>
      </c>
      <c r="AK2780" s="43">
        <f t="shared" si="74"/>
        <v>0</v>
      </c>
      <c r="AL2780" s="43"/>
      <c r="AM2780" s="43"/>
      <c r="AN2780" s="42"/>
      <c r="AO2780" s="42"/>
      <c r="AP2780" s="42"/>
      <c r="AQ2780" s="42" t="s">
        <v>92</v>
      </c>
      <c r="AR2780" s="42" t="s">
        <v>3740</v>
      </c>
      <c r="AS2780" s="42"/>
    </row>
    <row r="2781" spans="1:45" ht="15" customHeight="1">
      <c r="A2781" s="20" t="s">
        <v>57</v>
      </c>
      <c r="B2781" s="21" t="s">
        <v>3728</v>
      </c>
      <c r="C2781" s="22" t="s">
        <v>84</v>
      </c>
      <c r="D2781" s="22" t="s">
        <v>3729</v>
      </c>
      <c r="E2781" s="23" t="s">
        <v>3965</v>
      </c>
      <c r="F2781" s="20" t="s">
        <v>3966</v>
      </c>
      <c r="G2781" s="20" t="s">
        <v>165</v>
      </c>
      <c r="H2781" s="25" t="s">
        <v>3967</v>
      </c>
      <c r="I2781" s="24" t="s">
        <v>3724</v>
      </c>
      <c r="J2781" s="20" t="s">
        <v>3968</v>
      </c>
      <c r="K2781" s="26" t="s">
        <v>3969</v>
      </c>
      <c r="L2781" s="20"/>
      <c r="M2781" s="156">
        <v>44593</v>
      </c>
      <c r="N2781" s="20"/>
      <c r="O2781" s="28">
        <v>6800</v>
      </c>
      <c r="P2781" s="29"/>
      <c r="Q2781" s="30">
        <f t="shared" si="73"/>
        <v>0</v>
      </c>
      <c r="R2781" s="31">
        <v>202310</v>
      </c>
      <c r="S2781" s="32" t="s">
        <v>3970</v>
      </c>
      <c r="T2781" s="32"/>
      <c r="U2781" s="32"/>
      <c r="V2781" s="32"/>
      <c r="W2781" s="226"/>
      <c r="X2781" s="35"/>
      <c r="Y2781" s="36"/>
      <c r="Z2781" s="36"/>
      <c r="AA2781" s="37" t="s">
        <v>3971</v>
      </c>
      <c r="AB2781" s="38">
        <v>0</v>
      </c>
      <c r="AC2781" s="38"/>
      <c r="AD2781" s="38">
        <v>0</v>
      </c>
      <c r="AE2781" s="39" t="s">
        <v>3737</v>
      </c>
      <c r="AF2781" s="40" t="s">
        <v>3753</v>
      </c>
      <c r="AG2781" s="41"/>
      <c r="AH2781" s="42"/>
      <c r="AI2781" s="43"/>
      <c r="AJ2781" s="43">
        <f t="shared" si="68"/>
        <v>0</v>
      </c>
      <c r="AK2781" s="43">
        <f t="shared" si="74"/>
        <v>0</v>
      </c>
      <c r="AL2781" s="43"/>
      <c r="AM2781" s="43"/>
      <c r="AN2781" s="42"/>
      <c r="AO2781" s="42" t="s">
        <v>3954</v>
      </c>
      <c r="AP2781" s="42"/>
      <c r="AQ2781" s="42"/>
      <c r="AR2781" s="42" t="s">
        <v>3754</v>
      </c>
      <c r="AS2781" s="42"/>
    </row>
    <row r="2782" spans="1:45" ht="15" customHeight="1">
      <c r="A2782" s="20" t="s">
        <v>57</v>
      </c>
      <c r="B2782" s="21" t="s">
        <v>3728</v>
      </c>
      <c r="C2782" s="22" t="s">
        <v>84</v>
      </c>
      <c r="D2782" s="22" t="s">
        <v>3729</v>
      </c>
      <c r="E2782" s="23" t="s">
        <v>3965</v>
      </c>
      <c r="F2782" s="20" t="s">
        <v>3966</v>
      </c>
      <c r="G2782" s="20" t="s">
        <v>165</v>
      </c>
      <c r="H2782" s="25" t="s">
        <v>3972</v>
      </c>
      <c r="I2782" s="24" t="s">
        <v>3724</v>
      </c>
      <c r="J2782" s="20" t="s">
        <v>3733</v>
      </c>
      <c r="K2782" s="26" t="s">
        <v>3973</v>
      </c>
      <c r="L2782" s="20"/>
      <c r="M2782" s="156">
        <v>43556</v>
      </c>
      <c r="N2782" s="20"/>
      <c r="O2782" s="28">
        <v>8400</v>
      </c>
      <c r="P2782" s="231"/>
      <c r="Q2782" s="30">
        <f t="shared" si="73"/>
        <v>0</v>
      </c>
      <c r="R2782" s="31">
        <v>202310</v>
      </c>
      <c r="S2782" s="32" t="s">
        <v>3974</v>
      </c>
      <c r="T2782" s="32"/>
      <c r="U2782" s="32"/>
      <c r="V2782" s="32"/>
      <c r="W2782" s="226"/>
      <c r="X2782" s="35"/>
      <c r="Y2782" s="36">
        <v>44927</v>
      </c>
      <c r="Z2782" s="36">
        <v>45291</v>
      </c>
      <c r="AA2782" s="37" t="s">
        <v>3975</v>
      </c>
      <c r="AB2782" s="38">
        <v>0</v>
      </c>
      <c r="AC2782" s="38"/>
      <c r="AD2782" s="38">
        <v>0</v>
      </c>
      <c r="AE2782" s="39" t="s">
        <v>3737</v>
      </c>
      <c r="AF2782" s="40" t="s">
        <v>3738</v>
      </c>
      <c r="AG2782" s="41"/>
      <c r="AH2782" s="42"/>
      <c r="AI2782" s="43"/>
      <c r="AJ2782" s="43">
        <f t="shared" si="68"/>
        <v>0</v>
      </c>
      <c r="AK2782" s="43">
        <f t="shared" si="74"/>
        <v>0</v>
      </c>
      <c r="AL2782" s="43"/>
      <c r="AM2782" s="43"/>
      <c r="AN2782" s="42"/>
      <c r="AO2782" s="42" t="s">
        <v>3976</v>
      </c>
      <c r="AP2782" s="42"/>
      <c r="AQ2782" s="42"/>
      <c r="AR2782" s="42" t="s">
        <v>3740</v>
      </c>
      <c r="AS2782" s="42"/>
    </row>
    <row r="2783" spans="1:45" ht="15" customHeight="1">
      <c r="A2783" s="20" t="s">
        <v>57</v>
      </c>
      <c r="B2783" s="21" t="s">
        <v>3728</v>
      </c>
      <c r="C2783" s="22" t="s">
        <v>84</v>
      </c>
      <c r="D2783" s="22" t="s">
        <v>3729</v>
      </c>
      <c r="E2783" s="23" t="s">
        <v>3965</v>
      </c>
      <c r="F2783" s="20" t="s">
        <v>3966</v>
      </c>
      <c r="G2783" s="20" t="s">
        <v>165</v>
      </c>
      <c r="H2783" s="25" t="s">
        <v>3977</v>
      </c>
      <c r="I2783" s="24" t="s">
        <v>3724</v>
      </c>
      <c r="J2783" s="20" t="s">
        <v>3978</v>
      </c>
      <c r="K2783" s="26" t="s">
        <v>3979</v>
      </c>
      <c r="L2783" s="20"/>
      <c r="M2783" s="156">
        <v>44621</v>
      </c>
      <c r="N2783" s="20"/>
      <c r="O2783" s="28">
        <v>5300</v>
      </c>
      <c r="P2783" s="237"/>
      <c r="Q2783" s="30">
        <f t="shared" si="73"/>
        <v>0</v>
      </c>
      <c r="R2783" s="31">
        <v>202310</v>
      </c>
      <c r="S2783" s="32" t="s">
        <v>3980</v>
      </c>
      <c r="T2783" s="32"/>
      <c r="U2783" s="32"/>
      <c r="V2783" s="32"/>
      <c r="W2783" s="226"/>
      <c r="X2783" s="35"/>
      <c r="Y2783" s="36"/>
      <c r="Z2783" s="36"/>
      <c r="AA2783" s="37" t="s">
        <v>3981</v>
      </c>
      <c r="AB2783" s="38">
        <v>0</v>
      </c>
      <c r="AC2783" s="38"/>
      <c r="AD2783" s="38">
        <v>0</v>
      </c>
      <c r="AE2783" s="39" t="s">
        <v>3737</v>
      </c>
      <c r="AF2783" s="40" t="s">
        <v>3738</v>
      </c>
      <c r="AG2783" s="41"/>
      <c r="AH2783" s="42"/>
      <c r="AI2783" s="43"/>
      <c r="AJ2783" s="43">
        <f t="shared" si="68"/>
        <v>0</v>
      </c>
      <c r="AK2783" s="43">
        <f t="shared" si="74"/>
        <v>0</v>
      </c>
      <c r="AL2783" s="43"/>
      <c r="AM2783" s="43"/>
      <c r="AN2783" s="42"/>
      <c r="AO2783" s="42" t="s">
        <v>3982</v>
      </c>
      <c r="AP2783" s="42"/>
      <c r="AQ2783" s="42"/>
      <c r="AR2783" s="42" t="s">
        <v>3740</v>
      </c>
      <c r="AS2783" s="42"/>
    </row>
    <row r="2784" spans="1:45" ht="15" customHeight="1">
      <c r="A2784" s="20" t="s">
        <v>57</v>
      </c>
      <c r="B2784" s="21" t="s">
        <v>3728</v>
      </c>
      <c r="C2784" s="22" t="s">
        <v>84</v>
      </c>
      <c r="D2784" s="22" t="s">
        <v>3729</v>
      </c>
      <c r="E2784" s="23" t="s">
        <v>3983</v>
      </c>
      <c r="F2784" s="20" t="s">
        <v>3984</v>
      </c>
      <c r="G2784" s="20" t="s">
        <v>165</v>
      </c>
      <c r="H2784" s="25" t="s">
        <v>3985</v>
      </c>
      <c r="I2784" s="24" t="s">
        <v>3724</v>
      </c>
      <c r="J2784" s="20"/>
      <c r="K2784" s="26" t="s">
        <v>3986</v>
      </c>
      <c r="L2784" s="20"/>
      <c r="M2784" s="156">
        <v>44896</v>
      </c>
      <c r="N2784" s="20"/>
      <c r="O2784" s="28">
        <v>5000</v>
      </c>
      <c r="P2784" s="237"/>
      <c r="Q2784" s="30">
        <f t="shared" si="73"/>
        <v>0</v>
      </c>
      <c r="R2784" s="31">
        <v>202310</v>
      </c>
      <c r="S2784" s="32" t="s">
        <v>3987</v>
      </c>
      <c r="T2784" s="32"/>
      <c r="U2784" s="32"/>
      <c r="V2784" s="32"/>
      <c r="W2784" s="226"/>
      <c r="X2784" s="35"/>
      <c r="Y2784" s="36">
        <v>44896</v>
      </c>
      <c r="Z2784" s="36">
        <v>45260</v>
      </c>
      <c r="AA2784" s="37" t="s">
        <v>3988</v>
      </c>
      <c r="AB2784" s="38">
        <v>0</v>
      </c>
      <c r="AC2784" s="38"/>
      <c r="AD2784" s="38">
        <v>0</v>
      </c>
      <c r="AE2784" s="39" t="s">
        <v>3737</v>
      </c>
      <c r="AF2784" s="40" t="s">
        <v>3753</v>
      </c>
      <c r="AG2784" s="41"/>
      <c r="AH2784" s="42"/>
      <c r="AI2784" s="43"/>
      <c r="AJ2784" s="43">
        <f t="shared" si="68"/>
        <v>0</v>
      </c>
      <c r="AK2784" s="43">
        <f t="shared" si="74"/>
        <v>0</v>
      </c>
      <c r="AL2784" s="43"/>
      <c r="AM2784" s="43"/>
      <c r="AN2784" s="42"/>
      <c r="AO2784" s="42" t="s">
        <v>3989</v>
      </c>
      <c r="AP2784" s="42"/>
      <c r="AQ2784" s="42"/>
      <c r="AR2784" s="42" t="s">
        <v>3754</v>
      </c>
      <c r="AS2784" s="42"/>
    </row>
    <row r="2785" spans="1:45" ht="15" customHeight="1">
      <c r="A2785" s="20" t="s">
        <v>57</v>
      </c>
      <c r="B2785" s="21" t="s">
        <v>3728</v>
      </c>
      <c r="C2785" s="22" t="s">
        <v>84</v>
      </c>
      <c r="D2785" s="22" t="s">
        <v>3729</v>
      </c>
      <c r="E2785" s="23" t="s">
        <v>3983</v>
      </c>
      <c r="F2785" s="20" t="s">
        <v>3984</v>
      </c>
      <c r="G2785" s="20" t="s">
        <v>165</v>
      </c>
      <c r="H2785" s="25" t="s">
        <v>3985</v>
      </c>
      <c r="I2785" s="24" t="s">
        <v>3724</v>
      </c>
      <c r="J2785" s="20"/>
      <c r="K2785" s="26" t="s">
        <v>3990</v>
      </c>
      <c r="L2785" s="20"/>
      <c r="M2785" s="156">
        <v>44896</v>
      </c>
      <c r="N2785" s="20"/>
      <c r="O2785" s="28">
        <v>5000</v>
      </c>
      <c r="P2785" s="237"/>
      <c r="Q2785" s="30">
        <f t="shared" si="73"/>
        <v>0</v>
      </c>
      <c r="R2785" s="31">
        <v>202310</v>
      </c>
      <c r="S2785" s="32" t="s">
        <v>3991</v>
      </c>
      <c r="T2785" s="32"/>
      <c r="U2785" s="32"/>
      <c r="V2785" s="32"/>
      <c r="W2785" s="226"/>
      <c r="X2785" s="35"/>
      <c r="Y2785" s="36">
        <v>44896</v>
      </c>
      <c r="Z2785" s="36">
        <v>45260</v>
      </c>
      <c r="AA2785" s="37" t="s">
        <v>3992</v>
      </c>
      <c r="AB2785" s="38">
        <v>0</v>
      </c>
      <c r="AC2785" s="38"/>
      <c r="AD2785" s="38">
        <v>0</v>
      </c>
      <c r="AE2785" s="39" t="s">
        <v>3737</v>
      </c>
      <c r="AF2785" s="40" t="s">
        <v>3753</v>
      </c>
      <c r="AG2785" s="41"/>
      <c r="AH2785" s="42"/>
      <c r="AI2785" s="43"/>
      <c r="AJ2785" s="43">
        <f t="shared" si="68"/>
        <v>0</v>
      </c>
      <c r="AK2785" s="43">
        <f t="shared" si="74"/>
        <v>0</v>
      </c>
      <c r="AL2785" s="43"/>
      <c r="AM2785" s="43"/>
      <c r="AN2785" s="42"/>
      <c r="AO2785" s="42" t="s">
        <v>3989</v>
      </c>
      <c r="AP2785" s="42"/>
      <c r="AQ2785" s="42"/>
      <c r="AR2785" s="42" t="s">
        <v>3754</v>
      </c>
      <c r="AS2785" s="42"/>
    </row>
    <row r="2786" spans="1:45" ht="15" customHeight="1">
      <c r="A2786" s="20" t="s">
        <v>57</v>
      </c>
      <c r="B2786" s="21" t="s">
        <v>3728</v>
      </c>
      <c r="C2786" s="22" t="s">
        <v>84</v>
      </c>
      <c r="D2786" s="22" t="s">
        <v>3729</v>
      </c>
      <c r="E2786" s="23" t="s">
        <v>3993</v>
      </c>
      <c r="F2786" s="20" t="s">
        <v>3994</v>
      </c>
      <c r="G2786" s="20" t="s">
        <v>165</v>
      </c>
      <c r="H2786" s="219" t="s">
        <v>3995</v>
      </c>
      <c r="I2786" s="24" t="s">
        <v>3724</v>
      </c>
      <c r="J2786" s="20" t="s">
        <v>3835</v>
      </c>
      <c r="K2786" s="26" t="s">
        <v>3996</v>
      </c>
      <c r="L2786" s="20"/>
      <c r="M2786" s="156">
        <v>45017</v>
      </c>
      <c r="N2786" s="20"/>
      <c r="O2786" s="28">
        <v>8533</v>
      </c>
      <c r="P2786" s="231"/>
      <c r="Q2786" s="30">
        <f t="shared" si="73"/>
        <v>0</v>
      </c>
      <c r="R2786" s="31">
        <v>202310</v>
      </c>
      <c r="S2786" s="32" t="s">
        <v>3997</v>
      </c>
      <c r="T2786" s="32"/>
      <c r="U2786" s="32"/>
      <c r="V2786" s="32"/>
      <c r="W2786" s="226"/>
      <c r="X2786" s="35"/>
      <c r="Y2786" s="36">
        <v>44927</v>
      </c>
      <c r="Z2786" s="36">
        <v>46022</v>
      </c>
      <c r="AA2786" s="37" t="s">
        <v>3998</v>
      </c>
      <c r="AB2786" s="38">
        <v>0</v>
      </c>
      <c r="AC2786" s="38"/>
      <c r="AD2786" s="38">
        <v>0</v>
      </c>
      <c r="AE2786" s="39" t="s">
        <v>3737</v>
      </c>
      <c r="AF2786" s="40" t="s">
        <v>3753</v>
      </c>
      <c r="AG2786" s="41"/>
      <c r="AH2786" s="42"/>
      <c r="AI2786" s="43"/>
      <c r="AJ2786" s="43">
        <f t="shared" si="68"/>
        <v>0</v>
      </c>
      <c r="AK2786" s="43">
        <f t="shared" si="74"/>
        <v>0</v>
      </c>
      <c r="AL2786" s="43"/>
      <c r="AM2786" s="43"/>
      <c r="AN2786" s="42"/>
      <c r="AO2786" s="42" t="s">
        <v>3999</v>
      </c>
      <c r="AP2786" s="42"/>
      <c r="AQ2786" s="42" t="s">
        <v>92</v>
      </c>
      <c r="AR2786" s="42" t="s">
        <v>3754</v>
      </c>
      <c r="AS2786" s="42"/>
    </row>
    <row r="2787" spans="1:45" ht="15" customHeight="1">
      <c r="A2787" s="20" t="s">
        <v>260</v>
      </c>
      <c r="B2787" s="21" t="s">
        <v>46</v>
      </c>
      <c r="C2787" s="22" t="s">
        <v>887</v>
      </c>
      <c r="D2787" s="21" t="s">
        <v>888</v>
      </c>
      <c r="E2787" s="23" t="s">
        <v>889</v>
      </c>
      <c r="F2787" s="20" t="s">
        <v>890</v>
      </c>
      <c r="G2787" s="20" t="s">
        <v>165</v>
      </c>
      <c r="H2787" s="25" t="s">
        <v>891</v>
      </c>
      <c r="I2787" s="24" t="s">
        <v>4000</v>
      </c>
      <c r="J2787" s="20" t="s">
        <v>4001</v>
      </c>
      <c r="K2787" s="26" t="s">
        <v>4002</v>
      </c>
      <c r="L2787" s="20" t="s">
        <v>4003</v>
      </c>
      <c r="M2787" s="156" t="s">
        <v>4004</v>
      </c>
      <c r="N2787" s="20" t="s">
        <v>4005</v>
      </c>
      <c r="O2787" s="28">
        <v>9500</v>
      </c>
      <c r="P2787" s="29"/>
      <c r="Q2787" s="30">
        <f t="shared" si="73"/>
        <v>0</v>
      </c>
      <c r="R2787" s="31">
        <v>202310</v>
      </c>
      <c r="S2787" s="32" t="s">
        <v>4006</v>
      </c>
      <c r="T2787" s="32"/>
      <c r="U2787" s="54"/>
      <c r="V2787" s="32"/>
      <c r="W2787" s="238"/>
      <c r="X2787" s="35"/>
      <c r="Y2787" s="36"/>
      <c r="Z2787" s="36"/>
      <c r="AA2787" s="37" t="s">
        <v>4007</v>
      </c>
      <c r="AB2787" s="38">
        <v>0.2</v>
      </c>
      <c r="AC2787" s="38">
        <v>600</v>
      </c>
      <c r="AD2787" s="38">
        <v>120</v>
      </c>
      <c r="AE2787" s="39" t="s">
        <v>4008</v>
      </c>
      <c r="AF2787" s="40" t="s">
        <v>2101</v>
      </c>
      <c r="AG2787" s="41"/>
      <c r="AH2787" s="42"/>
      <c r="AI2787" s="43"/>
      <c r="AJ2787" s="43">
        <f t="shared" si="68"/>
        <v>0</v>
      </c>
      <c r="AK2787" s="43">
        <f t="shared" si="74"/>
        <v>0</v>
      </c>
      <c r="AL2787" s="43"/>
      <c r="AM2787" s="43"/>
      <c r="AN2787" s="42"/>
      <c r="AO2787" s="42" t="s">
        <v>4009</v>
      </c>
      <c r="AP2787" s="42"/>
      <c r="AQ2787" s="42"/>
      <c r="AR2787" s="42"/>
      <c r="AS2787" s="42"/>
    </row>
    <row r="2788" spans="1:45" ht="15" customHeight="1">
      <c r="A2788" s="20" t="s">
        <v>260</v>
      </c>
      <c r="B2788" s="21" t="s">
        <v>46</v>
      </c>
      <c r="C2788" s="22" t="s">
        <v>887</v>
      </c>
      <c r="D2788" s="21" t="s">
        <v>888</v>
      </c>
      <c r="E2788" s="23" t="s">
        <v>889</v>
      </c>
      <c r="F2788" s="20" t="s">
        <v>890</v>
      </c>
      <c r="G2788" s="20" t="s">
        <v>165</v>
      </c>
      <c r="H2788" s="25" t="s">
        <v>912</v>
      </c>
      <c r="I2788" s="24" t="s">
        <v>3724</v>
      </c>
      <c r="J2788" s="20"/>
      <c r="K2788" s="26" t="s">
        <v>913</v>
      </c>
      <c r="L2788" s="20" t="s">
        <v>914</v>
      </c>
      <c r="M2788" s="233" t="s">
        <v>4010</v>
      </c>
      <c r="N2788" s="20" t="s">
        <v>1542</v>
      </c>
      <c r="O2788" s="28">
        <v>9500</v>
      </c>
      <c r="P2788" s="29"/>
      <c r="Q2788" s="30">
        <f t="shared" si="73"/>
        <v>0</v>
      </c>
      <c r="R2788" s="31">
        <v>202310</v>
      </c>
      <c r="S2788" s="32" t="s">
        <v>4011</v>
      </c>
      <c r="T2788" s="32"/>
      <c r="U2788" s="32"/>
      <c r="V2788" s="32"/>
      <c r="W2788" s="226"/>
      <c r="X2788" s="35"/>
      <c r="Y2788" s="36"/>
      <c r="Z2788" s="36"/>
      <c r="AA2788" s="37" t="s">
        <v>4012</v>
      </c>
      <c r="AB2788" s="38" t="s">
        <v>3807</v>
      </c>
      <c r="AC2788" s="38">
        <v>0</v>
      </c>
      <c r="AD2788" s="38">
        <v>0</v>
      </c>
      <c r="AE2788" s="39" t="s">
        <v>130</v>
      </c>
      <c r="AF2788" s="40" t="s">
        <v>503</v>
      </c>
      <c r="AG2788" s="41"/>
      <c r="AH2788" s="42">
        <v>0</v>
      </c>
      <c r="AI2788" s="43"/>
      <c r="AJ2788" s="43">
        <f t="shared" si="68"/>
        <v>0</v>
      </c>
      <c r="AK2788" s="43">
        <f t="shared" si="74"/>
        <v>0</v>
      </c>
      <c r="AL2788" s="43"/>
      <c r="AM2788" s="43"/>
      <c r="AN2788" s="42"/>
      <c r="AO2788" s="42"/>
      <c r="AP2788" s="42"/>
      <c r="AQ2788" s="42"/>
      <c r="AR2788" s="42"/>
      <c r="AS2788" s="42"/>
    </row>
    <row r="2789" spans="1:45" ht="15" customHeight="1">
      <c r="A2789" s="20" t="s">
        <v>260</v>
      </c>
      <c r="B2789" s="21" t="s">
        <v>46</v>
      </c>
      <c r="C2789" s="22" t="s">
        <v>188</v>
      </c>
      <c r="D2789" s="22" t="s">
        <v>48</v>
      </c>
      <c r="E2789" s="23" t="s">
        <v>919</v>
      </c>
      <c r="F2789" s="20" t="s">
        <v>920</v>
      </c>
      <c r="G2789" s="20" t="s">
        <v>165</v>
      </c>
      <c r="H2789" s="25" t="s">
        <v>1275</v>
      </c>
      <c r="I2789" s="24" t="s">
        <v>4013</v>
      </c>
      <c r="J2789" s="20" t="s">
        <v>1276</v>
      </c>
      <c r="K2789" s="26" t="s">
        <v>4014</v>
      </c>
      <c r="L2789" s="20"/>
      <c r="M2789" s="233" t="s">
        <v>4015</v>
      </c>
      <c r="N2789" s="20" t="s">
        <v>4016</v>
      </c>
      <c r="O2789" s="28">
        <v>9500</v>
      </c>
      <c r="P2789" s="29"/>
      <c r="Q2789" s="30">
        <f t="shared" si="73"/>
        <v>0</v>
      </c>
      <c r="R2789" s="31">
        <v>202310</v>
      </c>
      <c r="S2789" s="32" t="s">
        <v>4017</v>
      </c>
      <c r="T2789" s="32"/>
      <c r="U2789" s="32"/>
      <c r="V2789" s="32"/>
      <c r="W2789" s="226"/>
      <c r="X2789" s="35"/>
      <c r="Y2789" s="36"/>
      <c r="Z2789" s="36"/>
      <c r="AA2789" s="37"/>
      <c r="AB2789" s="38" t="s">
        <v>3807</v>
      </c>
      <c r="AC2789" s="38">
        <v>0</v>
      </c>
      <c r="AD2789" s="38">
        <v>0</v>
      </c>
      <c r="AE2789" s="39"/>
      <c r="AF2789" s="40" t="s">
        <v>853</v>
      </c>
      <c r="AG2789" s="41"/>
      <c r="AH2789" s="42"/>
      <c r="AI2789" s="43"/>
      <c r="AJ2789" s="43"/>
      <c r="AK2789" s="43"/>
      <c r="AL2789" s="43"/>
      <c r="AM2789" s="43"/>
      <c r="AN2789" s="42"/>
      <c r="AO2789" s="42"/>
      <c r="AP2789" s="42"/>
      <c r="AQ2789" s="42"/>
      <c r="AR2789" s="42"/>
      <c r="AS2789" s="42" t="s">
        <v>1280</v>
      </c>
    </row>
    <row r="2790" spans="1:45" ht="15" customHeight="1">
      <c r="A2790" s="20" t="s">
        <v>260</v>
      </c>
      <c r="B2790" s="21" t="s">
        <v>46</v>
      </c>
      <c r="C2790" s="22" t="s">
        <v>188</v>
      </c>
      <c r="D2790" s="22" t="s">
        <v>48</v>
      </c>
      <c r="E2790" s="23" t="s">
        <v>919</v>
      </c>
      <c r="F2790" s="20" t="s">
        <v>920</v>
      </c>
      <c r="G2790" s="20" t="s">
        <v>165</v>
      </c>
      <c r="H2790" s="25" t="s">
        <v>1275</v>
      </c>
      <c r="I2790" s="24" t="s">
        <v>4013</v>
      </c>
      <c r="J2790" s="20" t="s">
        <v>699</v>
      </c>
      <c r="K2790" s="26" t="s">
        <v>1277</v>
      </c>
      <c r="L2790" s="20"/>
      <c r="M2790" s="233" t="s">
        <v>4018</v>
      </c>
      <c r="N2790" s="227" t="s">
        <v>4019</v>
      </c>
      <c r="O2790" s="28">
        <v>9500</v>
      </c>
      <c r="P2790" s="29"/>
      <c r="Q2790" s="30">
        <f t="shared" si="73"/>
        <v>0</v>
      </c>
      <c r="R2790" s="31">
        <v>202310</v>
      </c>
      <c r="S2790" s="32" t="s">
        <v>4020</v>
      </c>
      <c r="T2790" s="32"/>
      <c r="U2790" s="32"/>
      <c r="V2790" s="32"/>
      <c r="W2790" s="226"/>
      <c r="X2790" s="236"/>
      <c r="Y2790" s="36"/>
      <c r="Z2790" s="36"/>
      <c r="AA2790" s="37" t="s">
        <v>4021</v>
      </c>
      <c r="AB2790" s="38" t="s">
        <v>3807</v>
      </c>
      <c r="AC2790" s="38">
        <v>0</v>
      </c>
      <c r="AD2790" s="38">
        <v>0</v>
      </c>
      <c r="AE2790" s="39"/>
      <c r="AF2790" s="40" t="s">
        <v>853</v>
      </c>
      <c r="AG2790" s="41"/>
      <c r="AH2790" s="42"/>
      <c r="AI2790" s="43"/>
      <c r="AJ2790" s="43"/>
      <c r="AK2790" s="43"/>
      <c r="AL2790" s="43"/>
      <c r="AM2790" s="43"/>
      <c r="AN2790" s="42"/>
      <c r="AO2790" s="42"/>
      <c r="AP2790" s="42"/>
      <c r="AQ2790" s="42"/>
      <c r="AR2790" s="42"/>
      <c r="AS2790" s="42" t="s">
        <v>1280</v>
      </c>
    </row>
    <row r="2791" spans="1:45" ht="15" customHeight="1">
      <c r="A2791" s="20" t="s">
        <v>260</v>
      </c>
      <c r="B2791" s="21" t="s">
        <v>46</v>
      </c>
      <c r="C2791" s="22" t="s">
        <v>188</v>
      </c>
      <c r="D2791" s="22" t="s">
        <v>48</v>
      </c>
      <c r="E2791" s="23" t="s">
        <v>919</v>
      </c>
      <c r="F2791" s="20" t="s">
        <v>920</v>
      </c>
      <c r="G2791" s="20" t="s">
        <v>165</v>
      </c>
      <c r="H2791" s="25" t="s">
        <v>1275</v>
      </c>
      <c r="I2791" s="24" t="s">
        <v>3724</v>
      </c>
      <c r="J2791" s="227" t="s">
        <v>1285</v>
      </c>
      <c r="K2791" s="26" t="s">
        <v>920</v>
      </c>
      <c r="L2791" s="20"/>
      <c r="M2791" s="233" t="s">
        <v>4022</v>
      </c>
      <c r="N2791" s="20" t="s">
        <v>4023</v>
      </c>
      <c r="O2791" s="28">
        <v>9500</v>
      </c>
      <c r="P2791" s="29"/>
      <c r="Q2791" s="30">
        <f t="shared" si="73"/>
        <v>0</v>
      </c>
      <c r="R2791" s="31">
        <v>202310</v>
      </c>
      <c r="S2791" s="32" t="s">
        <v>4024</v>
      </c>
      <c r="T2791" s="32"/>
      <c r="U2791" s="32"/>
      <c r="V2791" s="32"/>
      <c r="W2791" s="232"/>
      <c r="X2791" s="236"/>
      <c r="Y2791" s="36"/>
      <c r="Z2791" s="36"/>
      <c r="AA2791" s="37" t="s">
        <v>4025</v>
      </c>
      <c r="AB2791" s="38">
        <v>0.3</v>
      </c>
      <c r="AC2791" s="38">
        <v>160</v>
      </c>
      <c r="AD2791" s="38">
        <f>AC2791*0.3</f>
        <v>48</v>
      </c>
      <c r="AE2791" s="39" t="s">
        <v>3850</v>
      </c>
      <c r="AF2791" s="40" t="s">
        <v>503</v>
      </c>
      <c r="AG2791" s="41"/>
      <c r="AH2791" s="42">
        <v>160</v>
      </c>
      <c r="AI2791" s="43"/>
      <c r="AJ2791" s="43">
        <f t="shared" ref="AJ2791:AJ2822" si="75">X2791</f>
        <v>0</v>
      </c>
      <c r="AK2791" s="43">
        <f>AJ2791*O2791</f>
        <v>0</v>
      </c>
      <c r="AL2791" s="43"/>
      <c r="AM2791" s="43"/>
      <c r="AN2791" s="42"/>
      <c r="AO2791" s="42" t="s">
        <v>3739</v>
      </c>
      <c r="AP2791" s="42"/>
      <c r="AQ2791" s="42"/>
      <c r="AR2791" s="42"/>
      <c r="AS2791" s="42" t="s">
        <v>1280</v>
      </c>
    </row>
    <row r="2792" spans="1:45" ht="15" customHeight="1">
      <c r="A2792" s="20" t="s">
        <v>260</v>
      </c>
      <c r="B2792" s="21" t="s">
        <v>46</v>
      </c>
      <c r="C2792" s="22" t="s">
        <v>188</v>
      </c>
      <c r="D2792" s="22" t="s">
        <v>48</v>
      </c>
      <c r="E2792" s="23" t="s">
        <v>919</v>
      </c>
      <c r="F2792" s="20" t="s">
        <v>920</v>
      </c>
      <c r="G2792" s="20" t="s">
        <v>165</v>
      </c>
      <c r="H2792" s="25" t="s">
        <v>1275</v>
      </c>
      <c r="I2792" s="24" t="s">
        <v>3724</v>
      </c>
      <c r="J2792" s="20" t="s">
        <v>4026</v>
      </c>
      <c r="K2792" s="26" t="s">
        <v>4027</v>
      </c>
      <c r="L2792" s="20"/>
      <c r="M2792" s="233" t="s">
        <v>4028</v>
      </c>
      <c r="N2792" s="20" t="s">
        <v>4029</v>
      </c>
      <c r="O2792" s="28">
        <v>9500</v>
      </c>
      <c r="P2792" s="29"/>
      <c r="Q2792" s="30">
        <f t="shared" si="73"/>
        <v>0</v>
      </c>
      <c r="R2792" s="31">
        <v>202310</v>
      </c>
      <c r="S2792" s="32" t="s">
        <v>4030</v>
      </c>
      <c r="T2792" s="32"/>
      <c r="U2792" s="32"/>
      <c r="V2792" s="32"/>
      <c r="W2792" s="232"/>
      <c r="X2792" s="236"/>
      <c r="Y2792" s="36"/>
      <c r="Z2792" s="36"/>
      <c r="AA2792" s="37" t="s">
        <v>4031</v>
      </c>
      <c r="AB2792" s="38">
        <v>0.3</v>
      </c>
      <c r="AC2792" s="38">
        <v>140</v>
      </c>
      <c r="AD2792" s="38">
        <v>42</v>
      </c>
      <c r="AE2792" s="39" t="s">
        <v>3850</v>
      </c>
      <c r="AF2792" s="40" t="s">
        <v>503</v>
      </c>
      <c r="AG2792" s="41"/>
      <c r="AH2792" s="42">
        <v>140</v>
      </c>
      <c r="AI2792" s="43"/>
      <c r="AJ2792" s="43">
        <f t="shared" si="75"/>
        <v>0</v>
      </c>
      <c r="AK2792" s="43">
        <f>AJ2792*O2792</f>
        <v>0</v>
      </c>
      <c r="AL2792" s="43"/>
      <c r="AM2792" s="43"/>
      <c r="AN2792" s="42"/>
      <c r="AO2792" s="42"/>
      <c r="AP2792" s="42"/>
      <c r="AQ2792" s="42"/>
      <c r="AR2792" s="42"/>
      <c r="AS2792" s="42" t="s">
        <v>1280</v>
      </c>
    </row>
    <row r="2793" spans="1:45" ht="15" customHeight="1">
      <c r="A2793" s="20" t="s">
        <v>260</v>
      </c>
      <c r="B2793" s="21" t="s">
        <v>46</v>
      </c>
      <c r="C2793" s="22" t="s">
        <v>188</v>
      </c>
      <c r="D2793" s="22" t="s">
        <v>48</v>
      </c>
      <c r="E2793" s="23" t="s">
        <v>919</v>
      </c>
      <c r="F2793" s="20" t="s">
        <v>1252</v>
      </c>
      <c r="G2793" s="20" t="s">
        <v>165</v>
      </c>
      <c r="H2793" s="25" t="s">
        <v>1253</v>
      </c>
      <c r="I2793" s="24" t="s">
        <v>3724</v>
      </c>
      <c r="J2793" s="20" t="s">
        <v>4032</v>
      </c>
      <c r="K2793" s="26" t="s">
        <v>1264</v>
      </c>
      <c r="L2793" s="20"/>
      <c r="M2793" s="156" t="s">
        <v>4033</v>
      </c>
      <c r="N2793" s="227" t="s">
        <v>4034</v>
      </c>
      <c r="O2793" s="28">
        <v>9500</v>
      </c>
      <c r="P2793" s="29"/>
      <c r="Q2793" s="30">
        <f t="shared" si="73"/>
        <v>0</v>
      </c>
      <c r="R2793" s="31">
        <v>202310</v>
      </c>
      <c r="S2793" s="32" t="s">
        <v>4035</v>
      </c>
      <c r="T2793" s="32"/>
      <c r="U2793" s="32"/>
      <c r="V2793" s="32"/>
      <c r="W2793" s="226"/>
      <c r="X2793" s="35"/>
      <c r="Y2793" s="36"/>
      <c r="Z2793" s="36"/>
      <c r="AA2793" s="37" t="s">
        <v>4036</v>
      </c>
      <c r="AB2793" s="38" t="s">
        <v>3807</v>
      </c>
      <c r="AC2793" s="38"/>
      <c r="AD2793" s="38"/>
      <c r="AE2793" s="39"/>
      <c r="AF2793" s="40" t="s">
        <v>503</v>
      </c>
      <c r="AG2793" s="41"/>
      <c r="AH2793" s="42">
        <v>0</v>
      </c>
      <c r="AI2793" s="43"/>
      <c r="AJ2793" s="43">
        <f t="shared" si="75"/>
        <v>0</v>
      </c>
      <c r="AK2793" s="43">
        <f>AJ2793*O2793</f>
        <v>0</v>
      </c>
      <c r="AL2793" s="43"/>
      <c r="AM2793" s="43"/>
      <c r="AN2793" s="42"/>
      <c r="AO2793" s="42"/>
      <c r="AP2793" s="42"/>
      <c r="AQ2793" s="42"/>
      <c r="AR2793" s="42"/>
      <c r="AS2793" s="42" t="s">
        <v>1257</v>
      </c>
    </row>
    <row r="2794" spans="1:45" ht="15" customHeight="1">
      <c r="A2794" s="20" t="s">
        <v>260</v>
      </c>
      <c r="B2794" s="21" t="s">
        <v>46</v>
      </c>
      <c r="C2794" s="22" t="s">
        <v>188</v>
      </c>
      <c r="D2794" s="22" t="s">
        <v>48</v>
      </c>
      <c r="E2794" s="23" t="s">
        <v>919</v>
      </c>
      <c r="F2794" s="20" t="s">
        <v>1252</v>
      </c>
      <c r="G2794" s="20" t="s">
        <v>165</v>
      </c>
      <c r="H2794" s="25" t="s">
        <v>1253</v>
      </c>
      <c r="I2794" s="24" t="s">
        <v>3724</v>
      </c>
      <c r="J2794" s="20" t="s">
        <v>1255</v>
      </c>
      <c r="K2794" s="26" t="s">
        <v>1255</v>
      </c>
      <c r="L2794" s="20"/>
      <c r="M2794" s="233" t="s">
        <v>4037</v>
      </c>
      <c r="N2794" s="227" t="s">
        <v>4038</v>
      </c>
      <c r="O2794" s="28">
        <v>9500</v>
      </c>
      <c r="P2794" s="29"/>
      <c r="Q2794" s="30">
        <f t="shared" si="73"/>
        <v>0</v>
      </c>
      <c r="R2794" s="31">
        <v>202310</v>
      </c>
      <c r="S2794" s="64" t="s">
        <v>4039</v>
      </c>
      <c r="T2794" s="32"/>
      <c r="U2794" s="32"/>
      <c r="V2794" s="32"/>
      <c r="W2794" s="232"/>
      <c r="X2794" s="239"/>
      <c r="Y2794" s="36"/>
      <c r="Z2794" s="36"/>
      <c r="AA2794" s="37" t="s">
        <v>4040</v>
      </c>
      <c r="AB2794" s="38">
        <v>0.3</v>
      </c>
      <c r="AC2794" s="38">
        <v>200</v>
      </c>
      <c r="AD2794" s="38">
        <f>AB2794*AC2794</f>
        <v>60</v>
      </c>
      <c r="AE2794" s="39" t="s">
        <v>3850</v>
      </c>
      <c r="AF2794" s="40" t="s">
        <v>503</v>
      </c>
      <c r="AG2794" s="41"/>
      <c r="AH2794" s="42">
        <v>200</v>
      </c>
      <c r="AI2794" s="43"/>
      <c r="AJ2794" s="43">
        <f t="shared" si="75"/>
        <v>0</v>
      </c>
      <c r="AK2794" s="43">
        <f>AJ2794*O2794</f>
        <v>0</v>
      </c>
      <c r="AL2794" s="43"/>
      <c r="AM2794" s="43"/>
      <c r="AN2794" s="42"/>
      <c r="AO2794" s="42" t="s">
        <v>4041</v>
      </c>
      <c r="AP2794" s="42"/>
      <c r="AQ2794" s="42"/>
      <c r="AR2794" s="42"/>
      <c r="AS2794" s="42" t="s">
        <v>1257</v>
      </c>
    </row>
    <row r="2795" spans="1:45" ht="15" customHeight="1">
      <c r="A2795" s="20" t="s">
        <v>260</v>
      </c>
      <c r="B2795" s="21" t="s">
        <v>46</v>
      </c>
      <c r="C2795" s="22" t="s">
        <v>188</v>
      </c>
      <c r="D2795" s="21" t="s">
        <v>48</v>
      </c>
      <c r="E2795" s="23" t="s">
        <v>919</v>
      </c>
      <c r="F2795" s="20" t="s">
        <v>953</v>
      </c>
      <c r="G2795" s="20" t="s">
        <v>165</v>
      </c>
      <c r="H2795" s="25" t="s">
        <v>1225</v>
      </c>
      <c r="I2795" s="24" t="s">
        <v>3858</v>
      </c>
      <c r="J2795" s="227" t="s">
        <v>4042</v>
      </c>
      <c r="K2795" s="26" t="s">
        <v>4043</v>
      </c>
      <c r="L2795" s="20"/>
      <c r="M2795" s="156">
        <v>41244</v>
      </c>
      <c r="N2795" s="20" t="s">
        <v>4044</v>
      </c>
      <c r="O2795" s="230" t="s">
        <v>4045</v>
      </c>
      <c r="P2795" s="237"/>
      <c r="Q2795" s="30">
        <f>ROUND(14000*P2795,2)</f>
        <v>0</v>
      </c>
      <c r="R2795" s="31">
        <v>202310</v>
      </c>
      <c r="S2795" s="32" t="s">
        <v>4046</v>
      </c>
      <c r="T2795" s="32"/>
      <c r="U2795" s="32"/>
      <c r="V2795" s="32"/>
      <c r="W2795" s="226"/>
      <c r="X2795" s="35"/>
      <c r="Y2795" s="36">
        <v>44829</v>
      </c>
      <c r="Z2795" s="36">
        <v>45559</v>
      </c>
      <c r="AA2795" s="37" t="s">
        <v>4047</v>
      </c>
      <c r="AB2795" s="38">
        <f>85/620</f>
        <v>0.13709677419354838</v>
      </c>
      <c r="AC2795" s="38">
        <v>420</v>
      </c>
      <c r="AD2795" s="38" t="s">
        <v>4048</v>
      </c>
      <c r="AE2795" s="39" t="s">
        <v>3737</v>
      </c>
      <c r="AF2795" s="40" t="s">
        <v>56</v>
      </c>
      <c r="AG2795" s="41"/>
      <c r="AH2795" s="42"/>
      <c r="AI2795" s="43"/>
      <c r="AJ2795" s="43">
        <f t="shared" si="75"/>
        <v>0</v>
      </c>
      <c r="AK2795" s="43"/>
      <c r="AL2795" s="43"/>
      <c r="AM2795" s="43"/>
      <c r="AN2795" s="42"/>
      <c r="AO2795" s="42" t="s">
        <v>4049</v>
      </c>
      <c r="AP2795" s="42"/>
      <c r="AQ2795" s="42"/>
      <c r="AR2795" s="42"/>
      <c r="AS2795" s="42"/>
    </row>
    <row r="2796" spans="1:45" ht="15" customHeight="1">
      <c r="A2796" s="20" t="s">
        <v>260</v>
      </c>
      <c r="B2796" s="21" t="s">
        <v>46</v>
      </c>
      <c r="C2796" s="22" t="s">
        <v>188</v>
      </c>
      <c r="D2796" s="21" t="s">
        <v>48</v>
      </c>
      <c r="E2796" s="23" t="s">
        <v>919</v>
      </c>
      <c r="F2796" s="20" t="s">
        <v>953</v>
      </c>
      <c r="G2796" s="20" t="s">
        <v>165</v>
      </c>
      <c r="H2796" s="25" t="s">
        <v>1225</v>
      </c>
      <c r="I2796" s="24" t="s">
        <v>3858</v>
      </c>
      <c r="J2796" s="20" t="s">
        <v>1226</v>
      </c>
      <c r="K2796" s="26" t="s">
        <v>1227</v>
      </c>
      <c r="L2796" s="20"/>
      <c r="M2796" s="156">
        <v>41244</v>
      </c>
      <c r="N2796" s="20" t="s">
        <v>1542</v>
      </c>
      <c r="O2796" s="230" t="s">
        <v>4045</v>
      </c>
      <c r="P2796" s="237"/>
      <c r="Q2796" s="30">
        <f>ROUND(14000*P2796,2)</f>
        <v>0</v>
      </c>
      <c r="R2796" s="31">
        <v>202310</v>
      </c>
      <c r="S2796" s="32" t="s">
        <v>4050</v>
      </c>
      <c r="T2796" s="32"/>
      <c r="U2796" s="32"/>
      <c r="V2796" s="32"/>
      <c r="W2796" s="226"/>
      <c r="X2796" s="35"/>
      <c r="Y2796" s="36">
        <v>44829</v>
      </c>
      <c r="Z2796" s="36">
        <v>45559</v>
      </c>
      <c r="AA2796" s="37" t="s">
        <v>4051</v>
      </c>
      <c r="AB2796" s="38">
        <f>85/620</f>
        <v>0.13709677419354838</v>
      </c>
      <c r="AC2796" s="38">
        <v>200</v>
      </c>
      <c r="AD2796" s="38" t="s">
        <v>4048</v>
      </c>
      <c r="AE2796" s="39" t="s">
        <v>3737</v>
      </c>
      <c r="AF2796" s="40" t="s">
        <v>56</v>
      </c>
      <c r="AG2796" s="41"/>
      <c r="AH2796" s="42"/>
      <c r="AI2796" s="43"/>
      <c r="AJ2796" s="43">
        <f t="shared" si="75"/>
        <v>0</v>
      </c>
      <c r="AK2796" s="43"/>
      <c r="AL2796" s="43"/>
      <c r="AM2796" s="43"/>
      <c r="AN2796" s="42"/>
      <c r="AO2796" s="42" t="s">
        <v>4049</v>
      </c>
      <c r="AP2796" s="42"/>
      <c r="AQ2796" s="42"/>
      <c r="AR2796" s="42"/>
      <c r="AS2796" s="42"/>
    </row>
    <row r="2797" spans="1:45" ht="15" customHeight="1">
      <c r="A2797" s="20" t="s">
        <v>260</v>
      </c>
      <c r="B2797" s="21" t="s">
        <v>46</v>
      </c>
      <c r="C2797" s="22" t="s">
        <v>188</v>
      </c>
      <c r="D2797" s="21" t="s">
        <v>48</v>
      </c>
      <c r="E2797" s="23" t="s">
        <v>919</v>
      </c>
      <c r="F2797" s="20" t="s">
        <v>953</v>
      </c>
      <c r="G2797" s="20" t="s">
        <v>165</v>
      </c>
      <c r="H2797" s="25" t="s">
        <v>1225</v>
      </c>
      <c r="I2797" s="24" t="s">
        <v>3776</v>
      </c>
      <c r="J2797" s="20" t="s">
        <v>4052</v>
      </c>
      <c r="K2797" s="26" t="s">
        <v>4053</v>
      </c>
      <c r="L2797" s="20"/>
      <c r="M2797" s="156">
        <v>42796</v>
      </c>
      <c r="N2797" s="20" t="s">
        <v>3847</v>
      </c>
      <c r="O2797" s="28">
        <v>120000</v>
      </c>
      <c r="P2797" s="237"/>
      <c r="Q2797" s="30">
        <f>ROUND(O2797*P2797,2)</f>
        <v>0</v>
      </c>
      <c r="R2797" s="31">
        <v>202310</v>
      </c>
      <c r="S2797" s="32" t="s">
        <v>4054</v>
      </c>
      <c r="T2797" s="32"/>
      <c r="U2797" s="32"/>
      <c r="V2797" s="32"/>
      <c r="W2797" s="226"/>
      <c r="X2797" s="35"/>
      <c r="Y2797" s="36">
        <v>44829</v>
      </c>
      <c r="Z2797" s="36">
        <v>45559</v>
      </c>
      <c r="AA2797" s="37" t="s">
        <v>4055</v>
      </c>
      <c r="AB2797" s="38">
        <v>0.1</v>
      </c>
      <c r="AC2797" s="38">
        <v>20</v>
      </c>
      <c r="AD2797" s="38">
        <v>2</v>
      </c>
      <c r="AE2797" s="39" t="s">
        <v>3737</v>
      </c>
      <c r="AF2797" s="40" t="s">
        <v>3783</v>
      </c>
      <c r="AG2797" s="41"/>
      <c r="AH2797" s="42"/>
      <c r="AI2797" s="43"/>
      <c r="AJ2797" s="43">
        <f t="shared" si="75"/>
        <v>0</v>
      </c>
      <c r="AK2797" s="43">
        <f>AJ2797*O2797</f>
        <v>0</v>
      </c>
      <c r="AL2797" s="43"/>
      <c r="AM2797" s="43"/>
      <c r="AN2797" s="42"/>
      <c r="AO2797" s="42" t="s">
        <v>4049</v>
      </c>
      <c r="AP2797" s="42"/>
      <c r="AQ2797" s="42"/>
      <c r="AR2797" s="42"/>
      <c r="AS2797" s="42"/>
    </row>
    <row r="2798" spans="1:45" ht="15" customHeight="1">
      <c r="A2798" s="20" t="s">
        <v>260</v>
      </c>
      <c r="B2798" s="21" t="s">
        <v>46</v>
      </c>
      <c r="C2798" s="22" t="s">
        <v>188</v>
      </c>
      <c r="D2798" s="21" t="s">
        <v>48</v>
      </c>
      <c r="E2798" s="23" t="s">
        <v>919</v>
      </c>
      <c r="F2798" s="20" t="s">
        <v>920</v>
      </c>
      <c r="G2798" s="20" t="s">
        <v>165</v>
      </c>
      <c r="H2798" s="133" t="s">
        <v>1225</v>
      </c>
      <c r="I2798" s="24" t="s">
        <v>3858</v>
      </c>
      <c r="J2798" s="20" t="s">
        <v>1246</v>
      </c>
      <c r="K2798" s="26" t="s">
        <v>1247</v>
      </c>
      <c r="L2798" s="20"/>
      <c r="M2798" s="233">
        <v>42795</v>
      </c>
      <c r="N2798" s="20" t="s">
        <v>4056</v>
      </c>
      <c r="O2798" s="230" t="s">
        <v>4057</v>
      </c>
      <c r="P2798" s="237"/>
      <c r="Q2798" s="30">
        <f>ROUND(14000*P2798,2)</f>
        <v>0</v>
      </c>
      <c r="R2798" s="31">
        <v>202310</v>
      </c>
      <c r="S2798" s="32" t="s">
        <v>4058</v>
      </c>
      <c r="T2798" s="32"/>
      <c r="U2798" s="32"/>
      <c r="V2798" s="32"/>
      <c r="W2798" s="226"/>
      <c r="X2798" s="35"/>
      <c r="Y2798" s="36">
        <v>44829</v>
      </c>
      <c r="Z2798" s="36">
        <v>45559</v>
      </c>
      <c r="AA2798" s="37" t="s">
        <v>4059</v>
      </c>
      <c r="AB2798" s="38">
        <f>AD2798/AC2798</f>
        <v>0.13333333333333333</v>
      </c>
      <c r="AC2798" s="38">
        <v>120</v>
      </c>
      <c r="AD2798" s="38">
        <v>16</v>
      </c>
      <c r="AE2798" s="39" t="s">
        <v>3737</v>
      </c>
      <c r="AF2798" s="40" t="s">
        <v>56</v>
      </c>
      <c r="AG2798" s="41"/>
      <c r="AH2798" s="42"/>
      <c r="AI2798" s="43"/>
      <c r="AJ2798" s="43">
        <f t="shared" si="75"/>
        <v>0</v>
      </c>
      <c r="AK2798" s="43"/>
      <c r="AL2798" s="43"/>
      <c r="AM2798" s="43"/>
      <c r="AN2798" s="42"/>
      <c r="AO2798" s="42" t="s">
        <v>3739</v>
      </c>
      <c r="AP2798" s="42"/>
      <c r="AQ2798" s="42"/>
      <c r="AR2798" s="42"/>
      <c r="AS2798" s="42"/>
    </row>
    <row r="2799" spans="1:45" ht="15" customHeight="1">
      <c r="A2799" s="20" t="s">
        <v>260</v>
      </c>
      <c r="B2799" s="21" t="s">
        <v>46</v>
      </c>
      <c r="C2799" s="22" t="s">
        <v>188</v>
      </c>
      <c r="D2799" s="21" t="s">
        <v>48</v>
      </c>
      <c r="E2799" s="23" t="s">
        <v>919</v>
      </c>
      <c r="F2799" s="20" t="s">
        <v>1202</v>
      </c>
      <c r="G2799" s="20" t="s">
        <v>165</v>
      </c>
      <c r="H2799" s="25" t="s">
        <v>1203</v>
      </c>
      <c r="I2799" s="24" t="s">
        <v>3858</v>
      </c>
      <c r="J2799" s="20" t="s">
        <v>4060</v>
      </c>
      <c r="K2799" s="26" t="s">
        <v>4061</v>
      </c>
      <c r="L2799" s="20"/>
      <c r="M2799" s="233" t="s">
        <v>4062</v>
      </c>
      <c r="N2799" s="227" t="s">
        <v>4063</v>
      </c>
      <c r="O2799" s="28">
        <v>9500</v>
      </c>
      <c r="P2799" s="29"/>
      <c r="Q2799" s="30">
        <f t="shared" ref="Q2799:Q2808" si="76">ROUND(O2799*P2799,2)</f>
        <v>0</v>
      </c>
      <c r="R2799" s="31">
        <v>202310</v>
      </c>
      <c r="S2799" s="32" t="s">
        <v>4064</v>
      </c>
      <c r="T2799" s="32"/>
      <c r="U2799" s="54"/>
      <c r="V2799" s="32"/>
      <c r="W2799" s="232"/>
      <c r="X2799" s="35"/>
      <c r="Y2799" s="36"/>
      <c r="Z2799" s="36"/>
      <c r="AA2799" s="37" t="s">
        <v>1209</v>
      </c>
      <c r="AB2799" s="38">
        <v>0.3</v>
      </c>
      <c r="AC2799" s="38">
        <v>400</v>
      </c>
      <c r="AD2799" s="38">
        <f>AB2799*AC2799</f>
        <v>120</v>
      </c>
      <c r="AE2799" s="39" t="s">
        <v>3850</v>
      </c>
      <c r="AF2799" s="40" t="s">
        <v>56</v>
      </c>
      <c r="AG2799" s="41"/>
      <c r="AH2799" s="42"/>
      <c r="AI2799" s="43"/>
      <c r="AJ2799" s="43">
        <f t="shared" si="75"/>
        <v>0</v>
      </c>
      <c r="AK2799" s="43">
        <f t="shared" ref="AK2799:AK2808" si="77">AJ2799*O2799</f>
        <v>0</v>
      </c>
      <c r="AL2799" s="43"/>
      <c r="AM2799" s="43"/>
      <c r="AN2799" s="42"/>
      <c r="AO2799" s="42" t="s">
        <v>4065</v>
      </c>
      <c r="AP2799" s="42"/>
      <c r="AQ2799" s="42"/>
      <c r="AR2799" s="42"/>
      <c r="AS2799" s="25" t="s">
        <v>1207</v>
      </c>
    </row>
    <row r="2800" spans="1:45" ht="15" customHeight="1">
      <c r="A2800" s="20" t="s">
        <v>260</v>
      </c>
      <c r="B2800" s="21" t="s">
        <v>46</v>
      </c>
      <c r="C2800" s="22" t="s">
        <v>188</v>
      </c>
      <c r="D2800" s="22" t="s">
        <v>48</v>
      </c>
      <c r="E2800" s="23" t="s">
        <v>919</v>
      </c>
      <c r="F2800" s="20" t="s">
        <v>1305</v>
      </c>
      <c r="G2800" s="20" t="s">
        <v>165</v>
      </c>
      <c r="H2800" s="25" t="s">
        <v>1306</v>
      </c>
      <c r="I2800" s="24" t="s">
        <v>3724</v>
      </c>
      <c r="J2800" s="20" t="s">
        <v>1307</v>
      </c>
      <c r="K2800" s="26" t="s">
        <v>1308</v>
      </c>
      <c r="L2800" s="20" t="s">
        <v>1309</v>
      </c>
      <c r="M2800" s="156">
        <v>44971</v>
      </c>
      <c r="N2800" s="20" t="s">
        <v>4066</v>
      </c>
      <c r="O2800" s="28">
        <v>9500</v>
      </c>
      <c r="P2800" s="237"/>
      <c r="Q2800" s="30">
        <f t="shared" si="76"/>
        <v>0</v>
      </c>
      <c r="R2800" s="31">
        <v>202310</v>
      </c>
      <c r="S2800" s="32" t="s">
        <v>4067</v>
      </c>
      <c r="T2800" s="33"/>
      <c r="U2800" s="32"/>
      <c r="V2800" s="32"/>
      <c r="W2800" s="226"/>
      <c r="X2800" s="35"/>
      <c r="Y2800" s="36">
        <v>44972</v>
      </c>
      <c r="Z2800" s="36">
        <v>45336</v>
      </c>
      <c r="AA2800" s="37" t="s">
        <v>4068</v>
      </c>
      <c r="AB2800" s="38">
        <v>0.3</v>
      </c>
      <c r="AC2800" s="235">
        <v>50</v>
      </c>
      <c r="AD2800" s="38">
        <f>AB2800*AC2800</f>
        <v>15</v>
      </c>
      <c r="AE2800" s="39" t="s">
        <v>3737</v>
      </c>
      <c r="AF2800" s="40" t="s">
        <v>484</v>
      </c>
      <c r="AG2800" s="41">
        <v>50</v>
      </c>
      <c r="AH2800" s="42"/>
      <c r="AI2800" s="43"/>
      <c r="AJ2800" s="43">
        <f t="shared" si="75"/>
        <v>0</v>
      </c>
      <c r="AK2800" s="43">
        <f t="shared" si="77"/>
        <v>0</v>
      </c>
      <c r="AL2800" s="43"/>
      <c r="AM2800" s="43"/>
      <c r="AN2800" s="42"/>
      <c r="AO2800" s="42" t="s">
        <v>4069</v>
      </c>
      <c r="AP2800" s="42"/>
      <c r="AQ2800" s="42"/>
      <c r="AR2800" s="42"/>
      <c r="AS2800" s="42"/>
    </row>
    <row r="2801" spans="1:45" ht="15" customHeight="1">
      <c r="A2801" s="20" t="s">
        <v>260</v>
      </c>
      <c r="B2801" s="21" t="s">
        <v>46</v>
      </c>
      <c r="C2801" s="22" t="s">
        <v>887</v>
      </c>
      <c r="D2801" s="21" t="s">
        <v>888</v>
      </c>
      <c r="E2801" s="23" t="s">
        <v>1538</v>
      </c>
      <c r="F2801" s="20" t="s">
        <v>1539</v>
      </c>
      <c r="G2801" s="20" t="s">
        <v>165</v>
      </c>
      <c r="H2801" s="25" t="s">
        <v>1548</v>
      </c>
      <c r="I2801" s="24" t="s">
        <v>3724</v>
      </c>
      <c r="J2801" s="20" t="s">
        <v>4070</v>
      </c>
      <c r="K2801" s="26" t="s">
        <v>1539</v>
      </c>
      <c r="L2801" s="20"/>
      <c r="M2801" s="156" t="s">
        <v>4071</v>
      </c>
      <c r="N2801" s="20" t="s">
        <v>4072</v>
      </c>
      <c r="O2801" s="28">
        <v>7000</v>
      </c>
      <c r="P2801" s="29"/>
      <c r="Q2801" s="30">
        <f t="shared" si="76"/>
        <v>0</v>
      </c>
      <c r="R2801" s="31">
        <v>202310</v>
      </c>
      <c r="S2801" s="32" t="s">
        <v>4073</v>
      </c>
      <c r="T2801" s="33"/>
      <c r="U2801" s="240"/>
      <c r="V2801" s="32"/>
      <c r="W2801" s="238"/>
      <c r="X2801" s="236"/>
      <c r="Y2801" s="36"/>
      <c r="Z2801" s="36"/>
      <c r="AA2801" s="37" t="s">
        <v>4074</v>
      </c>
      <c r="AB2801" s="38">
        <v>0.3</v>
      </c>
      <c r="AC2801" s="38">
        <v>280</v>
      </c>
      <c r="AD2801" s="38">
        <v>84</v>
      </c>
      <c r="AE2801" s="39" t="s">
        <v>3850</v>
      </c>
      <c r="AF2801" s="40" t="s">
        <v>503</v>
      </c>
      <c r="AG2801" s="41"/>
      <c r="AH2801" s="42">
        <v>280</v>
      </c>
      <c r="AI2801" s="43"/>
      <c r="AJ2801" s="43">
        <f t="shared" si="75"/>
        <v>0</v>
      </c>
      <c r="AK2801" s="43">
        <f t="shared" si="77"/>
        <v>0</v>
      </c>
      <c r="AL2801" s="43"/>
      <c r="AM2801" s="43"/>
      <c r="AN2801" s="42"/>
      <c r="AO2801" s="42" t="s">
        <v>4075</v>
      </c>
      <c r="AP2801" s="42"/>
      <c r="AQ2801" s="42"/>
      <c r="AR2801" s="42"/>
      <c r="AS2801" s="42"/>
    </row>
    <row r="2802" spans="1:45" ht="15" customHeight="1">
      <c r="A2802" s="20" t="s">
        <v>260</v>
      </c>
      <c r="B2802" s="21" t="s">
        <v>46</v>
      </c>
      <c r="C2802" s="22" t="s">
        <v>887</v>
      </c>
      <c r="D2802" s="21" t="s">
        <v>888</v>
      </c>
      <c r="E2802" s="23" t="s">
        <v>1538</v>
      </c>
      <c r="F2802" s="20" t="s">
        <v>1539</v>
      </c>
      <c r="G2802" s="20" t="s">
        <v>165</v>
      </c>
      <c r="H2802" s="25" t="s">
        <v>1548</v>
      </c>
      <c r="I2802" s="24" t="s">
        <v>3724</v>
      </c>
      <c r="J2802" s="20" t="s">
        <v>4076</v>
      </c>
      <c r="K2802" s="26" t="s">
        <v>1574</v>
      </c>
      <c r="L2802" s="20"/>
      <c r="M2802" s="156" t="s">
        <v>4077</v>
      </c>
      <c r="N2802" s="20" t="s">
        <v>4078</v>
      </c>
      <c r="O2802" s="28">
        <v>7000</v>
      </c>
      <c r="P2802" s="29"/>
      <c r="Q2802" s="30">
        <f t="shared" si="76"/>
        <v>0</v>
      </c>
      <c r="R2802" s="31">
        <v>202310</v>
      </c>
      <c r="S2802" s="32" t="s">
        <v>4079</v>
      </c>
      <c r="T2802" s="33"/>
      <c r="U2802" s="240"/>
      <c r="V2802" s="32"/>
      <c r="W2802" s="226"/>
      <c r="X2802" s="35"/>
      <c r="Y2802" s="36"/>
      <c r="Z2802" s="36"/>
      <c r="AA2802" s="37" t="s">
        <v>4080</v>
      </c>
      <c r="AB2802" s="38" t="s">
        <v>3807</v>
      </c>
      <c r="AC2802" s="38">
        <v>0</v>
      </c>
      <c r="AD2802" s="38">
        <v>0</v>
      </c>
      <c r="AE2802" s="39" t="s">
        <v>3807</v>
      </c>
      <c r="AF2802" s="40" t="s">
        <v>503</v>
      </c>
      <c r="AG2802" s="41"/>
      <c r="AH2802" s="42">
        <v>0</v>
      </c>
      <c r="AI2802" s="43"/>
      <c r="AJ2802" s="43">
        <f t="shared" si="75"/>
        <v>0</v>
      </c>
      <c r="AK2802" s="43">
        <f t="shared" si="77"/>
        <v>0</v>
      </c>
      <c r="AL2802" s="43"/>
      <c r="AM2802" s="43"/>
      <c r="AN2802" s="42"/>
      <c r="AO2802" s="42" t="s">
        <v>3807</v>
      </c>
      <c r="AP2802" s="42"/>
      <c r="AQ2802" s="42"/>
      <c r="AR2802" s="42"/>
      <c r="AS2802" s="42"/>
    </row>
    <row r="2803" spans="1:45" ht="15" customHeight="1">
      <c r="A2803" s="20" t="s">
        <v>260</v>
      </c>
      <c r="B2803" s="21" t="s">
        <v>46</v>
      </c>
      <c r="C2803" s="22" t="s">
        <v>887</v>
      </c>
      <c r="D2803" s="21" t="s">
        <v>888</v>
      </c>
      <c r="E2803" s="23" t="s">
        <v>1538</v>
      </c>
      <c r="F2803" s="20" t="s">
        <v>1539</v>
      </c>
      <c r="G2803" s="20" t="s">
        <v>165</v>
      </c>
      <c r="H2803" s="25" t="s">
        <v>1548</v>
      </c>
      <c r="I2803" s="24" t="s">
        <v>3858</v>
      </c>
      <c r="J2803" s="20" t="s">
        <v>4081</v>
      </c>
      <c r="K2803" s="26" t="s">
        <v>1591</v>
      </c>
      <c r="L2803" s="20"/>
      <c r="M2803" s="156" t="s">
        <v>4082</v>
      </c>
      <c r="N2803" s="20" t="s">
        <v>4083</v>
      </c>
      <c r="O2803" s="28">
        <v>7000</v>
      </c>
      <c r="P2803" s="29"/>
      <c r="Q2803" s="30">
        <f t="shared" si="76"/>
        <v>0</v>
      </c>
      <c r="R2803" s="31">
        <v>202310</v>
      </c>
      <c r="S2803" s="32" t="s">
        <v>4084</v>
      </c>
      <c r="T2803" s="33"/>
      <c r="U2803" s="240"/>
      <c r="V2803" s="32"/>
      <c r="W2803" s="238"/>
      <c r="X2803" s="35"/>
      <c r="Y2803" s="36"/>
      <c r="Z2803" s="36"/>
      <c r="AA2803" s="37" t="s">
        <v>4085</v>
      </c>
      <c r="AB2803" s="38">
        <v>0.3</v>
      </c>
      <c r="AC2803" s="38">
        <v>240</v>
      </c>
      <c r="AD2803" s="38">
        <v>72</v>
      </c>
      <c r="AE2803" s="39" t="s">
        <v>3850</v>
      </c>
      <c r="AF2803" s="40" t="s">
        <v>56</v>
      </c>
      <c r="AG2803" s="41"/>
      <c r="AH2803" s="42"/>
      <c r="AI2803" s="43"/>
      <c r="AJ2803" s="43">
        <f t="shared" si="75"/>
        <v>0</v>
      </c>
      <c r="AK2803" s="43">
        <f t="shared" si="77"/>
        <v>0</v>
      </c>
      <c r="AL2803" s="43"/>
      <c r="AM2803" s="43"/>
      <c r="AN2803" s="42"/>
      <c r="AO2803" s="42" t="s">
        <v>4075</v>
      </c>
      <c r="AP2803" s="42"/>
      <c r="AQ2803" s="42"/>
      <c r="AR2803" s="42"/>
      <c r="AS2803" s="42"/>
    </row>
    <row r="2804" spans="1:45" ht="15" customHeight="1">
      <c r="A2804" s="20" t="s">
        <v>260</v>
      </c>
      <c r="B2804" s="21" t="s">
        <v>46</v>
      </c>
      <c r="C2804" s="22" t="s">
        <v>887</v>
      </c>
      <c r="D2804" s="21" t="s">
        <v>888</v>
      </c>
      <c r="E2804" s="23" t="s">
        <v>1538</v>
      </c>
      <c r="F2804" s="20" t="s">
        <v>1539</v>
      </c>
      <c r="G2804" s="20" t="s">
        <v>165</v>
      </c>
      <c r="H2804" s="25" t="s">
        <v>1548</v>
      </c>
      <c r="I2804" s="24" t="s">
        <v>3724</v>
      </c>
      <c r="J2804" s="20" t="s">
        <v>4086</v>
      </c>
      <c r="K2804" s="26" t="s">
        <v>1565</v>
      </c>
      <c r="L2804" s="20"/>
      <c r="M2804" s="233" t="s">
        <v>4087</v>
      </c>
      <c r="N2804" s="227" t="s">
        <v>4088</v>
      </c>
      <c r="O2804" s="28">
        <v>7000</v>
      </c>
      <c r="P2804" s="29"/>
      <c r="Q2804" s="30">
        <f t="shared" si="76"/>
        <v>0</v>
      </c>
      <c r="R2804" s="31">
        <v>202310</v>
      </c>
      <c r="S2804" s="32" t="s">
        <v>4089</v>
      </c>
      <c r="T2804" s="33"/>
      <c r="U2804" s="240"/>
      <c r="V2804" s="32"/>
      <c r="W2804" s="238"/>
      <c r="X2804" s="35"/>
      <c r="Y2804" s="36"/>
      <c r="Z2804" s="36"/>
      <c r="AA2804" s="37" t="s">
        <v>4090</v>
      </c>
      <c r="AB2804" s="38">
        <v>0.3</v>
      </c>
      <c r="AC2804" s="38">
        <v>120</v>
      </c>
      <c r="AD2804" s="38">
        <f>AB2804*AC2804</f>
        <v>36</v>
      </c>
      <c r="AE2804" s="39" t="s">
        <v>3850</v>
      </c>
      <c r="AF2804" s="40" t="s">
        <v>503</v>
      </c>
      <c r="AG2804" s="41"/>
      <c r="AH2804" s="42">
        <v>120</v>
      </c>
      <c r="AI2804" s="43"/>
      <c r="AJ2804" s="43">
        <f t="shared" si="75"/>
        <v>0</v>
      </c>
      <c r="AK2804" s="43">
        <f t="shared" si="77"/>
        <v>0</v>
      </c>
      <c r="AL2804" s="43"/>
      <c r="AM2804" s="43"/>
      <c r="AN2804" s="42"/>
      <c r="AO2804" s="42" t="s">
        <v>4075</v>
      </c>
      <c r="AP2804" s="42"/>
      <c r="AQ2804" s="42"/>
      <c r="AR2804" s="42"/>
      <c r="AS2804" s="42"/>
    </row>
    <row r="2805" spans="1:45" ht="15" customHeight="1">
      <c r="A2805" s="20" t="s">
        <v>260</v>
      </c>
      <c r="B2805" s="21" t="s">
        <v>46</v>
      </c>
      <c r="C2805" s="22" t="s">
        <v>887</v>
      </c>
      <c r="D2805" s="21" t="s">
        <v>888</v>
      </c>
      <c r="E2805" s="23" t="s">
        <v>1538</v>
      </c>
      <c r="F2805" s="20" t="s">
        <v>1539</v>
      </c>
      <c r="G2805" s="20" t="s">
        <v>165</v>
      </c>
      <c r="H2805" s="25" t="s">
        <v>1548</v>
      </c>
      <c r="I2805" s="24" t="s">
        <v>4013</v>
      </c>
      <c r="J2805" s="20" t="s">
        <v>4091</v>
      </c>
      <c r="K2805" s="26" t="s">
        <v>1553</v>
      </c>
      <c r="L2805" s="20"/>
      <c r="M2805" s="192" t="s">
        <v>4092</v>
      </c>
      <c r="N2805" s="227" t="s">
        <v>4093</v>
      </c>
      <c r="O2805" s="28">
        <v>7000</v>
      </c>
      <c r="P2805" s="29"/>
      <c r="Q2805" s="30">
        <f t="shared" si="76"/>
        <v>0</v>
      </c>
      <c r="R2805" s="31">
        <v>202310</v>
      </c>
      <c r="S2805" s="32" t="s">
        <v>4094</v>
      </c>
      <c r="T2805" s="33"/>
      <c r="U2805" s="240"/>
      <c r="V2805" s="32"/>
      <c r="W2805" s="226"/>
      <c r="X2805" s="35"/>
      <c r="Y2805" s="36"/>
      <c r="Z2805" s="36"/>
      <c r="AA2805" s="37" t="s">
        <v>4095</v>
      </c>
      <c r="AB2805" s="38" t="s">
        <v>3807</v>
      </c>
      <c r="AC2805" s="38">
        <v>0</v>
      </c>
      <c r="AD2805" s="38">
        <v>0</v>
      </c>
      <c r="AE2805" s="39" t="s">
        <v>3850</v>
      </c>
      <c r="AF2805" s="40" t="s">
        <v>853</v>
      </c>
      <c r="AG2805" s="41"/>
      <c r="AH2805" s="42"/>
      <c r="AI2805" s="43"/>
      <c r="AJ2805" s="43">
        <f t="shared" si="75"/>
        <v>0</v>
      </c>
      <c r="AK2805" s="43">
        <f t="shared" si="77"/>
        <v>0</v>
      </c>
      <c r="AL2805" s="43"/>
      <c r="AM2805" s="43"/>
      <c r="AN2805" s="42"/>
      <c r="AO2805" s="42" t="s">
        <v>4075</v>
      </c>
      <c r="AP2805" s="42"/>
      <c r="AQ2805" s="42"/>
      <c r="AR2805" s="42"/>
      <c r="AS2805" s="42"/>
    </row>
    <row r="2806" spans="1:45" ht="15" customHeight="1">
      <c r="A2806" s="20" t="s">
        <v>260</v>
      </c>
      <c r="B2806" s="21" t="s">
        <v>46</v>
      </c>
      <c r="C2806" s="22" t="s">
        <v>47</v>
      </c>
      <c r="D2806" s="22" t="s">
        <v>48</v>
      </c>
      <c r="E2806" s="23" t="s">
        <v>1594</v>
      </c>
      <c r="F2806" s="22" t="s">
        <v>1595</v>
      </c>
      <c r="G2806" s="20" t="s">
        <v>165</v>
      </c>
      <c r="H2806" s="25" t="s">
        <v>1611</v>
      </c>
      <c r="I2806" s="24" t="s">
        <v>3724</v>
      </c>
      <c r="J2806" s="20" t="s">
        <v>4096</v>
      </c>
      <c r="K2806" s="26" t="s">
        <v>1595</v>
      </c>
      <c r="L2806" s="20"/>
      <c r="M2806" s="233" t="s">
        <v>4097</v>
      </c>
      <c r="N2806" s="227" t="s">
        <v>4098</v>
      </c>
      <c r="O2806" s="28">
        <v>9833</v>
      </c>
      <c r="P2806" s="29"/>
      <c r="Q2806" s="30">
        <f t="shared" si="76"/>
        <v>0</v>
      </c>
      <c r="R2806" s="31">
        <v>202310</v>
      </c>
      <c r="S2806" s="32" t="s">
        <v>4099</v>
      </c>
      <c r="T2806" s="33"/>
      <c r="U2806" s="32"/>
      <c r="V2806" s="32"/>
      <c r="W2806" s="226"/>
      <c r="X2806" s="35"/>
      <c r="Y2806" s="36"/>
      <c r="Z2806" s="36"/>
      <c r="AA2806" s="37" t="s">
        <v>4100</v>
      </c>
      <c r="AB2806" s="38" t="s">
        <v>3807</v>
      </c>
      <c r="AC2806" s="38">
        <v>0</v>
      </c>
      <c r="AD2806" s="38">
        <v>0</v>
      </c>
      <c r="AE2806" s="39"/>
      <c r="AF2806" s="40" t="s">
        <v>503</v>
      </c>
      <c r="AG2806" s="41"/>
      <c r="AH2806" s="42">
        <v>0</v>
      </c>
      <c r="AI2806" s="43"/>
      <c r="AJ2806" s="43">
        <f t="shared" si="75"/>
        <v>0</v>
      </c>
      <c r="AK2806" s="43">
        <f t="shared" si="77"/>
        <v>0</v>
      </c>
      <c r="AL2806" s="43"/>
      <c r="AM2806" s="43"/>
      <c r="AN2806" s="42"/>
      <c r="AO2806" s="42" t="s">
        <v>4101</v>
      </c>
      <c r="AP2806" s="42"/>
      <c r="AQ2806" s="42"/>
      <c r="AR2806" s="42"/>
      <c r="AS2806" s="42" t="s">
        <v>1616</v>
      </c>
    </row>
    <row r="2807" spans="1:45" ht="15" customHeight="1">
      <c r="A2807" s="20" t="s">
        <v>260</v>
      </c>
      <c r="B2807" s="21" t="s">
        <v>46</v>
      </c>
      <c r="C2807" s="22" t="s">
        <v>47</v>
      </c>
      <c r="D2807" s="22" t="s">
        <v>48</v>
      </c>
      <c r="E2807" s="23" t="s">
        <v>1594</v>
      </c>
      <c r="F2807" s="22" t="s">
        <v>1595</v>
      </c>
      <c r="G2807" s="20" t="s">
        <v>165</v>
      </c>
      <c r="H2807" s="25" t="s">
        <v>1611</v>
      </c>
      <c r="I2807" s="24" t="s">
        <v>3724</v>
      </c>
      <c r="J2807" s="20" t="s">
        <v>4102</v>
      </c>
      <c r="K2807" s="26" t="s">
        <v>1619</v>
      </c>
      <c r="L2807" s="20"/>
      <c r="M2807" s="233" t="s">
        <v>4103</v>
      </c>
      <c r="N2807" s="227" t="s">
        <v>4104</v>
      </c>
      <c r="O2807" s="28">
        <v>11500</v>
      </c>
      <c r="P2807" s="29"/>
      <c r="Q2807" s="30">
        <f t="shared" si="76"/>
        <v>0</v>
      </c>
      <c r="R2807" s="31">
        <v>202310</v>
      </c>
      <c r="S2807" s="32" t="s">
        <v>4105</v>
      </c>
      <c r="T2807" s="33"/>
      <c r="U2807" s="32"/>
      <c r="V2807" s="32"/>
      <c r="W2807" s="232"/>
      <c r="X2807" s="35"/>
      <c r="Y2807" s="36"/>
      <c r="Z2807" s="36"/>
      <c r="AA2807" s="37" t="s">
        <v>4106</v>
      </c>
      <c r="AB2807" s="38">
        <v>0.4</v>
      </c>
      <c r="AC2807" s="38">
        <v>60</v>
      </c>
      <c r="AD2807" s="38">
        <f>AB2807*AC2807</f>
        <v>24</v>
      </c>
      <c r="AE2807" s="39" t="s">
        <v>3850</v>
      </c>
      <c r="AF2807" s="40" t="s">
        <v>503</v>
      </c>
      <c r="AG2807" s="41"/>
      <c r="AH2807" s="42">
        <v>60</v>
      </c>
      <c r="AI2807" s="43"/>
      <c r="AJ2807" s="43">
        <f t="shared" si="75"/>
        <v>0</v>
      </c>
      <c r="AK2807" s="43">
        <f t="shared" si="77"/>
        <v>0</v>
      </c>
      <c r="AL2807" s="43"/>
      <c r="AM2807" s="43"/>
      <c r="AN2807" s="42"/>
      <c r="AO2807" s="42" t="s">
        <v>4101</v>
      </c>
      <c r="AP2807" s="42"/>
      <c r="AQ2807" s="42"/>
      <c r="AR2807" s="42"/>
      <c r="AS2807" s="42" t="s">
        <v>1616</v>
      </c>
    </row>
    <row r="2808" spans="1:45" ht="15" customHeight="1">
      <c r="A2808" s="20" t="s">
        <v>260</v>
      </c>
      <c r="B2808" s="21" t="s">
        <v>46</v>
      </c>
      <c r="C2808" s="22" t="s">
        <v>188</v>
      </c>
      <c r="D2808" s="22" t="s">
        <v>48</v>
      </c>
      <c r="E2808" s="23" t="s">
        <v>1636</v>
      </c>
      <c r="F2808" s="20" t="s">
        <v>920</v>
      </c>
      <c r="G2808" s="20" t="s">
        <v>165</v>
      </c>
      <c r="H2808" s="25" t="s">
        <v>1796</v>
      </c>
      <c r="I2808" s="24" t="s">
        <v>3724</v>
      </c>
      <c r="J2808" s="20" t="s">
        <v>649</v>
      </c>
      <c r="K2808" s="26" t="s">
        <v>1797</v>
      </c>
      <c r="L2808" s="20"/>
      <c r="M2808" s="233">
        <v>43889</v>
      </c>
      <c r="N2808" s="20" t="s">
        <v>2187</v>
      </c>
      <c r="O2808" s="28">
        <v>0</v>
      </c>
      <c r="P2808" s="29"/>
      <c r="Q2808" s="30">
        <f t="shared" si="76"/>
        <v>0</v>
      </c>
      <c r="R2808" s="31">
        <v>202310</v>
      </c>
      <c r="S2808" s="32" t="s">
        <v>4107</v>
      </c>
      <c r="T2808" s="33"/>
      <c r="U2808" s="32"/>
      <c r="V2808" s="32"/>
      <c r="W2808" s="226"/>
      <c r="X2808" s="35"/>
      <c r="Y2808" s="36">
        <v>43825</v>
      </c>
      <c r="Z2808" s="36">
        <v>45549</v>
      </c>
      <c r="AA2808" s="37" t="s">
        <v>4108</v>
      </c>
      <c r="AB2808" s="38" t="s">
        <v>4109</v>
      </c>
      <c r="AC2808" s="38">
        <v>100</v>
      </c>
      <c r="AD2808" s="38">
        <v>0</v>
      </c>
      <c r="AE2808" s="39"/>
      <c r="AF2808" s="40" t="s">
        <v>503</v>
      </c>
      <c r="AG2808" s="41"/>
      <c r="AH2808" s="42">
        <v>100</v>
      </c>
      <c r="AI2808" s="43"/>
      <c r="AJ2808" s="43">
        <f t="shared" si="75"/>
        <v>0</v>
      </c>
      <c r="AK2808" s="43">
        <f t="shared" si="77"/>
        <v>0</v>
      </c>
      <c r="AL2808" s="43"/>
      <c r="AM2808" s="43"/>
      <c r="AN2808" s="42"/>
      <c r="AO2808" s="42"/>
      <c r="AP2808" s="42"/>
      <c r="AQ2808" s="42"/>
      <c r="AR2808" s="42"/>
      <c r="AS2808" s="42"/>
    </row>
    <row r="2809" spans="1:45" ht="15" customHeight="1">
      <c r="A2809" s="20" t="s">
        <v>260</v>
      </c>
      <c r="B2809" s="21" t="s">
        <v>46</v>
      </c>
      <c r="C2809" s="22" t="s">
        <v>887</v>
      </c>
      <c r="D2809" s="21" t="s">
        <v>888</v>
      </c>
      <c r="E2809" s="23" t="s">
        <v>4110</v>
      </c>
      <c r="F2809" s="20" t="s">
        <v>890</v>
      </c>
      <c r="G2809" s="20" t="s">
        <v>165</v>
      </c>
      <c r="H2809" s="25" t="s">
        <v>4111</v>
      </c>
      <c r="I2809" s="24" t="s">
        <v>3776</v>
      </c>
      <c r="J2809" s="20" t="s">
        <v>4112</v>
      </c>
      <c r="K2809" s="26" t="s">
        <v>4113</v>
      </c>
      <c r="L2809" s="20"/>
      <c r="M2809" s="156"/>
      <c r="N2809" s="20" t="s">
        <v>3847</v>
      </c>
      <c r="O2809" s="230" t="s">
        <v>4114</v>
      </c>
      <c r="P2809" s="29"/>
      <c r="Q2809" s="30">
        <f>ROUND(P2809*50000,2)</f>
        <v>0</v>
      </c>
      <c r="R2809" s="31">
        <v>202310</v>
      </c>
      <c r="S2809" s="32" t="s">
        <v>4115</v>
      </c>
      <c r="T2809" s="33"/>
      <c r="U2809" s="32"/>
      <c r="V2809" s="32"/>
      <c r="W2809" s="238"/>
      <c r="X2809" s="35"/>
      <c r="Y2809" s="36">
        <v>44013</v>
      </c>
      <c r="Z2809" s="36">
        <v>45473</v>
      </c>
      <c r="AA2809" s="37" t="s">
        <v>4112</v>
      </c>
      <c r="AB2809" s="38">
        <v>0.1</v>
      </c>
      <c r="AC2809" s="38">
        <v>20</v>
      </c>
      <c r="AD2809" s="38">
        <v>2</v>
      </c>
      <c r="AE2809" s="39" t="s">
        <v>4116</v>
      </c>
      <c r="AF2809" s="40" t="s">
        <v>3783</v>
      </c>
      <c r="AG2809" s="41"/>
      <c r="AH2809" s="42"/>
      <c r="AI2809" s="43"/>
      <c r="AJ2809" s="43">
        <f t="shared" si="75"/>
        <v>0</v>
      </c>
      <c r="AK2809" s="43"/>
      <c r="AL2809" s="43"/>
      <c r="AM2809" s="43"/>
      <c r="AN2809" s="42"/>
      <c r="AO2809" s="42" t="s">
        <v>3739</v>
      </c>
      <c r="AP2809" s="42" t="s">
        <v>4117</v>
      </c>
      <c r="AQ2809" s="42"/>
      <c r="AR2809" s="42"/>
      <c r="AS2809" s="42"/>
    </row>
    <row r="2810" spans="1:45" ht="15" customHeight="1">
      <c r="A2810" s="20" t="s">
        <v>258</v>
      </c>
      <c r="B2810" s="21" t="s">
        <v>46</v>
      </c>
      <c r="C2810" s="22" t="s">
        <v>887</v>
      </c>
      <c r="D2810" s="21" t="s">
        <v>888</v>
      </c>
      <c r="E2810" s="23" t="s">
        <v>2064</v>
      </c>
      <c r="F2810" s="20" t="s">
        <v>2068</v>
      </c>
      <c r="G2810" s="20" t="s">
        <v>165</v>
      </c>
      <c r="H2810" s="25" t="s">
        <v>2066</v>
      </c>
      <c r="I2810" s="24" t="s">
        <v>3724</v>
      </c>
      <c r="J2810" s="20" t="s">
        <v>2069</v>
      </c>
      <c r="K2810" s="26" t="s">
        <v>4118</v>
      </c>
      <c r="L2810" s="20"/>
      <c r="M2810" s="156" t="s">
        <v>4119</v>
      </c>
      <c r="N2810" s="227" t="s">
        <v>4120</v>
      </c>
      <c r="O2810" s="28">
        <v>9000</v>
      </c>
      <c r="P2810" s="29"/>
      <c r="Q2810" s="30">
        <f t="shared" ref="Q2810:Q2873" si="78">ROUND(O2810*P2810,2)</f>
        <v>0</v>
      </c>
      <c r="R2810" s="31">
        <v>202310</v>
      </c>
      <c r="S2810" s="32" t="s">
        <v>4121</v>
      </c>
      <c r="T2810" s="33"/>
      <c r="U2810" s="32"/>
      <c r="V2810" s="32"/>
      <c r="W2810" s="238"/>
      <c r="X2810" s="35"/>
      <c r="Y2810" s="36">
        <v>44562</v>
      </c>
      <c r="Z2810" s="36">
        <v>45291</v>
      </c>
      <c r="AA2810" s="37" t="s">
        <v>2111</v>
      </c>
      <c r="AB2810" s="38">
        <v>0.3</v>
      </c>
      <c r="AC2810" s="38">
        <v>180</v>
      </c>
      <c r="AD2810" s="38">
        <f>AB2810*AC2810-30</f>
        <v>24</v>
      </c>
      <c r="AE2810" s="39" t="s">
        <v>3850</v>
      </c>
      <c r="AF2810" s="40" t="s">
        <v>503</v>
      </c>
      <c r="AG2810" s="41"/>
      <c r="AH2810" s="42">
        <v>180</v>
      </c>
      <c r="AI2810" s="43"/>
      <c r="AJ2810" s="43">
        <f t="shared" si="75"/>
        <v>0</v>
      </c>
      <c r="AK2810" s="43">
        <f t="shared" ref="AK2810:AK2841" si="79">AJ2810*O2810</f>
        <v>0</v>
      </c>
      <c r="AL2810" s="43"/>
      <c r="AM2810" s="43"/>
      <c r="AN2810" s="42"/>
      <c r="AO2810" s="42" t="s">
        <v>4122</v>
      </c>
      <c r="AP2810" s="42"/>
      <c r="AQ2810" s="42"/>
      <c r="AR2810" s="42"/>
      <c r="AS2810" s="42"/>
    </row>
    <row r="2811" spans="1:45" ht="15" customHeight="1">
      <c r="A2811" s="20" t="s">
        <v>258</v>
      </c>
      <c r="B2811" s="21" t="s">
        <v>46</v>
      </c>
      <c r="C2811" s="22" t="s">
        <v>887</v>
      </c>
      <c r="D2811" s="21" t="s">
        <v>888</v>
      </c>
      <c r="E2811" s="23" t="s">
        <v>2064</v>
      </c>
      <c r="F2811" s="20" t="s">
        <v>2068</v>
      </c>
      <c r="G2811" s="20" t="s">
        <v>165</v>
      </c>
      <c r="H2811" s="25" t="s">
        <v>2066</v>
      </c>
      <c r="I2811" s="24" t="s">
        <v>3724</v>
      </c>
      <c r="J2811" s="20" t="s">
        <v>2069</v>
      </c>
      <c r="K2811" s="26" t="s">
        <v>2079</v>
      </c>
      <c r="L2811" s="20"/>
      <c r="M2811" s="156">
        <v>44804</v>
      </c>
      <c r="N2811" s="20" t="s">
        <v>4123</v>
      </c>
      <c r="O2811" s="28">
        <v>9000</v>
      </c>
      <c r="P2811" s="29"/>
      <c r="Q2811" s="30">
        <f t="shared" si="78"/>
        <v>0</v>
      </c>
      <c r="R2811" s="31">
        <v>202310</v>
      </c>
      <c r="S2811" s="32" t="s">
        <v>4124</v>
      </c>
      <c r="T2811" s="33"/>
      <c r="U2811" s="32"/>
      <c r="V2811" s="32"/>
      <c r="W2811" s="238"/>
      <c r="X2811" s="239"/>
      <c r="Y2811" s="36">
        <v>44562</v>
      </c>
      <c r="Z2811" s="36">
        <v>45291</v>
      </c>
      <c r="AA2811" s="37" t="s">
        <v>4125</v>
      </c>
      <c r="AB2811" s="38">
        <v>0.3</v>
      </c>
      <c r="AC2811" s="38">
        <v>300</v>
      </c>
      <c r="AD2811" s="38">
        <v>90</v>
      </c>
      <c r="AE2811" s="39" t="s">
        <v>3850</v>
      </c>
      <c r="AF2811" s="40" t="s">
        <v>503</v>
      </c>
      <c r="AG2811" s="41"/>
      <c r="AH2811" s="42">
        <v>300</v>
      </c>
      <c r="AI2811" s="43"/>
      <c r="AJ2811" s="43">
        <f t="shared" si="75"/>
        <v>0</v>
      </c>
      <c r="AK2811" s="43">
        <f t="shared" si="79"/>
        <v>0</v>
      </c>
      <c r="AL2811" s="43"/>
      <c r="AM2811" s="43"/>
      <c r="AN2811" s="42"/>
      <c r="AO2811" s="42" t="s">
        <v>4122</v>
      </c>
      <c r="AP2811" s="42"/>
      <c r="AQ2811" s="42"/>
      <c r="AR2811" s="42"/>
      <c r="AS2811" s="42"/>
    </row>
    <row r="2812" spans="1:45" ht="15" customHeight="1">
      <c r="A2812" s="20" t="s">
        <v>258</v>
      </c>
      <c r="B2812" s="21" t="s">
        <v>46</v>
      </c>
      <c r="C2812" s="22" t="s">
        <v>887</v>
      </c>
      <c r="D2812" s="21" t="s">
        <v>888</v>
      </c>
      <c r="E2812" s="23" t="s">
        <v>2064</v>
      </c>
      <c r="F2812" s="20" t="s">
        <v>2068</v>
      </c>
      <c r="G2812" s="20" t="s">
        <v>165</v>
      </c>
      <c r="H2812" s="25" t="s">
        <v>2066</v>
      </c>
      <c r="I2812" s="24" t="s">
        <v>4013</v>
      </c>
      <c r="J2812" s="20" t="s">
        <v>4126</v>
      </c>
      <c r="K2812" s="26" t="s">
        <v>4127</v>
      </c>
      <c r="L2812" s="20" t="s">
        <v>4128</v>
      </c>
      <c r="M2812" s="156" t="s">
        <v>4129</v>
      </c>
      <c r="N2812" s="20" t="s">
        <v>4019</v>
      </c>
      <c r="O2812" s="28">
        <v>9000</v>
      </c>
      <c r="P2812" s="29"/>
      <c r="Q2812" s="30">
        <f t="shared" si="78"/>
        <v>0</v>
      </c>
      <c r="R2812" s="31">
        <v>202310</v>
      </c>
      <c r="S2812" s="32" t="s">
        <v>4130</v>
      </c>
      <c r="T2812" s="33"/>
      <c r="U2812" s="32"/>
      <c r="V2812" s="32"/>
      <c r="W2812" s="226"/>
      <c r="X2812" s="35"/>
      <c r="Y2812" s="36">
        <v>44562</v>
      </c>
      <c r="Z2812" s="36">
        <v>45291</v>
      </c>
      <c r="AA2812" s="37" t="s">
        <v>4131</v>
      </c>
      <c r="AB2812" s="38" t="s">
        <v>3807</v>
      </c>
      <c r="AC2812" s="38">
        <v>0</v>
      </c>
      <c r="AD2812" s="38">
        <v>0</v>
      </c>
      <c r="AE2812" s="39" t="s">
        <v>3850</v>
      </c>
      <c r="AF2812" s="40" t="s">
        <v>853</v>
      </c>
      <c r="AG2812" s="41"/>
      <c r="AH2812" s="42"/>
      <c r="AI2812" s="43"/>
      <c r="AJ2812" s="43">
        <f t="shared" si="75"/>
        <v>0</v>
      </c>
      <c r="AK2812" s="43">
        <f t="shared" si="79"/>
        <v>0</v>
      </c>
      <c r="AL2812" s="43"/>
      <c r="AM2812" s="43"/>
      <c r="AN2812" s="42"/>
      <c r="AO2812" s="42" t="s">
        <v>4122</v>
      </c>
      <c r="AP2812" s="42"/>
      <c r="AQ2812" s="42"/>
      <c r="AR2812" s="42"/>
      <c r="AS2812" s="42"/>
    </row>
    <row r="2813" spans="1:45" ht="15" customHeight="1">
      <c r="A2813" s="20" t="s">
        <v>258</v>
      </c>
      <c r="B2813" s="21" t="s">
        <v>46</v>
      </c>
      <c r="C2813" s="22" t="s">
        <v>887</v>
      </c>
      <c r="D2813" s="21" t="s">
        <v>888</v>
      </c>
      <c r="E2813" s="23" t="s">
        <v>2064</v>
      </c>
      <c r="F2813" s="20" t="s">
        <v>2068</v>
      </c>
      <c r="G2813" s="20" t="s">
        <v>165</v>
      </c>
      <c r="H2813" s="25" t="s">
        <v>2066</v>
      </c>
      <c r="I2813" s="24" t="s">
        <v>4000</v>
      </c>
      <c r="J2813" s="20" t="s">
        <v>4132</v>
      </c>
      <c r="K2813" s="26" t="s">
        <v>4133</v>
      </c>
      <c r="L2813" s="20"/>
      <c r="M2813" s="156"/>
      <c r="N2813" s="20" t="s">
        <v>1542</v>
      </c>
      <c r="O2813" s="28">
        <v>9000</v>
      </c>
      <c r="P2813" s="29"/>
      <c r="Q2813" s="30">
        <f t="shared" si="78"/>
        <v>0</v>
      </c>
      <c r="R2813" s="31">
        <v>202310</v>
      </c>
      <c r="S2813" s="32" t="s">
        <v>4134</v>
      </c>
      <c r="T2813" s="33"/>
      <c r="U2813" s="32"/>
      <c r="V2813" s="32"/>
      <c r="W2813" s="238"/>
      <c r="X2813" s="35"/>
      <c r="Y2813" s="36">
        <v>44562</v>
      </c>
      <c r="Z2813" s="36">
        <v>45291</v>
      </c>
      <c r="AA2813" s="37" t="s">
        <v>4135</v>
      </c>
      <c r="AB2813" s="38">
        <v>0.24</v>
      </c>
      <c r="AC2813" s="38">
        <v>200</v>
      </c>
      <c r="AD2813" s="38">
        <v>48</v>
      </c>
      <c r="AE2813" s="39" t="s">
        <v>3850</v>
      </c>
      <c r="AF2813" s="40" t="s">
        <v>2101</v>
      </c>
      <c r="AG2813" s="41"/>
      <c r="AH2813" s="42"/>
      <c r="AI2813" s="43"/>
      <c r="AJ2813" s="43">
        <f t="shared" si="75"/>
        <v>0</v>
      </c>
      <c r="AK2813" s="43">
        <f t="shared" si="79"/>
        <v>0</v>
      </c>
      <c r="AL2813" s="43"/>
      <c r="AM2813" s="43"/>
      <c r="AN2813" s="42"/>
      <c r="AO2813" s="42" t="s">
        <v>4122</v>
      </c>
      <c r="AP2813" s="42"/>
      <c r="AQ2813" s="42"/>
      <c r="AR2813" s="42"/>
      <c r="AS2813" s="42"/>
    </row>
    <row r="2814" spans="1:45" ht="15" customHeight="1">
      <c r="A2814" s="20" t="s">
        <v>258</v>
      </c>
      <c r="B2814" s="21" t="s">
        <v>46</v>
      </c>
      <c r="C2814" s="22" t="s">
        <v>887</v>
      </c>
      <c r="D2814" s="21" t="s">
        <v>888</v>
      </c>
      <c r="E2814" s="23" t="s">
        <v>2064</v>
      </c>
      <c r="F2814" s="20" t="s">
        <v>2068</v>
      </c>
      <c r="G2814" s="20" t="s">
        <v>165</v>
      </c>
      <c r="H2814" s="25" t="s">
        <v>2124</v>
      </c>
      <c r="I2814" s="24" t="s">
        <v>3724</v>
      </c>
      <c r="J2814" s="20" t="s">
        <v>4136</v>
      </c>
      <c r="K2814" s="26" t="s">
        <v>2116</v>
      </c>
      <c r="L2814" s="20" t="s">
        <v>2071</v>
      </c>
      <c r="M2814" s="156" t="s">
        <v>4137</v>
      </c>
      <c r="N2814" s="20" t="s">
        <v>4138</v>
      </c>
      <c r="O2814" s="28">
        <v>0</v>
      </c>
      <c r="P2814" s="29"/>
      <c r="Q2814" s="30">
        <f t="shared" si="78"/>
        <v>0</v>
      </c>
      <c r="R2814" s="31">
        <v>202310</v>
      </c>
      <c r="S2814" s="32" t="s">
        <v>4139</v>
      </c>
      <c r="T2814" s="33"/>
      <c r="U2814" s="32"/>
      <c r="V2814" s="32"/>
      <c r="W2814" s="226"/>
      <c r="X2814" s="35"/>
      <c r="Y2814" s="36"/>
      <c r="Z2814" s="36"/>
      <c r="AA2814" s="37" t="s">
        <v>4136</v>
      </c>
      <c r="AB2814" s="38" t="s">
        <v>3807</v>
      </c>
      <c r="AC2814" s="38">
        <v>0</v>
      </c>
      <c r="AD2814" s="38">
        <v>0</v>
      </c>
      <c r="AE2814" s="39" t="s">
        <v>3807</v>
      </c>
      <c r="AF2814" s="40" t="s">
        <v>503</v>
      </c>
      <c r="AG2814" s="41"/>
      <c r="AH2814" s="42">
        <v>0</v>
      </c>
      <c r="AI2814" s="43"/>
      <c r="AJ2814" s="43">
        <f t="shared" si="75"/>
        <v>0</v>
      </c>
      <c r="AK2814" s="43">
        <f t="shared" si="79"/>
        <v>0</v>
      </c>
      <c r="AL2814" s="43"/>
      <c r="AM2814" s="43"/>
      <c r="AN2814" s="42"/>
      <c r="AO2814" s="42" t="s">
        <v>3807</v>
      </c>
      <c r="AP2814" s="42"/>
      <c r="AQ2814" s="42"/>
      <c r="AR2814" s="42"/>
      <c r="AS2814" s="42"/>
    </row>
    <row r="2815" spans="1:45" ht="15" customHeight="1">
      <c r="A2815" s="20" t="s">
        <v>258</v>
      </c>
      <c r="B2815" s="21" t="s">
        <v>46</v>
      </c>
      <c r="C2815" s="22" t="s">
        <v>887</v>
      </c>
      <c r="D2815" s="21" t="s">
        <v>888</v>
      </c>
      <c r="E2815" s="23" t="s">
        <v>2064</v>
      </c>
      <c r="F2815" s="20" t="s">
        <v>2068</v>
      </c>
      <c r="G2815" s="20" t="s">
        <v>165</v>
      </c>
      <c r="H2815" s="25" t="s">
        <v>2127</v>
      </c>
      <c r="I2815" s="24" t="s">
        <v>3724</v>
      </c>
      <c r="J2815" s="20" t="s">
        <v>2069</v>
      </c>
      <c r="K2815" s="26" t="s">
        <v>2128</v>
      </c>
      <c r="L2815" s="20"/>
      <c r="M2815" s="233" t="s">
        <v>4140</v>
      </c>
      <c r="N2815" s="227" t="s">
        <v>3895</v>
      </c>
      <c r="O2815" s="28">
        <v>0</v>
      </c>
      <c r="P2815" s="29"/>
      <c r="Q2815" s="30">
        <f t="shared" si="78"/>
        <v>0</v>
      </c>
      <c r="R2815" s="31">
        <v>202310</v>
      </c>
      <c r="S2815" s="32" t="s">
        <v>4141</v>
      </c>
      <c r="T2815" s="33"/>
      <c r="U2815" s="32"/>
      <c r="V2815" s="32"/>
      <c r="W2815" s="226"/>
      <c r="X2815" s="35"/>
      <c r="Y2815" s="36"/>
      <c r="Z2815" s="36"/>
      <c r="AA2815" s="37" t="s">
        <v>4142</v>
      </c>
      <c r="AB2815" s="38" t="s">
        <v>4109</v>
      </c>
      <c r="AC2815" s="38">
        <v>140</v>
      </c>
      <c r="AD2815" s="38">
        <v>0</v>
      </c>
      <c r="AE2815" s="39"/>
      <c r="AF2815" s="40" t="s">
        <v>503</v>
      </c>
      <c r="AG2815" s="41"/>
      <c r="AH2815" s="42">
        <v>100</v>
      </c>
      <c r="AI2815" s="43"/>
      <c r="AJ2815" s="43">
        <f t="shared" si="75"/>
        <v>0</v>
      </c>
      <c r="AK2815" s="43">
        <f t="shared" si="79"/>
        <v>0</v>
      </c>
      <c r="AL2815" s="43"/>
      <c r="AM2815" s="43"/>
      <c r="AN2815" s="42"/>
      <c r="AO2815" s="42"/>
      <c r="AP2815" s="42"/>
      <c r="AQ2815" s="42"/>
      <c r="AR2815" s="42"/>
      <c r="AS2815" s="42"/>
    </row>
    <row r="2816" spans="1:45" ht="15" customHeight="1">
      <c r="A2816" s="20" t="s">
        <v>258</v>
      </c>
      <c r="B2816" s="21" t="s">
        <v>46</v>
      </c>
      <c r="C2816" s="22" t="s">
        <v>887</v>
      </c>
      <c r="D2816" s="21" t="s">
        <v>888</v>
      </c>
      <c r="E2816" s="23" t="s">
        <v>2064</v>
      </c>
      <c r="F2816" s="20" t="s">
        <v>2068</v>
      </c>
      <c r="G2816" s="20" t="s">
        <v>165</v>
      </c>
      <c r="H2816" s="25" t="s">
        <v>2066</v>
      </c>
      <c r="I2816" s="24" t="s">
        <v>3724</v>
      </c>
      <c r="J2816" s="20" t="s">
        <v>2069</v>
      </c>
      <c r="K2816" s="26" t="s">
        <v>2121</v>
      </c>
      <c r="L2816" s="20"/>
      <c r="M2816" s="156">
        <v>44866</v>
      </c>
      <c r="N2816" s="20" t="s">
        <v>4143</v>
      </c>
      <c r="O2816" s="28">
        <v>9000</v>
      </c>
      <c r="P2816" s="29"/>
      <c r="Q2816" s="30">
        <f t="shared" si="78"/>
        <v>0</v>
      </c>
      <c r="R2816" s="31">
        <v>202310</v>
      </c>
      <c r="S2816" s="32" t="s">
        <v>4144</v>
      </c>
      <c r="T2816" s="33"/>
      <c r="U2816" s="32"/>
      <c r="V2816" s="32"/>
      <c r="W2816" s="238"/>
      <c r="X2816" s="35"/>
      <c r="Y2816" s="36">
        <v>44562</v>
      </c>
      <c r="Z2816" s="36">
        <v>45291</v>
      </c>
      <c r="AA2816" s="37" t="s">
        <v>4145</v>
      </c>
      <c r="AB2816" s="38">
        <v>0.3</v>
      </c>
      <c r="AC2816" s="38">
        <v>500</v>
      </c>
      <c r="AD2816" s="38">
        <v>150</v>
      </c>
      <c r="AE2816" s="39" t="s">
        <v>3850</v>
      </c>
      <c r="AF2816" s="40" t="s">
        <v>484</v>
      </c>
      <c r="AG2816" s="41">
        <v>500</v>
      </c>
      <c r="AH2816" s="42"/>
      <c r="AI2816" s="43"/>
      <c r="AJ2816" s="43">
        <f t="shared" si="75"/>
        <v>0</v>
      </c>
      <c r="AK2816" s="43">
        <f t="shared" si="79"/>
        <v>0</v>
      </c>
      <c r="AL2816" s="43"/>
      <c r="AM2816" s="43"/>
      <c r="AN2816" s="42"/>
      <c r="AO2816" s="42" t="s">
        <v>4122</v>
      </c>
      <c r="AP2816" s="42"/>
      <c r="AQ2816" s="42"/>
      <c r="AR2816" s="42"/>
      <c r="AS2816" s="42"/>
    </row>
    <row r="2817" spans="1:45" ht="15" customHeight="1">
      <c r="A2817" s="20" t="s">
        <v>258</v>
      </c>
      <c r="B2817" s="21" t="s">
        <v>46</v>
      </c>
      <c r="C2817" s="22" t="s">
        <v>188</v>
      </c>
      <c r="D2817" s="22" t="s">
        <v>48</v>
      </c>
      <c r="E2817" s="23" t="s">
        <v>431</v>
      </c>
      <c r="F2817" s="20" t="s">
        <v>2163</v>
      </c>
      <c r="G2817" s="20" t="s">
        <v>165</v>
      </c>
      <c r="H2817" s="25" t="s">
        <v>2164</v>
      </c>
      <c r="I2817" s="24" t="s">
        <v>3724</v>
      </c>
      <c r="J2817" s="20" t="s">
        <v>1307</v>
      </c>
      <c r="K2817" s="26" t="s">
        <v>2165</v>
      </c>
      <c r="L2817" s="20" t="s">
        <v>1309</v>
      </c>
      <c r="M2817" s="156">
        <v>44958</v>
      </c>
      <c r="N2817" s="20" t="s">
        <v>3779</v>
      </c>
      <c r="O2817" s="28">
        <v>9000</v>
      </c>
      <c r="P2817" s="35"/>
      <c r="Q2817" s="30">
        <f t="shared" si="78"/>
        <v>0</v>
      </c>
      <c r="R2817" s="31">
        <v>202310</v>
      </c>
      <c r="S2817" s="32" t="s">
        <v>4146</v>
      </c>
      <c r="T2817" s="33"/>
      <c r="U2817" s="32"/>
      <c r="V2817" s="32"/>
      <c r="W2817" s="232"/>
      <c r="X2817" s="35"/>
      <c r="Y2817" s="36">
        <v>44958</v>
      </c>
      <c r="Z2817" s="36">
        <v>45322</v>
      </c>
      <c r="AA2817" s="37" t="s">
        <v>4147</v>
      </c>
      <c r="AB2817" s="38">
        <v>0.3</v>
      </c>
      <c r="AC2817" s="235">
        <v>30</v>
      </c>
      <c r="AD2817" s="38">
        <f>AB2817*AC2817</f>
        <v>9</v>
      </c>
      <c r="AE2817" s="39" t="s">
        <v>130</v>
      </c>
      <c r="AF2817" s="40" t="s">
        <v>484</v>
      </c>
      <c r="AG2817" s="41">
        <v>30</v>
      </c>
      <c r="AH2817" s="42"/>
      <c r="AI2817" s="43"/>
      <c r="AJ2817" s="43">
        <f t="shared" si="75"/>
        <v>0</v>
      </c>
      <c r="AK2817" s="43">
        <f t="shared" si="79"/>
        <v>0</v>
      </c>
      <c r="AL2817" s="43"/>
      <c r="AM2817" s="43"/>
      <c r="AN2817" s="42"/>
      <c r="AO2817" s="42" t="s">
        <v>4148</v>
      </c>
      <c r="AP2817" s="42"/>
      <c r="AQ2817" s="42"/>
      <c r="AR2817" s="42"/>
      <c r="AS2817" s="42"/>
    </row>
    <row r="2818" spans="1:45" ht="15" customHeight="1">
      <c r="A2818" s="20" t="s">
        <v>258</v>
      </c>
      <c r="B2818" s="21" t="s">
        <v>46</v>
      </c>
      <c r="C2818" s="22" t="s">
        <v>887</v>
      </c>
      <c r="D2818" s="21" t="s">
        <v>888</v>
      </c>
      <c r="E2818" s="23" t="s">
        <v>2183</v>
      </c>
      <c r="F2818" s="20" t="s">
        <v>2184</v>
      </c>
      <c r="G2818" s="20" t="s">
        <v>165</v>
      </c>
      <c r="H2818" s="25" t="s">
        <v>2213</v>
      </c>
      <c r="I2818" s="24" t="s">
        <v>3858</v>
      </c>
      <c r="J2818" s="20" t="s">
        <v>4149</v>
      </c>
      <c r="K2818" s="26" t="s">
        <v>2202</v>
      </c>
      <c r="L2818" s="20" t="s">
        <v>1592</v>
      </c>
      <c r="M2818" s="156">
        <v>43132</v>
      </c>
      <c r="N2818" s="20" t="s">
        <v>3862</v>
      </c>
      <c r="O2818" s="28">
        <v>9000</v>
      </c>
      <c r="P2818" s="237"/>
      <c r="Q2818" s="30">
        <f t="shared" si="78"/>
        <v>0</v>
      </c>
      <c r="R2818" s="31">
        <v>202310</v>
      </c>
      <c r="S2818" s="32" t="s">
        <v>4150</v>
      </c>
      <c r="T2818" s="33"/>
      <c r="U2818" s="32"/>
      <c r="V2818" s="32"/>
      <c r="W2818" s="241"/>
      <c r="X2818" s="35"/>
      <c r="Y2818" s="36">
        <v>44986</v>
      </c>
      <c r="Z2818" s="36">
        <v>45351</v>
      </c>
      <c r="AA2818" s="37" t="s">
        <v>4151</v>
      </c>
      <c r="AB2818" s="38">
        <v>0.3</v>
      </c>
      <c r="AC2818" s="38">
        <v>240</v>
      </c>
      <c r="AD2818" s="38">
        <v>72</v>
      </c>
      <c r="AE2818" s="39" t="s">
        <v>3737</v>
      </c>
      <c r="AF2818" s="40" t="s">
        <v>56</v>
      </c>
      <c r="AG2818" s="41"/>
      <c r="AH2818" s="42"/>
      <c r="AI2818" s="43"/>
      <c r="AJ2818" s="43">
        <f t="shared" si="75"/>
        <v>0</v>
      </c>
      <c r="AK2818" s="43">
        <f t="shared" si="79"/>
        <v>0</v>
      </c>
      <c r="AL2818" s="43"/>
      <c r="AM2818" s="43"/>
      <c r="AN2818" s="42"/>
      <c r="AO2818" s="42" t="s">
        <v>4152</v>
      </c>
      <c r="AP2818" s="42"/>
      <c r="AQ2818" s="42"/>
      <c r="AR2818" s="42"/>
      <c r="AS2818" s="42"/>
    </row>
    <row r="2819" spans="1:45" ht="15" customHeight="1">
      <c r="A2819" s="20" t="s">
        <v>258</v>
      </c>
      <c r="B2819" s="21" t="s">
        <v>46</v>
      </c>
      <c r="C2819" s="22" t="s">
        <v>887</v>
      </c>
      <c r="D2819" s="21" t="s">
        <v>888</v>
      </c>
      <c r="E2819" s="23" t="s">
        <v>2183</v>
      </c>
      <c r="F2819" s="20" t="s">
        <v>2184</v>
      </c>
      <c r="G2819" s="20" t="s">
        <v>165</v>
      </c>
      <c r="H2819" s="25" t="s">
        <v>2265</v>
      </c>
      <c r="I2819" s="24" t="s">
        <v>3724</v>
      </c>
      <c r="J2819" s="20" t="s">
        <v>4153</v>
      </c>
      <c r="K2819" s="26" t="s">
        <v>2285</v>
      </c>
      <c r="L2819" s="20"/>
      <c r="M2819" s="233" t="s">
        <v>4154</v>
      </c>
      <c r="N2819" s="227" t="s">
        <v>4155</v>
      </c>
      <c r="O2819" s="28">
        <v>9000</v>
      </c>
      <c r="P2819" s="237"/>
      <c r="Q2819" s="30">
        <f t="shared" si="78"/>
        <v>0</v>
      </c>
      <c r="R2819" s="31">
        <v>202310</v>
      </c>
      <c r="S2819" s="32" t="s">
        <v>4156</v>
      </c>
      <c r="T2819" s="33"/>
      <c r="U2819" s="54"/>
      <c r="V2819" s="32"/>
      <c r="W2819" s="241"/>
      <c r="X2819" s="242"/>
      <c r="Y2819" s="36">
        <v>45017</v>
      </c>
      <c r="Z2819" s="36">
        <v>45382</v>
      </c>
      <c r="AA2819" s="37" t="s">
        <v>4157</v>
      </c>
      <c r="AB2819" s="38">
        <v>0.3</v>
      </c>
      <c r="AC2819" s="38">
        <v>160</v>
      </c>
      <c r="AD2819" s="38">
        <f>AB2819*AC2819</f>
        <v>48</v>
      </c>
      <c r="AE2819" s="39" t="s">
        <v>3737</v>
      </c>
      <c r="AF2819" s="40" t="s">
        <v>503</v>
      </c>
      <c r="AG2819" s="41"/>
      <c r="AH2819" s="42">
        <v>160</v>
      </c>
      <c r="AI2819" s="43"/>
      <c r="AJ2819" s="43">
        <f t="shared" si="75"/>
        <v>0</v>
      </c>
      <c r="AK2819" s="43">
        <f t="shared" si="79"/>
        <v>0</v>
      </c>
      <c r="AL2819" s="43"/>
      <c r="AM2819" s="43"/>
      <c r="AN2819" s="42"/>
      <c r="AO2819" s="42" t="s">
        <v>4152</v>
      </c>
      <c r="AP2819" s="42"/>
      <c r="AQ2819" s="42"/>
      <c r="AR2819" s="42"/>
      <c r="AS2819" s="42"/>
    </row>
    <row r="2820" spans="1:45" ht="15" customHeight="1">
      <c r="A2820" s="20" t="s">
        <v>258</v>
      </c>
      <c r="B2820" s="21" t="s">
        <v>46</v>
      </c>
      <c r="C2820" s="22" t="s">
        <v>887</v>
      </c>
      <c r="D2820" s="21" t="s">
        <v>888</v>
      </c>
      <c r="E2820" s="23" t="s">
        <v>2183</v>
      </c>
      <c r="F2820" s="20" t="s">
        <v>2184</v>
      </c>
      <c r="G2820" s="20" t="s">
        <v>165</v>
      </c>
      <c r="H2820" s="25" t="s">
        <v>2265</v>
      </c>
      <c r="I2820" s="24" t="s">
        <v>3724</v>
      </c>
      <c r="J2820" s="20" t="s">
        <v>4158</v>
      </c>
      <c r="K2820" s="26" t="s">
        <v>4159</v>
      </c>
      <c r="L2820" s="20"/>
      <c r="M2820" s="233" t="s">
        <v>4160</v>
      </c>
      <c r="N2820" s="227" t="s">
        <v>4161</v>
      </c>
      <c r="O2820" s="28">
        <v>9000</v>
      </c>
      <c r="P2820" s="29"/>
      <c r="Q2820" s="30">
        <f t="shared" si="78"/>
        <v>0</v>
      </c>
      <c r="R2820" s="31">
        <v>202310</v>
      </c>
      <c r="S2820" s="32" t="s">
        <v>4162</v>
      </c>
      <c r="T2820" s="33"/>
      <c r="U2820" s="54"/>
      <c r="V2820" s="32"/>
      <c r="W2820" s="226"/>
      <c r="X2820" s="35"/>
      <c r="Y2820" s="36">
        <v>45017</v>
      </c>
      <c r="Z2820" s="36">
        <v>45382</v>
      </c>
      <c r="AA2820" s="37" t="s">
        <v>4163</v>
      </c>
      <c r="AB2820" s="38" t="s">
        <v>3807</v>
      </c>
      <c r="AC2820" s="38">
        <v>0</v>
      </c>
      <c r="AD2820" s="38">
        <v>0</v>
      </c>
      <c r="AE2820" s="39" t="s">
        <v>3737</v>
      </c>
      <c r="AF2820" s="40" t="s">
        <v>503</v>
      </c>
      <c r="AG2820" s="41"/>
      <c r="AH2820" s="42">
        <v>0</v>
      </c>
      <c r="AI2820" s="43"/>
      <c r="AJ2820" s="43">
        <f t="shared" si="75"/>
        <v>0</v>
      </c>
      <c r="AK2820" s="43">
        <f t="shared" si="79"/>
        <v>0</v>
      </c>
      <c r="AL2820" s="43"/>
      <c r="AM2820" s="43"/>
      <c r="AN2820" s="42"/>
      <c r="AO2820" s="42" t="s">
        <v>4152</v>
      </c>
      <c r="AP2820" s="42"/>
      <c r="AQ2820" s="42"/>
      <c r="AR2820" s="42"/>
      <c r="AS2820" s="42"/>
    </row>
    <row r="2821" spans="1:45" ht="15" customHeight="1">
      <c r="A2821" s="20" t="s">
        <v>258</v>
      </c>
      <c r="B2821" s="21" t="s">
        <v>46</v>
      </c>
      <c r="C2821" s="22" t="s">
        <v>887</v>
      </c>
      <c r="D2821" s="21" t="s">
        <v>888</v>
      </c>
      <c r="E2821" s="23" t="s">
        <v>2183</v>
      </c>
      <c r="F2821" s="20" t="s">
        <v>2184</v>
      </c>
      <c r="G2821" s="20" t="s">
        <v>165</v>
      </c>
      <c r="H2821" s="25" t="s">
        <v>2265</v>
      </c>
      <c r="I2821" s="24" t="s">
        <v>3724</v>
      </c>
      <c r="J2821" s="20" t="s">
        <v>4164</v>
      </c>
      <c r="K2821" s="26" t="s">
        <v>2184</v>
      </c>
      <c r="L2821" s="20"/>
      <c r="M2821" s="156">
        <v>44774</v>
      </c>
      <c r="N2821" s="20" t="s">
        <v>3874</v>
      </c>
      <c r="O2821" s="28">
        <v>9000</v>
      </c>
      <c r="P2821" s="237"/>
      <c r="Q2821" s="30">
        <f t="shared" si="78"/>
        <v>0</v>
      </c>
      <c r="R2821" s="31">
        <v>202310</v>
      </c>
      <c r="S2821" s="32" t="s">
        <v>4165</v>
      </c>
      <c r="T2821" s="33"/>
      <c r="U2821" s="54"/>
      <c r="V2821" s="32"/>
      <c r="W2821" s="241"/>
      <c r="X2821" s="242"/>
      <c r="Y2821" s="36">
        <v>45017</v>
      </c>
      <c r="Z2821" s="36">
        <v>45382</v>
      </c>
      <c r="AA2821" s="37" t="s">
        <v>4166</v>
      </c>
      <c r="AB2821" s="38">
        <v>0.3</v>
      </c>
      <c r="AC2821" s="38">
        <v>180</v>
      </c>
      <c r="AD2821" s="38">
        <v>54</v>
      </c>
      <c r="AE2821" s="39" t="s">
        <v>3737</v>
      </c>
      <c r="AF2821" s="40" t="s">
        <v>503</v>
      </c>
      <c r="AG2821" s="41"/>
      <c r="AH2821" s="42">
        <v>180</v>
      </c>
      <c r="AI2821" s="43"/>
      <c r="AJ2821" s="43">
        <f t="shared" si="75"/>
        <v>0</v>
      </c>
      <c r="AK2821" s="43">
        <f t="shared" si="79"/>
        <v>0</v>
      </c>
      <c r="AL2821" s="43"/>
      <c r="AM2821" s="43"/>
      <c r="AN2821" s="42"/>
      <c r="AO2821" s="42" t="s">
        <v>4152</v>
      </c>
      <c r="AP2821" s="42"/>
      <c r="AQ2821" s="42"/>
      <c r="AR2821" s="42"/>
      <c r="AS2821" s="42"/>
    </row>
    <row r="2822" spans="1:45" ht="15" customHeight="1">
      <c r="A2822" s="20" t="s">
        <v>258</v>
      </c>
      <c r="B2822" s="21" t="s">
        <v>46</v>
      </c>
      <c r="C2822" s="22" t="s">
        <v>887</v>
      </c>
      <c r="D2822" s="21" t="s">
        <v>888</v>
      </c>
      <c r="E2822" s="23" t="s">
        <v>2183</v>
      </c>
      <c r="F2822" s="20" t="s">
        <v>2184</v>
      </c>
      <c r="G2822" s="20" t="s">
        <v>165</v>
      </c>
      <c r="H2822" s="25" t="s">
        <v>2265</v>
      </c>
      <c r="I2822" s="24" t="s">
        <v>4013</v>
      </c>
      <c r="J2822" s="20" t="s">
        <v>4167</v>
      </c>
      <c r="K2822" s="26" t="s">
        <v>2280</v>
      </c>
      <c r="L2822" s="20" t="s">
        <v>4168</v>
      </c>
      <c r="M2822" s="156" t="s">
        <v>4169</v>
      </c>
      <c r="N2822" s="20" t="s">
        <v>4170</v>
      </c>
      <c r="O2822" s="28">
        <v>9000</v>
      </c>
      <c r="P2822" s="29"/>
      <c r="Q2822" s="30">
        <f t="shared" si="78"/>
        <v>0</v>
      </c>
      <c r="R2822" s="31">
        <v>202310</v>
      </c>
      <c r="S2822" s="32" t="s">
        <v>4171</v>
      </c>
      <c r="T2822" s="33"/>
      <c r="U2822" s="54"/>
      <c r="V2822" s="32"/>
      <c r="W2822" s="226"/>
      <c r="X2822" s="35"/>
      <c r="Y2822" s="36">
        <v>45017</v>
      </c>
      <c r="Z2822" s="36">
        <v>45382</v>
      </c>
      <c r="AA2822" s="37" t="s">
        <v>4172</v>
      </c>
      <c r="AB2822" s="38" t="s">
        <v>3807</v>
      </c>
      <c r="AC2822" s="38">
        <v>0</v>
      </c>
      <c r="AD2822" s="38">
        <v>0</v>
      </c>
      <c r="AE2822" s="39" t="s">
        <v>3737</v>
      </c>
      <c r="AF2822" s="40" t="s">
        <v>853</v>
      </c>
      <c r="AG2822" s="41"/>
      <c r="AH2822" s="42"/>
      <c r="AI2822" s="43"/>
      <c r="AJ2822" s="43">
        <f t="shared" si="75"/>
        <v>0</v>
      </c>
      <c r="AK2822" s="43">
        <f t="shared" si="79"/>
        <v>0</v>
      </c>
      <c r="AL2822" s="43"/>
      <c r="AM2822" s="43"/>
      <c r="AN2822" s="42"/>
      <c r="AO2822" s="42" t="s">
        <v>4152</v>
      </c>
      <c r="AP2822" s="42"/>
      <c r="AQ2822" s="42"/>
      <c r="AR2822" s="42"/>
      <c r="AS2822" s="42"/>
    </row>
    <row r="2823" spans="1:45" ht="15" customHeight="1">
      <c r="A2823" s="20" t="s">
        <v>258</v>
      </c>
      <c r="B2823" s="21" t="s">
        <v>46</v>
      </c>
      <c r="C2823" s="22" t="s">
        <v>887</v>
      </c>
      <c r="D2823" s="21" t="s">
        <v>888</v>
      </c>
      <c r="E2823" s="23" t="s">
        <v>2183</v>
      </c>
      <c r="F2823" s="20" t="s">
        <v>2184</v>
      </c>
      <c r="G2823" s="20" t="s">
        <v>165</v>
      </c>
      <c r="H2823" s="25" t="s">
        <v>2265</v>
      </c>
      <c r="I2823" s="24" t="s">
        <v>3724</v>
      </c>
      <c r="J2823" s="20"/>
      <c r="K2823" s="26" t="s">
        <v>4173</v>
      </c>
      <c r="L2823" s="20" t="s">
        <v>4174</v>
      </c>
      <c r="M2823" s="156" t="s">
        <v>4175</v>
      </c>
      <c r="N2823" s="20" t="s">
        <v>4176</v>
      </c>
      <c r="O2823" s="28">
        <v>9000</v>
      </c>
      <c r="P2823" s="29"/>
      <c r="Q2823" s="30">
        <f t="shared" si="78"/>
        <v>0</v>
      </c>
      <c r="R2823" s="31">
        <v>202310</v>
      </c>
      <c r="S2823" s="32" t="s">
        <v>4177</v>
      </c>
      <c r="T2823" s="33"/>
      <c r="U2823" s="54"/>
      <c r="V2823" s="32"/>
      <c r="W2823" s="226"/>
      <c r="X2823" s="35"/>
      <c r="Y2823" s="36">
        <v>45017</v>
      </c>
      <c r="Z2823" s="36">
        <v>45382</v>
      </c>
      <c r="AA2823" s="37" t="s">
        <v>4178</v>
      </c>
      <c r="AB2823" s="38" t="s">
        <v>3807</v>
      </c>
      <c r="AC2823" s="38">
        <v>0</v>
      </c>
      <c r="AD2823" s="38">
        <v>0</v>
      </c>
      <c r="AE2823" s="39" t="s">
        <v>3737</v>
      </c>
      <c r="AF2823" s="40" t="s">
        <v>503</v>
      </c>
      <c r="AG2823" s="41"/>
      <c r="AH2823" s="42">
        <v>0</v>
      </c>
      <c r="AI2823" s="43"/>
      <c r="AJ2823" s="43">
        <f t="shared" ref="AJ2823:AJ2854" si="80">X2823</f>
        <v>0</v>
      </c>
      <c r="AK2823" s="43">
        <f t="shared" si="79"/>
        <v>0</v>
      </c>
      <c r="AL2823" s="43"/>
      <c r="AM2823" s="43"/>
      <c r="AN2823" s="42"/>
      <c r="AO2823" s="42"/>
      <c r="AP2823" s="42"/>
      <c r="AQ2823" s="42"/>
      <c r="AR2823" s="42"/>
      <c r="AS2823" s="42"/>
    </row>
    <row r="2824" spans="1:45" ht="15" customHeight="1">
      <c r="A2824" s="20" t="s">
        <v>258</v>
      </c>
      <c r="B2824" s="21" t="s">
        <v>46</v>
      </c>
      <c r="C2824" s="22" t="s">
        <v>887</v>
      </c>
      <c r="D2824" s="21" t="s">
        <v>888</v>
      </c>
      <c r="E2824" s="23" t="s">
        <v>2183</v>
      </c>
      <c r="F2824" s="20" t="s">
        <v>2184</v>
      </c>
      <c r="G2824" s="20" t="s">
        <v>165</v>
      </c>
      <c r="H2824" s="25" t="s">
        <v>2265</v>
      </c>
      <c r="I2824" s="24" t="s">
        <v>3724</v>
      </c>
      <c r="J2824" s="20"/>
      <c r="K2824" s="26" t="s">
        <v>4179</v>
      </c>
      <c r="L2824" s="20" t="s">
        <v>4180</v>
      </c>
      <c r="M2824" s="156" t="s">
        <v>4181</v>
      </c>
      <c r="N2824" s="20" t="s">
        <v>4182</v>
      </c>
      <c r="O2824" s="28">
        <v>9000</v>
      </c>
      <c r="P2824" s="29"/>
      <c r="Q2824" s="30">
        <f t="shared" si="78"/>
        <v>0</v>
      </c>
      <c r="R2824" s="31">
        <v>202310</v>
      </c>
      <c r="S2824" s="32" t="s">
        <v>4183</v>
      </c>
      <c r="T2824" s="33"/>
      <c r="U2824" s="54"/>
      <c r="V2824" s="32"/>
      <c r="W2824" s="226"/>
      <c r="X2824" s="35"/>
      <c r="Y2824" s="36">
        <v>45017</v>
      </c>
      <c r="Z2824" s="36">
        <v>45382</v>
      </c>
      <c r="AA2824" s="37" t="s">
        <v>4184</v>
      </c>
      <c r="AB2824" s="38" t="s">
        <v>3807</v>
      </c>
      <c r="AC2824" s="38">
        <v>0</v>
      </c>
      <c r="AD2824" s="38">
        <v>0</v>
      </c>
      <c r="AE2824" s="39" t="s">
        <v>3737</v>
      </c>
      <c r="AF2824" s="40" t="s">
        <v>503</v>
      </c>
      <c r="AG2824" s="41"/>
      <c r="AH2824" s="42">
        <v>0</v>
      </c>
      <c r="AI2824" s="43"/>
      <c r="AJ2824" s="43">
        <f t="shared" si="80"/>
        <v>0</v>
      </c>
      <c r="AK2824" s="43">
        <f t="shared" si="79"/>
        <v>0</v>
      </c>
      <c r="AL2824" s="43"/>
      <c r="AM2824" s="43"/>
      <c r="AN2824" s="42"/>
      <c r="AO2824" s="42"/>
      <c r="AP2824" s="42"/>
      <c r="AQ2824" s="42"/>
      <c r="AR2824" s="42"/>
      <c r="AS2824" s="42"/>
    </row>
    <row r="2825" spans="1:45" ht="15" customHeight="1">
      <c r="A2825" s="20" t="s">
        <v>258</v>
      </c>
      <c r="B2825" s="21" t="s">
        <v>46</v>
      </c>
      <c r="C2825" s="22" t="s">
        <v>887</v>
      </c>
      <c r="D2825" s="21" t="s">
        <v>888</v>
      </c>
      <c r="E2825" s="23" t="s">
        <v>2183</v>
      </c>
      <c r="F2825" s="20" t="s">
        <v>2184</v>
      </c>
      <c r="G2825" s="20" t="s">
        <v>165</v>
      </c>
      <c r="H2825" s="25" t="s">
        <v>2191</v>
      </c>
      <c r="I2825" s="24" t="s">
        <v>3724</v>
      </c>
      <c r="J2825" s="20" t="s">
        <v>2269</v>
      </c>
      <c r="K2825" s="26" t="s">
        <v>2192</v>
      </c>
      <c r="L2825" s="20"/>
      <c r="M2825" s="156" t="s">
        <v>4185</v>
      </c>
      <c r="N2825" s="227" t="s">
        <v>4186</v>
      </c>
      <c r="O2825" s="28">
        <v>9000</v>
      </c>
      <c r="P2825" s="29"/>
      <c r="Q2825" s="30">
        <f t="shared" si="78"/>
        <v>0</v>
      </c>
      <c r="R2825" s="31">
        <v>202310</v>
      </c>
      <c r="S2825" s="32" t="s">
        <v>4187</v>
      </c>
      <c r="T2825" s="33"/>
      <c r="U2825" s="32"/>
      <c r="V2825" s="32"/>
      <c r="W2825" s="226"/>
      <c r="X2825" s="35"/>
      <c r="Y2825" s="36"/>
      <c r="Z2825" s="36"/>
      <c r="AA2825" s="37" t="s">
        <v>4188</v>
      </c>
      <c r="AB2825" s="38" t="s">
        <v>4109</v>
      </c>
      <c r="AC2825" s="38">
        <v>100</v>
      </c>
      <c r="AD2825" s="38">
        <v>0</v>
      </c>
      <c r="AE2825" s="39" t="s">
        <v>4109</v>
      </c>
      <c r="AF2825" s="40" t="s">
        <v>503</v>
      </c>
      <c r="AG2825" s="41"/>
      <c r="AH2825" s="42">
        <v>100</v>
      </c>
      <c r="AI2825" s="43"/>
      <c r="AJ2825" s="43">
        <f t="shared" si="80"/>
        <v>0</v>
      </c>
      <c r="AK2825" s="43">
        <f t="shared" si="79"/>
        <v>0</v>
      </c>
      <c r="AL2825" s="43"/>
      <c r="AM2825" s="43"/>
      <c r="AN2825" s="42"/>
      <c r="AO2825" s="42" t="s">
        <v>4109</v>
      </c>
      <c r="AP2825" s="42"/>
      <c r="AQ2825" s="42"/>
      <c r="AR2825" s="42"/>
      <c r="AS2825" s="42"/>
    </row>
    <row r="2826" spans="1:45" ht="15" customHeight="1">
      <c r="A2826" s="20" t="s">
        <v>258</v>
      </c>
      <c r="B2826" s="21" t="s">
        <v>46</v>
      </c>
      <c r="C2826" s="22" t="s">
        <v>887</v>
      </c>
      <c r="D2826" s="21" t="s">
        <v>888</v>
      </c>
      <c r="E2826" s="23" t="s">
        <v>2183</v>
      </c>
      <c r="F2826" s="20" t="s">
        <v>2184</v>
      </c>
      <c r="G2826" s="20" t="s">
        <v>165</v>
      </c>
      <c r="H2826" s="25" t="s">
        <v>2204</v>
      </c>
      <c r="I2826" s="24" t="s">
        <v>3724</v>
      </c>
      <c r="J2826" s="20"/>
      <c r="K2826" s="26" t="s">
        <v>2205</v>
      </c>
      <c r="L2826" s="20" t="s">
        <v>2206</v>
      </c>
      <c r="M2826" s="233" t="s">
        <v>4189</v>
      </c>
      <c r="N2826" s="227" t="s">
        <v>4190</v>
      </c>
      <c r="O2826" s="28">
        <v>0</v>
      </c>
      <c r="P2826" s="29"/>
      <c r="Q2826" s="30">
        <f t="shared" si="78"/>
        <v>0</v>
      </c>
      <c r="R2826" s="31">
        <v>202310</v>
      </c>
      <c r="S2826" s="32" t="s">
        <v>4191</v>
      </c>
      <c r="T2826" s="33"/>
      <c r="U2826" s="54"/>
      <c r="V2826" s="32"/>
      <c r="W2826" s="226"/>
      <c r="X2826" s="35"/>
      <c r="Y2826" s="36"/>
      <c r="Z2826" s="36"/>
      <c r="AA2826" s="37" t="s">
        <v>4192</v>
      </c>
      <c r="AB2826" s="38" t="s">
        <v>4109</v>
      </c>
      <c r="AC2826" s="38">
        <v>120</v>
      </c>
      <c r="AD2826" s="38">
        <v>0</v>
      </c>
      <c r="AE2826" s="38" t="s">
        <v>4109</v>
      </c>
      <c r="AF2826" s="40" t="s">
        <v>503</v>
      </c>
      <c r="AG2826" s="41"/>
      <c r="AH2826" s="42">
        <v>120</v>
      </c>
      <c r="AI2826" s="43"/>
      <c r="AJ2826" s="43">
        <f t="shared" si="80"/>
        <v>0</v>
      </c>
      <c r="AK2826" s="43">
        <f t="shared" si="79"/>
        <v>0</v>
      </c>
      <c r="AL2826" s="43"/>
      <c r="AM2826" s="43"/>
      <c r="AN2826" s="42"/>
      <c r="AO2826" s="42" t="s">
        <v>4152</v>
      </c>
      <c r="AP2826" s="42"/>
      <c r="AQ2826" s="42"/>
      <c r="AR2826" s="42"/>
      <c r="AS2826" s="42"/>
    </row>
    <row r="2827" spans="1:45" ht="15" customHeight="1">
      <c r="A2827" s="20" t="s">
        <v>258</v>
      </c>
      <c r="B2827" s="21" t="s">
        <v>46</v>
      </c>
      <c r="C2827" s="22" t="s">
        <v>47</v>
      </c>
      <c r="D2827" s="22" t="s">
        <v>48</v>
      </c>
      <c r="E2827" s="23" t="s">
        <v>2300</v>
      </c>
      <c r="F2827" s="20" t="s">
        <v>2309</v>
      </c>
      <c r="G2827" s="20" t="s">
        <v>165</v>
      </c>
      <c r="H2827" s="25" t="s">
        <v>2310</v>
      </c>
      <c r="I2827" s="24" t="s">
        <v>3724</v>
      </c>
      <c r="J2827" s="20" t="s">
        <v>4193</v>
      </c>
      <c r="K2827" s="26" t="s">
        <v>2309</v>
      </c>
      <c r="L2827" s="20"/>
      <c r="M2827" s="156" t="s">
        <v>4194</v>
      </c>
      <c r="N2827" s="20" t="s">
        <v>4195</v>
      </c>
      <c r="O2827" s="28">
        <v>10000</v>
      </c>
      <c r="P2827" s="29"/>
      <c r="Q2827" s="30">
        <f t="shared" si="78"/>
        <v>0</v>
      </c>
      <c r="R2827" s="31">
        <v>202310</v>
      </c>
      <c r="S2827" s="32" t="s">
        <v>4196</v>
      </c>
      <c r="T2827" s="33"/>
      <c r="U2827" s="32"/>
      <c r="V2827" s="32"/>
      <c r="W2827" s="232"/>
      <c r="X2827" s="35"/>
      <c r="Y2827" s="36"/>
      <c r="Z2827" s="36"/>
      <c r="AA2827" s="37" t="s">
        <v>4197</v>
      </c>
      <c r="AB2827" s="38">
        <v>0.3</v>
      </c>
      <c r="AC2827" s="38">
        <v>100</v>
      </c>
      <c r="AD2827" s="38">
        <v>30</v>
      </c>
      <c r="AE2827" s="39" t="s">
        <v>3850</v>
      </c>
      <c r="AF2827" s="40" t="s">
        <v>503</v>
      </c>
      <c r="AG2827" s="41"/>
      <c r="AH2827" s="42">
        <v>100</v>
      </c>
      <c r="AI2827" s="43"/>
      <c r="AJ2827" s="43">
        <f t="shared" si="80"/>
        <v>0</v>
      </c>
      <c r="AK2827" s="43">
        <f t="shared" si="79"/>
        <v>0</v>
      </c>
      <c r="AL2827" s="43"/>
      <c r="AM2827" s="43"/>
      <c r="AN2827" s="42"/>
      <c r="AO2827" s="42" t="s">
        <v>4198</v>
      </c>
      <c r="AP2827" s="42"/>
      <c r="AQ2827" s="42"/>
      <c r="AR2827" s="42"/>
      <c r="AS2827" s="42" t="s">
        <v>2313</v>
      </c>
    </row>
    <row r="2828" spans="1:45" ht="15" customHeight="1">
      <c r="A2828" s="20" t="s">
        <v>258</v>
      </c>
      <c r="B2828" s="21" t="s">
        <v>46</v>
      </c>
      <c r="C2828" s="22" t="s">
        <v>887</v>
      </c>
      <c r="D2828" s="21" t="s">
        <v>888</v>
      </c>
      <c r="E2828" s="23" t="s">
        <v>2405</v>
      </c>
      <c r="F2828" s="20" t="s">
        <v>2406</v>
      </c>
      <c r="G2828" s="20" t="s">
        <v>165</v>
      </c>
      <c r="H2828" s="25" t="s">
        <v>2407</v>
      </c>
      <c r="I2828" s="24" t="s">
        <v>3724</v>
      </c>
      <c r="J2828" s="20" t="s">
        <v>4199</v>
      </c>
      <c r="K2828" s="26" t="s">
        <v>2406</v>
      </c>
      <c r="L2828" s="20"/>
      <c r="M2828" s="156" t="s">
        <v>4200</v>
      </c>
      <c r="N2828" s="227" t="s">
        <v>4201</v>
      </c>
      <c r="O2828" s="28">
        <v>9000</v>
      </c>
      <c r="P2828" s="29"/>
      <c r="Q2828" s="30">
        <f t="shared" si="78"/>
        <v>0</v>
      </c>
      <c r="R2828" s="31">
        <v>202310</v>
      </c>
      <c r="S2828" s="32" t="s">
        <v>4202</v>
      </c>
      <c r="T2828" s="33"/>
      <c r="U2828" s="32"/>
      <c r="V2828" s="32"/>
      <c r="W2828" s="238"/>
      <c r="X2828" s="29"/>
      <c r="Y2828" s="36"/>
      <c r="Z2828" s="36"/>
      <c r="AA2828" s="37" t="s">
        <v>4203</v>
      </c>
      <c r="AB2828" s="38">
        <v>0.3</v>
      </c>
      <c r="AC2828" s="38">
        <v>60</v>
      </c>
      <c r="AD2828" s="38">
        <v>18</v>
      </c>
      <c r="AE2828" s="39" t="s">
        <v>3850</v>
      </c>
      <c r="AF2828" s="40" t="s">
        <v>503</v>
      </c>
      <c r="AG2828" s="41"/>
      <c r="AH2828" s="42">
        <v>60</v>
      </c>
      <c r="AI2828" s="43"/>
      <c r="AJ2828" s="43">
        <f t="shared" si="80"/>
        <v>0</v>
      </c>
      <c r="AK2828" s="43">
        <f t="shared" si="79"/>
        <v>0</v>
      </c>
      <c r="AL2828" s="43"/>
      <c r="AM2828" s="43"/>
      <c r="AN2828" s="42"/>
      <c r="AO2828" s="42" t="s">
        <v>4204</v>
      </c>
      <c r="AP2828" s="42"/>
      <c r="AQ2828" s="42"/>
      <c r="AR2828" s="42"/>
      <c r="AS2828" s="42"/>
    </row>
    <row r="2829" spans="1:45" ht="15" customHeight="1">
      <c r="A2829" s="20" t="s">
        <v>45</v>
      </c>
      <c r="B2829" s="21" t="s">
        <v>46</v>
      </c>
      <c r="C2829" s="22" t="s">
        <v>188</v>
      </c>
      <c r="D2829" s="22" t="s">
        <v>48</v>
      </c>
      <c r="E2829" s="23" t="s">
        <v>2489</v>
      </c>
      <c r="F2829" s="20" t="s">
        <v>2490</v>
      </c>
      <c r="G2829" s="20" t="s">
        <v>165</v>
      </c>
      <c r="H2829" s="25" t="s">
        <v>2491</v>
      </c>
      <c r="I2829" s="24" t="s">
        <v>3724</v>
      </c>
      <c r="J2829" s="20" t="s">
        <v>1307</v>
      </c>
      <c r="K2829" s="26" t="s">
        <v>2492</v>
      </c>
      <c r="L2829" s="20" t="s">
        <v>1309</v>
      </c>
      <c r="M2829" s="156">
        <v>44958</v>
      </c>
      <c r="N2829" s="20" t="s">
        <v>4205</v>
      </c>
      <c r="O2829" s="28">
        <v>6740</v>
      </c>
      <c r="P2829" s="29"/>
      <c r="Q2829" s="30">
        <f t="shared" si="78"/>
        <v>0</v>
      </c>
      <c r="R2829" s="31">
        <v>202310</v>
      </c>
      <c r="S2829" s="32" t="s">
        <v>4206</v>
      </c>
      <c r="T2829" s="33"/>
      <c r="U2829" s="32"/>
      <c r="V2829" s="32"/>
      <c r="W2829" s="232"/>
      <c r="X2829" s="35"/>
      <c r="Y2829" s="36"/>
      <c r="Z2829" s="36"/>
      <c r="AA2829" s="37" t="s">
        <v>4207</v>
      </c>
      <c r="AB2829" s="38">
        <v>0.4</v>
      </c>
      <c r="AC2829" s="235">
        <v>70</v>
      </c>
      <c r="AD2829" s="38">
        <f>AB2829*AC2829</f>
        <v>28</v>
      </c>
      <c r="AE2829" s="39" t="s">
        <v>130</v>
      </c>
      <c r="AF2829" s="40" t="s">
        <v>484</v>
      </c>
      <c r="AG2829" s="41">
        <v>70</v>
      </c>
      <c r="AH2829" s="42"/>
      <c r="AI2829" s="43"/>
      <c r="AJ2829" s="43">
        <f t="shared" si="80"/>
        <v>0</v>
      </c>
      <c r="AK2829" s="43">
        <f t="shared" si="79"/>
        <v>0</v>
      </c>
      <c r="AL2829" s="43"/>
      <c r="AM2829" s="43"/>
      <c r="AN2829" s="42"/>
      <c r="AO2829" s="42" t="s">
        <v>4208</v>
      </c>
      <c r="AP2829" s="42"/>
      <c r="AQ2829" s="42"/>
      <c r="AR2829" s="42"/>
      <c r="AS2829" s="42" t="s">
        <v>2494</v>
      </c>
    </row>
    <row r="2830" spans="1:45" ht="15" customHeight="1">
      <c r="A2830" s="20" t="s">
        <v>45</v>
      </c>
      <c r="B2830" s="21" t="s">
        <v>46</v>
      </c>
      <c r="C2830" s="22" t="s">
        <v>188</v>
      </c>
      <c r="D2830" s="21" t="s">
        <v>48</v>
      </c>
      <c r="E2830" s="23" t="s">
        <v>2495</v>
      </c>
      <c r="F2830" s="20" t="s">
        <v>2496</v>
      </c>
      <c r="G2830" s="20" t="s">
        <v>165</v>
      </c>
      <c r="H2830" s="25" t="s">
        <v>4209</v>
      </c>
      <c r="I2830" s="24" t="s">
        <v>3776</v>
      </c>
      <c r="J2830" s="20" t="s">
        <v>4210</v>
      </c>
      <c r="K2830" s="26" t="s">
        <v>4211</v>
      </c>
      <c r="L2830" s="20"/>
      <c r="M2830" s="156" t="s">
        <v>4212</v>
      </c>
      <c r="N2830" s="20" t="s">
        <v>4213</v>
      </c>
      <c r="O2830" s="28">
        <v>120000</v>
      </c>
      <c r="P2830" s="29"/>
      <c r="Q2830" s="30">
        <f t="shared" si="78"/>
        <v>0</v>
      </c>
      <c r="R2830" s="31">
        <v>202310</v>
      </c>
      <c r="S2830" s="32" t="s">
        <v>4214</v>
      </c>
      <c r="T2830" s="33"/>
      <c r="U2830" s="32"/>
      <c r="V2830" s="32"/>
      <c r="W2830" s="232"/>
      <c r="X2830" s="35"/>
      <c r="Y2830" s="36"/>
      <c r="Z2830" s="36"/>
      <c r="AA2830" s="37" t="s">
        <v>4215</v>
      </c>
      <c r="AB2830" s="38">
        <v>0.2</v>
      </c>
      <c r="AC2830" s="38">
        <v>20</v>
      </c>
      <c r="AD2830" s="38">
        <v>4</v>
      </c>
      <c r="AE2830" s="39" t="s">
        <v>130</v>
      </c>
      <c r="AF2830" s="40" t="s">
        <v>3783</v>
      </c>
      <c r="AG2830" s="41"/>
      <c r="AH2830" s="42"/>
      <c r="AI2830" s="43"/>
      <c r="AJ2830" s="43">
        <f t="shared" si="80"/>
        <v>0</v>
      </c>
      <c r="AK2830" s="43">
        <f t="shared" si="79"/>
        <v>0</v>
      </c>
      <c r="AL2830" s="43"/>
      <c r="AM2830" s="43"/>
      <c r="AN2830" s="42"/>
      <c r="AO2830" s="42" t="s">
        <v>3739</v>
      </c>
      <c r="AP2830" s="42"/>
      <c r="AQ2830" s="42"/>
      <c r="AR2830" s="42"/>
      <c r="AS2830" s="42" t="s">
        <v>4216</v>
      </c>
    </row>
    <row r="2831" spans="1:45" ht="15" customHeight="1">
      <c r="A2831" s="20" t="s">
        <v>45</v>
      </c>
      <c r="B2831" s="21" t="s">
        <v>46</v>
      </c>
      <c r="C2831" s="22" t="s">
        <v>188</v>
      </c>
      <c r="D2831" s="21" t="s">
        <v>48</v>
      </c>
      <c r="E2831" s="23" t="s">
        <v>2495</v>
      </c>
      <c r="F2831" s="20" t="s">
        <v>2496</v>
      </c>
      <c r="G2831" s="20" t="s">
        <v>165</v>
      </c>
      <c r="H2831" s="25" t="s">
        <v>2497</v>
      </c>
      <c r="I2831" s="24" t="s">
        <v>3858</v>
      </c>
      <c r="J2831" s="20" t="s">
        <v>4217</v>
      </c>
      <c r="K2831" s="26" t="s">
        <v>2496</v>
      </c>
      <c r="L2831" s="20"/>
      <c r="M2831" s="156" t="s">
        <v>4218</v>
      </c>
      <c r="N2831" s="20" t="s">
        <v>4219</v>
      </c>
      <c r="O2831" s="28">
        <v>15000</v>
      </c>
      <c r="P2831" s="29"/>
      <c r="Q2831" s="30">
        <f t="shared" si="78"/>
        <v>0</v>
      </c>
      <c r="R2831" s="31">
        <v>202310</v>
      </c>
      <c r="S2831" s="32" t="s">
        <v>4220</v>
      </c>
      <c r="T2831" s="33"/>
      <c r="U2831" s="32"/>
      <c r="V2831" s="32"/>
      <c r="W2831" s="232"/>
      <c r="X2831" s="35"/>
      <c r="Y2831" s="36"/>
      <c r="Z2831" s="36"/>
      <c r="AA2831" s="37" t="s">
        <v>4221</v>
      </c>
      <c r="AB2831" s="38">
        <v>0.1</v>
      </c>
      <c r="AC2831" s="38">
        <v>200</v>
      </c>
      <c r="AD2831" s="38">
        <v>20</v>
      </c>
      <c r="AE2831" s="39" t="s">
        <v>130</v>
      </c>
      <c r="AF2831" s="40" t="s">
        <v>56</v>
      </c>
      <c r="AG2831" s="41"/>
      <c r="AH2831" s="42"/>
      <c r="AI2831" s="43"/>
      <c r="AJ2831" s="43">
        <f t="shared" si="80"/>
        <v>0</v>
      </c>
      <c r="AK2831" s="43">
        <f t="shared" si="79"/>
        <v>0</v>
      </c>
      <c r="AL2831" s="43"/>
      <c r="AM2831" s="43"/>
      <c r="AN2831" s="42"/>
      <c r="AO2831" s="42" t="s">
        <v>3739</v>
      </c>
      <c r="AP2831" s="42"/>
      <c r="AQ2831" s="42"/>
      <c r="AR2831" s="42"/>
      <c r="AS2831" s="42" t="s">
        <v>2499</v>
      </c>
    </row>
    <row r="2832" spans="1:45" ht="15" customHeight="1">
      <c r="A2832" s="20" t="s">
        <v>45</v>
      </c>
      <c r="B2832" s="21" t="s">
        <v>46</v>
      </c>
      <c r="C2832" s="22" t="s">
        <v>188</v>
      </c>
      <c r="D2832" s="21" t="s">
        <v>48</v>
      </c>
      <c r="E2832" s="23" t="s">
        <v>2505</v>
      </c>
      <c r="F2832" s="20" t="s">
        <v>2512</v>
      </c>
      <c r="G2832" s="20" t="s">
        <v>165</v>
      </c>
      <c r="H2832" s="25" t="s">
        <v>2513</v>
      </c>
      <c r="I2832" s="24" t="s">
        <v>3858</v>
      </c>
      <c r="J2832" s="20" t="s">
        <v>4222</v>
      </c>
      <c r="K2832" s="26" t="s">
        <v>4223</v>
      </c>
      <c r="L2832" s="20"/>
      <c r="M2832" s="233" t="s">
        <v>4224</v>
      </c>
      <c r="N2832" s="227" t="s">
        <v>4225</v>
      </c>
      <c r="O2832" s="28">
        <v>6740</v>
      </c>
      <c r="P2832" s="29"/>
      <c r="Q2832" s="30">
        <f t="shared" si="78"/>
        <v>0</v>
      </c>
      <c r="R2832" s="31">
        <v>202310</v>
      </c>
      <c r="S2832" s="32" t="s">
        <v>4226</v>
      </c>
      <c r="T2832" s="33"/>
      <c r="U2832" s="32"/>
      <c r="V2832" s="32"/>
      <c r="W2832" s="232"/>
      <c r="X2832" s="35"/>
      <c r="Y2832" s="36"/>
      <c r="Z2832" s="36"/>
      <c r="AA2832" s="37" t="s">
        <v>2518</v>
      </c>
      <c r="AB2832" s="38">
        <v>0.4</v>
      </c>
      <c r="AC2832" s="38">
        <v>400</v>
      </c>
      <c r="AD2832" s="38">
        <f>AB2832*AC2832</f>
        <v>160</v>
      </c>
      <c r="AE2832" s="39" t="s">
        <v>130</v>
      </c>
      <c r="AF2832" s="40" t="s">
        <v>56</v>
      </c>
      <c r="AG2832" s="41"/>
      <c r="AH2832" s="42"/>
      <c r="AI2832" s="43"/>
      <c r="AJ2832" s="43">
        <f t="shared" si="80"/>
        <v>0</v>
      </c>
      <c r="AK2832" s="43">
        <f t="shared" si="79"/>
        <v>0</v>
      </c>
      <c r="AL2832" s="43"/>
      <c r="AM2832" s="43"/>
      <c r="AN2832" s="42"/>
      <c r="AO2832" s="42" t="s">
        <v>4227</v>
      </c>
      <c r="AP2832" s="42"/>
      <c r="AQ2832" s="42"/>
      <c r="AR2832" s="42"/>
      <c r="AS2832" s="42"/>
    </row>
    <row r="2833" spans="1:45" ht="15" customHeight="1">
      <c r="A2833" s="20" t="s">
        <v>45</v>
      </c>
      <c r="B2833" s="21" t="s">
        <v>46</v>
      </c>
      <c r="C2833" s="22" t="s">
        <v>188</v>
      </c>
      <c r="D2833" s="22" t="s">
        <v>48</v>
      </c>
      <c r="E2833" s="23" t="s">
        <v>2526</v>
      </c>
      <c r="F2833" s="20" t="s">
        <v>2527</v>
      </c>
      <c r="G2833" s="20" t="s">
        <v>165</v>
      </c>
      <c r="H2833" s="25" t="s">
        <v>2528</v>
      </c>
      <c r="I2833" s="24" t="s">
        <v>3724</v>
      </c>
      <c r="J2833" s="20" t="s">
        <v>1259</v>
      </c>
      <c r="K2833" s="26" t="s">
        <v>2529</v>
      </c>
      <c r="L2833" s="20" t="s">
        <v>2530</v>
      </c>
      <c r="M2833" s="233" t="s">
        <v>4228</v>
      </c>
      <c r="N2833" s="227" t="s">
        <v>4161</v>
      </c>
      <c r="O2833" s="28">
        <v>6740</v>
      </c>
      <c r="P2833" s="29"/>
      <c r="Q2833" s="30">
        <f t="shared" si="78"/>
        <v>0</v>
      </c>
      <c r="R2833" s="31">
        <v>202310</v>
      </c>
      <c r="S2833" s="33" t="s">
        <v>4229</v>
      </c>
      <c r="T2833" s="33"/>
      <c r="U2833" s="32"/>
      <c r="V2833" s="32"/>
      <c r="W2833" s="226"/>
      <c r="X2833" s="35"/>
      <c r="Y2833" s="36"/>
      <c r="Z2833" s="36"/>
      <c r="AA2833" s="37" t="s">
        <v>4230</v>
      </c>
      <c r="AB2833" s="38" t="s">
        <v>3807</v>
      </c>
      <c r="AC2833" s="38">
        <v>0</v>
      </c>
      <c r="AD2833" s="38">
        <v>0</v>
      </c>
      <c r="AE2833" s="39" t="s">
        <v>130</v>
      </c>
      <c r="AF2833" s="40" t="s">
        <v>484</v>
      </c>
      <c r="AG2833" s="41"/>
      <c r="AH2833" s="42"/>
      <c r="AI2833" s="43"/>
      <c r="AJ2833" s="43">
        <f t="shared" si="80"/>
        <v>0</v>
      </c>
      <c r="AK2833" s="43">
        <f t="shared" si="79"/>
        <v>0</v>
      </c>
      <c r="AL2833" s="43"/>
      <c r="AM2833" s="43"/>
      <c r="AN2833" s="42"/>
      <c r="AO2833" s="42" t="s">
        <v>3615</v>
      </c>
      <c r="AP2833" s="42"/>
      <c r="AQ2833" s="42"/>
      <c r="AR2833" s="42"/>
      <c r="AS2833" s="42"/>
    </row>
    <row r="2834" spans="1:45" ht="15" customHeight="1">
      <c r="A2834" s="20" t="s">
        <v>45</v>
      </c>
      <c r="B2834" s="21" t="s">
        <v>46</v>
      </c>
      <c r="C2834" s="22" t="s">
        <v>188</v>
      </c>
      <c r="D2834" s="22" t="s">
        <v>48</v>
      </c>
      <c r="E2834" s="23" t="s">
        <v>2543</v>
      </c>
      <c r="F2834" s="20" t="s">
        <v>2544</v>
      </c>
      <c r="G2834" s="20" t="s">
        <v>165</v>
      </c>
      <c r="H2834" s="25" t="s">
        <v>2545</v>
      </c>
      <c r="I2834" s="24" t="s">
        <v>3724</v>
      </c>
      <c r="J2834" s="20" t="s">
        <v>2546</v>
      </c>
      <c r="K2834" s="26" t="s">
        <v>2544</v>
      </c>
      <c r="L2834" s="20" t="s">
        <v>2547</v>
      </c>
      <c r="M2834" s="156">
        <v>44927</v>
      </c>
      <c r="N2834" s="20" t="s">
        <v>4231</v>
      </c>
      <c r="O2834" s="28">
        <v>6740</v>
      </c>
      <c r="P2834" s="29"/>
      <c r="Q2834" s="30">
        <f t="shared" si="78"/>
        <v>0</v>
      </c>
      <c r="R2834" s="31">
        <v>202310</v>
      </c>
      <c r="S2834" s="32" t="s">
        <v>4232</v>
      </c>
      <c r="T2834" s="33"/>
      <c r="U2834" s="32"/>
      <c r="V2834" s="32"/>
      <c r="W2834" s="232"/>
      <c r="X2834" s="35"/>
      <c r="Y2834" s="36">
        <v>44905</v>
      </c>
      <c r="Z2834" s="36">
        <v>45269</v>
      </c>
      <c r="AA2834" s="37" t="s">
        <v>4233</v>
      </c>
      <c r="AB2834" s="38">
        <v>0.4</v>
      </c>
      <c r="AC2834" s="38">
        <v>220</v>
      </c>
      <c r="AD2834" s="38">
        <v>88</v>
      </c>
      <c r="AE2834" s="39" t="s">
        <v>130</v>
      </c>
      <c r="AF2834" s="40" t="s">
        <v>484</v>
      </c>
      <c r="AG2834" s="41">
        <v>220</v>
      </c>
      <c r="AH2834" s="42"/>
      <c r="AI2834" s="43"/>
      <c r="AJ2834" s="43">
        <f t="shared" si="80"/>
        <v>0</v>
      </c>
      <c r="AK2834" s="43">
        <f t="shared" si="79"/>
        <v>0</v>
      </c>
      <c r="AL2834" s="43"/>
      <c r="AM2834" s="43"/>
      <c r="AN2834" s="42"/>
      <c r="AO2834" s="42" t="s">
        <v>3615</v>
      </c>
      <c r="AP2834" s="42"/>
      <c r="AQ2834" s="42"/>
      <c r="AR2834" s="42"/>
      <c r="AS2834" s="42"/>
    </row>
    <row r="2835" spans="1:45" ht="15" customHeight="1">
      <c r="A2835" s="20" t="s">
        <v>45</v>
      </c>
      <c r="B2835" s="21" t="s">
        <v>46</v>
      </c>
      <c r="C2835" s="22" t="s">
        <v>188</v>
      </c>
      <c r="D2835" s="22" t="s">
        <v>48</v>
      </c>
      <c r="E2835" s="23" t="s">
        <v>2550</v>
      </c>
      <c r="F2835" s="20" t="s">
        <v>2551</v>
      </c>
      <c r="G2835" s="20" t="s">
        <v>165</v>
      </c>
      <c r="H2835" s="25" t="s">
        <v>2659</v>
      </c>
      <c r="I2835" s="24" t="s">
        <v>3724</v>
      </c>
      <c r="J2835" s="20" t="s">
        <v>2678</v>
      </c>
      <c r="K2835" s="26" t="s">
        <v>2551</v>
      </c>
      <c r="L2835" s="20"/>
      <c r="M2835" s="156" t="s">
        <v>4234</v>
      </c>
      <c r="N2835" s="20" t="s">
        <v>4235</v>
      </c>
      <c r="O2835" s="28">
        <v>6740</v>
      </c>
      <c r="P2835" s="29"/>
      <c r="Q2835" s="30">
        <f t="shared" si="78"/>
        <v>0</v>
      </c>
      <c r="R2835" s="31">
        <v>202310</v>
      </c>
      <c r="S2835" s="32" t="s">
        <v>4236</v>
      </c>
      <c r="T2835" s="33"/>
      <c r="U2835" s="32"/>
      <c r="V2835" s="32"/>
      <c r="W2835" s="226"/>
      <c r="X2835" s="35"/>
      <c r="Y2835" s="36"/>
      <c r="Z2835" s="36"/>
      <c r="AA2835" s="37" t="s">
        <v>4237</v>
      </c>
      <c r="AB2835" s="38" t="s">
        <v>3807</v>
      </c>
      <c r="AC2835" s="38">
        <v>0</v>
      </c>
      <c r="AD2835" s="38">
        <v>0</v>
      </c>
      <c r="AE2835" s="39" t="s">
        <v>130</v>
      </c>
      <c r="AF2835" s="40" t="s">
        <v>503</v>
      </c>
      <c r="AG2835" s="41"/>
      <c r="AH2835" s="42">
        <v>0</v>
      </c>
      <c r="AI2835" s="43"/>
      <c r="AJ2835" s="43">
        <f t="shared" si="80"/>
        <v>0</v>
      </c>
      <c r="AK2835" s="43">
        <f t="shared" si="79"/>
        <v>0</v>
      </c>
      <c r="AL2835" s="43"/>
      <c r="AM2835" s="43"/>
      <c r="AN2835" s="42"/>
      <c r="AO2835" s="42" t="s">
        <v>3615</v>
      </c>
      <c r="AP2835" s="42"/>
      <c r="AQ2835" s="42"/>
      <c r="AR2835" s="42"/>
      <c r="AS2835" s="42"/>
    </row>
    <row r="2836" spans="1:45" ht="15" customHeight="1">
      <c r="A2836" s="20" t="s">
        <v>45</v>
      </c>
      <c r="B2836" s="21" t="s">
        <v>46</v>
      </c>
      <c r="C2836" s="22" t="s">
        <v>188</v>
      </c>
      <c r="D2836" s="22" t="s">
        <v>48</v>
      </c>
      <c r="E2836" s="23" t="s">
        <v>2550</v>
      </c>
      <c r="F2836" s="20" t="s">
        <v>2551</v>
      </c>
      <c r="G2836" s="20" t="s">
        <v>165</v>
      </c>
      <c r="H2836" s="25" t="s">
        <v>2659</v>
      </c>
      <c r="I2836" s="24" t="s">
        <v>4013</v>
      </c>
      <c r="J2836" s="20" t="s">
        <v>2660</v>
      </c>
      <c r="K2836" s="26" t="s">
        <v>2664</v>
      </c>
      <c r="L2836" s="20"/>
      <c r="M2836" s="156" t="s">
        <v>4238</v>
      </c>
      <c r="N2836" s="227" t="s">
        <v>4239</v>
      </c>
      <c r="O2836" s="28">
        <v>6740</v>
      </c>
      <c r="P2836" s="29"/>
      <c r="Q2836" s="30">
        <f t="shared" si="78"/>
        <v>0</v>
      </c>
      <c r="R2836" s="31">
        <v>202310</v>
      </c>
      <c r="S2836" s="32" t="s">
        <v>4240</v>
      </c>
      <c r="T2836" s="33"/>
      <c r="U2836" s="32"/>
      <c r="V2836" s="32"/>
      <c r="W2836" s="232"/>
      <c r="X2836" s="35"/>
      <c r="Y2836" s="36"/>
      <c r="Z2836" s="36"/>
      <c r="AA2836" s="37" t="s">
        <v>4241</v>
      </c>
      <c r="AB2836" s="38">
        <v>0.4</v>
      </c>
      <c r="AC2836" s="38">
        <v>10</v>
      </c>
      <c r="AD2836" s="38">
        <v>4</v>
      </c>
      <c r="AE2836" s="39" t="s">
        <v>130</v>
      </c>
      <c r="AF2836" s="40" t="s">
        <v>853</v>
      </c>
      <c r="AG2836" s="41"/>
      <c r="AH2836" s="42"/>
      <c r="AI2836" s="43"/>
      <c r="AJ2836" s="43">
        <f t="shared" si="80"/>
        <v>0</v>
      </c>
      <c r="AK2836" s="43">
        <f t="shared" si="79"/>
        <v>0</v>
      </c>
      <c r="AL2836" s="43"/>
      <c r="AM2836" s="43"/>
      <c r="AN2836" s="42"/>
      <c r="AO2836" s="42" t="s">
        <v>3615</v>
      </c>
      <c r="AP2836" s="42"/>
      <c r="AQ2836" s="42"/>
      <c r="AR2836" s="42"/>
      <c r="AS2836" s="42"/>
    </row>
    <row r="2837" spans="1:45" ht="15" customHeight="1">
      <c r="A2837" s="20" t="s">
        <v>45</v>
      </c>
      <c r="B2837" s="21" t="s">
        <v>46</v>
      </c>
      <c r="C2837" s="22" t="s">
        <v>188</v>
      </c>
      <c r="D2837" s="22" t="s">
        <v>48</v>
      </c>
      <c r="E2837" s="23" t="s">
        <v>2550</v>
      </c>
      <c r="F2837" s="20" t="s">
        <v>2551</v>
      </c>
      <c r="G2837" s="20" t="s">
        <v>165</v>
      </c>
      <c r="H2837" s="25" t="s">
        <v>2659</v>
      </c>
      <c r="I2837" s="24" t="s">
        <v>3724</v>
      </c>
      <c r="J2837" s="20" t="s">
        <v>4242</v>
      </c>
      <c r="K2837" s="26" t="s">
        <v>4243</v>
      </c>
      <c r="L2837" s="20"/>
      <c r="M2837" s="156" t="s">
        <v>4244</v>
      </c>
      <c r="N2837" s="20" t="s">
        <v>4245</v>
      </c>
      <c r="O2837" s="28">
        <v>0</v>
      </c>
      <c r="P2837" s="29"/>
      <c r="Q2837" s="30">
        <f t="shared" si="78"/>
        <v>0</v>
      </c>
      <c r="R2837" s="31">
        <v>202310</v>
      </c>
      <c r="S2837" s="32" t="s">
        <v>4246</v>
      </c>
      <c r="T2837" s="33"/>
      <c r="U2837" s="32"/>
      <c r="V2837" s="32"/>
      <c r="W2837" s="226"/>
      <c r="X2837" s="35"/>
      <c r="Y2837" s="36"/>
      <c r="Z2837" s="36"/>
      <c r="AA2837" s="37" t="s">
        <v>4247</v>
      </c>
      <c r="AB2837" s="38" t="s">
        <v>3807</v>
      </c>
      <c r="AC2837" s="38">
        <v>0</v>
      </c>
      <c r="AD2837" s="38">
        <v>0</v>
      </c>
      <c r="AE2837" s="39"/>
      <c r="AF2837" s="40" t="s">
        <v>503</v>
      </c>
      <c r="AG2837" s="41"/>
      <c r="AH2837" s="42">
        <v>0</v>
      </c>
      <c r="AI2837" s="43"/>
      <c r="AJ2837" s="43">
        <f t="shared" si="80"/>
        <v>0</v>
      </c>
      <c r="AK2837" s="43">
        <f t="shared" si="79"/>
        <v>0</v>
      </c>
      <c r="AL2837" s="43"/>
      <c r="AM2837" s="43"/>
      <c r="AN2837" s="42"/>
      <c r="AO2837" s="42"/>
      <c r="AP2837" s="42"/>
      <c r="AQ2837" s="42"/>
      <c r="AR2837" s="42"/>
      <c r="AS2837" s="42"/>
    </row>
    <row r="2838" spans="1:45" ht="15" customHeight="1">
      <c r="A2838" s="20" t="s">
        <v>45</v>
      </c>
      <c r="B2838" s="21" t="s">
        <v>46</v>
      </c>
      <c r="C2838" s="22" t="s">
        <v>188</v>
      </c>
      <c r="D2838" s="22" t="s">
        <v>48</v>
      </c>
      <c r="E2838" s="23" t="s">
        <v>2550</v>
      </c>
      <c r="F2838" s="20" t="s">
        <v>2551</v>
      </c>
      <c r="G2838" s="20" t="s">
        <v>165</v>
      </c>
      <c r="H2838" s="25" t="s">
        <v>2659</v>
      </c>
      <c r="I2838" s="24" t="s">
        <v>3724</v>
      </c>
      <c r="J2838" s="20" t="s">
        <v>2668</v>
      </c>
      <c r="K2838" s="26" t="s">
        <v>2669</v>
      </c>
      <c r="L2838" s="20"/>
      <c r="M2838" s="156" t="s">
        <v>4248</v>
      </c>
      <c r="N2838" s="20" t="s">
        <v>4249</v>
      </c>
      <c r="O2838" s="28">
        <v>6740</v>
      </c>
      <c r="P2838" s="29"/>
      <c r="Q2838" s="30">
        <f t="shared" si="78"/>
        <v>0</v>
      </c>
      <c r="R2838" s="31">
        <v>202310</v>
      </c>
      <c r="S2838" s="32" t="s">
        <v>4250</v>
      </c>
      <c r="T2838" s="33"/>
      <c r="U2838" s="32"/>
      <c r="V2838" s="32"/>
      <c r="W2838" s="232"/>
      <c r="X2838" s="35"/>
      <c r="Y2838" s="36"/>
      <c r="Z2838" s="36"/>
      <c r="AA2838" s="39" t="s">
        <v>4251</v>
      </c>
      <c r="AB2838" s="40">
        <v>0.4</v>
      </c>
      <c r="AC2838" s="38">
        <v>30</v>
      </c>
      <c r="AD2838" s="40">
        <v>12</v>
      </c>
      <c r="AE2838" s="243" t="s">
        <v>130</v>
      </c>
      <c r="AF2838" s="43" t="s">
        <v>503</v>
      </c>
      <c r="AG2838" s="43"/>
      <c r="AH2838" s="43">
        <v>30</v>
      </c>
      <c r="AI2838" s="43"/>
      <c r="AJ2838" s="43">
        <f t="shared" si="80"/>
        <v>0</v>
      </c>
      <c r="AK2838" s="43">
        <f t="shared" si="79"/>
        <v>0</v>
      </c>
      <c r="AL2838" s="42"/>
      <c r="AM2838" s="42"/>
      <c r="AN2838" s="42"/>
      <c r="AO2838" s="42" t="s">
        <v>3615</v>
      </c>
      <c r="AP2838" s="42"/>
      <c r="AQ2838" s="42"/>
      <c r="AR2838" s="42"/>
      <c r="AS2838" s="42"/>
    </row>
    <row r="2839" spans="1:45" ht="15" customHeight="1">
      <c r="A2839" s="20" t="s">
        <v>45</v>
      </c>
      <c r="B2839" s="21" t="s">
        <v>46</v>
      </c>
      <c r="C2839" s="22" t="s">
        <v>188</v>
      </c>
      <c r="D2839" s="22" t="s">
        <v>48</v>
      </c>
      <c r="E2839" s="23" t="s">
        <v>2681</v>
      </c>
      <c r="F2839" s="20" t="s">
        <v>2682</v>
      </c>
      <c r="G2839" s="20" t="s">
        <v>165</v>
      </c>
      <c r="H2839" s="25" t="s">
        <v>2687</v>
      </c>
      <c r="I2839" s="24" t="s">
        <v>3724</v>
      </c>
      <c r="J2839" s="20" t="s">
        <v>4252</v>
      </c>
      <c r="K2839" s="26" t="s">
        <v>2682</v>
      </c>
      <c r="L2839" s="20"/>
      <c r="M2839" s="156" t="s">
        <v>4253</v>
      </c>
      <c r="N2839" s="227" t="s">
        <v>4254</v>
      </c>
      <c r="O2839" s="28">
        <v>6740</v>
      </c>
      <c r="P2839" s="29"/>
      <c r="Q2839" s="30">
        <f t="shared" si="78"/>
        <v>0</v>
      </c>
      <c r="R2839" s="31">
        <v>202310</v>
      </c>
      <c r="S2839" s="32" t="s">
        <v>4255</v>
      </c>
      <c r="T2839" s="33"/>
      <c r="U2839" s="32"/>
      <c r="V2839" s="32"/>
      <c r="W2839" s="232"/>
      <c r="X2839" s="35"/>
      <c r="Y2839" s="36"/>
      <c r="Z2839" s="36"/>
      <c r="AA2839" s="37" t="s">
        <v>4256</v>
      </c>
      <c r="AB2839" s="38">
        <v>0.4</v>
      </c>
      <c r="AC2839" s="38">
        <v>200</v>
      </c>
      <c r="AD2839" s="38">
        <v>80</v>
      </c>
      <c r="AE2839" s="39" t="s">
        <v>130</v>
      </c>
      <c r="AF2839" s="40" t="s">
        <v>484</v>
      </c>
      <c r="AG2839" s="41">
        <v>200</v>
      </c>
      <c r="AH2839" s="42"/>
      <c r="AI2839" s="43"/>
      <c r="AJ2839" s="43">
        <f t="shared" si="80"/>
        <v>0</v>
      </c>
      <c r="AK2839" s="43">
        <f t="shared" si="79"/>
        <v>0</v>
      </c>
      <c r="AL2839" s="43"/>
      <c r="AM2839" s="43"/>
      <c r="AN2839" s="42"/>
      <c r="AO2839" s="42" t="s">
        <v>3615</v>
      </c>
      <c r="AP2839" s="42"/>
      <c r="AQ2839" s="42"/>
      <c r="AR2839" s="42"/>
      <c r="AS2839" s="42"/>
    </row>
    <row r="2840" spans="1:45" ht="15" customHeight="1">
      <c r="A2840" s="20" t="s">
        <v>45</v>
      </c>
      <c r="B2840" s="21" t="s">
        <v>46</v>
      </c>
      <c r="C2840" s="22" t="s">
        <v>188</v>
      </c>
      <c r="D2840" s="22" t="s">
        <v>48</v>
      </c>
      <c r="E2840" s="23" t="s">
        <v>2681</v>
      </c>
      <c r="F2840" s="20" t="s">
        <v>2682</v>
      </c>
      <c r="G2840" s="20" t="s">
        <v>165</v>
      </c>
      <c r="H2840" s="25" t="s">
        <v>2683</v>
      </c>
      <c r="I2840" s="24" t="s">
        <v>3724</v>
      </c>
      <c r="J2840" s="20" t="s">
        <v>4252</v>
      </c>
      <c r="K2840" s="26" t="s">
        <v>2684</v>
      </c>
      <c r="L2840" s="20" t="s">
        <v>2688</v>
      </c>
      <c r="M2840" s="156">
        <v>44835</v>
      </c>
      <c r="N2840" s="20" t="s">
        <v>4123</v>
      </c>
      <c r="O2840" s="28">
        <v>6740</v>
      </c>
      <c r="P2840" s="29"/>
      <c r="Q2840" s="30">
        <f t="shared" si="78"/>
        <v>0</v>
      </c>
      <c r="R2840" s="31">
        <v>202310</v>
      </c>
      <c r="S2840" s="32" t="s">
        <v>4257</v>
      </c>
      <c r="T2840" s="33"/>
      <c r="U2840" s="54"/>
      <c r="V2840" s="32"/>
      <c r="W2840" s="232"/>
      <c r="X2840" s="35"/>
      <c r="Y2840" s="36"/>
      <c r="Z2840" s="36"/>
      <c r="AA2840" s="37" t="s">
        <v>4258</v>
      </c>
      <c r="AB2840" s="38">
        <v>0.4</v>
      </c>
      <c r="AC2840" s="38">
        <v>300</v>
      </c>
      <c r="AD2840" s="38">
        <v>120</v>
      </c>
      <c r="AE2840" s="39" t="s">
        <v>130</v>
      </c>
      <c r="AF2840" s="40" t="s">
        <v>484</v>
      </c>
      <c r="AG2840" s="41">
        <v>300</v>
      </c>
      <c r="AH2840" s="42"/>
      <c r="AI2840" s="43"/>
      <c r="AJ2840" s="43">
        <f t="shared" si="80"/>
        <v>0</v>
      </c>
      <c r="AK2840" s="43">
        <f t="shared" si="79"/>
        <v>0</v>
      </c>
      <c r="AL2840" s="43"/>
      <c r="AM2840" s="43"/>
      <c r="AN2840" s="42"/>
      <c r="AO2840" s="42"/>
      <c r="AP2840" s="42"/>
      <c r="AQ2840" s="42"/>
      <c r="AR2840" s="42"/>
      <c r="AS2840" s="42"/>
    </row>
    <row r="2841" spans="1:45" ht="15" customHeight="1">
      <c r="A2841" s="20" t="s">
        <v>45</v>
      </c>
      <c r="B2841" s="21" t="s">
        <v>46</v>
      </c>
      <c r="C2841" s="22" t="s">
        <v>188</v>
      </c>
      <c r="D2841" s="22" t="s">
        <v>48</v>
      </c>
      <c r="E2841" s="23" t="s">
        <v>2698</v>
      </c>
      <c r="F2841" s="20" t="s">
        <v>2699</v>
      </c>
      <c r="G2841" s="20" t="s">
        <v>165</v>
      </c>
      <c r="H2841" s="25" t="s">
        <v>2700</v>
      </c>
      <c r="I2841" s="24" t="s">
        <v>3724</v>
      </c>
      <c r="J2841" s="20" t="s">
        <v>2706</v>
      </c>
      <c r="K2841" s="26" t="s">
        <v>2699</v>
      </c>
      <c r="L2841" s="20"/>
      <c r="M2841" s="156" t="s">
        <v>4259</v>
      </c>
      <c r="N2841" s="20" t="s">
        <v>4260</v>
      </c>
      <c r="O2841" s="28">
        <v>6740</v>
      </c>
      <c r="P2841" s="29"/>
      <c r="Q2841" s="30">
        <f t="shared" si="78"/>
        <v>0</v>
      </c>
      <c r="R2841" s="31">
        <v>202310</v>
      </c>
      <c r="S2841" s="32" t="s">
        <v>4261</v>
      </c>
      <c r="T2841" s="33"/>
      <c r="U2841" s="32"/>
      <c r="V2841" s="32"/>
      <c r="W2841" s="226"/>
      <c r="X2841" s="35"/>
      <c r="Y2841" s="36"/>
      <c r="Z2841" s="36"/>
      <c r="AA2841" s="37" t="s">
        <v>2707</v>
      </c>
      <c r="AB2841" s="38" t="s">
        <v>3807</v>
      </c>
      <c r="AC2841" s="38">
        <v>0</v>
      </c>
      <c r="AD2841" s="38">
        <v>0</v>
      </c>
      <c r="AE2841" s="39" t="s">
        <v>130</v>
      </c>
      <c r="AF2841" s="40" t="s">
        <v>503</v>
      </c>
      <c r="AG2841" s="41"/>
      <c r="AH2841" s="42">
        <v>0</v>
      </c>
      <c r="AI2841" s="43"/>
      <c r="AJ2841" s="43">
        <f t="shared" si="80"/>
        <v>0</v>
      </c>
      <c r="AK2841" s="43">
        <f t="shared" si="79"/>
        <v>0</v>
      </c>
      <c r="AL2841" s="43"/>
      <c r="AM2841" s="43"/>
      <c r="AN2841" s="42"/>
      <c r="AO2841" s="42" t="s">
        <v>4262</v>
      </c>
      <c r="AP2841" s="42"/>
      <c r="AQ2841" s="42"/>
      <c r="AR2841" s="42"/>
      <c r="AS2841" s="42"/>
    </row>
    <row r="2842" spans="1:45" ht="15" customHeight="1">
      <c r="A2842" s="20" t="s">
        <v>45</v>
      </c>
      <c r="B2842" s="21" t="s">
        <v>46</v>
      </c>
      <c r="C2842" s="22" t="s">
        <v>188</v>
      </c>
      <c r="D2842" s="22" t="s">
        <v>48</v>
      </c>
      <c r="E2842" s="23" t="s">
        <v>2698</v>
      </c>
      <c r="F2842" s="20" t="s">
        <v>2699</v>
      </c>
      <c r="G2842" s="20" t="s">
        <v>165</v>
      </c>
      <c r="H2842" s="25" t="s">
        <v>2700</v>
      </c>
      <c r="I2842" s="24" t="s">
        <v>3724</v>
      </c>
      <c r="J2842" s="20" t="s">
        <v>2701</v>
      </c>
      <c r="K2842" s="26" t="s">
        <v>2702</v>
      </c>
      <c r="L2842" s="20"/>
      <c r="M2842" s="156" t="s">
        <v>4263</v>
      </c>
      <c r="N2842" s="227" t="s">
        <v>4264</v>
      </c>
      <c r="O2842" s="28">
        <v>6740</v>
      </c>
      <c r="P2842" s="29"/>
      <c r="Q2842" s="30">
        <f t="shared" si="78"/>
        <v>0</v>
      </c>
      <c r="R2842" s="31">
        <v>202310</v>
      </c>
      <c r="S2842" s="32" t="s">
        <v>4265</v>
      </c>
      <c r="T2842" s="33"/>
      <c r="U2842" s="32"/>
      <c r="V2842" s="32"/>
      <c r="W2842" s="232"/>
      <c r="X2842" s="35"/>
      <c r="Y2842" s="36"/>
      <c r="Z2842" s="36"/>
      <c r="AA2842" s="37" t="s">
        <v>2711</v>
      </c>
      <c r="AB2842" s="38">
        <v>0.4</v>
      </c>
      <c r="AC2842" s="38">
        <v>340</v>
      </c>
      <c r="AD2842" s="38">
        <v>136</v>
      </c>
      <c r="AE2842" s="39" t="s">
        <v>130</v>
      </c>
      <c r="AF2842" s="40" t="s">
        <v>503</v>
      </c>
      <c r="AG2842" s="41"/>
      <c r="AH2842" s="42">
        <v>340</v>
      </c>
      <c r="AI2842" s="43"/>
      <c r="AJ2842" s="43">
        <f t="shared" si="80"/>
        <v>0</v>
      </c>
      <c r="AK2842" s="43">
        <f t="shared" ref="AK2842:AK2873" si="81">AJ2842*O2842</f>
        <v>0</v>
      </c>
      <c r="AL2842" s="43"/>
      <c r="AM2842" s="43"/>
      <c r="AN2842" s="42"/>
      <c r="AO2842" s="42" t="s">
        <v>4262</v>
      </c>
      <c r="AP2842" s="42"/>
      <c r="AQ2842" s="42"/>
      <c r="AR2842" s="42"/>
      <c r="AS2842" s="42"/>
    </row>
    <row r="2843" spans="1:45" ht="15" customHeight="1">
      <c r="A2843" s="20" t="s">
        <v>45</v>
      </c>
      <c r="B2843" s="21" t="s">
        <v>46</v>
      </c>
      <c r="C2843" s="22" t="s">
        <v>188</v>
      </c>
      <c r="D2843" s="22" t="s">
        <v>48</v>
      </c>
      <c r="E2843" s="23" t="s">
        <v>2698</v>
      </c>
      <c r="F2843" s="20" t="s">
        <v>2699</v>
      </c>
      <c r="G2843" s="20" t="s">
        <v>165</v>
      </c>
      <c r="H2843" s="25" t="s">
        <v>2700</v>
      </c>
      <c r="I2843" s="24" t="s">
        <v>3724</v>
      </c>
      <c r="J2843" s="20" t="s">
        <v>2713</v>
      </c>
      <c r="K2843" s="26" t="s">
        <v>2714</v>
      </c>
      <c r="L2843" s="20"/>
      <c r="M2843" s="156" t="s">
        <v>4266</v>
      </c>
      <c r="N2843" s="227" t="s">
        <v>4267</v>
      </c>
      <c r="O2843" s="28">
        <v>6740</v>
      </c>
      <c r="P2843" s="29"/>
      <c r="Q2843" s="30">
        <f t="shared" si="78"/>
        <v>0</v>
      </c>
      <c r="R2843" s="31">
        <v>202310</v>
      </c>
      <c r="S2843" s="32" t="s">
        <v>4268</v>
      </c>
      <c r="T2843" s="33"/>
      <c r="U2843" s="32"/>
      <c r="V2843" s="32"/>
      <c r="W2843" s="232"/>
      <c r="X2843" s="35"/>
      <c r="Y2843" s="36"/>
      <c r="Z2843" s="36"/>
      <c r="AA2843" s="37" t="s">
        <v>2722</v>
      </c>
      <c r="AB2843" s="38">
        <v>0.4</v>
      </c>
      <c r="AC2843" s="235">
        <v>20</v>
      </c>
      <c r="AD2843" s="38">
        <v>8</v>
      </c>
      <c r="AE2843" s="39" t="s">
        <v>130</v>
      </c>
      <c r="AF2843" s="40" t="s">
        <v>503</v>
      </c>
      <c r="AG2843" s="41"/>
      <c r="AH2843" s="42">
        <v>20</v>
      </c>
      <c r="AI2843" s="43"/>
      <c r="AJ2843" s="43">
        <f t="shared" si="80"/>
        <v>0</v>
      </c>
      <c r="AK2843" s="43">
        <f t="shared" si="81"/>
        <v>0</v>
      </c>
      <c r="AL2843" s="43"/>
      <c r="AM2843" s="43"/>
      <c r="AN2843" s="42"/>
      <c r="AO2843" s="42" t="s">
        <v>4262</v>
      </c>
      <c r="AP2843" s="42"/>
      <c r="AQ2843" s="42"/>
      <c r="AR2843" s="42"/>
      <c r="AS2843" s="42"/>
    </row>
    <row r="2844" spans="1:45" ht="15" customHeight="1">
      <c r="A2844" s="20" t="s">
        <v>45</v>
      </c>
      <c r="B2844" s="21" t="s">
        <v>46</v>
      </c>
      <c r="C2844" s="22" t="s">
        <v>887</v>
      </c>
      <c r="D2844" s="21" t="s">
        <v>888</v>
      </c>
      <c r="E2844" s="23" t="s">
        <v>2741</v>
      </c>
      <c r="F2844" s="20" t="s">
        <v>2742</v>
      </c>
      <c r="G2844" s="20" t="s">
        <v>165</v>
      </c>
      <c r="H2844" s="25" t="s">
        <v>2743</v>
      </c>
      <c r="I2844" s="24" t="s">
        <v>3724</v>
      </c>
      <c r="J2844" s="20" t="s">
        <v>4269</v>
      </c>
      <c r="K2844" s="26" t="s">
        <v>2754</v>
      </c>
      <c r="L2844" s="20"/>
      <c r="M2844" s="156" t="s">
        <v>4270</v>
      </c>
      <c r="N2844" s="227" t="s">
        <v>4271</v>
      </c>
      <c r="O2844" s="28">
        <v>6740</v>
      </c>
      <c r="P2844" s="29"/>
      <c r="Q2844" s="30">
        <f t="shared" si="78"/>
        <v>0</v>
      </c>
      <c r="R2844" s="31">
        <v>202310</v>
      </c>
      <c r="S2844" s="32" t="s">
        <v>4272</v>
      </c>
      <c r="T2844" s="33"/>
      <c r="U2844" s="32"/>
      <c r="V2844" s="32"/>
      <c r="W2844" s="238"/>
      <c r="X2844" s="35"/>
      <c r="Y2844" s="36"/>
      <c r="Z2844" s="36"/>
      <c r="AA2844" s="37" t="s">
        <v>4273</v>
      </c>
      <c r="AB2844" s="38">
        <v>0.4</v>
      </c>
      <c r="AC2844" s="38">
        <v>500</v>
      </c>
      <c r="AD2844" s="38">
        <v>200</v>
      </c>
      <c r="AE2844" s="39" t="s">
        <v>130</v>
      </c>
      <c r="AF2844" s="40" t="s">
        <v>503</v>
      </c>
      <c r="AG2844" s="41"/>
      <c r="AH2844" s="42">
        <v>500</v>
      </c>
      <c r="AI2844" s="43"/>
      <c r="AJ2844" s="43">
        <f t="shared" si="80"/>
        <v>0</v>
      </c>
      <c r="AK2844" s="43">
        <f t="shared" si="81"/>
        <v>0</v>
      </c>
      <c r="AL2844" s="43"/>
      <c r="AM2844" s="43"/>
      <c r="AN2844" s="42"/>
      <c r="AO2844" s="42" t="s">
        <v>4274</v>
      </c>
      <c r="AP2844" s="42"/>
      <c r="AQ2844" s="42"/>
      <c r="AR2844" s="42"/>
      <c r="AS2844" s="42"/>
    </row>
    <row r="2845" spans="1:45" ht="15" customHeight="1">
      <c r="A2845" s="20" t="s">
        <v>45</v>
      </c>
      <c r="B2845" s="21" t="s">
        <v>46</v>
      </c>
      <c r="C2845" s="22" t="s">
        <v>887</v>
      </c>
      <c r="D2845" s="21" t="s">
        <v>888</v>
      </c>
      <c r="E2845" s="23" t="s">
        <v>2741</v>
      </c>
      <c r="F2845" s="20" t="s">
        <v>2742</v>
      </c>
      <c r="G2845" s="20" t="s">
        <v>165</v>
      </c>
      <c r="H2845" s="25" t="s">
        <v>4275</v>
      </c>
      <c r="I2845" s="24" t="s">
        <v>3776</v>
      </c>
      <c r="J2845" s="20" t="s">
        <v>4276</v>
      </c>
      <c r="K2845" s="26" t="s">
        <v>4277</v>
      </c>
      <c r="L2845" s="20"/>
      <c r="M2845" s="156">
        <v>42522</v>
      </c>
      <c r="N2845" s="20" t="s">
        <v>3847</v>
      </c>
      <c r="O2845" s="28">
        <v>20000</v>
      </c>
      <c r="P2845" s="29"/>
      <c r="Q2845" s="30">
        <f t="shared" si="78"/>
        <v>0</v>
      </c>
      <c r="R2845" s="31">
        <v>202310</v>
      </c>
      <c r="S2845" s="32" t="s">
        <v>4278</v>
      </c>
      <c r="T2845" s="33"/>
      <c r="U2845" s="32"/>
      <c r="V2845" s="32"/>
      <c r="W2845" s="238"/>
      <c r="X2845" s="35"/>
      <c r="Y2845" s="36">
        <v>44378</v>
      </c>
      <c r="Z2845" s="36">
        <v>45473</v>
      </c>
      <c r="AA2845" s="37" t="s">
        <v>4279</v>
      </c>
      <c r="AB2845" s="38">
        <v>0.2</v>
      </c>
      <c r="AC2845" s="38">
        <v>20</v>
      </c>
      <c r="AD2845" s="38">
        <v>4</v>
      </c>
      <c r="AE2845" s="39" t="s">
        <v>4116</v>
      </c>
      <c r="AF2845" s="40" t="s">
        <v>3783</v>
      </c>
      <c r="AG2845" s="41"/>
      <c r="AH2845" s="42"/>
      <c r="AI2845" s="43"/>
      <c r="AJ2845" s="43">
        <f t="shared" si="80"/>
        <v>0</v>
      </c>
      <c r="AK2845" s="43">
        <f t="shared" si="81"/>
        <v>0</v>
      </c>
      <c r="AL2845" s="43"/>
      <c r="AM2845" s="43"/>
      <c r="AN2845" s="42"/>
      <c r="AO2845" s="42" t="s">
        <v>4280</v>
      </c>
      <c r="AP2845" s="42"/>
      <c r="AQ2845" s="42"/>
      <c r="AR2845" s="42"/>
      <c r="AS2845" s="42"/>
    </row>
    <row r="2846" spans="1:45" ht="15" customHeight="1">
      <c r="A2846" s="20" t="s">
        <v>45</v>
      </c>
      <c r="B2846" s="21" t="s">
        <v>46</v>
      </c>
      <c r="C2846" s="22" t="s">
        <v>887</v>
      </c>
      <c r="D2846" s="21" t="s">
        <v>888</v>
      </c>
      <c r="E2846" s="23" t="s">
        <v>2741</v>
      </c>
      <c r="F2846" s="20" t="s">
        <v>2742</v>
      </c>
      <c r="G2846" s="20" t="s">
        <v>165</v>
      </c>
      <c r="H2846" s="25" t="s">
        <v>2743</v>
      </c>
      <c r="I2846" s="24" t="s">
        <v>3724</v>
      </c>
      <c r="J2846" s="20" t="s">
        <v>2765</v>
      </c>
      <c r="K2846" s="26" t="s">
        <v>2765</v>
      </c>
      <c r="L2846" s="20" t="s">
        <v>2766</v>
      </c>
      <c r="M2846" s="156">
        <v>44839</v>
      </c>
      <c r="N2846" s="20" t="s">
        <v>1542</v>
      </c>
      <c r="O2846" s="28">
        <v>6740</v>
      </c>
      <c r="P2846" s="29"/>
      <c r="Q2846" s="30">
        <f t="shared" si="78"/>
        <v>0</v>
      </c>
      <c r="R2846" s="31">
        <v>202310</v>
      </c>
      <c r="S2846" s="32" t="s">
        <v>4281</v>
      </c>
      <c r="T2846" s="33"/>
      <c r="U2846" s="32"/>
      <c r="V2846" s="32"/>
      <c r="W2846" s="238"/>
      <c r="X2846" s="35"/>
      <c r="Y2846" s="36"/>
      <c r="Z2846" s="36"/>
      <c r="AA2846" s="37" t="s">
        <v>4282</v>
      </c>
      <c r="AB2846" s="38">
        <v>0.4</v>
      </c>
      <c r="AC2846" s="38">
        <v>200</v>
      </c>
      <c r="AD2846" s="38">
        <v>80</v>
      </c>
      <c r="AE2846" s="39" t="s">
        <v>130</v>
      </c>
      <c r="AF2846" s="40" t="s">
        <v>484</v>
      </c>
      <c r="AG2846" s="41">
        <v>200</v>
      </c>
      <c r="AH2846" s="42"/>
      <c r="AI2846" s="43"/>
      <c r="AJ2846" s="43">
        <f t="shared" si="80"/>
        <v>0</v>
      </c>
      <c r="AK2846" s="43">
        <f t="shared" si="81"/>
        <v>0</v>
      </c>
      <c r="AL2846" s="43"/>
      <c r="AM2846" s="43"/>
      <c r="AN2846" s="42"/>
      <c r="AO2846" s="42"/>
      <c r="AP2846" s="42"/>
      <c r="AQ2846" s="42"/>
      <c r="AR2846" s="42"/>
      <c r="AS2846" s="42"/>
    </row>
    <row r="2847" spans="1:45" ht="15" customHeight="1">
      <c r="A2847" s="20" t="s">
        <v>45</v>
      </c>
      <c r="B2847" s="21" t="s">
        <v>46</v>
      </c>
      <c r="C2847" s="22" t="s">
        <v>887</v>
      </c>
      <c r="D2847" s="21" t="s">
        <v>888</v>
      </c>
      <c r="E2847" s="23" t="s">
        <v>2774</v>
      </c>
      <c r="F2847" s="20" t="s">
        <v>2775</v>
      </c>
      <c r="G2847" s="20" t="s">
        <v>165</v>
      </c>
      <c r="H2847" s="25" t="s">
        <v>2776</v>
      </c>
      <c r="I2847" s="24" t="s">
        <v>3724</v>
      </c>
      <c r="J2847" s="26" t="s">
        <v>2777</v>
      </c>
      <c r="K2847" s="26" t="s">
        <v>2777</v>
      </c>
      <c r="L2847" s="20"/>
      <c r="M2847" s="233" t="s">
        <v>4283</v>
      </c>
      <c r="N2847" s="227" t="s">
        <v>4284</v>
      </c>
      <c r="O2847" s="28">
        <v>6740</v>
      </c>
      <c r="P2847" s="29"/>
      <c r="Q2847" s="30">
        <f t="shared" si="78"/>
        <v>0</v>
      </c>
      <c r="R2847" s="31">
        <v>202310</v>
      </c>
      <c r="S2847" s="32" t="s">
        <v>4285</v>
      </c>
      <c r="T2847" s="33"/>
      <c r="U2847" s="32"/>
      <c r="V2847" s="32"/>
      <c r="W2847" s="238"/>
      <c r="X2847" s="35"/>
      <c r="Y2847" s="36"/>
      <c r="Z2847" s="36"/>
      <c r="AA2847" s="37" t="s">
        <v>4286</v>
      </c>
      <c r="AB2847" s="38">
        <v>0.4</v>
      </c>
      <c r="AC2847" s="38">
        <v>150</v>
      </c>
      <c r="AD2847" s="38">
        <f>AB2847*AC2847</f>
        <v>60</v>
      </c>
      <c r="AE2847" s="39" t="s">
        <v>130</v>
      </c>
      <c r="AF2847" s="40" t="s">
        <v>503</v>
      </c>
      <c r="AG2847" s="41"/>
      <c r="AH2847" s="42">
        <v>150</v>
      </c>
      <c r="AI2847" s="43"/>
      <c r="AJ2847" s="43">
        <f t="shared" si="80"/>
        <v>0</v>
      </c>
      <c r="AK2847" s="43">
        <f t="shared" si="81"/>
        <v>0</v>
      </c>
      <c r="AL2847" s="43"/>
      <c r="AM2847" s="43"/>
      <c r="AN2847" s="42"/>
      <c r="AO2847" s="42" t="s">
        <v>4287</v>
      </c>
      <c r="AP2847" s="42"/>
      <c r="AQ2847" s="42"/>
      <c r="AR2847" s="42"/>
      <c r="AS2847" s="42"/>
    </row>
    <row r="2848" spans="1:45" ht="15" customHeight="1">
      <c r="A2848" s="20" t="s">
        <v>45</v>
      </c>
      <c r="B2848" s="21" t="s">
        <v>46</v>
      </c>
      <c r="C2848" s="22" t="s">
        <v>887</v>
      </c>
      <c r="D2848" s="21" t="s">
        <v>888</v>
      </c>
      <c r="E2848" s="23" t="s">
        <v>2774</v>
      </c>
      <c r="F2848" s="20" t="s">
        <v>2775</v>
      </c>
      <c r="G2848" s="20" t="s">
        <v>165</v>
      </c>
      <c r="H2848" s="25" t="s">
        <v>2784</v>
      </c>
      <c r="I2848" s="24" t="s">
        <v>3724</v>
      </c>
      <c r="J2848" s="26" t="s">
        <v>2785</v>
      </c>
      <c r="K2848" s="26" t="s">
        <v>2785</v>
      </c>
      <c r="L2848" s="20"/>
      <c r="M2848" s="156">
        <v>45121</v>
      </c>
      <c r="N2848" s="227" t="s">
        <v>4288</v>
      </c>
      <c r="O2848" s="28">
        <v>6740</v>
      </c>
      <c r="P2848" s="29"/>
      <c r="Q2848" s="30">
        <f t="shared" si="78"/>
        <v>0</v>
      </c>
      <c r="R2848" s="31">
        <v>202310</v>
      </c>
      <c r="S2848" s="32" t="s">
        <v>4289</v>
      </c>
      <c r="T2848" s="33"/>
      <c r="U2848" s="32"/>
      <c r="V2848" s="32"/>
      <c r="W2848" s="238"/>
      <c r="X2848" s="35"/>
      <c r="Y2848" s="36"/>
      <c r="Z2848" s="36"/>
      <c r="AA2848" s="37" t="s">
        <v>4290</v>
      </c>
      <c r="AB2848" s="38">
        <v>0.4</v>
      </c>
      <c r="AC2848" s="38">
        <v>150</v>
      </c>
      <c r="AD2848" s="38">
        <f>AB2848*AC2848</f>
        <v>60</v>
      </c>
      <c r="AE2848" s="39" t="s">
        <v>130</v>
      </c>
      <c r="AF2848" s="40" t="s">
        <v>503</v>
      </c>
      <c r="AG2848" s="41"/>
      <c r="AH2848" s="42">
        <v>150</v>
      </c>
      <c r="AI2848" s="43"/>
      <c r="AJ2848" s="43">
        <f t="shared" si="80"/>
        <v>0</v>
      </c>
      <c r="AK2848" s="43">
        <f t="shared" si="81"/>
        <v>0</v>
      </c>
      <c r="AL2848" s="43"/>
      <c r="AM2848" s="43"/>
      <c r="AN2848" s="42"/>
      <c r="AO2848" s="42" t="s">
        <v>4287</v>
      </c>
      <c r="AP2848" s="42"/>
      <c r="AQ2848" s="42"/>
      <c r="AR2848" s="42"/>
      <c r="AS2848" s="42"/>
    </row>
    <row r="2849" spans="1:45" ht="15" customHeight="1">
      <c r="A2849" s="20" t="s">
        <v>45</v>
      </c>
      <c r="B2849" s="21" t="s">
        <v>46</v>
      </c>
      <c r="C2849" s="22" t="s">
        <v>887</v>
      </c>
      <c r="D2849" s="21" t="s">
        <v>888</v>
      </c>
      <c r="E2849" s="23" t="s">
        <v>2774</v>
      </c>
      <c r="F2849" s="20" t="s">
        <v>2775</v>
      </c>
      <c r="G2849" s="20" t="s">
        <v>165</v>
      </c>
      <c r="H2849" s="25" t="s">
        <v>2776</v>
      </c>
      <c r="I2849" s="24" t="s">
        <v>3724</v>
      </c>
      <c r="J2849" s="20" t="s">
        <v>2788</v>
      </c>
      <c r="K2849" s="26" t="s">
        <v>2797</v>
      </c>
      <c r="L2849" s="20"/>
      <c r="M2849" s="156">
        <v>44228</v>
      </c>
      <c r="N2849" s="20" t="s">
        <v>1542</v>
      </c>
      <c r="O2849" s="28">
        <v>6740</v>
      </c>
      <c r="P2849" s="29"/>
      <c r="Q2849" s="30">
        <f t="shared" si="78"/>
        <v>0</v>
      </c>
      <c r="R2849" s="31">
        <v>202310</v>
      </c>
      <c r="S2849" s="32" t="s">
        <v>4291</v>
      </c>
      <c r="T2849" s="33"/>
      <c r="U2849" s="32"/>
      <c r="V2849" s="32"/>
      <c r="W2849" s="238"/>
      <c r="X2849" s="35"/>
      <c r="Y2849" s="36"/>
      <c r="Z2849" s="36"/>
      <c r="AA2849" s="37" t="s">
        <v>4292</v>
      </c>
      <c r="AB2849" s="38">
        <v>0.4</v>
      </c>
      <c r="AC2849" s="38">
        <v>200</v>
      </c>
      <c r="AD2849" s="38">
        <v>80</v>
      </c>
      <c r="AE2849" s="39" t="s">
        <v>130</v>
      </c>
      <c r="AF2849" s="40" t="s">
        <v>503</v>
      </c>
      <c r="AG2849" s="41"/>
      <c r="AH2849" s="42">
        <v>200</v>
      </c>
      <c r="AI2849" s="43"/>
      <c r="AJ2849" s="43">
        <f t="shared" si="80"/>
        <v>0</v>
      </c>
      <c r="AK2849" s="43">
        <f t="shared" si="81"/>
        <v>0</v>
      </c>
      <c r="AL2849" s="43"/>
      <c r="AM2849" s="43"/>
      <c r="AN2849" s="42"/>
      <c r="AO2849" s="42" t="s">
        <v>4287</v>
      </c>
      <c r="AP2849" s="42"/>
      <c r="AQ2849" s="42"/>
      <c r="AR2849" s="42"/>
      <c r="AS2849" s="42"/>
    </row>
    <row r="2850" spans="1:45" ht="15" customHeight="1">
      <c r="A2850" s="20" t="s">
        <v>45</v>
      </c>
      <c r="B2850" s="21" t="s">
        <v>46</v>
      </c>
      <c r="C2850" s="22" t="s">
        <v>887</v>
      </c>
      <c r="D2850" s="21" t="s">
        <v>888</v>
      </c>
      <c r="E2850" s="23" t="s">
        <v>2802</v>
      </c>
      <c r="F2850" s="20" t="s">
        <v>2803</v>
      </c>
      <c r="G2850" s="20" t="s">
        <v>165</v>
      </c>
      <c r="H2850" s="25" t="s">
        <v>2804</v>
      </c>
      <c r="I2850" s="24" t="s">
        <v>3724</v>
      </c>
      <c r="J2850" s="20" t="s">
        <v>2805</v>
      </c>
      <c r="K2850" s="26" t="s">
        <v>2806</v>
      </c>
      <c r="L2850" s="20" t="s">
        <v>2807</v>
      </c>
      <c r="M2850" s="156">
        <v>44967</v>
      </c>
      <c r="N2850" s="20" t="s">
        <v>4293</v>
      </c>
      <c r="O2850" s="28">
        <v>6740</v>
      </c>
      <c r="P2850" s="29"/>
      <c r="Q2850" s="30">
        <f t="shared" si="78"/>
        <v>0</v>
      </c>
      <c r="R2850" s="31">
        <v>202310</v>
      </c>
      <c r="S2850" s="32" t="s">
        <v>4294</v>
      </c>
      <c r="T2850" s="33"/>
      <c r="U2850" s="32"/>
      <c r="V2850" s="32"/>
      <c r="W2850" s="238"/>
      <c r="X2850" s="35"/>
      <c r="Y2850" s="36"/>
      <c r="Z2850" s="36"/>
      <c r="AA2850" s="37" t="s">
        <v>4295</v>
      </c>
      <c r="AB2850" s="38">
        <v>0.4</v>
      </c>
      <c r="AC2850" s="38">
        <v>600</v>
      </c>
      <c r="AD2850" s="38">
        <f>AB2850*AC2850</f>
        <v>240</v>
      </c>
      <c r="AE2850" s="39" t="s">
        <v>130</v>
      </c>
      <c r="AF2850" s="40" t="s">
        <v>484</v>
      </c>
      <c r="AG2850" s="41">
        <v>600</v>
      </c>
      <c r="AH2850" s="42"/>
      <c r="AI2850" s="43"/>
      <c r="AJ2850" s="43">
        <f t="shared" si="80"/>
        <v>0</v>
      </c>
      <c r="AK2850" s="43">
        <f t="shared" si="81"/>
        <v>0</v>
      </c>
      <c r="AL2850" s="43"/>
      <c r="AM2850" s="43"/>
      <c r="AN2850" s="42"/>
      <c r="AO2850" s="42" t="s">
        <v>4296</v>
      </c>
      <c r="AP2850" s="42"/>
      <c r="AQ2850" s="42"/>
      <c r="AR2850" s="42"/>
      <c r="AS2850" s="42"/>
    </row>
    <row r="2851" spans="1:45" ht="15" customHeight="1">
      <c r="A2851" s="21" t="s">
        <v>45</v>
      </c>
      <c r="B2851" s="22" t="s">
        <v>46</v>
      </c>
      <c r="C2851" s="21" t="s">
        <v>887</v>
      </c>
      <c r="D2851" s="21" t="s">
        <v>888</v>
      </c>
      <c r="E2851" s="80" t="s">
        <v>2818</v>
      </c>
      <c r="F2851" s="21" t="s">
        <v>2819</v>
      </c>
      <c r="G2851" s="101" t="s">
        <v>165</v>
      </c>
      <c r="H2851" s="25" t="s">
        <v>2820</v>
      </c>
      <c r="I2851" s="65" t="s">
        <v>3724</v>
      </c>
      <c r="J2851" s="65" t="s">
        <v>2821</v>
      </c>
      <c r="K2851" s="26" t="s">
        <v>2822</v>
      </c>
      <c r="L2851" s="48" t="s">
        <v>2823</v>
      </c>
      <c r="M2851" s="27">
        <v>45022</v>
      </c>
      <c r="N2851" s="105" t="s">
        <v>1542</v>
      </c>
      <c r="O2851" s="147">
        <v>6740</v>
      </c>
      <c r="P2851" s="147"/>
      <c r="Q2851" s="51">
        <f t="shared" si="78"/>
        <v>0</v>
      </c>
      <c r="R2851" s="31">
        <v>202310</v>
      </c>
      <c r="S2851" s="54" t="s">
        <v>4297</v>
      </c>
      <c r="T2851" s="33"/>
      <c r="U2851" s="54"/>
      <c r="V2851" s="54"/>
      <c r="W2851" s="238"/>
      <c r="X2851" s="52"/>
      <c r="Y2851" s="36"/>
      <c r="Z2851" s="36"/>
      <c r="AA2851" s="37" t="s">
        <v>4298</v>
      </c>
      <c r="AB2851" s="244">
        <v>0.4</v>
      </c>
      <c r="AC2851" s="244">
        <v>200</v>
      </c>
      <c r="AD2851" s="244">
        <f>AB2851*AC2851</f>
        <v>80</v>
      </c>
      <c r="AE2851" s="39" t="s">
        <v>130</v>
      </c>
      <c r="AF2851" s="53" t="s">
        <v>503</v>
      </c>
      <c r="AG2851" s="42"/>
      <c r="AH2851" s="43"/>
      <c r="AI2851" s="43"/>
      <c r="AJ2851" s="43">
        <f t="shared" si="80"/>
        <v>0</v>
      </c>
      <c r="AK2851" s="43">
        <f t="shared" si="81"/>
        <v>0</v>
      </c>
      <c r="AL2851" s="43"/>
      <c r="AM2851" s="43"/>
      <c r="AN2851" s="42"/>
      <c r="AO2851" s="42"/>
      <c r="AP2851" s="42"/>
      <c r="AQ2851" s="43"/>
      <c r="AR2851" s="42"/>
      <c r="AS2851" s="42"/>
    </row>
    <row r="2852" spans="1:45" ht="15" customHeight="1">
      <c r="A2852" s="20" t="s">
        <v>45</v>
      </c>
      <c r="B2852" s="21" t="s">
        <v>46</v>
      </c>
      <c r="C2852" s="22" t="s">
        <v>47</v>
      </c>
      <c r="D2852" s="22" t="s">
        <v>48</v>
      </c>
      <c r="E2852" s="23" t="s">
        <v>49</v>
      </c>
      <c r="F2852" s="20" t="s">
        <v>50</v>
      </c>
      <c r="G2852" s="20" t="s">
        <v>165</v>
      </c>
      <c r="H2852" s="25" t="s">
        <v>2827</v>
      </c>
      <c r="I2852" s="24" t="s">
        <v>3724</v>
      </c>
      <c r="J2852" s="20" t="s">
        <v>47</v>
      </c>
      <c r="K2852" s="26" t="s">
        <v>2828</v>
      </c>
      <c r="L2852" s="20" t="s">
        <v>2829</v>
      </c>
      <c r="M2852" s="156" t="s">
        <v>4299</v>
      </c>
      <c r="N2852" s="20" t="s">
        <v>4300</v>
      </c>
      <c r="O2852" s="28">
        <v>15000</v>
      </c>
      <c r="P2852" s="29"/>
      <c r="Q2852" s="30">
        <f t="shared" si="78"/>
        <v>0</v>
      </c>
      <c r="R2852" s="31">
        <v>202310</v>
      </c>
      <c r="S2852" s="32" t="s">
        <v>4301</v>
      </c>
      <c r="T2852" s="33"/>
      <c r="U2852" s="32"/>
      <c r="V2852" s="32"/>
      <c r="W2852" s="232"/>
      <c r="X2852" s="35"/>
      <c r="Y2852" s="36"/>
      <c r="Z2852" s="36"/>
      <c r="AA2852" s="37" t="s">
        <v>4302</v>
      </c>
      <c r="AB2852" s="38">
        <v>0.4</v>
      </c>
      <c r="AC2852" s="38">
        <v>20</v>
      </c>
      <c r="AD2852" s="38">
        <v>8</v>
      </c>
      <c r="AE2852" s="39" t="s">
        <v>130</v>
      </c>
      <c r="AF2852" s="40" t="s">
        <v>503</v>
      </c>
      <c r="AG2852" s="41"/>
      <c r="AH2852" s="42">
        <v>20</v>
      </c>
      <c r="AI2852" s="43"/>
      <c r="AJ2852" s="43">
        <f t="shared" si="80"/>
        <v>0</v>
      </c>
      <c r="AK2852" s="43">
        <f t="shared" si="81"/>
        <v>0</v>
      </c>
      <c r="AL2852" s="43"/>
      <c r="AM2852" s="43"/>
      <c r="AN2852" s="42"/>
      <c r="AO2852" s="42" t="s">
        <v>3615</v>
      </c>
      <c r="AP2852" s="42"/>
      <c r="AQ2852" s="42"/>
      <c r="AR2852" s="42"/>
      <c r="AS2852" s="42" t="s">
        <v>2831</v>
      </c>
    </row>
    <row r="2853" spans="1:45" ht="15" customHeight="1">
      <c r="A2853" s="56" t="s">
        <v>829</v>
      </c>
      <c r="B2853" s="21" t="s">
        <v>46</v>
      </c>
      <c r="C2853" s="57" t="s">
        <v>814</v>
      </c>
      <c r="D2853" s="22" t="s">
        <v>48</v>
      </c>
      <c r="E2853" s="58" t="s">
        <v>815</v>
      </c>
      <c r="F2853" s="56" t="s">
        <v>830</v>
      </c>
      <c r="G2853" s="26" t="s">
        <v>165</v>
      </c>
      <c r="H2853" s="25" t="s">
        <v>831</v>
      </c>
      <c r="I2853" s="24" t="s">
        <v>3724</v>
      </c>
      <c r="J2853" s="56" t="s">
        <v>818</v>
      </c>
      <c r="K2853" s="59" t="s">
        <v>832</v>
      </c>
      <c r="L2853" s="48" t="s">
        <v>820</v>
      </c>
      <c r="M2853" s="49" t="s">
        <v>4303</v>
      </c>
      <c r="N2853" s="49" t="s">
        <v>4304</v>
      </c>
      <c r="O2853" s="60">
        <v>6600</v>
      </c>
      <c r="P2853" s="61"/>
      <c r="Q2853" s="51">
        <f t="shared" si="78"/>
        <v>0</v>
      </c>
      <c r="R2853" s="31">
        <v>202310</v>
      </c>
      <c r="S2853" s="62" t="s">
        <v>4305</v>
      </c>
      <c r="T2853" s="33"/>
      <c r="U2853" s="33"/>
      <c r="V2853" s="58"/>
      <c r="W2853" s="232"/>
      <c r="X2853" s="63"/>
      <c r="Y2853" s="36">
        <v>45078</v>
      </c>
      <c r="Z2853" s="36">
        <v>45443</v>
      </c>
      <c r="AA2853" s="37" t="s">
        <v>4306</v>
      </c>
      <c r="AB2853" s="38">
        <v>0.3</v>
      </c>
      <c r="AC2853" s="38">
        <v>280</v>
      </c>
      <c r="AD2853" s="38">
        <f t="shared" ref="AD2853:AD2858" si="82">AB2853*AC2853</f>
        <v>84</v>
      </c>
      <c r="AE2853" s="42" t="s">
        <v>3850</v>
      </c>
      <c r="AF2853" s="40" t="s">
        <v>503</v>
      </c>
      <c r="AG2853" s="42">
        <v>0</v>
      </c>
      <c r="AH2853" s="42">
        <v>280</v>
      </c>
      <c r="AI2853" s="43"/>
      <c r="AJ2853" s="43">
        <f t="shared" si="80"/>
        <v>0</v>
      </c>
      <c r="AK2853" s="43">
        <f t="shared" si="81"/>
        <v>0</v>
      </c>
      <c r="AL2853" s="43"/>
      <c r="AM2853" s="43"/>
      <c r="AN2853" s="42"/>
      <c r="AO2853" s="42" t="s">
        <v>4208</v>
      </c>
      <c r="AP2853" s="42"/>
      <c r="AQ2853" s="43"/>
      <c r="AR2853" s="42"/>
      <c r="AS2853" s="42"/>
    </row>
    <row r="2854" spans="1:45" ht="15" customHeight="1">
      <c r="A2854" s="56" t="s">
        <v>813</v>
      </c>
      <c r="B2854" s="21" t="s">
        <v>46</v>
      </c>
      <c r="C2854" s="57" t="s">
        <v>814</v>
      </c>
      <c r="D2854" s="22" t="s">
        <v>48</v>
      </c>
      <c r="E2854" s="58" t="s">
        <v>815</v>
      </c>
      <c r="F2854" s="56" t="s">
        <v>816</v>
      </c>
      <c r="G2854" s="26" t="s">
        <v>165</v>
      </c>
      <c r="H2854" s="25" t="s">
        <v>817</v>
      </c>
      <c r="I2854" s="24" t="s">
        <v>3724</v>
      </c>
      <c r="J2854" s="56" t="s">
        <v>818</v>
      </c>
      <c r="K2854" s="59" t="s">
        <v>819</v>
      </c>
      <c r="L2854" s="48" t="s">
        <v>820</v>
      </c>
      <c r="M2854" s="49" t="s">
        <v>4303</v>
      </c>
      <c r="N2854" s="75" t="s">
        <v>4307</v>
      </c>
      <c r="O2854" s="60">
        <v>7650</v>
      </c>
      <c r="P2854" s="61"/>
      <c r="Q2854" s="51">
        <f t="shared" si="78"/>
        <v>0</v>
      </c>
      <c r="R2854" s="31">
        <v>202310</v>
      </c>
      <c r="S2854" s="62" t="s">
        <v>4308</v>
      </c>
      <c r="T2854" s="33"/>
      <c r="U2854" s="33"/>
      <c r="V2854" s="58"/>
      <c r="W2854" s="232"/>
      <c r="X2854" s="63"/>
      <c r="Y2854" s="36">
        <v>45078</v>
      </c>
      <c r="Z2854" s="36">
        <v>45443</v>
      </c>
      <c r="AA2854" s="37" t="s">
        <v>4309</v>
      </c>
      <c r="AB2854" s="38">
        <v>0.3</v>
      </c>
      <c r="AC2854" s="38">
        <v>180</v>
      </c>
      <c r="AD2854" s="38">
        <f t="shared" si="82"/>
        <v>54</v>
      </c>
      <c r="AE2854" s="42" t="s">
        <v>3850</v>
      </c>
      <c r="AF2854" s="40" t="s">
        <v>503</v>
      </c>
      <c r="AG2854" s="42">
        <v>0</v>
      </c>
      <c r="AH2854" s="42">
        <v>180</v>
      </c>
      <c r="AI2854" s="43"/>
      <c r="AJ2854" s="43">
        <f t="shared" si="80"/>
        <v>0</v>
      </c>
      <c r="AK2854" s="43">
        <f t="shared" si="81"/>
        <v>0</v>
      </c>
      <c r="AL2854" s="43"/>
      <c r="AM2854" s="43"/>
      <c r="AN2854" s="42"/>
      <c r="AO2854" s="42" t="s">
        <v>4208</v>
      </c>
      <c r="AP2854" s="42"/>
      <c r="AQ2854" s="43"/>
      <c r="AR2854" s="42"/>
      <c r="AS2854" s="42"/>
    </row>
    <row r="2855" spans="1:45" ht="15" customHeight="1">
      <c r="A2855" s="56" t="s">
        <v>823</v>
      </c>
      <c r="B2855" s="21" t="s">
        <v>46</v>
      </c>
      <c r="C2855" s="57" t="s">
        <v>814</v>
      </c>
      <c r="D2855" s="22" t="s">
        <v>48</v>
      </c>
      <c r="E2855" s="58" t="s">
        <v>815</v>
      </c>
      <c r="F2855" s="56" t="s">
        <v>824</v>
      </c>
      <c r="G2855" s="26" t="s">
        <v>165</v>
      </c>
      <c r="H2855" s="25" t="s">
        <v>825</v>
      </c>
      <c r="I2855" s="24" t="s">
        <v>3724</v>
      </c>
      <c r="J2855" s="56" t="s">
        <v>818</v>
      </c>
      <c r="K2855" s="59" t="s">
        <v>826</v>
      </c>
      <c r="L2855" s="48" t="s">
        <v>820</v>
      </c>
      <c r="M2855" s="49" t="s">
        <v>4303</v>
      </c>
      <c r="N2855" s="75" t="s">
        <v>4310</v>
      </c>
      <c r="O2855" s="60">
        <v>5041.67</v>
      </c>
      <c r="P2855" s="61"/>
      <c r="Q2855" s="51">
        <f t="shared" si="78"/>
        <v>0</v>
      </c>
      <c r="R2855" s="31">
        <v>202310</v>
      </c>
      <c r="S2855" s="62" t="s">
        <v>4311</v>
      </c>
      <c r="T2855" s="33"/>
      <c r="U2855" s="33"/>
      <c r="V2855" s="58"/>
      <c r="W2855" s="232"/>
      <c r="X2855" s="63"/>
      <c r="Y2855" s="36">
        <v>45078</v>
      </c>
      <c r="Z2855" s="36">
        <v>45443</v>
      </c>
      <c r="AA2855" s="37" t="s">
        <v>4312</v>
      </c>
      <c r="AB2855" s="38">
        <v>0.4</v>
      </c>
      <c r="AC2855" s="38">
        <v>260</v>
      </c>
      <c r="AD2855" s="38">
        <f t="shared" si="82"/>
        <v>104</v>
      </c>
      <c r="AE2855" s="42" t="s">
        <v>3850</v>
      </c>
      <c r="AF2855" s="40" t="s">
        <v>503</v>
      </c>
      <c r="AG2855" s="42">
        <v>0</v>
      </c>
      <c r="AH2855" s="42">
        <v>260</v>
      </c>
      <c r="AI2855" s="43"/>
      <c r="AJ2855" s="43">
        <f t="shared" ref="AJ2855:AJ2886" si="83">X2855</f>
        <v>0</v>
      </c>
      <c r="AK2855" s="43">
        <f t="shared" si="81"/>
        <v>0</v>
      </c>
      <c r="AL2855" s="43"/>
      <c r="AM2855" s="43"/>
      <c r="AN2855" s="42"/>
      <c r="AO2855" s="42" t="s">
        <v>4208</v>
      </c>
      <c r="AP2855" s="42"/>
      <c r="AQ2855" s="43"/>
      <c r="AR2855" s="42"/>
      <c r="AS2855" s="42"/>
    </row>
    <row r="2856" spans="1:45" ht="15" customHeight="1">
      <c r="A2856" s="56" t="s">
        <v>260</v>
      </c>
      <c r="B2856" s="21" t="s">
        <v>46</v>
      </c>
      <c r="C2856" s="57" t="s">
        <v>814</v>
      </c>
      <c r="D2856" s="22" t="s">
        <v>48</v>
      </c>
      <c r="E2856" s="58" t="s">
        <v>878</v>
      </c>
      <c r="F2856" s="56" t="s">
        <v>879</v>
      </c>
      <c r="G2856" s="26" t="s">
        <v>165</v>
      </c>
      <c r="H2856" s="25" t="s">
        <v>880</v>
      </c>
      <c r="I2856" s="24" t="s">
        <v>3724</v>
      </c>
      <c r="J2856" s="56" t="s">
        <v>881</v>
      </c>
      <c r="K2856" s="59" t="s">
        <v>882</v>
      </c>
      <c r="L2856" s="48" t="s">
        <v>883</v>
      </c>
      <c r="M2856" s="49">
        <v>44934</v>
      </c>
      <c r="N2856" s="49" t="s">
        <v>4123</v>
      </c>
      <c r="O2856" s="60">
        <v>9500</v>
      </c>
      <c r="P2856" s="245"/>
      <c r="Q2856" s="51">
        <f t="shared" si="78"/>
        <v>0</v>
      </c>
      <c r="R2856" s="31">
        <v>202310</v>
      </c>
      <c r="S2856" s="62" t="s">
        <v>4313</v>
      </c>
      <c r="T2856" s="33"/>
      <c r="U2856" s="58"/>
      <c r="V2856" s="58"/>
      <c r="W2856" s="226"/>
      <c r="X2856" s="63"/>
      <c r="Y2856" s="36">
        <v>44927</v>
      </c>
      <c r="Z2856" s="36">
        <v>45291</v>
      </c>
      <c r="AA2856" s="37" t="s">
        <v>4314</v>
      </c>
      <c r="AB2856" s="38">
        <v>0.3</v>
      </c>
      <c r="AC2856" s="38">
        <v>300</v>
      </c>
      <c r="AD2856" s="38">
        <f t="shared" si="82"/>
        <v>90</v>
      </c>
      <c r="AE2856" s="39" t="s">
        <v>3737</v>
      </c>
      <c r="AF2856" s="40" t="s">
        <v>484</v>
      </c>
      <c r="AG2856" s="42">
        <v>300</v>
      </c>
      <c r="AH2856" s="42">
        <v>0</v>
      </c>
      <c r="AI2856" s="43"/>
      <c r="AJ2856" s="43">
        <f t="shared" si="83"/>
        <v>0</v>
      </c>
      <c r="AK2856" s="43">
        <f t="shared" si="81"/>
        <v>0</v>
      </c>
      <c r="AL2856" s="43"/>
      <c r="AM2856" s="43"/>
      <c r="AN2856" s="42"/>
      <c r="AO2856" s="42" t="s">
        <v>4315</v>
      </c>
      <c r="AP2856" s="42"/>
      <c r="AQ2856" s="43"/>
      <c r="AR2856" s="42"/>
      <c r="AS2856" s="42"/>
    </row>
    <row r="2857" spans="1:45" ht="15" customHeight="1">
      <c r="A2857" s="56" t="s">
        <v>260</v>
      </c>
      <c r="B2857" s="21" t="s">
        <v>46</v>
      </c>
      <c r="C2857" s="57" t="s">
        <v>814</v>
      </c>
      <c r="D2857" s="22" t="s">
        <v>48</v>
      </c>
      <c r="E2857" s="58" t="s">
        <v>1488</v>
      </c>
      <c r="F2857" s="56" t="s">
        <v>1489</v>
      </c>
      <c r="G2857" s="26" t="s">
        <v>165</v>
      </c>
      <c r="H2857" s="25" t="s">
        <v>1495</v>
      </c>
      <c r="I2857" s="24" t="s">
        <v>3724</v>
      </c>
      <c r="J2857" s="225" t="s">
        <v>4316</v>
      </c>
      <c r="K2857" s="59" t="s">
        <v>1506</v>
      </c>
      <c r="L2857" s="48"/>
      <c r="M2857" s="75" t="s">
        <v>4317</v>
      </c>
      <c r="N2857" s="75" t="s">
        <v>4318</v>
      </c>
      <c r="O2857" s="60">
        <v>6750</v>
      </c>
      <c r="P2857" s="61"/>
      <c r="Q2857" s="51">
        <f t="shared" si="78"/>
        <v>0</v>
      </c>
      <c r="R2857" s="31">
        <v>202310</v>
      </c>
      <c r="S2857" s="62" t="s">
        <v>4319</v>
      </c>
      <c r="T2857" s="33"/>
      <c r="U2857" s="58"/>
      <c r="V2857" s="58"/>
      <c r="W2857" s="232"/>
      <c r="X2857" s="63"/>
      <c r="Y2857" s="36">
        <v>45017</v>
      </c>
      <c r="Z2857" s="36">
        <v>45382</v>
      </c>
      <c r="AA2857" s="37" t="s">
        <v>4320</v>
      </c>
      <c r="AB2857" s="38">
        <v>0.3</v>
      </c>
      <c r="AC2857" s="235">
        <v>440</v>
      </c>
      <c r="AD2857" s="38">
        <f t="shared" si="82"/>
        <v>132</v>
      </c>
      <c r="AE2857" s="39" t="s">
        <v>3850</v>
      </c>
      <c r="AF2857" s="40" t="s">
        <v>503</v>
      </c>
      <c r="AG2857" s="42"/>
      <c r="AH2857" s="42">
        <v>440</v>
      </c>
      <c r="AI2857" s="43"/>
      <c r="AJ2857" s="43">
        <f t="shared" si="83"/>
        <v>0</v>
      </c>
      <c r="AK2857" s="43">
        <f t="shared" si="81"/>
        <v>0</v>
      </c>
      <c r="AL2857" s="43"/>
      <c r="AM2857" s="43"/>
      <c r="AN2857" s="42"/>
      <c r="AO2857" s="42" t="s">
        <v>4321</v>
      </c>
      <c r="AP2857" s="42"/>
      <c r="AQ2857" s="43"/>
      <c r="AR2857" s="42"/>
      <c r="AS2857" s="42"/>
    </row>
    <row r="2858" spans="1:45" ht="15" customHeight="1">
      <c r="A2858" s="56" t="s">
        <v>260</v>
      </c>
      <c r="B2858" s="21" t="s">
        <v>46</v>
      </c>
      <c r="C2858" s="57" t="s">
        <v>814</v>
      </c>
      <c r="D2858" s="22" t="s">
        <v>48</v>
      </c>
      <c r="E2858" s="58" t="s">
        <v>1488</v>
      </c>
      <c r="F2858" s="56" t="s">
        <v>1489</v>
      </c>
      <c r="G2858" s="26" t="s">
        <v>165</v>
      </c>
      <c r="H2858" s="25" t="s">
        <v>1495</v>
      </c>
      <c r="I2858" s="24" t="s">
        <v>3724</v>
      </c>
      <c r="J2858" s="225" t="s">
        <v>4322</v>
      </c>
      <c r="K2858" s="59" t="s">
        <v>1499</v>
      </c>
      <c r="L2858" s="48"/>
      <c r="M2858" s="75" t="s">
        <v>4323</v>
      </c>
      <c r="N2858" s="75" t="s">
        <v>4324</v>
      </c>
      <c r="O2858" s="60">
        <v>6750</v>
      </c>
      <c r="P2858" s="61"/>
      <c r="Q2858" s="51">
        <f t="shared" si="78"/>
        <v>0</v>
      </c>
      <c r="R2858" s="31">
        <v>202310</v>
      </c>
      <c r="S2858" s="62" t="s">
        <v>4325</v>
      </c>
      <c r="T2858" s="33"/>
      <c r="U2858" s="58"/>
      <c r="V2858" s="58"/>
      <c r="W2858" s="226"/>
      <c r="X2858" s="63"/>
      <c r="Y2858" s="36">
        <v>45017</v>
      </c>
      <c r="Z2858" s="36">
        <v>45382</v>
      </c>
      <c r="AA2858" s="37"/>
      <c r="AB2858" s="38">
        <v>0.3</v>
      </c>
      <c r="AC2858" s="38">
        <v>0</v>
      </c>
      <c r="AD2858" s="38">
        <f t="shared" si="82"/>
        <v>0</v>
      </c>
      <c r="AE2858" s="39" t="s">
        <v>3850</v>
      </c>
      <c r="AF2858" s="40" t="s">
        <v>484</v>
      </c>
      <c r="AG2858" s="42">
        <v>0</v>
      </c>
      <c r="AH2858" s="42">
        <v>0</v>
      </c>
      <c r="AI2858" s="43"/>
      <c r="AJ2858" s="43">
        <f t="shared" si="83"/>
        <v>0</v>
      </c>
      <c r="AK2858" s="43">
        <f t="shared" si="81"/>
        <v>0</v>
      </c>
      <c r="AL2858" s="43"/>
      <c r="AM2858" s="43"/>
      <c r="AN2858" s="42"/>
      <c r="AO2858" s="42" t="s">
        <v>4321</v>
      </c>
      <c r="AP2858" s="42"/>
      <c r="AQ2858" s="43"/>
      <c r="AR2858" s="42"/>
      <c r="AS2858" s="42"/>
    </row>
    <row r="2859" spans="1:45" ht="15" customHeight="1">
      <c r="A2859" s="56" t="s">
        <v>260</v>
      </c>
      <c r="B2859" s="21" t="s">
        <v>46</v>
      </c>
      <c r="C2859" s="57" t="s">
        <v>814</v>
      </c>
      <c r="D2859" s="22" t="s">
        <v>48</v>
      </c>
      <c r="E2859" s="58" t="s">
        <v>1488</v>
      </c>
      <c r="F2859" s="56" t="s">
        <v>1489</v>
      </c>
      <c r="G2859" s="26" t="s">
        <v>165</v>
      </c>
      <c r="H2859" s="25" t="s">
        <v>1495</v>
      </c>
      <c r="I2859" s="26" t="s">
        <v>4013</v>
      </c>
      <c r="J2859" s="56" t="s">
        <v>1496</v>
      </c>
      <c r="K2859" s="59" t="s">
        <v>1496</v>
      </c>
      <c r="L2859" s="48" t="s">
        <v>1497</v>
      </c>
      <c r="M2859" s="49"/>
      <c r="N2859" s="49" t="s">
        <v>3779</v>
      </c>
      <c r="O2859" s="60">
        <v>6750</v>
      </c>
      <c r="P2859" s="61"/>
      <c r="Q2859" s="51">
        <f t="shared" si="78"/>
        <v>0</v>
      </c>
      <c r="R2859" s="31">
        <v>202310</v>
      </c>
      <c r="S2859" s="62" t="s">
        <v>4326</v>
      </c>
      <c r="T2859" s="33"/>
      <c r="U2859" s="58"/>
      <c r="V2859" s="58"/>
      <c r="W2859" s="232"/>
      <c r="X2859" s="63"/>
      <c r="Y2859" s="36">
        <v>45017</v>
      </c>
      <c r="Z2859" s="36">
        <v>45382</v>
      </c>
      <c r="AA2859" s="37" t="s">
        <v>4327</v>
      </c>
      <c r="AB2859" s="38">
        <v>10</v>
      </c>
      <c r="AC2859" s="38">
        <v>30</v>
      </c>
      <c r="AD2859" s="38">
        <v>3</v>
      </c>
      <c r="AE2859" s="42" t="s">
        <v>3850</v>
      </c>
      <c r="AF2859" s="40" t="s">
        <v>853</v>
      </c>
      <c r="AG2859" s="42">
        <v>0</v>
      </c>
      <c r="AH2859" s="42">
        <v>0</v>
      </c>
      <c r="AI2859" s="43"/>
      <c r="AJ2859" s="43">
        <f t="shared" si="83"/>
        <v>0</v>
      </c>
      <c r="AK2859" s="43">
        <f t="shared" si="81"/>
        <v>0</v>
      </c>
      <c r="AL2859" s="43"/>
      <c r="AM2859" s="43"/>
      <c r="AN2859" s="42"/>
      <c r="AO2859" s="42"/>
      <c r="AP2859" s="42"/>
      <c r="AQ2859" s="43"/>
      <c r="AR2859" s="42"/>
      <c r="AS2859" s="42"/>
    </row>
    <row r="2860" spans="1:45" ht="15" customHeight="1">
      <c r="A2860" s="56" t="s">
        <v>260</v>
      </c>
      <c r="B2860" s="21" t="s">
        <v>46</v>
      </c>
      <c r="C2860" s="57" t="s">
        <v>814</v>
      </c>
      <c r="D2860" s="22" t="s">
        <v>48</v>
      </c>
      <c r="E2860" s="58" t="s">
        <v>1990</v>
      </c>
      <c r="F2860" s="56" t="s">
        <v>1991</v>
      </c>
      <c r="G2860" s="26" t="s">
        <v>165</v>
      </c>
      <c r="H2860" s="25" t="s">
        <v>1992</v>
      </c>
      <c r="I2860" s="24" t="s">
        <v>3724</v>
      </c>
      <c r="J2860" s="56" t="s">
        <v>4328</v>
      </c>
      <c r="K2860" s="59" t="s">
        <v>4328</v>
      </c>
      <c r="L2860" s="48" t="s">
        <v>1994</v>
      </c>
      <c r="M2860" s="49" t="s">
        <v>4329</v>
      </c>
      <c r="N2860" s="75" t="s">
        <v>4330</v>
      </c>
      <c r="O2860" s="60">
        <v>9500</v>
      </c>
      <c r="P2860" s="61"/>
      <c r="Q2860" s="51">
        <f t="shared" si="78"/>
        <v>0</v>
      </c>
      <c r="R2860" s="31">
        <v>202310</v>
      </c>
      <c r="S2860" s="62" t="s">
        <v>4331</v>
      </c>
      <c r="T2860" s="33"/>
      <c r="U2860" s="58"/>
      <c r="V2860" s="58"/>
      <c r="W2860" s="232"/>
      <c r="X2860" s="63"/>
      <c r="Y2860" s="36"/>
      <c r="Z2860" s="36"/>
      <c r="AA2860" s="37" t="s">
        <v>4332</v>
      </c>
      <c r="AB2860" s="38">
        <v>0.3</v>
      </c>
      <c r="AC2860" s="38">
        <v>20</v>
      </c>
      <c r="AD2860" s="38">
        <f>AB2860*AC2860</f>
        <v>6</v>
      </c>
      <c r="AE2860" s="39" t="s">
        <v>3850</v>
      </c>
      <c r="AF2860" s="40" t="s">
        <v>503</v>
      </c>
      <c r="AG2860" s="42">
        <v>0</v>
      </c>
      <c r="AH2860" s="42">
        <f>AC2860-AG2860</f>
        <v>20</v>
      </c>
      <c r="AI2860" s="43"/>
      <c r="AJ2860" s="43">
        <f t="shared" si="83"/>
        <v>0</v>
      </c>
      <c r="AK2860" s="43">
        <f t="shared" si="81"/>
        <v>0</v>
      </c>
      <c r="AL2860" s="43"/>
      <c r="AM2860" s="43"/>
      <c r="AN2860" s="42"/>
      <c r="AO2860" s="42" t="s">
        <v>4333</v>
      </c>
      <c r="AP2860" s="42"/>
      <c r="AQ2860" s="43"/>
      <c r="AR2860" s="42"/>
      <c r="AS2860" s="42" t="s">
        <v>1996</v>
      </c>
    </row>
    <row r="2861" spans="1:45" ht="15" customHeight="1">
      <c r="A2861" s="56" t="s">
        <v>260</v>
      </c>
      <c r="B2861" s="21" t="s">
        <v>46</v>
      </c>
      <c r="C2861" s="57" t="s">
        <v>814</v>
      </c>
      <c r="D2861" s="22" t="s">
        <v>48</v>
      </c>
      <c r="E2861" s="58" t="s">
        <v>1990</v>
      </c>
      <c r="F2861" s="56" t="s">
        <v>1991</v>
      </c>
      <c r="G2861" s="26" t="s">
        <v>165</v>
      </c>
      <c r="H2861" s="25" t="s">
        <v>4334</v>
      </c>
      <c r="I2861" s="24" t="s">
        <v>3724</v>
      </c>
      <c r="J2861" s="56" t="s">
        <v>4335</v>
      </c>
      <c r="K2861" s="59" t="s">
        <v>4335</v>
      </c>
      <c r="L2861" s="48" t="s">
        <v>1994</v>
      </c>
      <c r="M2861" s="49" t="s">
        <v>4336</v>
      </c>
      <c r="N2861" s="49" t="s">
        <v>4260</v>
      </c>
      <c r="O2861" s="60">
        <v>9833.33</v>
      </c>
      <c r="P2861" s="61"/>
      <c r="Q2861" s="51">
        <f t="shared" si="78"/>
        <v>0</v>
      </c>
      <c r="R2861" s="31">
        <v>202310</v>
      </c>
      <c r="S2861" s="62" t="s">
        <v>4337</v>
      </c>
      <c r="T2861" s="33"/>
      <c r="U2861" s="58"/>
      <c r="V2861" s="58"/>
      <c r="W2861" s="226"/>
      <c r="X2861" s="63"/>
      <c r="Y2861" s="36"/>
      <c r="Z2861" s="36"/>
      <c r="AA2861" s="37"/>
      <c r="AB2861" s="38" t="s">
        <v>3807</v>
      </c>
      <c r="AC2861" s="38">
        <v>0</v>
      </c>
      <c r="AD2861" s="38">
        <v>0</v>
      </c>
      <c r="AE2861" s="42">
        <v>0</v>
      </c>
      <c r="AF2861" s="40" t="s">
        <v>503</v>
      </c>
      <c r="AG2861" s="42">
        <v>0</v>
      </c>
      <c r="AH2861" s="42">
        <v>0</v>
      </c>
      <c r="AI2861" s="43"/>
      <c r="AJ2861" s="43">
        <f t="shared" si="83"/>
        <v>0</v>
      </c>
      <c r="AK2861" s="43">
        <f t="shared" si="81"/>
        <v>0</v>
      </c>
      <c r="AL2861" s="43"/>
      <c r="AM2861" s="43"/>
      <c r="AN2861" s="42"/>
      <c r="AO2861" s="42"/>
      <c r="AP2861" s="42"/>
      <c r="AQ2861" s="43"/>
      <c r="AR2861" s="42"/>
      <c r="AS2861" s="42"/>
    </row>
    <row r="2862" spans="1:45" ht="15" customHeight="1">
      <c r="A2862" s="56" t="s">
        <v>260</v>
      </c>
      <c r="B2862" s="21" t="s">
        <v>46</v>
      </c>
      <c r="C2862" s="57" t="s">
        <v>814</v>
      </c>
      <c r="D2862" s="22" t="s">
        <v>48</v>
      </c>
      <c r="E2862" s="58" t="s">
        <v>1990</v>
      </c>
      <c r="F2862" s="56" t="s">
        <v>1991</v>
      </c>
      <c r="G2862" s="26" t="s">
        <v>165</v>
      </c>
      <c r="H2862" s="25" t="s">
        <v>4334</v>
      </c>
      <c r="I2862" s="24" t="s">
        <v>3724</v>
      </c>
      <c r="J2862" s="56" t="s">
        <v>2001</v>
      </c>
      <c r="K2862" s="59" t="s">
        <v>4338</v>
      </c>
      <c r="L2862" s="48" t="s">
        <v>1994</v>
      </c>
      <c r="M2862" s="49" t="s">
        <v>4339</v>
      </c>
      <c r="N2862" s="49" t="s">
        <v>4340</v>
      </c>
      <c r="O2862" s="60">
        <v>9833.33</v>
      </c>
      <c r="P2862" s="61"/>
      <c r="Q2862" s="51">
        <f t="shared" si="78"/>
        <v>0</v>
      </c>
      <c r="R2862" s="31">
        <v>202310</v>
      </c>
      <c r="S2862" s="62" t="s">
        <v>4341</v>
      </c>
      <c r="T2862" s="33"/>
      <c r="U2862" s="58"/>
      <c r="V2862" s="58"/>
      <c r="W2862" s="226"/>
      <c r="X2862" s="63"/>
      <c r="Y2862" s="36"/>
      <c r="Z2862" s="36"/>
      <c r="AA2862" s="37"/>
      <c r="AB2862" s="38" t="s">
        <v>3807</v>
      </c>
      <c r="AC2862" s="38">
        <v>0</v>
      </c>
      <c r="AD2862" s="38">
        <v>0</v>
      </c>
      <c r="AE2862" s="42">
        <v>0</v>
      </c>
      <c r="AF2862" s="40" t="s">
        <v>503</v>
      </c>
      <c r="AG2862" s="42">
        <v>0</v>
      </c>
      <c r="AH2862" s="42">
        <v>0</v>
      </c>
      <c r="AI2862" s="43"/>
      <c r="AJ2862" s="43">
        <f t="shared" si="83"/>
        <v>0</v>
      </c>
      <c r="AK2862" s="43">
        <f t="shared" si="81"/>
        <v>0</v>
      </c>
      <c r="AL2862" s="43"/>
      <c r="AM2862" s="43"/>
      <c r="AN2862" s="42"/>
      <c r="AO2862" s="42"/>
      <c r="AP2862" s="42"/>
      <c r="AQ2862" s="43"/>
      <c r="AR2862" s="42"/>
      <c r="AS2862" s="42"/>
    </row>
    <row r="2863" spans="1:45" ht="15" customHeight="1">
      <c r="A2863" s="56" t="s">
        <v>260</v>
      </c>
      <c r="B2863" s="21" t="s">
        <v>46</v>
      </c>
      <c r="C2863" s="57" t="s">
        <v>814</v>
      </c>
      <c r="D2863" s="22" t="s">
        <v>48</v>
      </c>
      <c r="E2863" s="58" t="s">
        <v>1990</v>
      </c>
      <c r="F2863" s="56" t="s">
        <v>1991</v>
      </c>
      <c r="G2863" s="26" t="s">
        <v>165</v>
      </c>
      <c r="H2863" s="25" t="s">
        <v>4342</v>
      </c>
      <c r="I2863" s="24" t="s">
        <v>3724</v>
      </c>
      <c r="J2863" s="56" t="s">
        <v>1997</v>
      </c>
      <c r="K2863" s="59" t="s">
        <v>1997</v>
      </c>
      <c r="L2863" s="48" t="s">
        <v>1998</v>
      </c>
      <c r="M2863" s="49" t="s">
        <v>4343</v>
      </c>
      <c r="N2863" s="75" t="s">
        <v>4340</v>
      </c>
      <c r="O2863" s="60">
        <v>0</v>
      </c>
      <c r="P2863" s="61"/>
      <c r="Q2863" s="51">
        <f t="shared" si="78"/>
        <v>0</v>
      </c>
      <c r="R2863" s="31">
        <v>202310</v>
      </c>
      <c r="S2863" s="62" t="s">
        <v>4344</v>
      </c>
      <c r="T2863" s="33"/>
      <c r="U2863" s="58"/>
      <c r="V2863" s="58"/>
      <c r="W2863" s="226"/>
      <c r="X2863" s="63"/>
      <c r="Y2863" s="36"/>
      <c r="Z2863" s="36"/>
      <c r="AA2863" s="37"/>
      <c r="AB2863" s="38" t="s">
        <v>3807</v>
      </c>
      <c r="AC2863" s="38">
        <v>0</v>
      </c>
      <c r="AD2863" s="38">
        <v>0</v>
      </c>
      <c r="AE2863" s="42">
        <v>0</v>
      </c>
      <c r="AF2863" s="40" t="s">
        <v>503</v>
      </c>
      <c r="AG2863" s="42">
        <v>0</v>
      </c>
      <c r="AH2863" s="42">
        <v>0</v>
      </c>
      <c r="AI2863" s="43"/>
      <c r="AJ2863" s="43">
        <f t="shared" si="83"/>
        <v>0</v>
      </c>
      <c r="AK2863" s="43">
        <f t="shared" si="81"/>
        <v>0</v>
      </c>
      <c r="AL2863" s="43"/>
      <c r="AM2863" s="43"/>
      <c r="AN2863" s="42"/>
      <c r="AO2863" s="42"/>
      <c r="AP2863" s="42"/>
      <c r="AQ2863" s="43"/>
      <c r="AR2863" s="42"/>
      <c r="AS2863" s="42"/>
    </row>
    <row r="2864" spans="1:45" ht="15" customHeight="1">
      <c r="A2864" s="56" t="s">
        <v>258</v>
      </c>
      <c r="B2864" s="21" t="s">
        <v>46</v>
      </c>
      <c r="C2864" s="57" t="s">
        <v>814</v>
      </c>
      <c r="D2864" s="22" t="s">
        <v>48</v>
      </c>
      <c r="E2864" s="58" t="s">
        <v>2048</v>
      </c>
      <c r="F2864" s="56" t="s">
        <v>2049</v>
      </c>
      <c r="G2864" s="26" t="s">
        <v>165</v>
      </c>
      <c r="H2864" s="25" t="s">
        <v>2050</v>
      </c>
      <c r="I2864" s="24" t="s">
        <v>3724</v>
      </c>
      <c r="J2864" s="56" t="s">
        <v>2049</v>
      </c>
      <c r="K2864" s="59" t="s">
        <v>2051</v>
      </c>
      <c r="L2864" s="48" t="s">
        <v>2052</v>
      </c>
      <c r="M2864" s="49" t="s">
        <v>4345</v>
      </c>
      <c r="N2864" s="49" t="s">
        <v>4346</v>
      </c>
      <c r="O2864" s="60">
        <v>9000</v>
      </c>
      <c r="P2864" s="61"/>
      <c r="Q2864" s="51">
        <f t="shared" si="78"/>
        <v>0</v>
      </c>
      <c r="R2864" s="31">
        <v>202310</v>
      </c>
      <c r="S2864" s="62" t="s">
        <v>4347</v>
      </c>
      <c r="T2864" s="33"/>
      <c r="U2864" s="58"/>
      <c r="V2864" s="58"/>
      <c r="W2864" s="232"/>
      <c r="X2864" s="63"/>
      <c r="Y2864" s="36">
        <v>44652</v>
      </c>
      <c r="Z2864" s="36">
        <v>45382</v>
      </c>
      <c r="AA2864" s="37" t="s">
        <v>4348</v>
      </c>
      <c r="AB2864" s="38">
        <v>0.3</v>
      </c>
      <c r="AC2864" s="38">
        <v>80</v>
      </c>
      <c r="AD2864" s="38">
        <f>AB2864*AC2864</f>
        <v>24</v>
      </c>
      <c r="AE2864" s="39" t="s">
        <v>130</v>
      </c>
      <c r="AF2864" s="40" t="s">
        <v>484</v>
      </c>
      <c r="AG2864" s="42">
        <v>80</v>
      </c>
      <c r="AH2864" s="42">
        <v>0</v>
      </c>
      <c r="AI2864" s="43"/>
      <c r="AJ2864" s="43">
        <f t="shared" si="83"/>
        <v>0</v>
      </c>
      <c r="AK2864" s="43">
        <f t="shared" si="81"/>
        <v>0</v>
      </c>
      <c r="AL2864" s="43"/>
      <c r="AM2864" s="43"/>
      <c r="AN2864" s="42"/>
      <c r="AO2864" s="42" t="s">
        <v>4349</v>
      </c>
      <c r="AP2864" s="42"/>
      <c r="AQ2864" s="43"/>
      <c r="AR2864" s="42"/>
      <c r="AS2864" s="42" t="s">
        <v>2054</v>
      </c>
    </row>
    <row r="2865" spans="1:45" ht="15" customHeight="1">
      <c r="A2865" s="56" t="s">
        <v>258</v>
      </c>
      <c r="B2865" s="21" t="s">
        <v>46</v>
      </c>
      <c r="C2865" s="57" t="s">
        <v>814</v>
      </c>
      <c r="D2865" s="22" t="s">
        <v>48</v>
      </c>
      <c r="E2865" s="58" t="s">
        <v>2139</v>
      </c>
      <c r="F2865" s="56" t="s">
        <v>2140</v>
      </c>
      <c r="G2865" s="26" t="s">
        <v>165</v>
      </c>
      <c r="H2865" s="25" t="s">
        <v>2141</v>
      </c>
      <c r="I2865" s="24" t="s">
        <v>3724</v>
      </c>
      <c r="J2865" s="56" t="s">
        <v>2140</v>
      </c>
      <c r="K2865" s="59" t="s">
        <v>2140</v>
      </c>
      <c r="L2865" s="48" t="s">
        <v>2142</v>
      </c>
      <c r="M2865" s="75" t="s">
        <v>4350</v>
      </c>
      <c r="N2865" s="49" t="s">
        <v>4351</v>
      </c>
      <c r="O2865" s="60">
        <v>9000</v>
      </c>
      <c r="P2865" s="34"/>
      <c r="Q2865" s="51">
        <f t="shared" si="78"/>
        <v>0</v>
      </c>
      <c r="R2865" s="31">
        <v>202310</v>
      </c>
      <c r="S2865" s="62" t="s">
        <v>4352</v>
      </c>
      <c r="T2865" s="33"/>
      <c r="U2865" s="58"/>
      <c r="V2865" s="58"/>
      <c r="W2865" s="232"/>
      <c r="X2865" s="63"/>
      <c r="Y2865" s="36"/>
      <c r="Z2865" s="36"/>
      <c r="AA2865" s="37" t="s">
        <v>4353</v>
      </c>
      <c r="AB2865" s="38">
        <v>0.3</v>
      </c>
      <c r="AC2865" s="38">
        <v>200</v>
      </c>
      <c r="AD2865" s="38">
        <f t="shared" ref="AD2865:AD2886" si="84">AB2865*AC2865</f>
        <v>60</v>
      </c>
      <c r="AE2865" s="39" t="s">
        <v>3850</v>
      </c>
      <c r="AF2865" s="40" t="s">
        <v>484</v>
      </c>
      <c r="AG2865" s="42">
        <v>200</v>
      </c>
      <c r="AH2865" s="42">
        <v>0</v>
      </c>
      <c r="AI2865" s="43"/>
      <c r="AJ2865" s="43">
        <f t="shared" si="83"/>
        <v>0</v>
      </c>
      <c r="AK2865" s="43">
        <f t="shared" si="81"/>
        <v>0</v>
      </c>
      <c r="AL2865" s="43"/>
      <c r="AM2865" s="43"/>
      <c r="AN2865" s="42"/>
      <c r="AO2865" s="42" t="s">
        <v>4354</v>
      </c>
      <c r="AP2865" s="42"/>
      <c r="AQ2865" s="43"/>
      <c r="AR2865" s="42"/>
      <c r="AS2865" s="42" t="s">
        <v>2054</v>
      </c>
    </row>
    <row r="2866" spans="1:45" ht="15" customHeight="1">
      <c r="A2866" s="56" t="s">
        <v>258</v>
      </c>
      <c r="B2866" s="21" t="s">
        <v>46</v>
      </c>
      <c r="C2866" s="57" t="s">
        <v>814</v>
      </c>
      <c r="D2866" s="22" t="s">
        <v>48</v>
      </c>
      <c r="E2866" s="58" t="s">
        <v>2153</v>
      </c>
      <c r="F2866" s="56" t="s">
        <v>2154</v>
      </c>
      <c r="G2866" s="26" t="s">
        <v>165</v>
      </c>
      <c r="H2866" s="25" t="s">
        <v>2155</v>
      </c>
      <c r="I2866" s="24" t="s">
        <v>3724</v>
      </c>
      <c r="J2866" s="56" t="s">
        <v>2154</v>
      </c>
      <c r="K2866" s="59" t="s">
        <v>2154</v>
      </c>
      <c r="L2866" s="48" t="s">
        <v>2156</v>
      </c>
      <c r="M2866" s="75" t="s">
        <v>4355</v>
      </c>
      <c r="N2866" s="49" t="s">
        <v>4356</v>
      </c>
      <c r="O2866" s="60">
        <v>9000</v>
      </c>
      <c r="P2866" s="61"/>
      <c r="Q2866" s="51">
        <f t="shared" si="78"/>
        <v>0</v>
      </c>
      <c r="R2866" s="31">
        <v>202310</v>
      </c>
      <c r="S2866" s="62" t="s">
        <v>4357</v>
      </c>
      <c r="T2866" s="33"/>
      <c r="U2866" s="58"/>
      <c r="V2866" s="58"/>
      <c r="W2866" s="232"/>
      <c r="X2866" s="63"/>
      <c r="Y2866" s="36"/>
      <c r="Z2866" s="36"/>
      <c r="AA2866" s="37" t="s">
        <v>4358</v>
      </c>
      <c r="AB2866" s="38">
        <v>0.3</v>
      </c>
      <c r="AC2866" s="38">
        <v>300</v>
      </c>
      <c r="AD2866" s="38">
        <f t="shared" si="84"/>
        <v>90</v>
      </c>
      <c r="AE2866" s="39" t="s">
        <v>130</v>
      </c>
      <c r="AF2866" s="40" t="s">
        <v>484</v>
      </c>
      <c r="AG2866" s="42">
        <v>300</v>
      </c>
      <c r="AH2866" s="42">
        <v>0</v>
      </c>
      <c r="AI2866" s="43"/>
      <c r="AJ2866" s="43">
        <f t="shared" si="83"/>
        <v>0</v>
      </c>
      <c r="AK2866" s="43">
        <f t="shared" si="81"/>
        <v>0</v>
      </c>
      <c r="AL2866" s="43"/>
      <c r="AM2866" s="43"/>
      <c r="AN2866" s="42"/>
      <c r="AO2866" s="42"/>
      <c r="AP2866" s="42"/>
      <c r="AQ2866" s="43"/>
      <c r="AR2866" s="42"/>
      <c r="AS2866" s="42" t="s">
        <v>2054</v>
      </c>
    </row>
    <row r="2867" spans="1:45" ht="15" customHeight="1">
      <c r="A2867" s="56" t="s">
        <v>258</v>
      </c>
      <c r="B2867" s="21" t="s">
        <v>46</v>
      </c>
      <c r="C2867" s="57" t="s">
        <v>814</v>
      </c>
      <c r="D2867" s="22" t="s">
        <v>48</v>
      </c>
      <c r="E2867" s="58" t="s">
        <v>2328</v>
      </c>
      <c r="F2867" s="56" t="s">
        <v>2329</v>
      </c>
      <c r="G2867" s="26" t="s">
        <v>165</v>
      </c>
      <c r="H2867" s="25" t="s">
        <v>2338</v>
      </c>
      <c r="I2867" s="24" t="s">
        <v>3724</v>
      </c>
      <c r="J2867" s="56" t="s">
        <v>2339</v>
      </c>
      <c r="K2867" s="59" t="s">
        <v>2339</v>
      </c>
      <c r="L2867" s="48" t="s">
        <v>2332</v>
      </c>
      <c r="M2867" s="75" t="s">
        <v>4359</v>
      </c>
      <c r="N2867" s="75" t="s">
        <v>4360</v>
      </c>
      <c r="O2867" s="60">
        <v>9000</v>
      </c>
      <c r="P2867" s="61"/>
      <c r="Q2867" s="51">
        <f t="shared" si="78"/>
        <v>0</v>
      </c>
      <c r="R2867" s="31">
        <v>202310</v>
      </c>
      <c r="S2867" s="62" t="s">
        <v>4361</v>
      </c>
      <c r="T2867" s="33"/>
      <c r="U2867" s="58"/>
      <c r="V2867" s="58"/>
      <c r="W2867" s="232"/>
      <c r="X2867" s="63"/>
      <c r="Y2867" s="36"/>
      <c r="Z2867" s="36"/>
      <c r="AA2867" s="37" t="s">
        <v>4362</v>
      </c>
      <c r="AB2867" s="38">
        <v>0.3</v>
      </c>
      <c r="AC2867" s="38">
        <v>40</v>
      </c>
      <c r="AD2867" s="38">
        <f t="shared" si="84"/>
        <v>12</v>
      </c>
      <c r="AE2867" s="39" t="s">
        <v>3850</v>
      </c>
      <c r="AF2867" s="40" t="s">
        <v>503</v>
      </c>
      <c r="AG2867" s="42">
        <v>0</v>
      </c>
      <c r="AH2867" s="42">
        <f>AC2867-AG2867</f>
        <v>40</v>
      </c>
      <c r="AI2867" s="43"/>
      <c r="AJ2867" s="43">
        <f t="shared" si="83"/>
        <v>0</v>
      </c>
      <c r="AK2867" s="43">
        <f t="shared" si="81"/>
        <v>0</v>
      </c>
      <c r="AL2867" s="43"/>
      <c r="AM2867" s="43"/>
      <c r="AN2867" s="42"/>
      <c r="AO2867" s="42" t="s">
        <v>4354</v>
      </c>
      <c r="AP2867" s="42"/>
      <c r="AQ2867" s="43"/>
      <c r="AR2867" s="42"/>
      <c r="AS2867" s="42" t="s">
        <v>4363</v>
      </c>
    </row>
    <row r="2868" spans="1:45" ht="15" customHeight="1">
      <c r="A2868" s="56" t="s">
        <v>258</v>
      </c>
      <c r="B2868" s="21" t="s">
        <v>46</v>
      </c>
      <c r="C2868" s="57" t="s">
        <v>814</v>
      </c>
      <c r="D2868" s="22" t="s">
        <v>48</v>
      </c>
      <c r="E2868" s="58" t="s">
        <v>2328</v>
      </c>
      <c r="F2868" s="56" t="s">
        <v>2329</v>
      </c>
      <c r="G2868" s="26" t="s">
        <v>165</v>
      </c>
      <c r="H2868" s="219" t="s">
        <v>2330</v>
      </c>
      <c r="I2868" s="24" t="s">
        <v>3724</v>
      </c>
      <c r="J2868" s="56" t="s">
        <v>2331</v>
      </c>
      <c r="K2868" s="59" t="s">
        <v>2331</v>
      </c>
      <c r="L2868" s="48" t="s">
        <v>2332</v>
      </c>
      <c r="M2868" s="49">
        <v>45001</v>
      </c>
      <c r="N2868" s="49" t="s">
        <v>2187</v>
      </c>
      <c r="O2868" s="60">
        <v>9000</v>
      </c>
      <c r="P2868" s="61"/>
      <c r="Q2868" s="51">
        <f t="shared" si="78"/>
        <v>0</v>
      </c>
      <c r="R2868" s="31">
        <v>202310</v>
      </c>
      <c r="S2868" s="62" t="s">
        <v>4364</v>
      </c>
      <c r="T2868" s="33"/>
      <c r="U2868" s="58" t="s">
        <v>2336</v>
      </c>
      <c r="V2868" s="58"/>
      <c r="W2868" s="232"/>
      <c r="X2868" s="63"/>
      <c r="Y2868" s="36"/>
      <c r="Z2868" s="36"/>
      <c r="AA2868" s="37" t="s">
        <v>4365</v>
      </c>
      <c r="AB2868" s="38">
        <v>0.3</v>
      </c>
      <c r="AC2868" s="38">
        <v>100</v>
      </c>
      <c r="AD2868" s="38">
        <f t="shared" si="84"/>
        <v>30</v>
      </c>
      <c r="AE2868" s="39" t="s">
        <v>3850</v>
      </c>
      <c r="AF2868" s="40" t="s">
        <v>484</v>
      </c>
      <c r="AG2868" s="42">
        <v>100</v>
      </c>
      <c r="AH2868" s="42"/>
      <c r="AI2868" s="43"/>
      <c r="AJ2868" s="43">
        <f t="shared" si="83"/>
        <v>0</v>
      </c>
      <c r="AK2868" s="43">
        <f t="shared" si="81"/>
        <v>0</v>
      </c>
      <c r="AL2868" s="43"/>
      <c r="AM2868" s="43"/>
      <c r="AN2868" s="42"/>
      <c r="AO2868" s="42"/>
      <c r="AP2868" s="42"/>
      <c r="AQ2868" s="43"/>
      <c r="AR2868" s="42"/>
      <c r="AS2868" s="42" t="s">
        <v>4366</v>
      </c>
    </row>
    <row r="2869" spans="1:45" ht="15" customHeight="1">
      <c r="A2869" s="56" t="s">
        <v>258</v>
      </c>
      <c r="B2869" s="21" t="s">
        <v>46</v>
      </c>
      <c r="C2869" s="57" t="s">
        <v>814</v>
      </c>
      <c r="D2869" s="22" t="s">
        <v>48</v>
      </c>
      <c r="E2869" s="58" t="s">
        <v>2352</v>
      </c>
      <c r="F2869" s="56" t="s">
        <v>2353</v>
      </c>
      <c r="G2869" s="26" t="s">
        <v>165</v>
      </c>
      <c r="H2869" s="25" t="s">
        <v>2354</v>
      </c>
      <c r="I2869" s="24" t="s">
        <v>3724</v>
      </c>
      <c r="J2869" s="56" t="s">
        <v>2353</v>
      </c>
      <c r="K2869" s="59" t="s">
        <v>2353</v>
      </c>
      <c r="L2869" s="48" t="s">
        <v>2355</v>
      </c>
      <c r="M2869" s="75" t="s">
        <v>4367</v>
      </c>
      <c r="N2869" s="75" t="s">
        <v>4368</v>
      </c>
      <c r="O2869" s="60">
        <v>9000</v>
      </c>
      <c r="P2869" s="246"/>
      <c r="Q2869" s="51">
        <f t="shared" si="78"/>
        <v>0</v>
      </c>
      <c r="R2869" s="31">
        <v>202310</v>
      </c>
      <c r="S2869" s="164" t="s">
        <v>4369</v>
      </c>
      <c r="T2869" s="33"/>
      <c r="U2869" s="58"/>
      <c r="V2869" s="58"/>
      <c r="W2869" s="232"/>
      <c r="X2869" s="247"/>
      <c r="Y2869" s="36"/>
      <c r="Z2869" s="36"/>
      <c r="AA2869" s="37" t="s">
        <v>4370</v>
      </c>
      <c r="AB2869" s="38">
        <v>0.3</v>
      </c>
      <c r="AC2869" s="38">
        <v>200</v>
      </c>
      <c r="AD2869" s="38">
        <f t="shared" si="84"/>
        <v>60</v>
      </c>
      <c r="AE2869" s="39" t="s">
        <v>130</v>
      </c>
      <c r="AF2869" s="40" t="s">
        <v>484</v>
      </c>
      <c r="AG2869" s="42">
        <v>200</v>
      </c>
      <c r="AH2869" s="42">
        <v>0</v>
      </c>
      <c r="AI2869" s="43"/>
      <c r="AJ2869" s="43">
        <f t="shared" si="83"/>
        <v>0</v>
      </c>
      <c r="AK2869" s="43">
        <f t="shared" si="81"/>
        <v>0</v>
      </c>
      <c r="AL2869" s="43"/>
      <c r="AM2869" s="43"/>
      <c r="AN2869" s="42"/>
      <c r="AO2869" s="42" t="s">
        <v>4371</v>
      </c>
      <c r="AP2869" s="42"/>
      <c r="AQ2869" s="43"/>
      <c r="AR2869" s="42"/>
      <c r="AS2869" s="42" t="s">
        <v>2054</v>
      </c>
    </row>
    <row r="2870" spans="1:45" ht="15" customHeight="1">
      <c r="A2870" s="56" t="s">
        <v>258</v>
      </c>
      <c r="B2870" s="21" t="s">
        <v>46</v>
      </c>
      <c r="C2870" s="57" t="s">
        <v>814</v>
      </c>
      <c r="D2870" s="22" t="s">
        <v>48</v>
      </c>
      <c r="E2870" s="58" t="s">
        <v>2359</v>
      </c>
      <c r="F2870" s="56" t="s">
        <v>2360</v>
      </c>
      <c r="G2870" s="26" t="s">
        <v>165</v>
      </c>
      <c r="H2870" s="25" t="s">
        <v>2361</v>
      </c>
      <c r="I2870" s="24" t="s">
        <v>3724</v>
      </c>
      <c r="J2870" s="56" t="s">
        <v>2360</v>
      </c>
      <c r="K2870" s="59" t="s">
        <v>2360</v>
      </c>
      <c r="L2870" s="48" t="s">
        <v>2362</v>
      </c>
      <c r="M2870" s="75" t="s">
        <v>4372</v>
      </c>
      <c r="N2870" s="75" t="s">
        <v>4373</v>
      </c>
      <c r="O2870" s="60">
        <v>9000</v>
      </c>
      <c r="P2870" s="61"/>
      <c r="Q2870" s="51">
        <f t="shared" si="78"/>
        <v>0</v>
      </c>
      <c r="R2870" s="31">
        <v>202310</v>
      </c>
      <c r="S2870" s="164" t="s">
        <v>4374</v>
      </c>
      <c r="T2870" s="33"/>
      <c r="U2870" s="42"/>
      <c r="V2870" s="58"/>
      <c r="W2870" s="232"/>
      <c r="X2870" s="63"/>
      <c r="Y2870" s="36">
        <v>44652</v>
      </c>
      <c r="Z2870" s="36">
        <v>45382</v>
      </c>
      <c r="AA2870" s="37" t="s">
        <v>4375</v>
      </c>
      <c r="AB2870" s="38">
        <v>0.3</v>
      </c>
      <c r="AC2870" s="38">
        <v>400</v>
      </c>
      <c r="AD2870" s="38">
        <f t="shared" si="84"/>
        <v>120</v>
      </c>
      <c r="AE2870" s="39" t="s">
        <v>3850</v>
      </c>
      <c r="AF2870" s="40" t="s">
        <v>484</v>
      </c>
      <c r="AG2870" s="42">
        <v>400</v>
      </c>
      <c r="AH2870" s="42">
        <v>0</v>
      </c>
      <c r="AI2870" s="43"/>
      <c r="AJ2870" s="43">
        <f t="shared" si="83"/>
        <v>0</v>
      </c>
      <c r="AK2870" s="43">
        <f t="shared" si="81"/>
        <v>0</v>
      </c>
      <c r="AL2870" s="43"/>
      <c r="AM2870" s="43"/>
      <c r="AN2870" s="42"/>
      <c r="AO2870" s="42" t="s">
        <v>4354</v>
      </c>
      <c r="AP2870" s="42"/>
      <c r="AQ2870" s="43"/>
      <c r="AR2870" s="42"/>
      <c r="AS2870" s="42" t="s">
        <v>2054</v>
      </c>
    </row>
    <row r="2871" spans="1:45" ht="15" customHeight="1">
      <c r="A2871" s="56" t="s">
        <v>258</v>
      </c>
      <c r="B2871" s="21" t="s">
        <v>46</v>
      </c>
      <c r="C2871" s="57" t="s">
        <v>814</v>
      </c>
      <c r="D2871" s="22" t="s">
        <v>48</v>
      </c>
      <c r="E2871" s="58" t="s">
        <v>2413</v>
      </c>
      <c r="F2871" s="56" t="s">
        <v>2414</v>
      </c>
      <c r="G2871" s="26" t="s">
        <v>165</v>
      </c>
      <c r="H2871" s="25" t="s">
        <v>2415</v>
      </c>
      <c r="I2871" s="24" t="s">
        <v>3724</v>
      </c>
      <c r="J2871" s="56" t="s">
        <v>2414</v>
      </c>
      <c r="K2871" s="59" t="s">
        <v>2414</v>
      </c>
      <c r="L2871" s="48" t="s">
        <v>2416</v>
      </c>
      <c r="M2871" s="49">
        <v>44789</v>
      </c>
      <c r="N2871" s="49" t="s">
        <v>2187</v>
      </c>
      <c r="O2871" s="60">
        <v>9000</v>
      </c>
      <c r="P2871" s="61"/>
      <c r="Q2871" s="51">
        <f t="shared" si="78"/>
        <v>0</v>
      </c>
      <c r="R2871" s="31">
        <v>202310</v>
      </c>
      <c r="S2871" s="62" t="s">
        <v>4376</v>
      </c>
      <c r="T2871" s="33"/>
      <c r="U2871" s="58"/>
      <c r="V2871" s="58"/>
      <c r="W2871" s="232"/>
      <c r="X2871" s="63"/>
      <c r="Y2871" s="36"/>
      <c r="Z2871" s="36"/>
      <c r="AA2871" s="37" t="s">
        <v>4377</v>
      </c>
      <c r="AB2871" s="38">
        <v>0.3</v>
      </c>
      <c r="AC2871" s="38">
        <v>100</v>
      </c>
      <c r="AD2871" s="38">
        <f t="shared" si="84"/>
        <v>30</v>
      </c>
      <c r="AE2871" s="39" t="s">
        <v>130</v>
      </c>
      <c r="AF2871" s="40" t="s">
        <v>484</v>
      </c>
      <c r="AG2871" s="42">
        <v>100</v>
      </c>
      <c r="AH2871" s="42">
        <v>0</v>
      </c>
      <c r="AI2871" s="43"/>
      <c r="AJ2871" s="43">
        <f t="shared" si="83"/>
        <v>0</v>
      </c>
      <c r="AK2871" s="43">
        <f t="shared" si="81"/>
        <v>0</v>
      </c>
      <c r="AL2871" s="43"/>
      <c r="AM2871" s="43"/>
      <c r="AN2871" s="42"/>
      <c r="AO2871" s="42" t="s">
        <v>4354</v>
      </c>
      <c r="AP2871" s="42"/>
      <c r="AQ2871" s="43"/>
      <c r="AR2871" s="42"/>
      <c r="AS2871" s="42" t="s">
        <v>2054</v>
      </c>
    </row>
    <row r="2872" spans="1:45" ht="15" customHeight="1">
      <c r="A2872" s="56" t="s">
        <v>45</v>
      </c>
      <c r="B2872" s="21" t="s">
        <v>46</v>
      </c>
      <c r="C2872" s="57" t="s">
        <v>814</v>
      </c>
      <c r="D2872" s="22" t="s">
        <v>48</v>
      </c>
      <c r="E2872" s="58" t="s">
        <v>2841</v>
      </c>
      <c r="F2872" s="56" t="s">
        <v>2837</v>
      </c>
      <c r="G2872" s="26" t="s">
        <v>165</v>
      </c>
      <c r="H2872" s="25" t="s">
        <v>2838</v>
      </c>
      <c r="I2872" s="24" t="s">
        <v>3724</v>
      </c>
      <c r="J2872" s="59" t="s">
        <v>2837</v>
      </c>
      <c r="K2872" s="59" t="s">
        <v>2837</v>
      </c>
      <c r="L2872" s="48" t="s">
        <v>2839</v>
      </c>
      <c r="M2872" s="75" t="s">
        <v>4378</v>
      </c>
      <c r="N2872" s="75" t="s">
        <v>4379</v>
      </c>
      <c r="O2872" s="60">
        <v>6740</v>
      </c>
      <c r="P2872" s="61"/>
      <c r="Q2872" s="51">
        <f t="shared" si="78"/>
        <v>0</v>
      </c>
      <c r="R2872" s="31">
        <v>202310</v>
      </c>
      <c r="S2872" s="62" t="s">
        <v>4380</v>
      </c>
      <c r="T2872" s="33"/>
      <c r="U2872" s="58"/>
      <c r="V2872" s="58"/>
      <c r="W2872" s="232"/>
      <c r="X2872" s="63"/>
      <c r="Y2872" s="36"/>
      <c r="Z2872" s="36"/>
      <c r="AA2872" s="37" t="s">
        <v>4381</v>
      </c>
      <c r="AB2872" s="38">
        <v>0.4</v>
      </c>
      <c r="AC2872" s="38">
        <v>110</v>
      </c>
      <c r="AD2872" s="38">
        <f t="shared" si="84"/>
        <v>44</v>
      </c>
      <c r="AE2872" s="39" t="s">
        <v>130</v>
      </c>
      <c r="AF2872" s="40" t="s">
        <v>503</v>
      </c>
      <c r="AG2872" s="42">
        <v>0</v>
      </c>
      <c r="AH2872" s="42">
        <f>AC2872-AG2872</f>
        <v>110</v>
      </c>
      <c r="AI2872" s="43"/>
      <c r="AJ2872" s="43">
        <f t="shared" si="83"/>
        <v>0</v>
      </c>
      <c r="AK2872" s="43">
        <f t="shared" si="81"/>
        <v>0</v>
      </c>
      <c r="AL2872" s="43"/>
      <c r="AM2872" s="43"/>
      <c r="AN2872" s="42"/>
      <c r="AO2872" s="42"/>
      <c r="AP2872" s="42"/>
      <c r="AQ2872" s="43"/>
      <c r="AR2872" s="42"/>
      <c r="AS2872" s="42"/>
    </row>
    <row r="2873" spans="1:45" ht="15" customHeight="1">
      <c r="A2873" s="56" t="s">
        <v>45</v>
      </c>
      <c r="B2873" s="21" t="s">
        <v>46</v>
      </c>
      <c r="C2873" s="57" t="s">
        <v>814</v>
      </c>
      <c r="D2873" s="22" t="s">
        <v>48</v>
      </c>
      <c r="E2873" s="58" t="s">
        <v>2841</v>
      </c>
      <c r="F2873" s="56" t="s">
        <v>2837</v>
      </c>
      <c r="G2873" s="26" t="s">
        <v>165</v>
      </c>
      <c r="H2873" s="25" t="s">
        <v>2838</v>
      </c>
      <c r="I2873" s="24" t="s">
        <v>3724</v>
      </c>
      <c r="J2873" s="59" t="s">
        <v>2855</v>
      </c>
      <c r="K2873" s="59" t="s">
        <v>2855</v>
      </c>
      <c r="L2873" s="48" t="s">
        <v>2856</v>
      </c>
      <c r="M2873" s="75" t="s">
        <v>4382</v>
      </c>
      <c r="N2873" s="75" t="s">
        <v>4383</v>
      </c>
      <c r="O2873" s="60">
        <v>6740</v>
      </c>
      <c r="P2873" s="61"/>
      <c r="Q2873" s="51">
        <f t="shared" si="78"/>
        <v>0</v>
      </c>
      <c r="R2873" s="31">
        <v>202310</v>
      </c>
      <c r="S2873" s="62" t="s">
        <v>4384</v>
      </c>
      <c r="T2873" s="33"/>
      <c r="U2873" s="58"/>
      <c r="V2873" s="58"/>
      <c r="W2873" s="232"/>
      <c r="X2873" s="63"/>
      <c r="Y2873" s="36"/>
      <c r="Z2873" s="36"/>
      <c r="AA2873" s="37" t="s">
        <v>4385</v>
      </c>
      <c r="AB2873" s="38">
        <v>0.4</v>
      </c>
      <c r="AC2873" s="38">
        <v>500</v>
      </c>
      <c r="AD2873" s="38">
        <f t="shared" si="84"/>
        <v>200</v>
      </c>
      <c r="AE2873" s="39" t="s">
        <v>130</v>
      </c>
      <c r="AF2873" s="40" t="s">
        <v>484</v>
      </c>
      <c r="AG2873" s="42">
        <v>500</v>
      </c>
      <c r="AH2873" s="42">
        <v>0</v>
      </c>
      <c r="AI2873" s="43"/>
      <c r="AJ2873" s="43">
        <f t="shared" si="83"/>
        <v>0</v>
      </c>
      <c r="AK2873" s="43">
        <f t="shared" si="81"/>
        <v>0</v>
      </c>
      <c r="AL2873" s="43"/>
      <c r="AM2873" s="43"/>
      <c r="AN2873" s="42"/>
      <c r="AO2873" s="42"/>
      <c r="AP2873" s="42"/>
      <c r="AQ2873" s="43"/>
      <c r="AR2873" s="42"/>
      <c r="AS2873" s="42"/>
    </row>
    <row r="2874" spans="1:45" ht="15" customHeight="1">
      <c r="A2874" s="56" t="s">
        <v>45</v>
      </c>
      <c r="B2874" s="21" t="s">
        <v>46</v>
      </c>
      <c r="C2874" s="57" t="s">
        <v>814</v>
      </c>
      <c r="D2874" s="22" t="s">
        <v>48</v>
      </c>
      <c r="E2874" s="58" t="s">
        <v>2862</v>
      </c>
      <c r="F2874" s="56" t="s">
        <v>2863</v>
      </c>
      <c r="G2874" s="26" t="s">
        <v>165</v>
      </c>
      <c r="H2874" s="25" t="s">
        <v>2864</v>
      </c>
      <c r="I2874" s="24" t="s">
        <v>3724</v>
      </c>
      <c r="J2874" s="56" t="s">
        <v>2865</v>
      </c>
      <c r="K2874" s="59" t="s">
        <v>2863</v>
      </c>
      <c r="L2874" s="48" t="s">
        <v>2866</v>
      </c>
      <c r="M2874" s="49" t="s">
        <v>4386</v>
      </c>
      <c r="N2874" s="49" t="s">
        <v>4387</v>
      </c>
      <c r="O2874" s="60">
        <v>6740</v>
      </c>
      <c r="P2874" s="61"/>
      <c r="Q2874" s="51">
        <f t="shared" ref="Q2874:Q2918" si="85">ROUND(O2874*P2874,2)</f>
        <v>0</v>
      </c>
      <c r="R2874" s="31">
        <v>202310</v>
      </c>
      <c r="S2874" s="62" t="s">
        <v>4388</v>
      </c>
      <c r="T2874" s="33"/>
      <c r="U2874" s="58"/>
      <c r="V2874" s="58"/>
      <c r="W2874" s="226"/>
      <c r="X2874" s="63"/>
      <c r="Y2874" s="36">
        <v>44197</v>
      </c>
      <c r="Z2874" s="36">
        <v>44926</v>
      </c>
      <c r="AA2874" s="37"/>
      <c r="AB2874" s="38" t="s">
        <v>3807</v>
      </c>
      <c r="AC2874" s="38">
        <v>0</v>
      </c>
      <c r="AD2874" s="38">
        <v>0</v>
      </c>
      <c r="AE2874" s="42">
        <v>0</v>
      </c>
      <c r="AF2874" s="40" t="s">
        <v>503</v>
      </c>
      <c r="AG2874" s="42">
        <v>0</v>
      </c>
      <c r="AH2874" s="42">
        <v>0</v>
      </c>
      <c r="AI2874" s="43"/>
      <c r="AJ2874" s="43">
        <f t="shared" si="83"/>
        <v>0</v>
      </c>
      <c r="AK2874" s="43">
        <f t="shared" ref="AK2874:AK2905" si="86">AJ2874*O2874</f>
        <v>0</v>
      </c>
      <c r="AL2874" s="43"/>
      <c r="AM2874" s="43"/>
      <c r="AN2874" s="42"/>
      <c r="AO2874" s="42"/>
      <c r="AP2874" s="42"/>
      <c r="AQ2874" s="43"/>
      <c r="AR2874" s="42"/>
      <c r="AS2874" s="42"/>
    </row>
    <row r="2875" spans="1:45" ht="15" customHeight="1">
      <c r="A2875" s="56" t="s">
        <v>45</v>
      </c>
      <c r="B2875" s="21" t="s">
        <v>46</v>
      </c>
      <c r="C2875" s="57" t="s">
        <v>814</v>
      </c>
      <c r="D2875" s="22" t="s">
        <v>48</v>
      </c>
      <c r="E2875" s="58" t="s">
        <v>2872</v>
      </c>
      <c r="F2875" s="56" t="s">
        <v>2873</v>
      </c>
      <c r="G2875" s="26" t="s">
        <v>165</v>
      </c>
      <c r="H2875" s="25" t="s">
        <v>2874</v>
      </c>
      <c r="I2875" s="24" t="s">
        <v>3724</v>
      </c>
      <c r="J2875" s="56" t="s">
        <v>2873</v>
      </c>
      <c r="K2875" s="59" t="s">
        <v>2873</v>
      </c>
      <c r="L2875" s="48" t="s">
        <v>2876</v>
      </c>
      <c r="M2875" s="49" t="s">
        <v>4389</v>
      </c>
      <c r="N2875" s="49" t="s">
        <v>4390</v>
      </c>
      <c r="O2875" s="60">
        <v>6740</v>
      </c>
      <c r="P2875" s="61"/>
      <c r="Q2875" s="51">
        <f t="shared" si="85"/>
        <v>0</v>
      </c>
      <c r="R2875" s="31">
        <v>202310</v>
      </c>
      <c r="S2875" s="62" t="s">
        <v>4391</v>
      </c>
      <c r="T2875" s="33"/>
      <c r="U2875" s="58"/>
      <c r="V2875" s="58"/>
      <c r="W2875" s="226"/>
      <c r="X2875" s="63"/>
      <c r="Y2875" s="36">
        <v>45108</v>
      </c>
      <c r="Z2875" s="36">
        <v>45473</v>
      </c>
      <c r="AA2875" s="37"/>
      <c r="AB2875" s="38" t="s">
        <v>3807</v>
      </c>
      <c r="AC2875" s="38">
        <v>0</v>
      </c>
      <c r="AD2875" s="38">
        <v>0</v>
      </c>
      <c r="AE2875" s="42">
        <v>0</v>
      </c>
      <c r="AF2875" s="40" t="s">
        <v>503</v>
      </c>
      <c r="AG2875" s="42">
        <v>0</v>
      </c>
      <c r="AH2875" s="42">
        <v>0</v>
      </c>
      <c r="AI2875" s="43"/>
      <c r="AJ2875" s="43">
        <f t="shared" si="83"/>
        <v>0</v>
      </c>
      <c r="AK2875" s="43">
        <f t="shared" si="86"/>
        <v>0</v>
      </c>
      <c r="AL2875" s="43"/>
      <c r="AM2875" s="43"/>
      <c r="AN2875" s="42"/>
      <c r="AO2875" s="42"/>
      <c r="AP2875" s="42"/>
      <c r="AQ2875" s="43"/>
      <c r="AR2875" s="42"/>
      <c r="AS2875" s="42"/>
    </row>
    <row r="2876" spans="1:45" ht="15" customHeight="1">
      <c r="A2876" s="56" t="s">
        <v>45</v>
      </c>
      <c r="B2876" s="21" t="s">
        <v>46</v>
      </c>
      <c r="C2876" s="57" t="s">
        <v>814</v>
      </c>
      <c r="D2876" s="22" t="s">
        <v>48</v>
      </c>
      <c r="E2876" s="58" t="s">
        <v>2872</v>
      </c>
      <c r="F2876" s="56" t="s">
        <v>2873</v>
      </c>
      <c r="G2876" s="26" t="s">
        <v>165</v>
      </c>
      <c r="H2876" s="25" t="s">
        <v>2874</v>
      </c>
      <c r="I2876" s="24" t="s">
        <v>3724</v>
      </c>
      <c r="J2876" s="56" t="s">
        <v>2879</v>
      </c>
      <c r="K2876" s="59" t="s">
        <v>2879</v>
      </c>
      <c r="L2876" s="48" t="s">
        <v>2880</v>
      </c>
      <c r="M2876" s="49" t="s">
        <v>4392</v>
      </c>
      <c r="N2876" s="75" t="s">
        <v>4393</v>
      </c>
      <c r="O2876" s="60">
        <v>6740</v>
      </c>
      <c r="P2876" s="61"/>
      <c r="Q2876" s="51">
        <f t="shared" si="85"/>
        <v>0</v>
      </c>
      <c r="R2876" s="31">
        <v>202310</v>
      </c>
      <c r="S2876" s="62" t="s">
        <v>4394</v>
      </c>
      <c r="T2876" s="33"/>
      <c r="U2876" s="58"/>
      <c r="V2876" s="58"/>
      <c r="W2876" s="232"/>
      <c r="X2876" s="63"/>
      <c r="Y2876" s="36">
        <v>45108</v>
      </c>
      <c r="Z2876" s="36">
        <v>45473</v>
      </c>
      <c r="AA2876" s="37" t="s">
        <v>4395</v>
      </c>
      <c r="AB2876" s="38">
        <v>0.4</v>
      </c>
      <c r="AC2876" s="38">
        <v>80</v>
      </c>
      <c r="AD2876" s="38">
        <f t="shared" si="84"/>
        <v>32</v>
      </c>
      <c r="AE2876" s="39" t="s">
        <v>130</v>
      </c>
      <c r="AF2876" s="40" t="s">
        <v>503</v>
      </c>
      <c r="AG2876" s="42">
        <v>0</v>
      </c>
      <c r="AH2876" s="42">
        <f>AC2876-AG2876</f>
        <v>80</v>
      </c>
      <c r="AI2876" s="43"/>
      <c r="AJ2876" s="43">
        <f t="shared" si="83"/>
        <v>0</v>
      </c>
      <c r="AK2876" s="43">
        <f t="shared" si="86"/>
        <v>0</v>
      </c>
      <c r="AL2876" s="43"/>
      <c r="AM2876" s="43"/>
      <c r="AN2876" s="42"/>
      <c r="AO2876" s="42"/>
      <c r="AP2876" s="42"/>
      <c r="AQ2876" s="43"/>
      <c r="AR2876" s="42"/>
      <c r="AS2876" s="42"/>
    </row>
    <row r="2877" spans="1:45" ht="15" customHeight="1">
      <c r="A2877" s="56" t="s">
        <v>45</v>
      </c>
      <c r="B2877" s="21" t="s">
        <v>46</v>
      </c>
      <c r="C2877" s="57" t="s">
        <v>814</v>
      </c>
      <c r="D2877" s="22" t="s">
        <v>48</v>
      </c>
      <c r="E2877" s="58" t="s">
        <v>2872</v>
      </c>
      <c r="F2877" s="56" t="s">
        <v>2873</v>
      </c>
      <c r="G2877" s="26" t="s">
        <v>165</v>
      </c>
      <c r="H2877" s="25" t="s">
        <v>2874</v>
      </c>
      <c r="I2877" s="26" t="s">
        <v>4013</v>
      </c>
      <c r="J2877" s="56" t="s">
        <v>2882</v>
      </c>
      <c r="K2877" s="59" t="s">
        <v>2882</v>
      </c>
      <c r="L2877" s="48" t="s">
        <v>2883</v>
      </c>
      <c r="M2877" s="49" t="s">
        <v>4396</v>
      </c>
      <c r="N2877" s="49" t="s">
        <v>4397</v>
      </c>
      <c r="O2877" s="60">
        <v>6740</v>
      </c>
      <c r="P2877" s="61"/>
      <c r="Q2877" s="51">
        <f t="shared" si="85"/>
        <v>0</v>
      </c>
      <c r="R2877" s="31">
        <v>202310</v>
      </c>
      <c r="S2877" s="62" t="s">
        <v>4398</v>
      </c>
      <c r="T2877" s="33"/>
      <c r="U2877" s="58"/>
      <c r="V2877" s="58"/>
      <c r="W2877" s="226"/>
      <c r="X2877" s="63"/>
      <c r="Y2877" s="36">
        <v>45108</v>
      </c>
      <c r="Z2877" s="36">
        <v>45473</v>
      </c>
      <c r="AA2877" s="37"/>
      <c r="AB2877" s="38" t="s">
        <v>3807</v>
      </c>
      <c r="AC2877" s="38">
        <v>0</v>
      </c>
      <c r="AD2877" s="38">
        <v>0</v>
      </c>
      <c r="AE2877" s="42">
        <v>0</v>
      </c>
      <c r="AF2877" s="40" t="s">
        <v>853</v>
      </c>
      <c r="AG2877" s="42">
        <v>0</v>
      </c>
      <c r="AH2877" s="42">
        <v>0</v>
      </c>
      <c r="AI2877" s="43"/>
      <c r="AJ2877" s="43">
        <f t="shared" si="83"/>
        <v>0</v>
      </c>
      <c r="AK2877" s="43">
        <f t="shared" si="86"/>
        <v>0</v>
      </c>
      <c r="AL2877" s="43"/>
      <c r="AM2877" s="43"/>
      <c r="AN2877" s="42"/>
      <c r="AO2877" s="42"/>
      <c r="AP2877" s="42"/>
      <c r="AQ2877" s="43"/>
      <c r="AR2877" s="42"/>
      <c r="AS2877" s="42"/>
    </row>
    <row r="2878" spans="1:45" ht="15" customHeight="1">
      <c r="A2878" s="56" t="s">
        <v>45</v>
      </c>
      <c r="B2878" s="21" t="s">
        <v>46</v>
      </c>
      <c r="C2878" s="57" t="s">
        <v>814</v>
      </c>
      <c r="D2878" s="22" t="s">
        <v>48</v>
      </c>
      <c r="E2878" s="58" t="s">
        <v>2896</v>
      </c>
      <c r="F2878" s="56" t="s">
        <v>2897</v>
      </c>
      <c r="G2878" s="26" t="s">
        <v>165</v>
      </c>
      <c r="H2878" s="25" t="s">
        <v>2898</v>
      </c>
      <c r="I2878" s="24" t="s">
        <v>3724</v>
      </c>
      <c r="J2878" s="56" t="s">
        <v>2899</v>
      </c>
      <c r="K2878" s="59" t="s">
        <v>2899</v>
      </c>
      <c r="L2878" s="48" t="s">
        <v>2900</v>
      </c>
      <c r="M2878" s="49" t="s">
        <v>4399</v>
      </c>
      <c r="N2878" s="49" t="s">
        <v>4400</v>
      </c>
      <c r="O2878" s="60">
        <v>6740</v>
      </c>
      <c r="P2878" s="61"/>
      <c r="Q2878" s="51">
        <f t="shared" si="85"/>
        <v>0</v>
      </c>
      <c r="R2878" s="31">
        <v>202310</v>
      </c>
      <c r="S2878" s="62" t="s">
        <v>4401</v>
      </c>
      <c r="T2878" s="33"/>
      <c r="U2878" s="58"/>
      <c r="V2878" s="58"/>
      <c r="W2878" s="226"/>
      <c r="X2878" s="63"/>
      <c r="Y2878" s="36">
        <v>44197</v>
      </c>
      <c r="Z2878" s="36">
        <v>44926</v>
      </c>
      <c r="AA2878" s="37"/>
      <c r="AB2878" s="38" t="s">
        <v>3807</v>
      </c>
      <c r="AC2878" s="38">
        <v>0</v>
      </c>
      <c r="AD2878" s="38">
        <v>0</v>
      </c>
      <c r="AE2878" s="42"/>
      <c r="AF2878" s="40" t="s">
        <v>503</v>
      </c>
      <c r="AG2878" s="42">
        <v>0</v>
      </c>
      <c r="AH2878" s="42">
        <v>0</v>
      </c>
      <c r="AI2878" s="43"/>
      <c r="AJ2878" s="43">
        <f t="shared" si="83"/>
        <v>0</v>
      </c>
      <c r="AK2878" s="43">
        <f t="shared" si="86"/>
        <v>0</v>
      </c>
      <c r="AL2878" s="43"/>
      <c r="AM2878" s="43"/>
      <c r="AN2878" s="42"/>
      <c r="AO2878" s="42"/>
      <c r="AP2878" s="42"/>
      <c r="AQ2878" s="43"/>
      <c r="AR2878" s="42"/>
      <c r="AS2878" s="42"/>
    </row>
    <row r="2879" spans="1:45" ht="15" customHeight="1">
      <c r="A2879" s="56" t="s">
        <v>45</v>
      </c>
      <c r="B2879" s="21" t="s">
        <v>46</v>
      </c>
      <c r="C2879" s="57" t="s">
        <v>814</v>
      </c>
      <c r="D2879" s="22" t="s">
        <v>48</v>
      </c>
      <c r="E2879" s="58" t="s">
        <v>2906</v>
      </c>
      <c r="F2879" s="56" t="s">
        <v>2907</v>
      </c>
      <c r="G2879" s="26" t="s">
        <v>165</v>
      </c>
      <c r="H2879" s="25" t="s">
        <v>2908</v>
      </c>
      <c r="I2879" s="24" t="s">
        <v>3724</v>
      </c>
      <c r="J2879" s="56" t="s">
        <v>2909</v>
      </c>
      <c r="K2879" s="59" t="s">
        <v>2907</v>
      </c>
      <c r="L2879" s="48" t="s">
        <v>2910</v>
      </c>
      <c r="M2879" s="49" t="s">
        <v>4402</v>
      </c>
      <c r="N2879" s="49" t="s">
        <v>4403</v>
      </c>
      <c r="O2879" s="60">
        <v>6740</v>
      </c>
      <c r="P2879" s="61"/>
      <c r="Q2879" s="51">
        <f t="shared" si="85"/>
        <v>0</v>
      </c>
      <c r="R2879" s="31">
        <v>202310</v>
      </c>
      <c r="S2879" s="62" t="s">
        <v>4404</v>
      </c>
      <c r="T2879" s="33"/>
      <c r="U2879" s="58"/>
      <c r="V2879" s="58"/>
      <c r="W2879" s="226"/>
      <c r="X2879" s="63"/>
      <c r="Y2879" s="36">
        <v>44197</v>
      </c>
      <c r="Z2879" s="36">
        <v>44926</v>
      </c>
      <c r="AA2879" s="37"/>
      <c r="AB2879" s="38" t="s">
        <v>3807</v>
      </c>
      <c r="AC2879" s="38">
        <v>0</v>
      </c>
      <c r="AD2879" s="38">
        <v>0</v>
      </c>
      <c r="AE2879" s="42">
        <v>0</v>
      </c>
      <c r="AF2879" s="40" t="s">
        <v>503</v>
      </c>
      <c r="AG2879" s="42">
        <v>0</v>
      </c>
      <c r="AH2879" s="42">
        <v>0</v>
      </c>
      <c r="AI2879" s="43"/>
      <c r="AJ2879" s="43">
        <f t="shared" si="83"/>
        <v>0</v>
      </c>
      <c r="AK2879" s="43">
        <f t="shared" si="86"/>
        <v>0</v>
      </c>
      <c r="AL2879" s="43"/>
      <c r="AM2879" s="43"/>
      <c r="AN2879" s="42"/>
      <c r="AO2879" s="42"/>
      <c r="AP2879" s="42"/>
      <c r="AQ2879" s="43"/>
      <c r="AR2879" s="42"/>
      <c r="AS2879" s="42"/>
    </row>
    <row r="2880" spans="1:45" ht="15" customHeight="1">
      <c r="A2880" s="56" t="s">
        <v>45</v>
      </c>
      <c r="B2880" s="21" t="s">
        <v>46</v>
      </c>
      <c r="C2880" s="57" t="s">
        <v>814</v>
      </c>
      <c r="D2880" s="22" t="s">
        <v>48</v>
      </c>
      <c r="E2880" s="58" t="s">
        <v>2906</v>
      </c>
      <c r="F2880" s="56" t="s">
        <v>2907</v>
      </c>
      <c r="G2880" s="26" t="s">
        <v>165</v>
      </c>
      <c r="H2880" s="25" t="s">
        <v>2908</v>
      </c>
      <c r="I2880" s="24" t="s">
        <v>3724</v>
      </c>
      <c r="J2880" s="56" t="s">
        <v>2914</v>
      </c>
      <c r="K2880" s="59" t="s">
        <v>2915</v>
      </c>
      <c r="L2880" s="48" t="s">
        <v>2916</v>
      </c>
      <c r="M2880" s="49" t="s">
        <v>4405</v>
      </c>
      <c r="N2880" s="49" t="s">
        <v>4260</v>
      </c>
      <c r="O2880" s="60">
        <v>6740</v>
      </c>
      <c r="P2880" s="61"/>
      <c r="Q2880" s="51">
        <f t="shared" si="85"/>
        <v>0</v>
      </c>
      <c r="R2880" s="31">
        <v>202310</v>
      </c>
      <c r="S2880" s="62" t="s">
        <v>4406</v>
      </c>
      <c r="T2880" s="33"/>
      <c r="U2880" s="58"/>
      <c r="V2880" s="58"/>
      <c r="W2880" s="226"/>
      <c r="X2880" s="63"/>
      <c r="Y2880" s="36">
        <v>44197</v>
      </c>
      <c r="Z2880" s="36">
        <v>44926</v>
      </c>
      <c r="AA2880" s="37"/>
      <c r="AB2880" s="38" t="s">
        <v>3807</v>
      </c>
      <c r="AC2880" s="38">
        <v>0</v>
      </c>
      <c r="AD2880" s="38">
        <v>0</v>
      </c>
      <c r="AE2880" s="42">
        <v>0</v>
      </c>
      <c r="AF2880" s="40" t="s">
        <v>503</v>
      </c>
      <c r="AG2880" s="42">
        <v>0</v>
      </c>
      <c r="AH2880" s="42">
        <v>0</v>
      </c>
      <c r="AI2880" s="43"/>
      <c r="AJ2880" s="43">
        <f t="shared" si="83"/>
        <v>0</v>
      </c>
      <c r="AK2880" s="43">
        <f t="shared" si="86"/>
        <v>0</v>
      </c>
      <c r="AL2880" s="43"/>
      <c r="AM2880" s="43"/>
      <c r="AN2880" s="42"/>
      <c r="AO2880" s="42"/>
      <c r="AP2880" s="42"/>
      <c r="AQ2880" s="43"/>
      <c r="AR2880" s="42"/>
      <c r="AS2880" s="42"/>
    </row>
    <row r="2881" spans="1:45" ht="15" customHeight="1">
      <c r="A2881" s="56" t="s">
        <v>45</v>
      </c>
      <c r="B2881" s="21" t="s">
        <v>46</v>
      </c>
      <c r="C2881" s="57" t="s">
        <v>814</v>
      </c>
      <c r="D2881" s="22" t="s">
        <v>48</v>
      </c>
      <c r="E2881" s="58" t="s">
        <v>2923</v>
      </c>
      <c r="F2881" s="56" t="s">
        <v>2924</v>
      </c>
      <c r="G2881" s="26" t="s">
        <v>165</v>
      </c>
      <c r="H2881" s="25" t="s">
        <v>2925</v>
      </c>
      <c r="I2881" s="24" t="s">
        <v>3724</v>
      </c>
      <c r="J2881" s="56" t="s">
        <v>2926</v>
      </c>
      <c r="K2881" s="59" t="s">
        <v>2924</v>
      </c>
      <c r="L2881" s="48" t="s">
        <v>2927</v>
      </c>
      <c r="M2881" s="49">
        <v>45017</v>
      </c>
      <c r="N2881" s="49" t="s">
        <v>1542</v>
      </c>
      <c r="O2881" s="60">
        <v>6740</v>
      </c>
      <c r="P2881" s="61"/>
      <c r="Q2881" s="51">
        <f t="shared" si="85"/>
        <v>0</v>
      </c>
      <c r="R2881" s="31">
        <v>202310</v>
      </c>
      <c r="S2881" s="62" t="s">
        <v>4407</v>
      </c>
      <c r="T2881" s="33"/>
      <c r="U2881" s="58"/>
      <c r="V2881" s="58"/>
      <c r="W2881" s="232"/>
      <c r="X2881" s="63"/>
      <c r="Y2881" s="36">
        <v>45108</v>
      </c>
      <c r="Z2881" s="36">
        <v>45382</v>
      </c>
      <c r="AA2881" s="37" t="s">
        <v>4408</v>
      </c>
      <c r="AB2881" s="38">
        <v>0.4</v>
      </c>
      <c r="AC2881" s="38">
        <v>200</v>
      </c>
      <c r="AD2881" s="38">
        <f t="shared" si="84"/>
        <v>80</v>
      </c>
      <c r="AE2881" s="39" t="s">
        <v>130</v>
      </c>
      <c r="AF2881" s="40" t="s">
        <v>484</v>
      </c>
      <c r="AG2881" s="42">
        <v>0</v>
      </c>
      <c r="AH2881" s="42">
        <v>200</v>
      </c>
      <c r="AI2881" s="43"/>
      <c r="AJ2881" s="43">
        <f t="shared" si="83"/>
        <v>0</v>
      </c>
      <c r="AK2881" s="43">
        <f t="shared" si="86"/>
        <v>0</v>
      </c>
      <c r="AL2881" s="43"/>
      <c r="AM2881" s="43"/>
      <c r="AN2881" s="42"/>
      <c r="AO2881" s="42"/>
      <c r="AP2881" s="42"/>
      <c r="AQ2881" s="43"/>
      <c r="AR2881" s="42"/>
      <c r="AS2881" s="42" t="s">
        <v>2929</v>
      </c>
    </row>
    <row r="2882" spans="1:45" ht="15" customHeight="1">
      <c r="A2882" s="56" t="s">
        <v>45</v>
      </c>
      <c r="B2882" s="21" t="s">
        <v>46</v>
      </c>
      <c r="C2882" s="57" t="s">
        <v>814</v>
      </c>
      <c r="D2882" s="22" t="s">
        <v>48</v>
      </c>
      <c r="E2882" s="58" t="s">
        <v>2934</v>
      </c>
      <c r="F2882" s="56" t="s">
        <v>2935</v>
      </c>
      <c r="G2882" s="26" t="s">
        <v>165</v>
      </c>
      <c r="H2882" s="133" t="s">
        <v>2936</v>
      </c>
      <c r="I2882" s="24" t="s">
        <v>3724</v>
      </c>
      <c r="J2882" s="56" t="s">
        <v>2937</v>
      </c>
      <c r="K2882" s="59" t="s">
        <v>2938</v>
      </c>
      <c r="L2882" s="48" t="s">
        <v>2939</v>
      </c>
      <c r="M2882" s="49">
        <v>44816</v>
      </c>
      <c r="N2882" s="49" t="s">
        <v>1542</v>
      </c>
      <c r="O2882" s="60">
        <v>6740</v>
      </c>
      <c r="P2882" s="61"/>
      <c r="Q2882" s="51">
        <f t="shared" si="85"/>
        <v>0</v>
      </c>
      <c r="R2882" s="31">
        <v>202310</v>
      </c>
      <c r="S2882" s="62" t="s">
        <v>4409</v>
      </c>
      <c r="T2882" s="33"/>
      <c r="U2882" s="58"/>
      <c r="V2882" s="58"/>
      <c r="W2882" s="232"/>
      <c r="X2882" s="247"/>
      <c r="Y2882" s="36"/>
      <c r="Z2882" s="36"/>
      <c r="AA2882" s="37" t="s">
        <v>4410</v>
      </c>
      <c r="AB2882" s="38">
        <v>0.4</v>
      </c>
      <c r="AC2882" s="38">
        <v>200</v>
      </c>
      <c r="AD2882" s="38">
        <f t="shared" si="84"/>
        <v>80</v>
      </c>
      <c r="AE2882" s="39" t="s">
        <v>130</v>
      </c>
      <c r="AF2882" s="40" t="s">
        <v>484</v>
      </c>
      <c r="AG2882" s="42">
        <v>200</v>
      </c>
      <c r="AH2882" s="42">
        <v>0</v>
      </c>
      <c r="AI2882" s="43"/>
      <c r="AJ2882" s="43">
        <f t="shared" si="83"/>
        <v>0</v>
      </c>
      <c r="AK2882" s="43">
        <f t="shared" si="86"/>
        <v>0</v>
      </c>
      <c r="AL2882" s="43"/>
      <c r="AM2882" s="43"/>
      <c r="AN2882" s="42"/>
      <c r="AO2882" s="42"/>
      <c r="AP2882" s="42"/>
      <c r="AQ2882" s="43"/>
      <c r="AR2882" s="42"/>
      <c r="AS2882" s="42" t="s">
        <v>2941</v>
      </c>
    </row>
    <row r="2883" spans="1:45" ht="15" customHeight="1">
      <c r="A2883" s="56" t="s">
        <v>45</v>
      </c>
      <c r="B2883" s="21" t="s">
        <v>46</v>
      </c>
      <c r="C2883" s="57" t="s">
        <v>814</v>
      </c>
      <c r="D2883" s="22" t="s">
        <v>48</v>
      </c>
      <c r="E2883" s="58" t="s">
        <v>2944</v>
      </c>
      <c r="F2883" s="56" t="s">
        <v>2945</v>
      </c>
      <c r="G2883" s="26" t="s">
        <v>165</v>
      </c>
      <c r="H2883" s="25" t="s">
        <v>2946</v>
      </c>
      <c r="I2883" s="24" t="s">
        <v>3724</v>
      </c>
      <c r="J2883" s="56" t="s">
        <v>2948</v>
      </c>
      <c r="K2883" s="59" t="s">
        <v>2948</v>
      </c>
      <c r="L2883" s="48" t="s">
        <v>2949</v>
      </c>
      <c r="M2883" s="49" t="s">
        <v>4411</v>
      </c>
      <c r="N2883" s="75" t="s">
        <v>4412</v>
      </c>
      <c r="O2883" s="60">
        <v>6740</v>
      </c>
      <c r="P2883" s="61"/>
      <c r="Q2883" s="51">
        <f t="shared" si="85"/>
        <v>0</v>
      </c>
      <c r="R2883" s="31">
        <v>202310</v>
      </c>
      <c r="S2883" s="62" t="s">
        <v>4413</v>
      </c>
      <c r="T2883" s="33"/>
      <c r="U2883" s="58"/>
      <c r="V2883" s="58"/>
      <c r="W2883" s="232"/>
      <c r="X2883" s="63"/>
      <c r="Y2883" s="36">
        <v>45108</v>
      </c>
      <c r="Z2883" s="36">
        <v>45473</v>
      </c>
      <c r="AA2883" s="37" t="s">
        <v>4414</v>
      </c>
      <c r="AB2883" s="38">
        <v>0.4</v>
      </c>
      <c r="AC2883" s="38">
        <v>120</v>
      </c>
      <c r="AD2883" s="38">
        <f t="shared" si="84"/>
        <v>48</v>
      </c>
      <c r="AE2883" s="39" t="s">
        <v>130</v>
      </c>
      <c r="AF2883" s="40" t="s">
        <v>503</v>
      </c>
      <c r="AG2883" s="42">
        <v>0</v>
      </c>
      <c r="AH2883" s="42">
        <f>AC2883-AG2883</f>
        <v>120</v>
      </c>
      <c r="AI2883" s="43"/>
      <c r="AJ2883" s="43">
        <f t="shared" si="83"/>
        <v>0</v>
      </c>
      <c r="AK2883" s="43">
        <f t="shared" si="86"/>
        <v>0</v>
      </c>
      <c r="AL2883" s="43"/>
      <c r="AM2883" s="43"/>
      <c r="AN2883" s="42"/>
      <c r="AO2883" s="42"/>
      <c r="AP2883" s="42"/>
      <c r="AQ2883" s="43"/>
      <c r="AR2883" s="42"/>
      <c r="AS2883" s="42"/>
    </row>
    <row r="2884" spans="1:45" ht="15" customHeight="1">
      <c r="A2884" s="56" t="s">
        <v>45</v>
      </c>
      <c r="B2884" s="21" t="s">
        <v>46</v>
      </c>
      <c r="C2884" s="57" t="s">
        <v>814</v>
      </c>
      <c r="D2884" s="22" t="s">
        <v>48</v>
      </c>
      <c r="E2884" s="58" t="s">
        <v>2944</v>
      </c>
      <c r="F2884" s="56" t="s">
        <v>2945</v>
      </c>
      <c r="G2884" s="26" t="s">
        <v>165</v>
      </c>
      <c r="H2884" s="25" t="s">
        <v>2957</v>
      </c>
      <c r="I2884" s="24" t="s">
        <v>3724</v>
      </c>
      <c r="J2884" s="56" t="s">
        <v>2947</v>
      </c>
      <c r="K2884" s="59" t="s">
        <v>2958</v>
      </c>
      <c r="L2884" s="48" t="s">
        <v>2949</v>
      </c>
      <c r="M2884" s="49">
        <v>44812</v>
      </c>
      <c r="N2884" s="49" t="s">
        <v>4415</v>
      </c>
      <c r="O2884" s="60">
        <v>6740</v>
      </c>
      <c r="P2884" s="61"/>
      <c r="Q2884" s="51">
        <f t="shared" si="85"/>
        <v>0</v>
      </c>
      <c r="R2884" s="31">
        <v>202310</v>
      </c>
      <c r="S2884" s="62" t="s">
        <v>4416</v>
      </c>
      <c r="T2884" s="33"/>
      <c r="U2884" s="58"/>
      <c r="V2884" s="58"/>
      <c r="W2884" s="232"/>
      <c r="X2884" s="63"/>
      <c r="Y2884" s="36"/>
      <c r="Z2884" s="36"/>
      <c r="AA2884" s="37" t="s">
        <v>4417</v>
      </c>
      <c r="AB2884" s="38">
        <v>0.4</v>
      </c>
      <c r="AC2884" s="38">
        <v>260</v>
      </c>
      <c r="AD2884" s="38">
        <f t="shared" si="84"/>
        <v>104</v>
      </c>
      <c r="AE2884" s="39" t="s">
        <v>130</v>
      </c>
      <c r="AF2884" s="40" t="s">
        <v>484</v>
      </c>
      <c r="AG2884" s="42">
        <v>260</v>
      </c>
      <c r="AH2884" s="42">
        <v>0</v>
      </c>
      <c r="AI2884" s="43"/>
      <c r="AJ2884" s="43">
        <f t="shared" si="83"/>
        <v>0</v>
      </c>
      <c r="AK2884" s="43">
        <f t="shared" si="86"/>
        <v>0</v>
      </c>
      <c r="AL2884" s="43"/>
      <c r="AM2884" s="43"/>
      <c r="AN2884" s="42"/>
      <c r="AO2884" s="42"/>
      <c r="AP2884" s="42"/>
      <c r="AQ2884" s="43"/>
      <c r="AR2884" s="42"/>
      <c r="AS2884" s="42"/>
    </row>
    <row r="2885" spans="1:45" ht="15" customHeight="1">
      <c r="A2885" s="56" t="s">
        <v>45</v>
      </c>
      <c r="B2885" s="21" t="s">
        <v>46</v>
      </c>
      <c r="C2885" s="57" t="s">
        <v>814</v>
      </c>
      <c r="D2885" s="22" t="s">
        <v>48</v>
      </c>
      <c r="E2885" s="58" t="s">
        <v>2965</v>
      </c>
      <c r="F2885" s="56" t="s">
        <v>2966</v>
      </c>
      <c r="G2885" s="26" t="s">
        <v>165</v>
      </c>
      <c r="H2885" s="25" t="s">
        <v>2967</v>
      </c>
      <c r="I2885" s="24" t="s">
        <v>3724</v>
      </c>
      <c r="J2885" s="56" t="s">
        <v>2968</v>
      </c>
      <c r="K2885" s="59" t="s">
        <v>2968</v>
      </c>
      <c r="L2885" s="48" t="s">
        <v>2969</v>
      </c>
      <c r="M2885" s="49" t="s">
        <v>4418</v>
      </c>
      <c r="N2885" s="49" t="s">
        <v>4419</v>
      </c>
      <c r="O2885" s="60">
        <v>6740</v>
      </c>
      <c r="P2885" s="61"/>
      <c r="Q2885" s="51">
        <f t="shared" si="85"/>
        <v>0</v>
      </c>
      <c r="R2885" s="31">
        <v>202310</v>
      </c>
      <c r="S2885" s="62" t="s">
        <v>4420</v>
      </c>
      <c r="T2885" s="33"/>
      <c r="U2885" s="58"/>
      <c r="V2885" s="58"/>
      <c r="W2885" s="232"/>
      <c r="X2885" s="63"/>
      <c r="Y2885" s="36">
        <v>45108</v>
      </c>
      <c r="Z2885" s="36">
        <v>45473</v>
      </c>
      <c r="AA2885" s="37" t="s">
        <v>4421</v>
      </c>
      <c r="AB2885" s="38">
        <v>0.4</v>
      </c>
      <c r="AC2885" s="38">
        <v>80</v>
      </c>
      <c r="AD2885" s="38">
        <f t="shared" si="84"/>
        <v>32</v>
      </c>
      <c r="AE2885" s="39" t="s">
        <v>130</v>
      </c>
      <c r="AF2885" s="40" t="s">
        <v>503</v>
      </c>
      <c r="AG2885" s="42">
        <v>0</v>
      </c>
      <c r="AH2885" s="42">
        <f>AC2885-AG2885</f>
        <v>80</v>
      </c>
      <c r="AI2885" s="43"/>
      <c r="AJ2885" s="43">
        <f t="shared" si="83"/>
        <v>0</v>
      </c>
      <c r="AK2885" s="43">
        <f t="shared" si="86"/>
        <v>0</v>
      </c>
      <c r="AL2885" s="43"/>
      <c r="AM2885" s="43"/>
      <c r="AN2885" s="42"/>
      <c r="AO2885" s="42"/>
      <c r="AP2885" s="42"/>
      <c r="AQ2885" s="43"/>
      <c r="AR2885" s="42"/>
      <c r="AS2885" s="42"/>
    </row>
    <row r="2886" spans="1:45" ht="15" customHeight="1">
      <c r="A2886" s="56" t="s">
        <v>45</v>
      </c>
      <c r="B2886" s="21" t="s">
        <v>46</v>
      </c>
      <c r="C2886" s="57" t="s">
        <v>814</v>
      </c>
      <c r="D2886" s="22" t="s">
        <v>48</v>
      </c>
      <c r="E2886" s="58" t="s">
        <v>2977</v>
      </c>
      <c r="F2886" s="56" t="s">
        <v>2978</v>
      </c>
      <c r="G2886" s="26" t="s">
        <v>165</v>
      </c>
      <c r="H2886" s="133" t="s">
        <v>3563</v>
      </c>
      <c r="I2886" s="24" t="s">
        <v>3724</v>
      </c>
      <c r="J2886" s="56" t="s">
        <v>2980</v>
      </c>
      <c r="K2886" s="59" t="s">
        <v>2978</v>
      </c>
      <c r="L2886" s="48" t="s">
        <v>2981</v>
      </c>
      <c r="M2886" s="75" t="s">
        <v>4422</v>
      </c>
      <c r="N2886" s="75" t="s">
        <v>4423</v>
      </c>
      <c r="O2886" s="60">
        <v>6740</v>
      </c>
      <c r="P2886" s="61"/>
      <c r="Q2886" s="51">
        <f t="shared" si="85"/>
        <v>0</v>
      </c>
      <c r="R2886" s="31">
        <v>202310</v>
      </c>
      <c r="S2886" s="62" t="s">
        <v>4424</v>
      </c>
      <c r="T2886" s="33"/>
      <c r="U2886" s="58"/>
      <c r="V2886" s="58"/>
      <c r="W2886" s="232"/>
      <c r="X2886" s="63"/>
      <c r="Y2886" s="36"/>
      <c r="Z2886" s="36"/>
      <c r="AA2886" s="37" t="s">
        <v>4425</v>
      </c>
      <c r="AB2886" s="38">
        <v>0.4</v>
      </c>
      <c r="AC2886" s="38">
        <v>700</v>
      </c>
      <c r="AD2886" s="38">
        <f t="shared" si="84"/>
        <v>280</v>
      </c>
      <c r="AE2886" s="39" t="s">
        <v>130</v>
      </c>
      <c r="AF2886" s="40" t="s">
        <v>484</v>
      </c>
      <c r="AG2886" s="42">
        <v>700</v>
      </c>
      <c r="AH2886" s="42">
        <v>0</v>
      </c>
      <c r="AI2886" s="43"/>
      <c r="AJ2886" s="43">
        <f t="shared" si="83"/>
        <v>0</v>
      </c>
      <c r="AK2886" s="43">
        <f t="shared" si="86"/>
        <v>0</v>
      </c>
      <c r="AL2886" s="43"/>
      <c r="AM2886" s="43"/>
      <c r="AN2886" s="42"/>
      <c r="AO2886" s="42"/>
      <c r="AP2886" s="42"/>
      <c r="AQ2886" s="43"/>
      <c r="AR2886" s="42"/>
      <c r="AS2886" s="42"/>
    </row>
    <row r="2887" spans="1:45" ht="15" customHeight="1">
      <c r="A2887" s="135" t="s">
        <v>260</v>
      </c>
      <c r="B2887" s="136" t="s">
        <v>837</v>
      </c>
      <c r="C2887" s="136" t="s">
        <v>838</v>
      </c>
      <c r="D2887" s="136" t="s">
        <v>48</v>
      </c>
      <c r="E2887" s="198" t="s">
        <v>839</v>
      </c>
      <c r="F2887" s="76" t="s">
        <v>840</v>
      </c>
      <c r="G2887" s="74" t="s">
        <v>165</v>
      </c>
      <c r="H2887" s="74" t="s">
        <v>841</v>
      </c>
      <c r="I2887" s="76" t="s">
        <v>4013</v>
      </c>
      <c r="J2887" s="76" t="s">
        <v>860</v>
      </c>
      <c r="K2887" s="146" t="s">
        <v>850</v>
      </c>
      <c r="L2887" s="199" t="s">
        <v>844</v>
      </c>
      <c r="M2887" s="76" t="s">
        <v>4426</v>
      </c>
      <c r="N2887" s="200" t="s">
        <v>4397</v>
      </c>
      <c r="O2887" s="207">
        <v>9500</v>
      </c>
      <c r="P2887" s="201"/>
      <c r="Q2887" s="248">
        <f t="shared" si="85"/>
        <v>0</v>
      </c>
      <c r="R2887" s="31">
        <v>202310</v>
      </c>
      <c r="S2887" s="202" t="s">
        <v>4427</v>
      </c>
      <c r="T2887" s="33"/>
      <c r="U2887" s="203"/>
      <c r="V2887" s="204"/>
      <c r="W2887" s="226"/>
      <c r="X2887" s="206"/>
      <c r="Y2887" s="36"/>
      <c r="Z2887" s="36"/>
      <c r="AA2887" s="210" t="s">
        <v>4428</v>
      </c>
      <c r="AB2887" s="38" t="s">
        <v>3807</v>
      </c>
      <c r="AC2887" s="249">
        <v>0</v>
      </c>
      <c r="AD2887" s="250">
        <v>0</v>
      </c>
      <c r="AE2887" s="251"/>
      <c r="AF2887" s="144" t="s">
        <v>853</v>
      </c>
      <c r="AG2887" s="144"/>
      <c r="AH2887" s="144"/>
      <c r="AI2887" s="42"/>
      <c r="AJ2887" s="43">
        <f t="shared" ref="AJ2887:AJ2915" si="87">X2887</f>
        <v>0</v>
      </c>
      <c r="AK2887" s="43">
        <f t="shared" si="86"/>
        <v>0</v>
      </c>
      <c r="AL2887" s="43"/>
      <c r="AM2887" s="43"/>
      <c r="AN2887" s="42"/>
      <c r="AO2887" s="210"/>
      <c r="AP2887" s="42"/>
      <c r="AQ2887" s="42"/>
      <c r="AR2887" s="42"/>
      <c r="AS2887" s="42" t="s">
        <v>846</v>
      </c>
    </row>
    <row r="2888" spans="1:45" ht="15" customHeight="1">
      <c r="A2888" s="135" t="s">
        <v>260</v>
      </c>
      <c r="B2888" s="136" t="s">
        <v>837</v>
      </c>
      <c r="C2888" s="136" t="s">
        <v>838</v>
      </c>
      <c r="D2888" s="136" t="s">
        <v>48</v>
      </c>
      <c r="E2888" s="198" t="s">
        <v>839</v>
      </c>
      <c r="F2888" s="76" t="s">
        <v>840</v>
      </c>
      <c r="G2888" s="74" t="s">
        <v>165</v>
      </c>
      <c r="H2888" s="74" t="s">
        <v>841</v>
      </c>
      <c r="I2888" s="24" t="s">
        <v>3724</v>
      </c>
      <c r="J2888" s="76" t="s">
        <v>865</v>
      </c>
      <c r="K2888" s="146" t="s">
        <v>843</v>
      </c>
      <c r="L2888" s="199" t="s">
        <v>844</v>
      </c>
      <c r="M2888" s="76" t="s">
        <v>4429</v>
      </c>
      <c r="N2888" s="200" t="s">
        <v>4430</v>
      </c>
      <c r="O2888" s="207">
        <v>9500</v>
      </c>
      <c r="P2888" s="201"/>
      <c r="Q2888" s="208">
        <f t="shared" si="85"/>
        <v>0</v>
      </c>
      <c r="R2888" s="31">
        <v>202310</v>
      </c>
      <c r="S2888" s="202" t="s">
        <v>4431</v>
      </c>
      <c r="T2888" s="33"/>
      <c r="U2888" s="203"/>
      <c r="V2888" s="144"/>
      <c r="W2888" s="232"/>
      <c r="X2888" s="144"/>
      <c r="Y2888" s="36"/>
      <c r="Z2888" s="36"/>
      <c r="AA2888" s="42" t="s">
        <v>4432</v>
      </c>
      <c r="AB2888" s="43">
        <v>0.3</v>
      </c>
      <c r="AC2888" s="43">
        <v>100</v>
      </c>
      <c r="AD2888" s="42">
        <v>30</v>
      </c>
      <c r="AE2888" s="39" t="s">
        <v>3850</v>
      </c>
      <c r="AF2888" s="42" t="s">
        <v>503</v>
      </c>
      <c r="AG2888" s="42"/>
      <c r="AH2888" s="42">
        <v>100</v>
      </c>
      <c r="AI2888" s="43"/>
      <c r="AJ2888" s="43">
        <f t="shared" si="87"/>
        <v>0</v>
      </c>
      <c r="AK2888" s="43">
        <f t="shared" si="86"/>
        <v>0</v>
      </c>
      <c r="AL2888" s="42"/>
      <c r="AM2888" s="42"/>
      <c r="AN2888" s="42"/>
      <c r="AO2888" s="42" t="s">
        <v>4321</v>
      </c>
      <c r="AP2888" s="42"/>
      <c r="AQ2888" s="42"/>
      <c r="AR2888" s="42"/>
      <c r="AS2888" s="42" t="s">
        <v>846</v>
      </c>
    </row>
    <row r="2889" spans="1:45" ht="15" customHeight="1">
      <c r="A2889" s="135" t="s">
        <v>260</v>
      </c>
      <c r="B2889" s="136" t="s">
        <v>837</v>
      </c>
      <c r="C2889" s="136" t="s">
        <v>838</v>
      </c>
      <c r="D2889" s="136" t="s">
        <v>48</v>
      </c>
      <c r="E2889" s="198" t="s">
        <v>839</v>
      </c>
      <c r="F2889" s="76" t="s">
        <v>840</v>
      </c>
      <c r="G2889" s="74" t="s">
        <v>165</v>
      </c>
      <c r="H2889" s="74" t="s">
        <v>841</v>
      </c>
      <c r="I2889" s="24" t="s">
        <v>3724</v>
      </c>
      <c r="J2889" s="76" t="s">
        <v>855</v>
      </c>
      <c r="K2889" s="146" t="s">
        <v>856</v>
      </c>
      <c r="L2889" s="199" t="s">
        <v>857</v>
      </c>
      <c r="M2889" s="76" t="s">
        <v>4433</v>
      </c>
      <c r="N2889" s="200" t="s">
        <v>4434</v>
      </c>
      <c r="O2889" s="207">
        <v>9500</v>
      </c>
      <c r="P2889" s="201"/>
      <c r="Q2889" s="208">
        <f t="shared" si="85"/>
        <v>0</v>
      </c>
      <c r="R2889" s="31">
        <v>202310</v>
      </c>
      <c r="S2889" s="202" t="s">
        <v>4435</v>
      </c>
      <c r="T2889" s="33"/>
      <c r="U2889" s="203"/>
      <c r="V2889" s="204"/>
      <c r="W2889" s="232"/>
      <c r="X2889" s="206"/>
      <c r="Y2889" s="36"/>
      <c r="Z2889" s="36"/>
      <c r="AA2889" s="210" t="s">
        <v>4436</v>
      </c>
      <c r="AB2889" s="43">
        <v>0.3</v>
      </c>
      <c r="AC2889" s="43">
        <v>30</v>
      </c>
      <c r="AD2889" s="42">
        <v>9</v>
      </c>
      <c r="AE2889" s="39" t="s">
        <v>3850</v>
      </c>
      <c r="AF2889" s="190" t="s">
        <v>503</v>
      </c>
      <c r="AG2889" s="190"/>
      <c r="AH2889" s="190">
        <v>30</v>
      </c>
      <c r="AI2889" s="43"/>
      <c r="AJ2889" s="43">
        <f t="shared" si="87"/>
        <v>0</v>
      </c>
      <c r="AK2889" s="43">
        <f t="shared" si="86"/>
        <v>0</v>
      </c>
      <c r="AL2889" s="43"/>
      <c r="AM2889" s="43"/>
      <c r="AN2889" s="42"/>
      <c r="AO2889" s="42" t="s">
        <v>4321</v>
      </c>
      <c r="AP2889" s="42"/>
      <c r="AQ2889" s="42"/>
      <c r="AR2889" s="42"/>
      <c r="AS2889" s="42" t="s">
        <v>846</v>
      </c>
    </row>
    <row r="2890" spans="1:45" ht="15" customHeight="1">
      <c r="A2890" s="135" t="s">
        <v>258</v>
      </c>
      <c r="B2890" s="136" t="s">
        <v>837</v>
      </c>
      <c r="C2890" s="136" t="s">
        <v>838</v>
      </c>
      <c r="D2890" s="136" t="s">
        <v>48</v>
      </c>
      <c r="E2890" s="137" t="s">
        <v>2024</v>
      </c>
      <c r="F2890" s="76" t="s">
        <v>2025</v>
      </c>
      <c r="G2890" s="74" t="s">
        <v>165</v>
      </c>
      <c r="H2890" s="26" t="s">
        <v>2026</v>
      </c>
      <c r="I2890" s="24" t="s">
        <v>3724</v>
      </c>
      <c r="J2890" s="76" t="s">
        <v>865</v>
      </c>
      <c r="K2890" s="146" t="s">
        <v>2027</v>
      </c>
      <c r="L2890" s="199" t="s">
        <v>2032</v>
      </c>
      <c r="M2890" s="76" t="s">
        <v>4437</v>
      </c>
      <c r="N2890" s="200" t="s">
        <v>4438</v>
      </c>
      <c r="O2890" s="139">
        <v>9000</v>
      </c>
      <c r="P2890" s="201"/>
      <c r="Q2890" s="208">
        <f t="shared" si="85"/>
        <v>0</v>
      </c>
      <c r="R2890" s="31">
        <v>202310</v>
      </c>
      <c r="S2890" s="202" t="s">
        <v>4439</v>
      </c>
      <c r="T2890" s="33"/>
      <c r="U2890" s="203"/>
      <c r="V2890" s="204"/>
      <c r="W2890" s="232"/>
      <c r="X2890" s="252"/>
      <c r="Y2890" s="36">
        <v>43915</v>
      </c>
      <c r="Z2890" s="36">
        <v>45382</v>
      </c>
      <c r="AA2890" s="210" t="s">
        <v>4440</v>
      </c>
      <c r="AB2890" s="253">
        <v>0.3</v>
      </c>
      <c r="AC2890" s="249">
        <v>20</v>
      </c>
      <c r="AD2890" s="247">
        <v>6</v>
      </c>
      <c r="AE2890" s="254" t="s">
        <v>3850</v>
      </c>
      <c r="AF2890" s="190" t="s">
        <v>503</v>
      </c>
      <c r="AG2890" s="190"/>
      <c r="AH2890" s="190">
        <v>20</v>
      </c>
      <c r="AI2890" s="42"/>
      <c r="AJ2890" s="43">
        <f t="shared" si="87"/>
        <v>0</v>
      </c>
      <c r="AK2890" s="43">
        <f t="shared" si="86"/>
        <v>0</v>
      </c>
      <c r="AL2890" s="43"/>
      <c r="AM2890" s="43"/>
      <c r="AN2890" s="42"/>
      <c r="AO2890" s="210" t="s">
        <v>4441</v>
      </c>
      <c r="AP2890" s="42"/>
      <c r="AQ2890" s="42"/>
      <c r="AR2890" s="42"/>
      <c r="AS2890" s="42"/>
    </row>
    <row r="2891" spans="1:45" ht="15" customHeight="1">
      <c r="A2891" s="135" t="s">
        <v>45</v>
      </c>
      <c r="B2891" s="136" t="s">
        <v>837</v>
      </c>
      <c r="C2891" s="136" t="s">
        <v>838</v>
      </c>
      <c r="D2891" s="136" t="s">
        <v>48</v>
      </c>
      <c r="E2891" s="198" t="s">
        <v>2430</v>
      </c>
      <c r="F2891" s="76" t="s">
        <v>2424</v>
      </c>
      <c r="G2891" s="74" t="s">
        <v>165</v>
      </c>
      <c r="H2891" s="26" t="s">
        <v>2425</v>
      </c>
      <c r="I2891" s="24" t="s">
        <v>3724</v>
      </c>
      <c r="J2891" s="76" t="s">
        <v>865</v>
      </c>
      <c r="K2891" s="146" t="s">
        <v>2424</v>
      </c>
      <c r="L2891" s="199" t="s">
        <v>2427</v>
      </c>
      <c r="M2891" s="76" t="s">
        <v>4442</v>
      </c>
      <c r="N2891" s="200" t="s">
        <v>4443</v>
      </c>
      <c r="O2891" s="207">
        <v>6740</v>
      </c>
      <c r="P2891" s="201"/>
      <c r="Q2891" s="248">
        <f t="shared" si="85"/>
        <v>0</v>
      </c>
      <c r="R2891" s="31">
        <v>202310</v>
      </c>
      <c r="S2891" s="202" t="s">
        <v>4444</v>
      </c>
      <c r="T2891" s="33"/>
      <c r="U2891" s="203"/>
      <c r="V2891" s="204"/>
      <c r="W2891" s="226"/>
      <c r="X2891" s="206"/>
      <c r="Y2891" s="36"/>
      <c r="Z2891" s="36"/>
      <c r="AA2891" s="210" t="s">
        <v>4445</v>
      </c>
      <c r="AB2891" s="38" t="s">
        <v>3807</v>
      </c>
      <c r="AC2891" s="249">
        <v>0</v>
      </c>
      <c r="AD2891" s="250">
        <v>0</v>
      </c>
      <c r="AE2891" s="251"/>
      <c r="AF2891" s="190" t="s">
        <v>503</v>
      </c>
      <c r="AG2891" s="190"/>
      <c r="AH2891" s="190"/>
      <c r="AI2891" s="42"/>
      <c r="AJ2891" s="43">
        <f t="shared" si="87"/>
        <v>0</v>
      </c>
      <c r="AK2891" s="43">
        <f t="shared" si="86"/>
        <v>0</v>
      </c>
      <c r="AL2891" s="43"/>
      <c r="AM2891" s="43"/>
      <c r="AN2891" s="42"/>
      <c r="AO2891" s="210"/>
      <c r="AP2891" s="42"/>
      <c r="AQ2891" s="42"/>
      <c r="AR2891" s="42"/>
      <c r="AS2891" s="42" t="s">
        <v>2429</v>
      </c>
    </row>
    <row r="2892" spans="1:45" ht="15" customHeight="1">
      <c r="A2892" s="135" t="s">
        <v>45</v>
      </c>
      <c r="B2892" s="136" t="s">
        <v>837</v>
      </c>
      <c r="C2892" s="136" t="s">
        <v>838</v>
      </c>
      <c r="D2892" s="136" t="s">
        <v>48</v>
      </c>
      <c r="E2892" s="198" t="s">
        <v>2430</v>
      </c>
      <c r="F2892" s="76" t="s">
        <v>2424</v>
      </c>
      <c r="G2892" s="74" t="s">
        <v>165</v>
      </c>
      <c r="H2892" s="26" t="s">
        <v>2425</v>
      </c>
      <c r="I2892" s="24" t="s">
        <v>3724</v>
      </c>
      <c r="J2892" s="135" t="s">
        <v>2426</v>
      </c>
      <c r="K2892" s="146" t="s">
        <v>2432</v>
      </c>
      <c r="L2892" s="199" t="s">
        <v>2433</v>
      </c>
      <c r="M2892" s="76" t="s">
        <v>4446</v>
      </c>
      <c r="N2892" s="200" t="s">
        <v>4447</v>
      </c>
      <c r="O2892" s="207">
        <v>6740</v>
      </c>
      <c r="P2892" s="201"/>
      <c r="Q2892" s="208">
        <f t="shared" si="85"/>
        <v>0</v>
      </c>
      <c r="R2892" s="31">
        <v>202310</v>
      </c>
      <c r="S2892" s="202" t="s">
        <v>4448</v>
      </c>
      <c r="T2892" s="33"/>
      <c r="U2892" s="203"/>
      <c r="V2892" s="204"/>
      <c r="W2892" s="232"/>
      <c r="X2892" s="206"/>
      <c r="Y2892" s="36"/>
      <c r="Z2892" s="36"/>
      <c r="AA2892" s="210" t="s">
        <v>4449</v>
      </c>
      <c r="AB2892" s="253">
        <v>0.4</v>
      </c>
      <c r="AC2892" s="255">
        <v>20</v>
      </c>
      <c r="AD2892" s="256">
        <v>8</v>
      </c>
      <c r="AE2892" s="39" t="s">
        <v>130</v>
      </c>
      <c r="AF2892" s="190" t="s">
        <v>503</v>
      </c>
      <c r="AG2892" s="190">
        <v>20</v>
      </c>
      <c r="AH2892" s="190">
        <v>0</v>
      </c>
      <c r="AI2892" s="42"/>
      <c r="AJ2892" s="43">
        <f t="shared" si="87"/>
        <v>0</v>
      </c>
      <c r="AK2892" s="43">
        <f t="shared" si="86"/>
        <v>0</v>
      </c>
      <c r="AL2892" s="43"/>
      <c r="AM2892" s="43"/>
      <c r="AN2892" s="42"/>
      <c r="AO2892" s="210"/>
      <c r="AP2892" s="42"/>
      <c r="AQ2892" s="42"/>
      <c r="AR2892" s="42"/>
      <c r="AS2892" s="42" t="s">
        <v>2435</v>
      </c>
    </row>
    <row r="2893" spans="1:45" ht="15" customHeight="1">
      <c r="A2893" s="135" t="s">
        <v>45</v>
      </c>
      <c r="B2893" s="136" t="s">
        <v>837</v>
      </c>
      <c r="C2893" s="136" t="s">
        <v>838</v>
      </c>
      <c r="D2893" s="136" t="s">
        <v>48</v>
      </c>
      <c r="E2893" s="198" t="s">
        <v>2430</v>
      </c>
      <c r="F2893" s="76" t="s">
        <v>2424</v>
      </c>
      <c r="G2893" s="74" t="s">
        <v>165</v>
      </c>
      <c r="H2893" s="26" t="s">
        <v>2425</v>
      </c>
      <c r="I2893" s="24" t="s">
        <v>3724</v>
      </c>
      <c r="J2893" s="76" t="s">
        <v>4450</v>
      </c>
      <c r="K2893" s="146" t="s">
        <v>2439</v>
      </c>
      <c r="L2893" s="199" t="s">
        <v>2433</v>
      </c>
      <c r="M2893" s="76" t="s">
        <v>4451</v>
      </c>
      <c r="N2893" s="200" t="s">
        <v>4452</v>
      </c>
      <c r="O2893" s="207">
        <v>6740</v>
      </c>
      <c r="P2893" s="201"/>
      <c r="Q2893" s="248">
        <f t="shared" si="85"/>
        <v>0</v>
      </c>
      <c r="R2893" s="31">
        <v>202310</v>
      </c>
      <c r="S2893" s="202" t="s">
        <v>4453</v>
      </c>
      <c r="T2893" s="33"/>
      <c r="U2893" s="203"/>
      <c r="V2893" s="204"/>
      <c r="W2893" s="226"/>
      <c r="X2893" s="206"/>
      <c r="Y2893" s="36"/>
      <c r="Z2893" s="36"/>
      <c r="AA2893" s="210" t="s">
        <v>4454</v>
      </c>
      <c r="AB2893" s="38" t="s">
        <v>3807</v>
      </c>
      <c r="AC2893" s="249">
        <v>0</v>
      </c>
      <c r="AD2893" s="250">
        <v>0</v>
      </c>
      <c r="AE2893" s="251"/>
      <c r="AF2893" s="190" t="s">
        <v>503</v>
      </c>
      <c r="AG2893" s="190"/>
      <c r="AH2893" s="190"/>
      <c r="AI2893" s="42"/>
      <c r="AJ2893" s="43">
        <f t="shared" si="87"/>
        <v>0</v>
      </c>
      <c r="AK2893" s="43">
        <f t="shared" si="86"/>
        <v>0</v>
      </c>
      <c r="AL2893" s="43"/>
      <c r="AM2893" s="43"/>
      <c r="AN2893" s="42"/>
      <c r="AO2893" s="210"/>
      <c r="AP2893" s="42"/>
      <c r="AQ2893" s="42"/>
      <c r="AR2893" s="42"/>
      <c r="AS2893" s="42" t="s">
        <v>2429</v>
      </c>
    </row>
    <row r="2894" spans="1:45" ht="15" customHeight="1">
      <c r="A2894" s="135" t="s">
        <v>45</v>
      </c>
      <c r="B2894" s="136" t="s">
        <v>837</v>
      </c>
      <c r="C2894" s="136" t="s">
        <v>838</v>
      </c>
      <c r="D2894" s="136" t="s">
        <v>48</v>
      </c>
      <c r="E2894" s="198" t="s">
        <v>2463</v>
      </c>
      <c r="F2894" s="76" t="s">
        <v>2464</v>
      </c>
      <c r="G2894" s="74" t="s">
        <v>165</v>
      </c>
      <c r="H2894" s="136" t="s">
        <v>2470</v>
      </c>
      <c r="I2894" s="24" t="s">
        <v>3724</v>
      </c>
      <c r="J2894" s="76" t="s">
        <v>2466</v>
      </c>
      <c r="K2894" s="146" t="s">
        <v>2467</v>
      </c>
      <c r="L2894" s="199" t="s">
        <v>4455</v>
      </c>
      <c r="M2894" s="75" t="s">
        <v>4456</v>
      </c>
      <c r="N2894" s="200" t="s">
        <v>4457</v>
      </c>
      <c r="O2894" s="139">
        <v>6740</v>
      </c>
      <c r="P2894" s="201"/>
      <c r="Q2894" s="208">
        <f t="shared" si="85"/>
        <v>0</v>
      </c>
      <c r="R2894" s="31">
        <v>202310</v>
      </c>
      <c r="S2894" s="203" t="s">
        <v>4458</v>
      </c>
      <c r="T2894" s="33"/>
      <c r="U2894" s="203" t="s">
        <v>4459</v>
      </c>
      <c r="V2894" s="178"/>
      <c r="W2894" s="232"/>
      <c r="X2894" s="206"/>
      <c r="Y2894" s="36"/>
      <c r="Z2894" s="36"/>
      <c r="AA2894" s="210" t="s">
        <v>4460</v>
      </c>
      <c r="AB2894" s="253">
        <v>0.4</v>
      </c>
      <c r="AC2894" s="255">
        <v>800</v>
      </c>
      <c r="AD2894" s="256">
        <f>AB2894*AC2894</f>
        <v>320</v>
      </c>
      <c r="AE2894" s="39" t="s">
        <v>130</v>
      </c>
      <c r="AF2894" s="190" t="s">
        <v>484</v>
      </c>
      <c r="AG2894" s="190">
        <v>800</v>
      </c>
      <c r="AH2894" s="190"/>
      <c r="AI2894" s="42"/>
      <c r="AJ2894" s="43">
        <f t="shared" si="87"/>
        <v>0</v>
      </c>
      <c r="AK2894" s="43">
        <f t="shared" si="86"/>
        <v>0</v>
      </c>
      <c r="AL2894" s="43"/>
      <c r="AM2894" s="43"/>
      <c r="AN2894" s="42"/>
      <c r="AO2894" s="210"/>
      <c r="AP2894" s="42"/>
      <c r="AQ2894" s="42"/>
      <c r="AR2894" s="42"/>
      <c r="AS2894" s="42" t="s">
        <v>1982</v>
      </c>
    </row>
    <row r="2895" spans="1:45" ht="15" customHeight="1">
      <c r="A2895" s="135" t="s">
        <v>45</v>
      </c>
      <c r="B2895" s="136" t="s">
        <v>837</v>
      </c>
      <c r="C2895" s="136" t="s">
        <v>838</v>
      </c>
      <c r="D2895" s="136" t="s">
        <v>48</v>
      </c>
      <c r="E2895" s="198" t="s">
        <v>2463</v>
      </c>
      <c r="F2895" s="76" t="s">
        <v>2464</v>
      </c>
      <c r="G2895" s="74" t="s">
        <v>165</v>
      </c>
      <c r="H2895" s="136" t="s">
        <v>2470</v>
      </c>
      <c r="I2895" s="24" t="s">
        <v>3724</v>
      </c>
      <c r="J2895" s="76" t="s">
        <v>4461</v>
      </c>
      <c r="K2895" s="146" t="s">
        <v>4462</v>
      </c>
      <c r="L2895" s="199" t="s">
        <v>2468</v>
      </c>
      <c r="M2895" s="75" t="s">
        <v>4463</v>
      </c>
      <c r="N2895" s="200" t="s">
        <v>4464</v>
      </c>
      <c r="O2895" s="139">
        <v>6740</v>
      </c>
      <c r="P2895" s="201"/>
      <c r="Q2895" s="208">
        <f t="shared" si="85"/>
        <v>0</v>
      </c>
      <c r="R2895" s="31">
        <v>202310</v>
      </c>
      <c r="S2895" s="203" t="s">
        <v>4465</v>
      </c>
      <c r="T2895" s="33"/>
      <c r="U2895" s="203"/>
      <c r="V2895" s="178"/>
      <c r="W2895" s="232"/>
      <c r="X2895" s="206"/>
      <c r="Y2895" s="36"/>
      <c r="Z2895" s="36"/>
      <c r="AA2895" s="210" t="s">
        <v>4466</v>
      </c>
      <c r="AB2895" s="253">
        <v>0.4</v>
      </c>
      <c r="AC2895" s="255">
        <v>400</v>
      </c>
      <c r="AD2895" s="256">
        <f>AB2895*AC2895</f>
        <v>160</v>
      </c>
      <c r="AE2895" s="39" t="s">
        <v>130</v>
      </c>
      <c r="AF2895" s="190" t="s">
        <v>484</v>
      </c>
      <c r="AG2895" s="190">
        <v>400</v>
      </c>
      <c r="AH2895" s="190"/>
      <c r="AI2895" s="42"/>
      <c r="AJ2895" s="43">
        <f t="shared" si="87"/>
        <v>0</v>
      </c>
      <c r="AK2895" s="43">
        <f t="shared" si="86"/>
        <v>0</v>
      </c>
      <c r="AL2895" s="43"/>
      <c r="AM2895" s="43"/>
      <c r="AN2895" s="42"/>
      <c r="AO2895" s="210"/>
      <c r="AP2895" s="42"/>
      <c r="AQ2895" s="42"/>
      <c r="AR2895" s="42"/>
      <c r="AS2895" s="42" t="s">
        <v>1982</v>
      </c>
    </row>
    <row r="2896" spans="1:45" ht="15" customHeight="1">
      <c r="A2896" s="20" t="s">
        <v>45</v>
      </c>
      <c r="B2896" s="21" t="s">
        <v>46</v>
      </c>
      <c r="C2896" s="20" t="s">
        <v>188</v>
      </c>
      <c r="D2896" s="22" t="s">
        <v>48</v>
      </c>
      <c r="E2896" s="23" t="s">
        <v>2526</v>
      </c>
      <c r="F2896" s="20" t="s">
        <v>2527</v>
      </c>
      <c r="G2896" s="47" t="s">
        <v>165</v>
      </c>
      <c r="H2896" s="219" t="s">
        <v>2539</v>
      </c>
      <c r="I2896" s="24" t="s">
        <v>3724</v>
      </c>
      <c r="J2896" s="47" t="s">
        <v>1259</v>
      </c>
      <c r="K2896" s="26" t="s">
        <v>2540</v>
      </c>
      <c r="L2896" s="48" t="s">
        <v>2530</v>
      </c>
      <c r="M2896" s="27">
        <v>45047</v>
      </c>
      <c r="N2896" s="47" t="s">
        <v>1542</v>
      </c>
      <c r="O2896" s="50">
        <v>6740</v>
      </c>
      <c r="P2896" s="50"/>
      <c r="Q2896" s="51">
        <f t="shared" si="85"/>
        <v>0</v>
      </c>
      <c r="R2896" s="69">
        <v>202310</v>
      </c>
      <c r="S2896" s="33" t="s">
        <v>4229</v>
      </c>
      <c r="T2896" s="33"/>
      <c r="U2896" s="32"/>
      <c r="V2896" s="46"/>
      <c r="W2896" s="232"/>
      <c r="X2896" s="52"/>
      <c r="Y2896" s="36"/>
      <c r="Z2896" s="36"/>
      <c r="AA2896" s="37" t="s">
        <v>4467</v>
      </c>
      <c r="AB2896" s="38">
        <v>0.4</v>
      </c>
      <c r="AC2896" s="38">
        <v>200</v>
      </c>
      <c r="AD2896" s="38">
        <f>AC2896*AB2896</f>
        <v>80</v>
      </c>
      <c r="AE2896" s="39" t="s">
        <v>130</v>
      </c>
      <c r="AF2896" s="40" t="s">
        <v>503</v>
      </c>
      <c r="AG2896" s="42"/>
      <c r="AH2896" s="42">
        <v>200</v>
      </c>
      <c r="AI2896" s="43"/>
      <c r="AJ2896" s="43">
        <f t="shared" si="87"/>
        <v>0</v>
      </c>
      <c r="AK2896" s="43">
        <f t="shared" si="86"/>
        <v>0</v>
      </c>
      <c r="AL2896" s="43"/>
      <c r="AM2896" s="43"/>
      <c r="AN2896" s="42"/>
      <c r="AO2896" s="42" t="s">
        <v>3615</v>
      </c>
      <c r="AP2896" s="42"/>
      <c r="AQ2896" s="43"/>
      <c r="AR2896" s="42"/>
      <c r="AS2896" s="42"/>
    </row>
    <row r="2897" spans="1:45" ht="15" customHeight="1">
      <c r="A2897" s="135" t="s">
        <v>45</v>
      </c>
      <c r="B2897" s="136" t="s">
        <v>837</v>
      </c>
      <c r="C2897" s="136" t="s">
        <v>838</v>
      </c>
      <c r="D2897" s="136" t="s">
        <v>48</v>
      </c>
      <c r="E2897" s="198" t="s">
        <v>2430</v>
      </c>
      <c r="F2897" s="76" t="s">
        <v>2424</v>
      </c>
      <c r="G2897" s="74" t="s">
        <v>165</v>
      </c>
      <c r="H2897" s="142" t="s">
        <v>2455</v>
      </c>
      <c r="I2897" s="24" t="s">
        <v>3724</v>
      </c>
      <c r="J2897" s="146" t="s">
        <v>2456</v>
      </c>
      <c r="K2897" s="146" t="s">
        <v>2457</v>
      </c>
      <c r="L2897" s="199" t="s">
        <v>2458</v>
      </c>
      <c r="M2897" s="75" t="s">
        <v>4468</v>
      </c>
      <c r="N2897" s="200" t="s">
        <v>4469</v>
      </c>
      <c r="O2897" s="139">
        <v>6740</v>
      </c>
      <c r="P2897" s="201"/>
      <c r="Q2897" s="208">
        <f t="shared" si="85"/>
        <v>0</v>
      </c>
      <c r="R2897" s="31">
        <v>202310</v>
      </c>
      <c r="S2897" s="203" t="s">
        <v>4470</v>
      </c>
      <c r="T2897" s="33"/>
      <c r="U2897" s="203"/>
      <c r="V2897" s="204"/>
      <c r="W2897" s="232"/>
      <c r="X2897" s="206"/>
      <c r="Y2897" s="36"/>
      <c r="Z2897" s="36"/>
      <c r="AA2897" s="210" t="s">
        <v>4471</v>
      </c>
      <c r="AB2897" s="253">
        <v>0.4</v>
      </c>
      <c r="AC2897" s="38">
        <v>600</v>
      </c>
      <c r="AD2897" s="38">
        <f>AB2897*AC2897</f>
        <v>240</v>
      </c>
      <c r="AE2897" s="257" t="s">
        <v>130</v>
      </c>
      <c r="AF2897" s="190" t="s">
        <v>484</v>
      </c>
      <c r="AG2897" s="40">
        <v>600</v>
      </c>
      <c r="AH2897" s="42"/>
      <c r="AI2897" s="42"/>
      <c r="AJ2897" s="43">
        <f t="shared" si="87"/>
        <v>0</v>
      </c>
      <c r="AK2897" s="43">
        <f t="shared" si="86"/>
        <v>0</v>
      </c>
      <c r="AL2897" s="43"/>
      <c r="AM2897" s="43"/>
      <c r="AN2897" s="42"/>
      <c r="AO2897" s="42"/>
      <c r="AP2897" s="42"/>
      <c r="AQ2897" s="42"/>
      <c r="AR2897" s="42"/>
      <c r="AS2897" s="42" t="s">
        <v>2429</v>
      </c>
    </row>
    <row r="2898" spans="1:45" ht="15" customHeight="1">
      <c r="A2898" s="20" t="s">
        <v>45</v>
      </c>
      <c r="B2898" s="21" t="s">
        <v>46</v>
      </c>
      <c r="C2898" s="22" t="s">
        <v>887</v>
      </c>
      <c r="D2898" s="21" t="s">
        <v>888</v>
      </c>
      <c r="E2898" s="23" t="s">
        <v>2802</v>
      </c>
      <c r="F2898" s="20" t="s">
        <v>2803</v>
      </c>
      <c r="G2898" s="20" t="s">
        <v>165</v>
      </c>
      <c r="H2898" s="219" t="s">
        <v>2815</v>
      </c>
      <c r="I2898" s="24" t="s">
        <v>3724</v>
      </c>
      <c r="J2898" s="20" t="s">
        <v>2805</v>
      </c>
      <c r="K2898" s="26" t="s">
        <v>2816</v>
      </c>
      <c r="L2898" s="20" t="s">
        <v>2807</v>
      </c>
      <c r="M2898" s="156">
        <v>45057</v>
      </c>
      <c r="N2898" s="20" t="s">
        <v>1542</v>
      </c>
      <c r="O2898" s="28">
        <v>6740</v>
      </c>
      <c r="P2898" s="29"/>
      <c r="Q2898" s="30">
        <f t="shared" si="85"/>
        <v>0</v>
      </c>
      <c r="R2898" s="31">
        <v>202310</v>
      </c>
      <c r="S2898" s="32" t="s">
        <v>4472</v>
      </c>
      <c r="T2898" s="33"/>
      <c r="U2898" s="32"/>
      <c r="V2898" s="32"/>
      <c r="W2898" s="238"/>
      <c r="X2898" s="35"/>
      <c r="Y2898" s="36"/>
      <c r="Z2898" s="36"/>
      <c r="AA2898" s="37" t="s">
        <v>4473</v>
      </c>
      <c r="AB2898" s="38">
        <v>0.4</v>
      </c>
      <c r="AC2898" s="38">
        <v>200</v>
      </c>
      <c r="AD2898" s="38">
        <f>AB2898*AC2898</f>
        <v>80</v>
      </c>
      <c r="AE2898" s="39" t="s">
        <v>130</v>
      </c>
      <c r="AF2898" s="40" t="s">
        <v>484</v>
      </c>
      <c r="AG2898" s="41">
        <v>200</v>
      </c>
      <c r="AH2898" s="42"/>
      <c r="AI2898" s="43"/>
      <c r="AJ2898" s="43">
        <f t="shared" si="87"/>
        <v>0</v>
      </c>
      <c r="AK2898" s="43">
        <f t="shared" si="86"/>
        <v>0</v>
      </c>
      <c r="AL2898" s="43"/>
      <c r="AM2898" s="43"/>
      <c r="AN2898" s="42"/>
      <c r="AO2898" s="42" t="s">
        <v>4296</v>
      </c>
      <c r="AP2898" s="42"/>
      <c r="AQ2898" s="42"/>
      <c r="AR2898" s="42"/>
      <c r="AS2898" s="42"/>
    </row>
    <row r="2899" spans="1:45" ht="15" customHeight="1">
      <c r="A2899" s="20" t="s">
        <v>57</v>
      </c>
      <c r="B2899" s="21" t="s">
        <v>3728</v>
      </c>
      <c r="C2899" s="22" t="s">
        <v>84</v>
      </c>
      <c r="D2899" s="22" t="s">
        <v>3729</v>
      </c>
      <c r="E2899" s="23" t="s">
        <v>3922</v>
      </c>
      <c r="F2899" s="20" t="s">
        <v>3923</v>
      </c>
      <c r="G2899" s="20" t="s">
        <v>165</v>
      </c>
      <c r="H2899" s="25" t="s">
        <v>3928</v>
      </c>
      <c r="I2899" s="24" t="s">
        <v>3724</v>
      </c>
      <c r="J2899" s="26" t="s">
        <v>4474</v>
      </c>
      <c r="K2899" s="26" t="s">
        <v>4475</v>
      </c>
      <c r="L2899" s="20"/>
      <c r="M2899" s="156">
        <v>45047</v>
      </c>
      <c r="N2899" s="20"/>
      <c r="O2899" s="28">
        <v>4800</v>
      </c>
      <c r="P2899" s="231"/>
      <c r="Q2899" s="30">
        <f t="shared" si="85"/>
        <v>0</v>
      </c>
      <c r="R2899" s="31">
        <v>202310</v>
      </c>
      <c r="S2899" s="32" t="s">
        <v>4476</v>
      </c>
      <c r="T2899" s="32"/>
      <c r="U2899" s="32"/>
      <c r="V2899" s="32"/>
      <c r="W2899" s="226"/>
      <c r="X2899" s="35"/>
      <c r="Y2899" s="36">
        <v>45047</v>
      </c>
      <c r="Z2899" s="36">
        <v>45412</v>
      </c>
      <c r="AA2899" s="37" t="s">
        <v>4477</v>
      </c>
      <c r="AB2899" s="38">
        <v>0</v>
      </c>
      <c r="AC2899" s="38"/>
      <c r="AD2899" s="38">
        <v>0</v>
      </c>
      <c r="AE2899" s="39" t="s">
        <v>3737</v>
      </c>
      <c r="AF2899" s="40" t="s">
        <v>3753</v>
      </c>
      <c r="AG2899" s="41"/>
      <c r="AH2899" s="42"/>
      <c r="AI2899" s="43"/>
      <c r="AJ2899" s="43">
        <f t="shared" si="87"/>
        <v>0</v>
      </c>
      <c r="AK2899" s="43">
        <f t="shared" si="86"/>
        <v>0</v>
      </c>
      <c r="AL2899" s="43"/>
      <c r="AM2899" s="43"/>
      <c r="AN2899" s="42"/>
      <c r="AO2899" s="42" t="s">
        <v>3823</v>
      </c>
      <c r="AP2899" s="42"/>
      <c r="AQ2899" s="42" t="s">
        <v>92</v>
      </c>
      <c r="AR2899" s="42" t="s">
        <v>3754</v>
      </c>
      <c r="AS2899" s="42"/>
    </row>
    <row r="2900" spans="1:45" ht="15" customHeight="1">
      <c r="A2900" s="20" t="s">
        <v>57</v>
      </c>
      <c r="B2900" s="21" t="s">
        <v>3728</v>
      </c>
      <c r="C2900" s="22" t="s">
        <v>84</v>
      </c>
      <c r="D2900" s="22" t="s">
        <v>3729</v>
      </c>
      <c r="E2900" s="23" t="s">
        <v>3922</v>
      </c>
      <c r="F2900" s="20" t="s">
        <v>3923</v>
      </c>
      <c r="G2900" s="20" t="s">
        <v>165</v>
      </c>
      <c r="H2900" s="25" t="s">
        <v>4478</v>
      </c>
      <c r="I2900" s="24" t="s">
        <v>3724</v>
      </c>
      <c r="J2900" s="20"/>
      <c r="K2900" s="26" t="s">
        <v>4479</v>
      </c>
      <c r="L2900" s="20"/>
      <c r="M2900" s="156">
        <v>45078</v>
      </c>
      <c r="N2900" s="20"/>
      <c r="O2900" s="28">
        <v>5040</v>
      </c>
      <c r="P2900" s="231"/>
      <c r="Q2900" s="30">
        <f t="shared" si="85"/>
        <v>0</v>
      </c>
      <c r="R2900" s="31">
        <v>202310</v>
      </c>
      <c r="S2900" s="32" t="s">
        <v>4480</v>
      </c>
      <c r="T2900" s="32"/>
      <c r="U2900" s="32"/>
      <c r="V2900" s="32"/>
      <c r="W2900" s="226"/>
      <c r="X2900" s="35"/>
      <c r="Y2900" s="36">
        <v>45047</v>
      </c>
      <c r="Z2900" s="36">
        <v>45412</v>
      </c>
      <c r="AA2900" s="37" t="s">
        <v>4481</v>
      </c>
      <c r="AB2900" s="38">
        <v>0</v>
      </c>
      <c r="AC2900" s="38"/>
      <c r="AD2900" s="38">
        <v>0</v>
      </c>
      <c r="AE2900" s="39" t="s">
        <v>3737</v>
      </c>
      <c r="AF2900" s="40" t="s">
        <v>3816</v>
      </c>
      <c r="AG2900" s="41"/>
      <c r="AH2900" s="42"/>
      <c r="AI2900" s="43"/>
      <c r="AJ2900" s="43">
        <f t="shared" si="87"/>
        <v>0</v>
      </c>
      <c r="AK2900" s="43">
        <f t="shared" si="86"/>
        <v>0</v>
      </c>
      <c r="AL2900" s="43"/>
      <c r="AM2900" s="43"/>
      <c r="AN2900" s="42"/>
      <c r="AO2900" s="42" t="s">
        <v>4482</v>
      </c>
      <c r="AP2900" s="42"/>
      <c r="AQ2900" s="42" t="s">
        <v>92</v>
      </c>
      <c r="AR2900" s="42" t="s">
        <v>3740</v>
      </c>
      <c r="AS2900" s="42"/>
    </row>
    <row r="2901" spans="1:45" ht="15" customHeight="1">
      <c r="A2901" s="20" t="s">
        <v>57</v>
      </c>
      <c r="B2901" s="21" t="s">
        <v>3728</v>
      </c>
      <c r="C2901" s="22" t="s">
        <v>84</v>
      </c>
      <c r="D2901" s="22" t="s">
        <v>3729</v>
      </c>
      <c r="E2901" s="23" t="s">
        <v>3965</v>
      </c>
      <c r="F2901" s="20" t="s">
        <v>3966</v>
      </c>
      <c r="G2901" s="20" t="s">
        <v>165</v>
      </c>
      <c r="H2901" s="25" t="s">
        <v>4483</v>
      </c>
      <c r="I2901" s="24" t="s">
        <v>3724</v>
      </c>
      <c r="J2901" s="26" t="s">
        <v>4484</v>
      </c>
      <c r="K2901" s="26" t="s">
        <v>4484</v>
      </c>
      <c r="L2901" s="20"/>
      <c r="M2901" s="156">
        <v>45047</v>
      </c>
      <c r="N2901" s="20"/>
      <c r="O2901" s="28">
        <v>5500</v>
      </c>
      <c r="P2901" s="231"/>
      <c r="Q2901" s="30">
        <f t="shared" si="85"/>
        <v>0</v>
      </c>
      <c r="R2901" s="31">
        <v>202310</v>
      </c>
      <c r="S2901" s="32" t="s">
        <v>4476</v>
      </c>
      <c r="T2901" s="32"/>
      <c r="U2901" s="32"/>
      <c r="V2901" s="32"/>
      <c r="W2901" s="226"/>
      <c r="X2901" s="35"/>
      <c r="Y2901" s="36">
        <v>45047</v>
      </c>
      <c r="Z2901" s="36">
        <v>45412</v>
      </c>
      <c r="AA2901" s="37" t="s">
        <v>4485</v>
      </c>
      <c r="AB2901" s="38">
        <v>0</v>
      </c>
      <c r="AC2901" s="38"/>
      <c r="AD2901" s="38">
        <v>0</v>
      </c>
      <c r="AE2901" s="39" t="s">
        <v>3737</v>
      </c>
      <c r="AF2901" s="40" t="s">
        <v>3753</v>
      </c>
      <c r="AG2901" s="41"/>
      <c r="AH2901" s="42"/>
      <c r="AI2901" s="43"/>
      <c r="AJ2901" s="43">
        <f t="shared" si="87"/>
        <v>0</v>
      </c>
      <c r="AK2901" s="43">
        <f t="shared" si="86"/>
        <v>0</v>
      </c>
      <c r="AL2901" s="43"/>
      <c r="AM2901" s="43"/>
      <c r="AN2901" s="42"/>
      <c r="AO2901" s="42" t="s">
        <v>3982</v>
      </c>
      <c r="AP2901" s="42"/>
      <c r="AQ2901" s="42"/>
      <c r="AR2901" s="42" t="s">
        <v>3754</v>
      </c>
      <c r="AS2901" s="42"/>
    </row>
    <row r="2902" spans="1:45" ht="15" customHeight="1">
      <c r="A2902" s="20" t="s">
        <v>57</v>
      </c>
      <c r="B2902" s="21" t="s">
        <v>3728</v>
      </c>
      <c r="C2902" s="22" t="s">
        <v>84</v>
      </c>
      <c r="D2902" s="22" t="s">
        <v>3729</v>
      </c>
      <c r="E2902" s="23" t="s">
        <v>4486</v>
      </c>
      <c r="F2902" s="20" t="s">
        <v>4487</v>
      </c>
      <c r="G2902" s="20" t="s">
        <v>165</v>
      </c>
      <c r="H2902" s="25" t="s">
        <v>4488</v>
      </c>
      <c r="I2902" s="24" t="s">
        <v>3724</v>
      </c>
      <c r="J2902" s="26" t="s">
        <v>4489</v>
      </c>
      <c r="K2902" s="26" t="s">
        <v>4489</v>
      </c>
      <c r="L2902" s="20"/>
      <c r="M2902" s="156">
        <v>45047</v>
      </c>
      <c r="N2902" s="20"/>
      <c r="O2902" s="28">
        <v>5200</v>
      </c>
      <c r="P2902" s="231"/>
      <c r="Q2902" s="30">
        <f t="shared" si="85"/>
        <v>0</v>
      </c>
      <c r="R2902" s="31">
        <v>202310</v>
      </c>
      <c r="S2902" s="32" t="s">
        <v>4476</v>
      </c>
      <c r="T2902" s="32"/>
      <c r="U2902" s="32"/>
      <c r="V2902" s="32"/>
      <c r="W2902" s="226"/>
      <c r="X2902" s="35"/>
      <c r="Y2902" s="36">
        <v>45047</v>
      </c>
      <c r="Z2902" s="36">
        <v>45412</v>
      </c>
      <c r="AA2902" s="37" t="s">
        <v>4490</v>
      </c>
      <c r="AB2902" s="38">
        <v>0</v>
      </c>
      <c r="AC2902" s="38"/>
      <c r="AD2902" s="38">
        <v>0</v>
      </c>
      <c r="AE2902" s="39" t="s">
        <v>3737</v>
      </c>
      <c r="AF2902" s="40" t="s">
        <v>3753</v>
      </c>
      <c r="AG2902" s="41"/>
      <c r="AH2902" s="42"/>
      <c r="AI2902" s="43"/>
      <c r="AJ2902" s="43">
        <f t="shared" si="87"/>
        <v>0</v>
      </c>
      <c r="AK2902" s="43">
        <f t="shared" si="86"/>
        <v>0</v>
      </c>
      <c r="AL2902" s="43"/>
      <c r="AM2902" s="43"/>
      <c r="AN2902" s="42"/>
      <c r="AO2902" s="42" t="s">
        <v>3839</v>
      </c>
      <c r="AP2902" s="42"/>
      <c r="AQ2902" s="42" t="s">
        <v>92</v>
      </c>
      <c r="AR2902" s="42" t="s">
        <v>3754</v>
      </c>
      <c r="AS2902" s="42"/>
    </row>
    <row r="2903" spans="1:45" ht="15" customHeight="1">
      <c r="A2903" s="20" t="s">
        <v>57</v>
      </c>
      <c r="B2903" s="21" t="s">
        <v>3728</v>
      </c>
      <c r="C2903" s="22" t="s">
        <v>84</v>
      </c>
      <c r="D2903" s="22" t="s">
        <v>3729</v>
      </c>
      <c r="E2903" s="23" t="s">
        <v>3832</v>
      </c>
      <c r="F2903" s="20" t="s">
        <v>3833</v>
      </c>
      <c r="G2903" s="20" t="s">
        <v>165</v>
      </c>
      <c r="H2903" s="25" t="s">
        <v>4491</v>
      </c>
      <c r="I2903" s="24" t="s">
        <v>3724</v>
      </c>
      <c r="J2903" s="26" t="s">
        <v>4492</v>
      </c>
      <c r="K2903" s="26" t="s">
        <v>4492</v>
      </c>
      <c r="L2903" s="20"/>
      <c r="M2903" s="156">
        <v>45047</v>
      </c>
      <c r="N2903" s="20"/>
      <c r="O2903" s="28">
        <v>5200</v>
      </c>
      <c r="P2903" s="231"/>
      <c r="Q2903" s="30">
        <f t="shared" si="85"/>
        <v>0</v>
      </c>
      <c r="R2903" s="31">
        <v>202310</v>
      </c>
      <c r="S2903" s="32" t="s">
        <v>4476</v>
      </c>
      <c r="T2903" s="32"/>
      <c r="U2903" s="32"/>
      <c r="V2903" s="32"/>
      <c r="W2903" s="226"/>
      <c r="X2903" s="35"/>
      <c r="Y2903" s="36">
        <v>45047</v>
      </c>
      <c r="Z2903" s="36">
        <v>45412</v>
      </c>
      <c r="AA2903" s="37" t="s">
        <v>4493</v>
      </c>
      <c r="AB2903" s="38">
        <v>0</v>
      </c>
      <c r="AC2903" s="38"/>
      <c r="AD2903" s="38">
        <v>0</v>
      </c>
      <c r="AE2903" s="39" t="s">
        <v>3737</v>
      </c>
      <c r="AF2903" s="40" t="s">
        <v>3753</v>
      </c>
      <c r="AG2903" s="41"/>
      <c r="AH2903" s="42"/>
      <c r="AI2903" s="43"/>
      <c r="AJ2903" s="43">
        <f t="shared" si="87"/>
        <v>0</v>
      </c>
      <c r="AK2903" s="43">
        <f t="shared" si="86"/>
        <v>0</v>
      </c>
      <c r="AL2903" s="43"/>
      <c r="AM2903" s="43"/>
      <c r="AN2903" s="42"/>
      <c r="AO2903" s="42"/>
      <c r="AP2903" s="42"/>
      <c r="AQ2903" s="42" t="s">
        <v>92</v>
      </c>
      <c r="AR2903" s="42" t="s">
        <v>3754</v>
      </c>
      <c r="AS2903" s="42"/>
    </row>
    <row r="2904" spans="1:45" ht="15" customHeight="1">
      <c r="A2904" s="56" t="s">
        <v>45</v>
      </c>
      <c r="B2904" s="21" t="s">
        <v>46</v>
      </c>
      <c r="C2904" s="57" t="s">
        <v>814</v>
      </c>
      <c r="D2904" s="22" t="s">
        <v>48</v>
      </c>
      <c r="E2904" s="58" t="s">
        <v>2896</v>
      </c>
      <c r="F2904" s="56" t="s">
        <v>2897</v>
      </c>
      <c r="G2904" s="26" t="s">
        <v>165</v>
      </c>
      <c r="H2904" s="25" t="s">
        <v>3532</v>
      </c>
      <c r="I2904" s="24" t="s">
        <v>3724</v>
      </c>
      <c r="J2904" s="56" t="s">
        <v>3533</v>
      </c>
      <c r="K2904" s="56" t="s">
        <v>3533</v>
      </c>
      <c r="L2904" s="48" t="s">
        <v>3534</v>
      </c>
      <c r="M2904" s="49">
        <v>45085</v>
      </c>
      <c r="N2904" s="49" t="s">
        <v>2151</v>
      </c>
      <c r="O2904" s="60">
        <v>6740</v>
      </c>
      <c r="P2904" s="34"/>
      <c r="Q2904" s="51">
        <f t="shared" si="85"/>
        <v>0</v>
      </c>
      <c r="R2904" s="31">
        <v>202310</v>
      </c>
      <c r="S2904" s="62" t="s">
        <v>4494</v>
      </c>
      <c r="T2904" s="33"/>
      <c r="U2904" s="58"/>
      <c r="V2904" s="58"/>
      <c r="W2904" s="232"/>
      <c r="X2904" s="63"/>
      <c r="Y2904" s="36"/>
      <c r="Z2904" s="36"/>
      <c r="AA2904" s="37" t="s">
        <v>4495</v>
      </c>
      <c r="AB2904" s="38">
        <v>0.4</v>
      </c>
      <c r="AC2904" s="38">
        <v>400</v>
      </c>
      <c r="AD2904" s="38">
        <f>AB2904*AC2904</f>
        <v>160</v>
      </c>
      <c r="AE2904" s="39" t="s">
        <v>130</v>
      </c>
      <c r="AF2904" s="40" t="s">
        <v>484</v>
      </c>
      <c r="AG2904" s="42">
        <v>400</v>
      </c>
      <c r="AH2904" s="42">
        <v>0</v>
      </c>
      <c r="AI2904" s="43"/>
      <c r="AJ2904" s="43">
        <f t="shared" si="87"/>
        <v>0</v>
      </c>
      <c r="AK2904" s="43">
        <f t="shared" si="86"/>
        <v>0</v>
      </c>
      <c r="AL2904" s="43"/>
      <c r="AM2904" s="43"/>
      <c r="AN2904" s="42"/>
      <c r="AO2904" s="42"/>
      <c r="AP2904" s="42"/>
      <c r="AQ2904" s="43"/>
      <c r="AR2904" s="42"/>
      <c r="AS2904" s="42" t="s">
        <v>3537</v>
      </c>
    </row>
    <row r="2905" spans="1:45" ht="15" customHeight="1">
      <c r="A2905" s="135" t="s">
        <v>45</v>
      </c>
      <c r="B2905" s="136" t="s">
        <v>837</v>
      </c>
      <c r="C2905" s="136" t="s">
        <v>838</v>
      </c>
      <c r="D2905" s="136" t="s">
        <v>48</v>
      </c>
      <c r="E2905" s="198" t="s">
        <v>3540</v>
      </c>
      <c r="F2905" s="76" t="s">
        <v>3541</v>
      </c>
      <c r="G2905" s="74" t="s">
        <v>165</v>
      </c>
      <c r="H2905" s="136" t="s">
        <v>3542</v>
      </c>
      <c r="I2905" s="24" t="s">
        <v>3724</v>
      </c>
      <c r="J2905" s="76" t="s">
        <v>3541</v>
      </c>
      <c r="K2905" s="76" t="s">
        <v>3541</v>
      </c>
      <c r="L2905" s="199" t="s">
        <v>3543</v>
      </c>
      <c r="M2905" s="75" t="s">
        <v>4496</v>
      </c>
      <c r="N2905" s="200" t="s">
        <v>4497</v>
      </c>
      <c r="O2905" s="139">
        <v>6740</v>
      </c>
      <c r="P2905" s="201"/>
      <c r="Q2905" s="208">
        <f t="shared" si="85"/>
        <v>0</v>
      </c>
      <c r="R2905" s="31">
        <v>202310</v>
      </c>
      <c r="S2905" s="203" t="s">
        <v>4498</v>
      </c>
      <c r="T2905" s="42"/>
      <c r="U2905" s="70"/>
      <c r="V2905" s="42"/>
      <c r="W2905" s="232"/>
      <c r="X2905" s="42"/>
      <c r="Y2905" s="36">
        <v>45108</v>
      </c>
      <c r="Z2905" s="36">
        <v>45443</v>
      </c>
      <c r="AA2905" s="37" t="s">
        <v>4499</v>
      </c>
      <c r="AB2905" s="38">
        <v>0.4</v>
      </c>
      <c r="AC2905" s="38">
        <v>600</v>
      </c>
      <c r="AD2905" s="38">
        <f>AB2905*AC2905</f>
        <v>240</v>
      </c>
      <c r="AE2905" s="39" t="s">
        <v>130</v>
      </c>
      <c r="AF2905" s="190" t="s">
        <v>484</v>
      </c>
      <c r="AG2905" s="40">
        <v>600</v>
      </c>
      <c r="AH2905" s="42"/>
      <c r="AI2905" s="42"/>
      <c r="AJ2905" s="43">
        <f t="shared" si="87"/>
        <v>0</v>
      </c>
      <c r="AK2905" s="43">
        <f t="shared" si="86"/>
        <v>0</v>
      </c>
      <c r="AL2905" s="43"/>
      <c r="AM2905" s="43"/>
      <c r="AN2905" s="42"/>
      <c r="AO2905" s="42"/>
      <c r="AP2905" s="42"/>
      <c r="AQ2905" s="42"/>
      <c r="AR2905" s="42"/>
      <c r="AS2905" s="42" t="s">
        <v>3545</v>
      </c>
    </row>
    <row r="2906" spans="1:45" ht="15" customHeight="1">
      <c r="A2906" s="20" t="s">
        <v>45</v>
      </c>
      <c r="B2906" s="21" t="s">
        <v>46</v>
      </c>
      <c r="C2906" s="20" t="s">
        <v>188</v>
      </c>
      <c r="D2906" s="22" t="s">
        <v>48</v>
      </c>
      <c r="E2906" s="23" t="s">
        <v>3555</v>
      </c>
      <c r="F2906" s="20" t="s">
        <v>3556</v>
      </c>
      <c r="G2906" s="47" t="s">
        <v>165</v>
      </c>
      <c r="H2906" s="219" t="s">
        <v>3557</v>
      </c>
      <c r="I2906" s="24" t="s">
        <v>3724</v>
      </c>
      <c r="J2906" s="26" t="s">
        <v>3558</v>
      </c>
      <c r="K2906" s="26" t="s">
        <v>3558</v>
      </c>
      <c r="L2906" s="48" t="s">
        <v>3559</v>
      </c>
      <c r="M2906" s="192" t="s">
        <v>4496</v>
      </c>
      <c r="N2906" s="76" t="s">
        <v>4500</v>
      </c>
      <c r="O2906" s="50">
        <v>6740</v>
      </c>
      <c r="P2906" s="50"/>
      <c r="Q2906" s="51">
        <f t="shared" si="85"/>
        <v>0</v>
      </c>
      <c r="R2906" s="69">
        <v>202310</v>
      </c>
      <c r="S2906" s="62" t="s">
        <v>4501</v>
      </c>
      <c r="T2906" s="42"/>
      <c r="U2906" s="70"/>
      <c r="V2906" s="42"/>
      <c r="W2906" s="232"/>
      <c r="X2906" s="42"/>
      <c r="Y2906" s="36"/>
      <c r="Z2906" s="36"/>
      <c r="AA2906" s="37" t="s">
        <v>4502</v>
      </c>
      <c r="AB2906" s="38">
        <v>0.4</v>
      </c>
      <c r="AC2906" s="38">
        <v>400</v>
      </c>
      <c r="AD2906" s="38">
        <f>AC2906*AB2906</f>
        <v>160</v>
      </c>
      <c r="AE2906" s="257" t="s">
        <v>130</v>
      </c>
      <c r="AF2906" s="40" t="s">
        <v>484</v>
      </c>
      <c r="AG2906" s="40">
        <v>400</v>
      </c>
      <c r="AH2906" s="42"/>
      <c r="AI2906" s="42"/>
      <c r="AJ2906" s="43">
        <f t="shared" si="87"/>
        <v>0</v>
      </c>
      <c r="AK2906" s="43">
        <f t="shared" ref="AK2906:AK2918" si="88">AJ2906*O2906</f>
        <v>0</v>
      </c>
      <c r="AL2906" s="43"/>
      <c r="AM2906" s="43"/>
      <c r="AN2906" s="42"/>
      <c r="AO2906" s="42"/>
      <c r="AP2906" s="42"/>
      <c r="AQ2906" s="42"/>
      <c r="AR2906" s="42"/>
      <c r="AS2906" s="42"/>
    </row>
    <row r="2907" spans="1:45" ht="15" customHeight="1">
      <c r="A2907" s="56" t="s">
        <v>45</v>
      </c>
      <c r="B2907" s="21" t="s">
        <v>46</v>
      </c>
      <c r="C2907" s="57" t="s">
        <v>814</v>
      </c>
      <c r="D2907" s="22" t="s">
        <v>48</v>
      </c>
      <c r="E2907" s="58" t="s">
        <v>2841</v>
      </c>
      <c r="F2907" s="56" t="s">
        <v>2837</v>
      </c>
      <c r="G2907" s="26" t="s">
        <v>165</v>
      </c>
      <c r="H2907" s="25" t="s">
        <v>3566</v>
      </c>
      <c r="I2907" s="24" t="s">
        <v>3724</v>
      </c>
      <c r="J2907" s="59" t="s">
        <v>3567</v>
      </c>
      <c r="K2907" s="59" t="s">
        <v>3567</v>
      </c>
      <c r="L2907" s="48" t="s">
        <v>3568</v>
      </c>
      <c r="M2907" s="49">
        <v>45085</v>
      </c>
      <c r="N2907" s="49" t="s">
        <v>2151</v>
      </c>
      <c r="O2907" s="60">
        <v>6740</v>
      </c>
      <c r="P2907" s="61"/>
      <c r="Q2907" s="51">
        <f t="shared" si="85"/>
        <v>0</v>
      </c>
      <c r="R2907" s="31">
        <v>202310</v>
      </c>
      <c r="S2907" s="62" t="s">
        <v>4503</v>
      </c>
      <c r="T2907" s="33"/>
      <c r="U2907" s="58"/>
      <c r="V2907" s="58"/>
      <c r="W2907" s="232"/>
      <c r="X2907" s="63"/>
      <c r="Y2907" s="36"/>
      <c r="Z2907" s="36"/>
      <c r="AA2907" s="37" t="s">
        <v>4504</v>
      </c>
      <c r="AB2907" s="38">
        <v>0.4</v>
      </c>
      <c r="AC2907" s="38">
        <v>400</v>
      </c>
      <c r="AD2907" s="38">
        <f>AB2907*AC2907</f>
        <v>160</v>
      </c>
      <c r="AE2907" s="39" t="s">
        <v>130</v>
      </c>
      <c r="AF2907" s="40" t="s">
        <v>484</v>
      </c>
      <c r="AG2907" s="42">
        <v>400</v>
      </c>
      <c r="AH2907" s="42">
        <v>0</v>
      </c>
      <c r="AI2907" s="43"/>
      <c r="AJ2907" s="43">
        <f t="shared" si="87"/>
        <v>0</v>
      </c>
      <c r="AK2907" s="43">
        <f t="shared" si="88"/>
        <v>0</v>
      </c>
      <c r="AL2907" s="43"/>
      <c r="AM2907" s="43"/>
      <c r="AN2907" s="42"/>
      <c r="AO2907" s="42"/>
      <c r="AP2907" s="42"/>
      <c r="AQ2907" s="43"/>
      <c r="AR2907" s="42"/>
      <c r="AS2907" s="42"/>
    </row>
    <row r="2908" spans="1:45" ht="15" customHeight="1">
      <c r="A2908" s="20" t="s">
        <v>45</v>
      </c>
      <c r="B2908" s="21" t="s">
        <v>46</v>
      </c>
      <c r="C2908" s="22" t="s">
        <v>887</v>
      </c>
      <c r="D2908" s="21" t="s">
        <v>888</v>
      </c>
      <c r="E2908" s="23" t="s">
        <v>2741</v>
      </c>
      <c r="F2908" s="20" t="s">
        <v>2742</v>
      </c>
      <c r="G2908" s="20" t="s">
        <v>165</v>
      </c>
      <c r="H2908" s="25" t="s">
        <v>3572</v>
      </c>
      <c r="I2908" s="24" t="s">
        <v>3724</v>
      </c>
      <c r="J2908" s="20" t="s">
        <v>3573</v>
      </c>
      <c r="K2908" s="26" t="s">
        <v>3573</v>
      </c>
      <c r="L2908" s="20" t="s">
        <v>2746</v>
      </c>
      <c r="M2908" s="156">
        <v>45088</v>
      </c>
      <c r="N2908" s="20" t="s">
        <v>2187</v>
      </c>
      <c r="O2908" s="28">
        <v>6740</v>
      </c>
      <c r="P2908" s="29"/>
      <c r="Q2908" s="30">
        <f t="shared" si="85"/>
        <v>0</v>
      </c>
      <c r="R2908" s="31">
        <v>202310</v>
      </c>
      <c r="S2908" s="32" t="s">
        <v>4505</v>
      </c>
      <c r="T2908" s="33"/>
      <c r="U2908" s="32"/>
      <c r="V2908" s="32"/>
      <c r="W2908" s="238"/>
      <c r="X2908" s="35"/>
      <c r="Y2908" s="36"/>
      <c r="Z2908" s="36"/>
      <c r="AA2908" s="37" t="s">
        <v>4506</v>
      </c>
      <c r="AB2908" s="38">
        <v>0.4</v>
      </c>
      <c r="AC2908" s="38">
        <v>100</v>
      </c>
      <c r="AD2908" s="38">
        <f>AB2908*AC2908</f>
        <v>40</v>
      </c>
      <c r="AE2908" s="39" t="s">
        <v>130</v>
      </c>
      <c r="AF2908" s="40" t="s">
        <v>484</v>
      </c>
      <c r="AG2908" s="41">
        <v>100</v>
      </c>
      <c r="AH2908" s="42"/>
      <c r="AI2908" s="43"/>
      <c r="AJ2908" s="43">
        <f t="shared" si="87"/>
        <v>0</v>
      </c>
      <c r="AK2908" s="43">
        <f t="shared" si="88"/>
        <v>0</v>
      </c>
      <c r="AL2908" s="43"/>
      <c r="AM2908" s="43"/>
      <c r="AN2908" s="42"/>
      <c r="AO2908" s="42"/>
      <c r="AP2908" s="42"/>
      <c r="AQ2908" s="42"/>
      <c r="AR2908" s="42"/>
      <c r="AS2908" s="42"/>
    </row>
    <row r="2909" spans="1:45" ht="15" customHeight="1">
      <c r="A2909" s="20" t="s">
        <v>258</v>
      </c>
      <c r="B2909" s="21" t="s">
        <v>46</v>
      </c>
      <c r="C2909" s="22" t="s">
        <v>887</v>
      </c>
      <c r="D2909" s="21" t="s">
        <v>888</v>
      </c>
      <c r="E2909" s="23" t="s">
        <v>2405</v>
      </c>
      <c r="F2909" s="20" t="s">
        <v>2406</v>
      </c>
      <c r="G2909" s="20" t="s">
        <v>165</v>
      </c>
      <c r="H2909" s="25" t="s">
        <v>3577</v>
      </c>
      <c r="I2909" s="24" t="s">
        <v>3724</v>
      </c>
      <c r="J2909" s="20" t="s">
        <v>3578</v>
      </c>
      <c r="K2909" s="20" t="s">
        <v>3578</v>
      </c>
      <c r="L2909" s="20" t="s">
        <v>3579</v>
      </c>
      <c r="M2909" s="192" t="s">
        <v>4507</v>
      </c>
      <c r="N2909" s="227" t="s">
        <v>4508</v>
      </c>
      <c r="O2909" s="28">
        <v>9000</v>
      </c>
      <c r="P2909" s="29"/>
      <c r="Q2909" s="30">
        <f t="shared" si="85"/>
        <v>0</v>
      </c>
      <c r="R2909" s="31">
        <v>202310</v>
      </c>
      <c r="S2909" s="32" t="s">
        <v>4509</v>
      </c>
      <c r="T2909" s="33"/>
      <c r="U2909" s="54"/>
      <c r="V2909" s="32"/>
      <c r="W2909" s="226"/>
      <c r="X2909" s="29"/>
      <c r="Y2909" s="36"/>
      <c r="Z2909" s="36"/>
      <c r="AA2909" s="37" t="s">
        <v>4510</v>
      </c>
      <c r="AB2909" s="38" t="s">
        <v>4109</v>
      </c>
      <c r="AC2909" s="38">
        <v>60</v>
      </c>
      <c r="AD2909" s="38" t="s">
        <v>4109</v>
      </c>
      <c r="AE2909" s="39" t="s">
        <v>3850</v>
      </c>
      <c r="AF2909" s="40" t="s">
        <v>503</v>
      </c>
      <c r="AG2909" s="41"/>
      <c r="AH2909" s="42">
        <v>60</v>
      </c>
      <c r="AI2909" s="43"/>
      <c r="AJ2909" s="43">
        <f t="shared" si="87"/>
        <v>0</v>
      </c>
      <c r="AK2909" s="43">
        <f t="shared" si="88"/>
        <v>0</v>
      </c>
      <c r="AL2909" s="43"/>
      <c r="AM2909" s="43"/>
      <c r="AN2909" s="42"/>
      <c r="AO2909" s="42" t="s">
        <v>4204</v>
      </c>
      <c r="AP2909" s="42"/>
      <c r="AQ2909" s="42"/>
      <c r="AR2909" s="42"/>
      <c r="AS2909" s="42"/>
    </row>
    <row r="2910" spans="1:45" ht="15" customHeight="1">
      <c r="A2910" s="20" t="s">
        <v>258</v>
      </c>
      <c r="B2910" s="21" t="s">
        <v>46</v>
      </c>
      <c r="C2910" s="22" t="s">
        <v>887</v>
      </c>
      <c r="D2910" s="21" t="s">
        <v>888</v>
      </c>
      <c r="E2910" s="23" t="s">
        <v>2183</v>
      </c>
      <c r="F2910" s="20" t="s">
        <v>2184</v>
      </c>
      <c r="G2910" s="20" t="s">
        <v>165</v>
      </c>
      <c r="H2910" s="25" t="s">
        <v>3589</v>
      </c>
      <c r="I2910" s="24" t="s">
        <v>3724</v>
      </c>
      <c r="J2910" s="104" t="s">
        <v>3590</v>
      </c>
      <c r="K2910" s="104" t="s">
        <v>3590</v>
      </c>
      <c r="L2910" s="48" t="s">
        <v>3591</v>
      </c>
      <c r="M2910" s="192">
        <v>45108</v>
      </c>
      <c r="N2910" s="20" t="s">
        <v>1542</v>
      </c>
      <c r="O2910" s="28">
        <v>9000</v>
      </c>
      <c r="P2910" s="237"/>
      <c r="Q2910" s="51">
        <f t="shared" si="85"/>
        <v>0</v>
      </c>
      <c r="R2910" s="31">
        <v>202310</v>
      </c>
      <c r="S2910" s="32" t="s">
        <v>4511</v>
      </c>
      <c r="T2910" s="33"/>
      <c r="U2910" s="54"/>
      <c r="V2910" s="32"/>
      <c r="W2910" s="241"/>
      <c r="X2910" s="35"/>
      <c r="Y2910" s="36">
        <v>45108</v>
      </c>
      <c r="Z2910" s="36">
        <v>45473</v>
      </c>
      <c r="AA2910" s="37" t="s">
        <v>4512</v>
      </c>
      <c r="AB2910" s="38">
        <v>0.3</v>
      </c>
      <c r="AC2910" s="38">
        <v>200</v>
      </c>
      <c r="AD2910" s="38">
        <f>AB2910*AC2910</f>
        <v>60</v>
      </c>
      <c r="AE2910" s="39" t="s">
        <v>3737</v>
      </c>
      <c r="AF2910" s="53" t="s">
        <v>484</v>
      </c>
      <c r="AG2910" s="41">
        <v>200</v>
      </c>
      <c r="AH2910" s="42"/>
      <c r="AI2910" s="43"/>
      <c r="AJ2910" s="43">
        <f t="shared" si="87"/>
        <v>0</v>
      </c>
      <c r="AK2910" s="43">
        <f t="shared" si="88"/>
        <v>0</v>
      </c>
      <c r="AL2910" s="43"/>
      <c r="AM2910" s="43"/>
      <c r="AN2910" s="42"/>
      <c r="AO2910" s="42" t="s">
        <v>4152</v>
      </c>
      <c r="AP2910" s="42"/>
      <c r="AQ2910" s="42"/>
      <c r="AR2910" s="42"/>
      <c r="AS2910" s="42"/>
    </row>
    <row r="2911" spans="1:45" ht="15" customHeight="1">
      <c r="A2911" s="20" t="s">
        <v>45</v>
      </c>
      <c r="B2911" s="21" t="s">
        <v>46</v>
      </c>
      <c r="C2911" s="22" t="s">
        <v>887</v>
      </c>
      <c r="D2911" s="21" t="s">
        <v>888</v>
      </c>
      <c r="E2911" s="23" t="s">
        <v>3595</v>
      </c>
      <c r="F2911" s="20" t="s">
        <v>3596</v>
      </c>
      <c r="G2911" s="20" t="s">
        <v>165</v>
      </c>
      <c r="H2911" s="25" t="s">
        <v>3597</v>
      </c>
      <c r="I2911" s="24" t="s">
        <v>3724</v>
      </c>
      <c r="J2911" s="26" t="s">
        <v>3598</v>
      </c>
      <c r="K2911" s="26" t="s">
        <v>3598</v>
      </c>
      <c r="L2911" s="20" t="s">
        <v>3599</v>
      </c>
      <c r="M2911" s="156">
        <v>45119</v>
      </c>
      <c r="N2911" s="20" t="s">
        <v>1542</v>
      </c>
      <c r="O2911" s="28">
        <v>6740</v>
      </c>
      <c r="P2911" s="28"/>
      <c r="Q2911" s="30">
        <f t="shared" si="85"/>
        <v>0</v>
      </c>
      <c r="R2911" s="31">
        <v>202310</v>
      </c>
      <c r="S2911" s="32" t="s">
        <v>4513</v>
      </c>
      <c r="T2911" s="33"/>
      <c r="U2911" s="32"/>
      <c r="V2911" s="32"/>
      <c r="W2911" s="238"/>
      <c r="X2911" s="35"/>
      <c r="Y2911" s="36"/>
      <c r="Z2911" s="36"/>
      <c r="AA2911" s="37" t="s">
        <v>4514</v>
      </c>
      <c r="AB2911" s="38">
        <v>0.4</v>
      </c>
      <c r="AC2911" s="38">
        <v>200</v>
      </c>
      <c r="AD2911" s="38">
        <f>AB2911*AC2911</f>
        <v>80</v>
      </c>
      <c r="AE2911" s="39" t="s">
        <v>130</v>
      </c>
      <c r="AF2911" s="40" t="s">
        <v>484</v>
      </c>
      <c r="AG2911" s="41">
        <v>200</v>
      </c>
      <c r="AH2911" s="42"/>
      <c r="AI2911" s="43"/>
      <c r="AJ2911" s="43">
        <f t="shared" si="87"/>
        <v>0</v>
      </c>
      <c r="AK2911" s="43">
        <f t="shared" si="88"/>
        <v>0</v>
      </c>
      <c r="AL2911" s="43"/>
      <c r="AM2911" s="43"/>
      <c r="AN2911" s="42"/>
      <c r="AO2911" s="42"/>
      <c r="AP2911" s="42"/>
      <c r="AQ2911" s="42"/>
      <c r="AR2911" s="42"/>
      <c r="AS2911" s="42"/>
    </row>
    <row r="2912" spans="1:45" ht="15" customHeight="1">
      <c r="A2912" s="20" t="s">
        <v>260</v>
      </c>
      <c r="B2912" s="21" t="s">
        <v>46</v>
      </c>
      <c r="C2912" s="22" t="s">
        <v>188</v>
      </c>
      <c r="D2912" s="21" t="s">
        <v>48</v>
      </c>
      <c r="E2912" s="23" t="s">
        <v>919</v>
      </c>
      <c r="F2912" s="20" t="s">
        <v>3603</v>
      </c>
      <c r="G2912" s="20" t="s">
        <v>165</v>
      </c>
      <c r="H2912" s="25" t="s">
        <v>3604</v>
      </c>
      <c r="I2912" s="24" t="s">
        <v>3724</v>
      </c>
      <c r="J2912" s="26" t="s">
        <v>3605</v>
      </c>
      <c r="K2912" s="26" t="s">
        <v>3605</v>
      </c>
      <c r="L2912" s="20" t="s">
        <v>3606</v>
      </c>
      <c r="M2912" s="156">
        <v>45108</v>
      </c>
      <c r="N2912" s="20" t="s">
        <v>1542</v>
      </c>
      <c r="O2912" s="207">
        <v>9500</v>
      </c>
      <c r="P2912" s="237"/>
      <c r="Q2912" s="208">
        <f t="shared" si="85"/>
        <v>0</v>
      </c>
      <c r="R2912" s="31">
        <v>202310</v>
      </c>
      <c r="S2912" s="32" t="s">
        <v>4515</v>
      </c>
      <c r="T2912" s="33"/>
      <c r="U2912" s="32"/>
      <c r="V2912" s="32"/>
      <c r="W2912" s="226"/>
      <c r="X2912" s="35"/>
      <c r="Y2912" s="36"/>
      <c r="Z2912" s="36"/>
      <c r="AA2912" s="37" t="s">
        <v>4516</v>
      </c>
      <c r="AB2912" s="38">
        <v>0.3</v>
      </c>
      <c r="AC2912" s="38">
        <v>200</v>
      </c>
      <c r="AD2912" s="38">
        <f>AB2912*AC2912</f>
        <v>60</v>
      </c>
      <c r="AE2912" s="39" t="s">
        <v>3737</v>
      </c>
      <c r="AF2912" s="40" t="s">
        <v>484</v>
      </c>
      <c r="AG2912" s="41">
        <v>200</v>
      </c>
      <c r="AH2912" s="42"/>
      <c r="AI2912" s="43"/>
      <c r="AJ2912" s="43">
        <f t="shared" si="87"/>
        <v>0</v>
      </c>
      <c r="AK2912" s="43">
        <f t="shared" si="88"/>
        <v>0</v>
      </c>
      <c r="AL2912" s="43"/>
      <c r="AM2912" s="43"/>
      <c r="AN2912" s="42"/>
      <c r="AO2912" s="42"/>
      <c r="AP2912" s="42"/>
      <c r="AQ2912" s="42"/>
      <c r="AR2912" s="42"/>
      <c r="AS2912" s="42" t="s">
        <v>1982</v>
      </c>
    </row>
    <row r="2913" spans="1:45" ht="15" customHeight="1">
      <c r="A2913" s="20" t="s">
        <v>45</v>
      </c>
      <c r="B2913" s="21" t="s">
        <v>46</v>
      </c>
      <c r="C2913" s="20" t="s">
        <v>188</v>
      </c>
      <c r="D2913" s="22" t="s">
        <v>48</v>
      </c>
      <c r="E2913" s="23" t="s">
        <v>2526</v>
      </c>
      <c r="F2913" s="20" t="s">
        <v>2527</v>
      </c>
      <c r="G2913" s="47" t="s">
        <v>165</v>
      </c>
      <c r="H2913" s="25" t="s">
        <v>3610</v>
      </c>
      <c r="I2913" s="24" t="s">
        <v>3724</v>
      </c>
      <c r="J2913" s="26" t="s">
        <v>3611</v>
      </c>
      <c r="K2913" s="26" t="s">
        <v>3611</v>
      </c>
      <c r="L2913" s="48" t="s">
        <v>2530</v>
      </c>
      <c r="M2913" s="27">
        <v>45108</v>
      </c>
      <c r="N2913" s="47" t="s">
        <v>1542</v>
      </c>
      <c r="O2913" s="50">
        <v>6740</v>
      </c>
      <c r="P2913" s="50"/>
      <c r="Q2913" s="51">
        <f t="shared" si="85"/>
        <v>0</v>
      </c>
      <c r="R2913" s="31">
        <v>202310</v>
      </c>
      <c r="S2913" s="54" t="s">
        <v>4517</v>
      </c>
      <c r="T2913" s="33"/>
      <c r="U2913" s="32"/>
      <c r="V2913" s="46"/>
      <c r="W2913" s="232"/>
      <c r="X2913" s="52"/>
      <c r="Y2913" s="36"/>
      <c r="Z2913" s="36"/>
      <c r="AA2913" s="37" t="s">
        <v>4518</v>
      </c>
      <c r="AB2913" s="38">
        <v>0.4</v>
      </c>
      <c r="AC2913" s="38">
        <v>200</v>
      </c>
      <c r="AD2913" s="38">
        <f>AC2913*AB2913</f>
        <v>80</v>
      </c>
      <c r="AE2913" s="39" t="s">
        <v>130</v>
      </c>
      <c r="AF2913" s="40" t="s">
        <v>484</v>
      </c>
      <c r="AG2913" s="42">
        <v>200</v>
      </c>
      <c r="AH2913" s="42"/>
      <c r="AI2913" s="43"/>
      <c r="AJ2913" s="43">
        <f t="shared" si="87"/>
        <v>0</v>
      </c>
      <c r="AK2913" s="43">
        <f t="shared" si="88"/>
        <v>0</v>
      </c>
      <c r="AL2913" s="43"/>
      <c r="AM2913" s="43"/>
      <c r="AN2913" s="42"/>
      <c r="AO2913" s="42" t="s">
        <v>3615</v>
      </c>
      <c r="AP2913" s="42"/>
      <c r="AQ2913" s="43"/>
      <c r="AR2913" s="42"/>
      <c r="AS2913" s="42"/>
    </row>
    <row r="2914" spans="1:45" ht="15" customHeight="1">
      <c r="A2914" s="20" t="s">
        <v>57</v>
      </c>
      <c r="B2914" s="21" t="s">
        <v>3728</v>
      </c>
      <c r="C2914" s="22" t="s">
        <v>84</v>
      </c>
      <c r="D2914" s="22" t="s">
        <v>3729</v>
      </c>
      <c r="E2914" s="23" t="s">
        <v>4519</v>
      </c>
      <c r="F2914" s="20" t="s">
        <v>4520</v>
      </c>
      <c r="G2914" s="20" t="s">
        <v>165</v>
      </c>
      <c r="H2914" s="25" t="s">
        <v>4521</v>
      </c>
      <c r="I2914" s="24" t="s">
        <v>3724</v>
      </c>
      <c r="J2914" s="20"/>
      <c r="K2914" s="26" t="s">
        <v>4522</v>
      </c>
      <c r="L2914" s="20"/>
      <c r="M2914" s="156">
        <v>45108</v>
      </c>
      <c r="N2914" s="20"/>
      <c r="O2914" s="28">
        <v>4800</v>
      </c>
      <c r="P2914" s="229"/>
      <c r="Q2914" s="51">
        <f t="shared" si="85"/>
        <v>0</v>
      </c>
      <c r="R2914" s="31">
        <v>202310</v>
      </c>
      <c r="S2914" s="32" t="s">
        <v>4523</v>
      </c>
      <c r="T2914" s="32"/>
      <c r="U2914" s="32"/>
      <c r="V2914" s="32"/>
      <c r="W2914" s="226"/>
      <c r="X2914" s="35"/>
      <c r="Y2914" s="36"/>
      <c r="Z2914" s="36"/>
      <c r="AA2914" s="37" t="s">
        <v>4524</v>
      </c>
      <c r="AB2914" s="38">
        <v>0</v>
      </c>
      <c r="AC2914" s="38"/>
      <c r="AD2914" s="38">
        <v>0</v>
      </c>
      <c r="AE2914" s="39" t="s">
        <v>3737</v>
      </c>
      <c r="AF2914" s="40" t="s">
        <v>4525</v>
      </c>
      <c r="AG2914" s="41"/>
      <c r="AH2914" s="42"/>
      <c r="AI2914" s="43"/>
      <c r="AJ2914" s="43">
        <f t="shared" si="87"/>
        <v>0</v>
      </c>
      <c r="AK2914" s="43">
        <f t="shared" si="88"/>
        <v>0</v>
      </c>
      <c r="AL2914" s="43"/>
      <c r="AM2914" s="43"/>
      <c r="AN2914" s="42"/>
      <c r="AO2914" s="42" t="s">
        <v>3739</v>
      </c>
      <c r="AP2914" s="42"/>
      <c r="AQ2914" s="42" t="s">
        <v>92</v>
      </c>
      <c r="AR2914" s="42" t="s">
        <v>3754</v>
      </c>
      <c r="AS2914" s="42"/>
    </row>
    <row r="2915" spans="1:45" ht="15" customHeight="1">
      <c r="A2915" s="20" t="s">
        <v>57</v>
      </c>
      <c r="B2915" s="21" t="s">
        <v>3728</v>
      </c>
      <c r="C2915" s="22" t="s">
        <v>84</v>
      </c>
      <c r="D2915" s="22" t="s">
        <v>3729</v>
      </c>
      <c r="E2915" s="23" t="s">
        <v>3932</v>
      </c>
      <c r="F2915" s="20" t="s">
        <v>3933</v>
      </c>
      <c r="G2915" s="20" t="s">
        <v>165</v>
      </c>
      <c r="H2915" s="25" t="s">
        <v>4526</v>
      </c>
      <c r="I2915" s="24" t="s">
        <v>3724</v>
      </c>
      <c r="J2915" s="20"/>
      <c r="K2915" s="26" t="s">
        <v>4527</v>
      </c>
      <c r="L2915" s="20"/>
      <c r="M2915" s="156">
        <v>45108</v>
      </c>
      <c r="N2915" s="20"/>
      <c r="O2915" s="28">
        <v>5800</v>
      </c>
      <c r="P2915" s="231"/>
      <c r="Q2915" s="51">
        <f t="shared" si="85"/>
        <v>0</v>
      </c>
      <c r="R2915" s="31">
        <v>202310</v>
      </c>
      <c r="S2915" s="32" t="s">
        <v>4528</v>
      </c>
      <c r="T2915" s="32"/>
      <c r="U2915" s="228"/>
      <c r="V2915" s="35"/>
      <c r="W2915" s="226"/>
      <c r="X2915" s="258"/>
      <c r="Y2915" s="36"/>
      <c r="Z2915" s="36"/>
      <c r="AA2915" s="38" t="s">
        <v>4529</v>
      </c>
      <c r="AB2915" s="38">
        <v>0</v>
      </c>
      <c r="AC2915" s="38"/>
      <c r="AD2915" s="38">
        <v>0</v>
      </c>
      <c r="AE2915" s="39" t="s">
        <v>3737</v>
      </c>
      <c r="AF2915" s="39" t="s">
        <v>3816</v>
      </c>
      <c r="AG2915" s="40"/>
      <c r="AH2915" s="42"/>
      <c r="AI2915" s="42"/>
      <c r="AJ2915" s="43">
        <f t="shared" si="87"/>
        <v>0</v>
      </c>
      <c r="AK2915" s="43">
        <f t="shared" si="88"/>
        <v>0</v>
      </c>
      <c r="AL2915" s="43"/>
      <c r="AM2915" s="43"/>
      <c r="AN2915" s="42"/>
      <c r="AO2915" s="42"/>
      <c r="AP2915" s="42"/>
      <c r="AQ2915" s="42"/>
      <c r="AR2915" s="42" t="s">
        <v>3740</v>
      </c>
      <c r="AS2915" s="42"/>
    </row>
    <row r="2916" spans="1:45" ht="15" customHeight="1">
      <c r="A2916" s="20" t="s">
        <v>57</v>
      </c>
      <c r="B2916" s="21" t="s">
        <v>3728</v>
      </c>
      <c r="C2916" s="22" t="s">
        <v>84</v>
      </c>
      <c r="D2916" s="22" t="s">
        <v>3729</v>
      </c>
      <c r="E2916" s="23" t="s">
        <v>3755</v>
      </c>
      <c r="F2916" s="20" t="s">
        <v>3756</v>
      </c>
      <c r="G2916" s="20" t="s">
        <v>165</v>
      </c>
      <c r="H2916" s="219" t="s">
        <v>4530</v>
      </c>
      <c r="I2916" s="24" t="s">
        <v>3724</v>
      </c>
      <c r="J2916" s="20"/>
      <c r="K2916" s="26" t="s">
        <v>4531</v>
      </c>
      <c r="L2916" s="20"/>
      <c r="M2916" s="156">
        <v>45139</v>
      </c>
      <c r="N2916" s="20"/>
      <c r="O2916" s="28">
        <v>4850</v>
      </c>
      <c r="P2916" s="259"/>
      <c r="Q2916" s="51">
        <f t="shared" si="85"/>
        <v>0</v>
      </c>
      <c r="R2916" s="31">
        <v>202310</v>
      </c>
      <c r="S2916" s="32" t="s">
        <v>4528</v>
      </c>
      <c r="T2916" s="32"/>
      <c r="U2916" s="32"/>
      <c r="V2916" s="32"/>
      <c r="W2916" s="226"/>
      <c r="X2916" s="35"/>
      <c r="Y2916" s="36"/>
      <c r="Z2916" s="36"/>
      <c r="AA2916" s="37" t="s">
        <v>4532</v>
      </c>
      <c r="AB2916" s="38">
        <v>0</v>
      </c>
      <c r="AC2916" s="38"/>
      <c r="AD2916" s="38">
        <v>0</v>
      </c>
      <c r="AE2916" s="39" t="s">
        <v>3737</v>
      </c>
      <c r="AF2916" s="39" t="s">
        <v>3816</v>
      </c>
      <c r="AG2916" s="41"/>
      <c r="AH2916" s="42"/>
      <c r="AI2916" s="43"/>
      <c r="AJ2916" s="43">
        <f t="shared" ref="AJ2916:AJ2918" si="89">X2916</f>
        <v>0</v>
      </c>
      <c r="AK2916" s="43">
        <f t="shared" si="88"/>
        <v>0</v>
      </c>
      <c r="AL2916" s="43"/>
      <c r="AM2916" s="43"/>
      <c r="AN2916" s="42"/>
      <c r="AO2916" s="42" t="s">
        <v>3762</v>
      </c>
      <c r="AP2916" s="42"/>
      <c r="AQ2916" s="42" t="s">
        <v>3763</v>
      </c>
      <c r="AR2916" s="42" t="s">
        <v>3740</v>
      </c>
      <c r="AS2916" s="42"/>
    </row>
    <row r="2917" spans="1:45" ht="15" customHeight="1">
      <c r="A2917" s="135" t="s">
        <v>45</v>
      </c>
      <c r="B2917" s="136" t="s">
        <v>837</v>
      </c>
      <c r="C2917" s="136" t="s">
        <v>838</v>
      </c>
      <c r="D2917" s="136" t="s">
        <v>48</v>
      </c>
      <c r="E2917" s="198" t="s">
        <v>2463</v>
      </c>
      <c r="F2917" s="76" t="s">
        <v>2464</v>
      </c>
      <c r="G2917" s="74" t="s">
        <v>165</v>
      </c>
      <c r="H2917" s="136" t="s">
        <v>2470</v>
      </c>
      <c r="I2917" s="24" t="s">
        <v>3724</v>
      </c>
      <c r="J2917" s="76" t="s">
        <v>4533</v>
      </c>
      <c r="K2917" s="146" t="s">
        <v>4534</v>
      </c>
      <c r="L2917" s="199" t="s">
        <v>2468</v>
      </c>
      <c r="M2917" s="75">
        <v>45141</v>
      </c>
      <c r="N2917" s="200" t="s">
        <v>1542</v>
      </c>
      <c r="O2917" s="139">
        <v>6740</v>
      </c>
      <c r="P2917" s="201"/>
      <c r="Q2917" s="208">
        <f t="shared" si="85"/>
        <v>0</v>
      </c>
      <c r="R2917" s="31">
        <v>202310</v>
      </c>
      <c r="S2917" s="202" t="s">
        <v>4535</v>
      </c>
      <c r="T2917" s="33"/>
      <c r="U2917" s="203"/>
      <c r="V2917" s="178"/>
      <c r="W2917" s="232"/>
      <c r="X2917" s="206"/>
      <c r="Y2917" s="36"/>
      <c r="Z2917" s="36"/>
      <c r="AA2917" s="210" t="s">
        <v>4536</v>
      </c>
      <c r="AB2917" s="253">
        <v>0.4</v>
      </c>
      <c r="AC2917" s="255">
        <v>200</v>
      </c>
      <c r="AD2917" s="256">
        <f>AB2917*AC2917</f>
        <v>80</v>
      </c>
      <c r="AE2917" s="39" t="s">
        <v>130</v>
      </c>
      <c r="AF2917" s="190" t="s">
        <v>484</v>
      </c>
      <c r="AG2917" s="190">
        <v>200</v>
      </c>
      <c r="AH2917" s="190"/>
      <c r="AI2917" s="42"/>
      <c r="AJ2917" s="43">
        <f t="shared" si="89"/>
        <v>0</v>
      </c>
      <c r="AK2917" s="43">
        <f t="shared" si="88"/>
        <v>0</v>
      </c>
      <c r="AL2917" s="43"/>
      <c r="AM2917" s="43"/>
      <c r="AN2917" s="42"/>
      <c r="AO2917" s="210"/>
      <c r="AP2917" s="42"/>
      <c r="AQ2917" s="42"/>
      <c r="AR2917" s="42"/>
      <c r="AS2917" s="42" t="s">
        <v>1982</v>
      </c>
    </row>
    <row r="2918" spans="1:45" ht="15" customHeight="1">
      <c r="A2918" s="20" t="s">
        <v>258</v>
      </c>
      <c r="B2918" s="21" t="s">
        <v>46</v>
      </c>
      <c r="C2918" s="22" t="s">
        <v>887</v>
      </c>
      <c r="D2918" s="21" t="s">
        <v>888</v>
      </c>
      <c r="E2918" s="23" t="s">
        <v>2183</v>
      </c>
      <c r="F2918" s="20" t="s">
        <v>2184</v>
      </c>
      <c r="G2918" s="20" t="s">
        <v>165</v>
      </c>
      <c r="H2918" s="25" t="s">
        <v>3589</v>
      </c>
      <c r="I2918" s="24" t="s">
        <v>3724</v>
      </c>
      <c r="J2918" s="104" t="s">
        <v>4487</v>
      </c>
      <c r="K2918" s="104" t="s">
        <v>4537</v>
      </c>
      <c r="L2918" s="48"/>
      <c r="M2918" s="192">
        <v>45139</v>
      </c>
      <c r="N2918" s="20"/>
      <c r="O2918" s="28">
        <v>4784</v>
      </c>
      <c r="P2918" s="237"/>
      <c r="Q2918" s="51">
        <f t="shared" si="85"/>
        <v>0</v>
      </c>
      <c r="R2918" s="31">
        <v>202310</v>
      </c>
      <c r="S2918" s="32" t="s">
        <v>4538</v>
      </c>
      <c r="T2918" s="33"/>
      <c r="U2918" s="54"/>
      <c r="V2918" s="32"/>
      <c r="W2918" s="241"/>
      <c r="X2918" s="35"/>
      <c r="Y2918" s="36">
        <v>45108</v>
      </c>
      <c r="Z2918" s="36">
        <v>45473</v>
      </c>
      <c r="AA2918" s="37" t="s">
        <v>4539</v>
      </c>
      <c r="AB2918" s="38">
        <v>0</v>
      </c>
      <c r="AC2918" s="38"/>
      <c r="AD2918" s="38">
        <f>AB2918*AC2918</f>
        <v>0</v>
      </c>
      <c r="AE2918" s="39" t="s">
        <v>3737</v>
      </c>
      <c r="AF2918" s="53" t="s">
        <v>3816</v>
      </c>
      <c r="AG2918" s="41"/>
      <c r="AH2918" s="42"/>
      <c r="AI2918" s="43"/>
      <c r="AJ2918" s="43">
        <f t="shared" si="89"/>
        <v>0</v>
      </c>
      <c r="AK2918" s="43">
        <f t="shared" si="88"/>
        <v>0</v>
      </c>
      <c r="AL2918" s="43"/>
      <c r="AM2918" s="43"/>
      <c r="AN2918" s="42"/>
      <c r="AO2918" s="42" t="s">
        <v>4152</v>
      </c>
      <c r="AP2918" s="42"/>
      <c r="AQ2918" s="42"/>
      <c r="AR2918" s="42"/>
      <c r="AS2918" s="42"/>
    </row>
    <row r="2919" spans="1:45" ht="15" customHeight="1">
      <c r="A2919" s="135" t="s">
        <v>57</v>
      </c>
      <c r="B2919" s="136" t="s">
        <v>3728</v>
      </c>
      <c r="C2919" s="136" t="s">
        <v>84</v>
      </c>
      <c r="D2919" s="22" t="s">
        <v>3729</v>
      </c>
      <c r="E2919" s="198" t="s">
        <v>4540</v>
      </c>
      <c r="F2919" s="47" t="s">
        <v>4541</v>
      </c>
      <c r="G2919" s="26" t="s">
        <v>165</v>
      </c>
      <c r="H2919" s="219" t="s">
        <v>4542</v>
      </c>
      <c r="I2919" s="24" t="s">
        <v>3724</v>
      </c>
      <c r="J2919" s="47"/>
      <c r="K2919" s="48" t="s">
        <v>4543</v>
      </c>
      <c r="L2919" s="260"/>
      <c r="M2919" s="49">
        <v>45170</v>
      </c>
      <c r="N2919" s="46"/>
      <c r="O2919" s="207">
        <v>5500</v>
      </c>
      <c r="P2919" s="201"/>
      <c r="Q2919" s="208">
        <f>ROUND(O2919*P2919,2)</f>
        <v>0</v>
      </c>
      <c r="R2919" s="31">
        <v>202310</v>
      </c>
      <c r="S2919" s="202" t="s">
        <v>4544</v>
      </c>
      <c r="T2919" s="33"/>
      <c r="U2919" s="202"/>
      <c r="V2919" s="52"/>
      <c r="W2919" s="34"/>
      <c r="X2919" s="206"/>
      <c r="Y2919" s="36">
        <v>45170</v>
      </c>
      <c r="Z2919" s="36">
        <v>45291</v>
      </c>
      <c r="AA2919" s="37" t="s">
        <v>4545</v>
      </c>
      <c r="AB2919" s="38">
        <v>0</v>
      </c>
      <c r="AC2919" s="38"/>
      <c r="AD2919" s="38">
        <v>0</v>
      </c>
      <c r="AE2919" s="40" t="s">
        <v>3737</v>
      </c>
      <c r="AF2919" s="39" t="s">
        <v>3816</v>
      </c>
      <c r="AG2919" s="40"/>
      <c r="AH2919" s="42"/>
      <c r="AI2919" s="42"/>
      <c r="AJ2919" s="43"/>
      <c r="AK2919" s="43"/>
      <c r="AL2919" s="43"/>
      <c r="AM2919" s="43"/>
      <c r="AN2919" s="42"/>
      <c r="AO2919" s="42"/>
      <c r="AP2919" s="42"/>
      <c r="AQ2919" s="42"/>
      <c r="AR2919" s="42" t="s">
        <v>3740</v>
      </c>
      <c r="AS2919" s="42"/>
    </row>
    <row r="2920" spans="1:45" ht="15" customHeight="1">
      <c r="A2920" s="65" t="s">
        <v>57</v>
      </c>
      <c r="B2920" s="21" t="s">
        <v>46</v>
      </c>
      <c r="C2920" s="21" t="s">
        <v>188</v>
      </c>
      <c r="D2920" s="22" t="s">
        <v>59</v>
      </c>
      <c r="E2920" s="66" t="s">
        <v>4546</v>
      </c>
      <c r="F2920" s="65" t="s">
        <v>336</v>
      </c>
      <c r="G2920" s="26" t="s">
        <v>77</v>
      </c>
      <c r="H2920" s="45" t="s">
        <v>4547</v>
      </c>
      <c r="I2920" s="26" t="s">
        <v>78</v>
      </c>
      <c r="J2920" s="101" t="s">
        <v>602</v>
      </c>
      <c r="K2920" s="115"/>
      <c r="L2920" s="48" t="s">
        <v>364</v>
      </c>
      <c r="M2920" s="49">
        <v>45200</v>
      </c>
      <c r="N2920" s="116" t="s">
        <v>177</v>
      </c>
      <c r="O2920" s="68">
        <v>4169</v>
      </c>
      <c r="P2920" s="68">
        <v>6</v>
      </c>
      <c r="Q2920" s="51">
        <f>ROUND(O2920*P2920,2)</f>
        <v>25014</v>
      </c>
      <c r="R2920" s="31">
        <v>202310</v>
      </c>
      <c r="S2920" s="117" t="s">
        <v>4548</v>
      </c>
      <c r="T2920" s="261"/>
      <c r="U2920" s="117" t="s">
        <v>4549</v>
      </c>
      <c r="V2920" s="261"/>
      <c r="W2920" s="132"/>
      <c r="X2920" s="132"/>
      <c r="Y2920" s="97"/>
      <c r="Z2920" s="97"/>
      <c r="AA2920" s="97"/>
      <c r="AB2920" s="36"/>
      <c r="AC2920" s="36"/>
      <c r="AD2920" s="36"/>
      <c r="AE2920" s="36"/>
      <c r="AF2920" s="53" t="s">
        <v>68</v>
      </c>
      <c r="AG2920" s="42"/>
      <c r="AH2920" s="42"/>
      <c r="AI2920" s="43"/>
      <c r="AJ2920" s="43"/>
      <c r="AK2920" s="43"/>
      <c r="AL2920" s="43"/>
      <c r="AM2920" s="43"/>
      <c r="AN2920" s="42"/>
      <c r="AO2920" s="42"/>
      <c r="AP2920" s="42"/>
      <c r="AQ2920" s="43"/>
      <c r="AR2920" s="42"/>
      <c r="AS2920" s="42"/>
    </row>
    <row r="2921" spans="1:45" ht="15" customHeight="1">
      <c r="A2921" s="65" t="s">
        <v>57</v>
      </c>
      <c r="B2921" s="21" t="s">
        <v>46</v>
      </c>
      <c r="C2921" s="21" t="s">
        <v>188</v>
      </c>
      <c r="D2921" s="22" t="s">
        <v>59</v>
      </c>
      <c r="E2921" s="66" t="s">
        <v>4546</v>
      </c>
      <c r="F2921" s="65" t="s">
        <v>336</v>
      </c>
      <c r="G2921" s="26" t="s">
        <v>77</v>
      </c>
      <c r="H2921" s="45" t="s">
        <v>4547</v>
      </c>
      <c r="I2921" s="102" t="s">
        <v>78</v>
      </c>
      <c r="J2921" s="101" t="s">
        <v>602</v>
      </c>
      <c r="K2921" s="115"/>
      <c r="L2921" s="48" t="s">
        <v>364</v>
      </c>
      <c r="M2921" s="49">
        <v>45203</v>
      </c>
      <c r="N2921" s="116" t="s">
        <v>177</v>
      </c>
      <c r="O2921" s="68">
        <v>4169</v>
      </c>
      <c r="P2921" s="68">
        <v>-6</v>
      </c>
      <c r="Q2921" s="51">
        <f>ROUND(O2921*P2921*27/31,2)</f>
        <v>-21786.39</v>
      </c>
      <c r="R2921" s="31">
        <v>202310</v>
      </c>
      <c r="S2921" s="117" t="s">
        <v>4548</v>
      </c>
      <c r="T2921" s="118"/>
      <c r="U2921" s="117" t="s">
        <v>606</v>
      </c>
      <c r="V2921" s="118"/>
      <c r="W2921" s="67"/>
      <c r="X2921" s="67"/>
      <c r="Y2921" s="36"/>
      <c r="Z2921" s="36"/>
      <c r="AA2921" s="36"/>
      <c r="AB2921" s="36"/>
      <c r="AC2921" s="36"/>
      <c r="AD2921" s="36"/>
      <c r="AE2921" s="36"/>
      <c r="AF2921" s="53" t="s">
        <v>68</v>
      </c>
      <c r="AG2921" s="42"/>
      <c r="AH2921" s="42"/>
      <c r="AI2921" s="43"/>
      <c r="AJ2921" s="43"/>
      <c r="AK2921" s="43"/>
      <c r="AL2921" s="43"/>
      <c r="AM2921" s="43"/>
      <c r="AN2921" s="42"/>
      <c r="AO2921" s="42"/>
      <c r="AP2921" s="42"/>
      <c r="AQ2921" s="43"/>
      <c r="AR2921" s="42"/>
      <c r="AS2921" s="42"/>
    </row>
    <row r="2922" spans="1:45" ht="15" customHeight="1">
      <c r="A2922" s="65" t="s">
        <v>57</v>
      </c>
      <c r="B2922" s="21" t="s">
        <v>46</v>
      </c>
      <c r="C2922" s="21" t="s">
        <v>188</v>
      </c>
      <c r="D2922" s="22" t="s">
        <v>59</v>
      </c>
      <c r="E2922" s="66" t="s">
        <v>4546</v>
      </c>
      <c r="F2922" s="65" t="s">
        <v>336</v>
      </c>
      <c r="G2922" s="26" t="s">
        <v>77</v>
      </c>
      <c r="H2922" s="45" t="s">
        <v>4547</v>
      </c>
      <c r="I2922" s="102" t="s">
        <v>78</v>
      </c>
      <c r="J2922" s="101" t="s">
        <v>602</v>
      </c>
      <c r="K2922" s="115"/>
      <c r="L2922" s="48" t="s">
        <v>364</v>
      </c>
      <c r="M2922" s="49">
        <v>45200</v>
      </c>
      <c r="N2922" s="116" t="s">
        <v>177</v>
      </c>
      <c r="O2922" s="68">
        <v>4169</v>
      </c>
      <c r="P2922" s="68">
        <v>2</v>
      </c>
      <c r="Q2922" s="51">
        <f>ROUND(O2922*P2922,2)</f>
        <v>8338</v>
      </c>
      <c r="R2922" s="31">
        <v>202310</v>
      </c>
      <c r="S2922" s="117" t="s">
        <v>4550</v>
      </c>
      <c r="T2922" s="261"/>
      <c r="U2922" s="117" t="s">
        <v>4549</v>
      </c>
      <c r="V2922" s="261"/>
      <c r="W2922" s="132"/>
      <c r="X2922" s="132"/>
      <c r="Y2922" s="97"/>
      <c r="Z2922" s="97"/>
      <c r="AA2922" s="97"/>
      <c r="AB2922" s="36"/>
      <c r="AC2922" s="36"/>
      <c r="AD2922" s="36"/>
      <c r="AE2922" s="36"/>
      <c r="AF2922" s="53" t="s">
        <v>68</v>
      </c>
      <c r="AG2922" s="42"/>
      <c r="AH2922" s="42"/>
      <c r="AI2922" s="43"/>
      <c r="AJ2922" s="43"/>
      <c r="AK2922" s="43"/>
      <c r="AL2922" s="43"/>
      <c r="AM2922" s="43"/>
      <c r="AN2922" s="42"/>
      <c r="AO2922" s="42"/>
      <c r="AP2922" s="42"/>
      <c r="AQ2922" s="43"/>
      <c r="AR2922" s="42"/>
      <c r="AS2922" s="42"/>
    </row>
    <row r="2923" spans="1:45" ht="15" customHeight="1">
      <c r="A2923" s="65" t="s">
        <v>57</v>
      </c>
      <c r="B2923" s="21" t="s">
        <v>46</v>
      </c>
      <c r="C2923" s="21" t="s">
        <v>188</v>
      </c>
      <c r="D2923" s="22" t="s">
        <v>59</v>
      </c>
      <c r="E2923" s="66" t="s">
        <v>4546</v>
      </c>
      <c r="F2923" s="65" t="s">
        <v>336</v>
      </c>
      <c r="G2923" s="26" t="s">
        <v>77</v>
      </c>
      <c r="H2923" s="45" t="s">
        <v>4547</v>
      </c>
      <c r="I2923" s="102" t="s">
        <v>78</v>
      </c>
      <c r="J2923" s="101" t="s">
        <v>602</v>
      </c>
      <c r="K2923" s="115"/>
      <c r="L2923" s="48" t="s">
        <v>364</v>
      </c>
      <c r="M2923" s="49">
        <v>45209</v>
      </c>
      <c r="N2923" s="116" t="s">
        <v>177</v>
      </c>
      <c r="O2923" s="68">
        <v>4169</v>
      </c>
      <c r="P2923" s="68">
        <v>-2</v>
      </c>
      <c r="Q2923" s="51">
        <f>ROUND(O2923*P2923*21/31,2)</f>
        <v>-5648.32</v>
      </c>
      <c r="R2923" s="31">
        <v>202310</v>
      </c>
      <c r="S2923" s="117" t="s">
        <v>4550</v>
      </c>
      <c r="T2923" s="118"/>
      <c r="U2923" s="117" t="s">
        <v>606</v>
      </c>
      <c r="V2923" s="118"/>
      <c r="W2923" s="67"/>
      <c r="X2923" s="67"/>
      <c r="Y2923" s="36"/>
      <c r="Z2923" s="36"/>
      <c r="AA2923" s="36"/>
      <c r="AB2923" s="36"/>
      <c r="AC2923" s="36"/>
      <c r="AD2923" s="36"/>
      <c r="AE2923" s="36"/>
      <c r="AF2923" s="53" t="s">
        <v>68</v>
      </c>
      <c r="AG2923" s="42"/>
      <c r="AH2923" s="42"/>
      <c r="AI2923" s="43"/>
      <c r="AJ2923" s="43"/>
      <c r="AK2923" s="43"/>
      <c r="AL2923" s="43"/>
      <c r="AM2923" s="43"/>
      <c r="AN2923" s="42"/>
      <c r="AO2923" s="42"/>
      <c r="AP2923" s="42"/>
      <c r="AQ2923" s="43"/>
      <c r="AR2923" s="42"/>
      <c r="AS2923" s="42"/>
    </row>
    <row r="2924" spans="1:45" ht="15" customHeight="1">
      <c r="A2924" s="65" t="s">
        <v>57</v>
      </c>
      <c r="B2924" s="21" t="s">
        <v>46</v>
      </c>
      <c r="C2924" s="21" t="s">
        <v>188</v>
      </c>
      <c r="D2924" s="22" t="s">
        <v>59</v>
      </c>
      <c r="E2924" s="66" t="s">
        <v>4546</v>
      </c>
      <c r="F2924" s="65" t="s">
        <v>336</v>
      </c>
      <c r="G2924" s="26" t="s">
        <v>77</v>
      </c>
      <c r="H2924" s="45" t="s">
        <v>4547</v>
      </c>
      <c r="I2924" s="102" t="s">
        <v>78</v>
      </c>
      <c r="J2924" s="101" t="s">
        <v>602</v>
      </c>
      <c r="K2924" s="115"/>
      <c r="L2924" s="48" t="s">
        <v>364</v>
      </c>
      <c r="M2924" s="49">
        <v>45200</v>
      </c>
      <c r="N2924" s="116" t="s">
        <v>177</v>
      </c>
      <c r="O2924" s="68">
        <v>4169</v>
      </c>
      <c r="P2924" s="68">
        <v>2</v>
      </c>
      <c r="Q2924" s="51">
        <f>ROUND(O2924*P2924,2)</f>
        <v>8338</v>
      </c>
      <c r="R2924" s="31">
        <v>202310</v>
      </c>
      <c r="S2924" s="117" t="s">
        <v>4551</v>
      </c>
      <c r="T2924" s="261"/>
      <c r="U2924" s="117" t="s">
        <v>4549</v>
      </c>
      <c r="V2924" s="261"/>
      <c r="W2924" s="132"/>
      <c r="X2924" s="132"/>
      <c r="Y2924" s="97"/>
      <c r="Z2924" s="97"/>
      <c r="AA2924" s="97"/>
      <c r="AB2924" s="36"/>
      <c r="AC2924" s="36"/>
      <c r="AD2924" s="36"/>
      <c r="AE2924" s="36"/>
      <c r="AF2924" s="53" t="s">
        <v>68</v>
      </c>
      <c r="AG2924" s="42"/>
      <c r="AH2924" s="42"/>
      <c r="AI2924" s="43"/>
      <c r="AJ2924" s="43"/>
      <c r="AK2924" s="43"/>
      <c r="AL2924" s="43"/>
      <c r="AM2924" s="43"/>
      <c r="AN2924" s="42"/>
      <c r="AO2924" s="42"/>
      <c r="AP2924" s="42"/>
      <c r="AQ2924" s="43"/>
      <c r="AR2924" s="42"/>
      <c r="AS2924" s="42"/>
    </row>
    <row r="2925" spans="1:45" ht="15" customHeight="1">
      <c r="A2925" s="65" t="s">
        <v>57</v>
      </c>
      <c r="B2925" s="21" t="s">
        <v>46</v>
      </c>
      <c r="C2925" s="21" t="s">
        <v>188</v>
      </c>
      <c r="D2925" s="22" t="s">
        <v>59</v>
      </c>
      <c r="E2925" s="66" t="s">
        <v>4546</v>
      </c>
      <c r="F2925" s="65" t="s">
        <v>336</v>
      </c>
      <c r="G2925" s="26" t="s">
        <v>77</v>
      </c>
      <c r="H2925" s="45" t="s">
        <v>4547</v>
      </c>
      <c r="I2925" s="102" t="s">
        <v>78</v>
      </c>
      <c r="J2925" s="101" t="s">
        <v>602</v>
      </c>
      <c r="K2925" s="115"/>
      <c r="L2925" s="48" t="s">
        <v>364</v>
      </c>
      <c r="M2925" s="49">
        <v>45212</v>
      </c>
      <c r="N2925" s="116" t="s">
        <v>177</v>
      </c>
      <c r="O2925" s="68">
        <v>4169</v>
      </c>
      <c r="P2925" s="68">
        <v>-2</v>
      </c>
      <c r="Q2925" s="51">
        <f>ROUND(O2925*P2925*18/31,2)</f>
        <v>-4841.42</v>
      </c>
      <c r="R2925" s="31">
        <v>202310</v>
      </c>
      <c r="S2925" s="117" t="s">
        <v>4551</v>
      </c>
      <c r="T2925" s="118"/>
      <c r="U2925" s="117" t="s">
        <v>606</v>
      </c>
      <c r="V2925" s="118"/>
      <c r="W2925" s="67"/>
      <c r="X2925" s="67"/>
      <c r="Y2925" s="36"/>
      <c r="Z2925" s="36"/>
      <c r="AA2925" s="36"/>
      <c r="AB2925" s="36"/>
      <c r="AC2925" s="36"/>
      <c r="AD2925" s="36"/>
      <c r="AE2925" s="36"/>
      <c r="AF2925" s="53" t="s">
        <v>68</v>
      </c>
      <c r="AG2925" s="42"/>
      <c r="AH2925" s="42"/>
      <c r="AI2925" s="43"/>
      <c r="AJ2925" s="43"/>
      <c r="AK2925" s="43"/>
      <c r="AL2925" s="43"/>
      <c r="AM2925" s="43"/>
      <c r="AN2925" s="42"/>
      <c r="AO2925" s="42"/>
      <c r="AP2925" s="42"/>
      <c r="AQ2925" s="43"/>
      <c r="AR2925" s="42"/>
      <c r="AS2925" s="42"/>
    </row>
    <row r="2926" spans="1:45" ht="15" customHeight="1">
      <c r="A2926" s="65" t="s">
        <v>57</v>
      </c>
      <c r="B2926" s="21" t="s">
        <v>46</v>
      </c>
      <c r="C2926" s="21" t="s">
        <v>188</v>
      </c>
      <c r="D2926" s="22" t="s">
        <v>59</v>
      </c>
      <c r="E2926" s="66" t="s">
        <v>4546</v>
      </c>
      <c r="F2926" s="65" t="s">
        <v>336</v>
      </c>
      <c r="G2926" s="26" t="s">
        <v>77</v>
      </c>
      <c r="H2926" s="45" t="s">
        <v>4547</v>
      </c>
      <c r="I2926" s="102" t="s">
        <v>78</v>
      </c>
      <c r="J2926" s="101" t="s">
        <v>1456</v>
      </c>
      <c r="K2926" s="115"/>
      <c r="L2926" s="48" t="s">
        <v>364</v>
      </c>
      <c r="M2926" s="49">
        <v>45200</v>
      </c>
      <c r="N2926" s="116" t="s">
        <v>177</v>
      </c>
      <c r="O2926" s="68">
        <v>4169</v>
      </c>
      <c r="P2926" s="68">
        <v>99</v>
      </c>
      <c r="Q2926" s="51">
        <f>ROUND(O2926*P2926,2)</f>
        <v>412731</v>
      </c>
      <c r="R2926" s="31">
        <v>202310</v>
      </c>
      <c r="S2926" s="117" t="s">
        <v>4552</v>
      </c>
      <c r="T2926" s="261"/>
      <c r="U2926" s="117" t="s">
        <v>4549</v>
      </c>
      <c r="V2926" s="261"/>
      <c r="W2926" s="132"/>
      <c r="X2926" s="132"/>
      <c r="Y2926" s="97"/>
      <c r="Z2926" s="97"/>
      <c r="AA2926" s="97"/>
      <c r="AB2926" s="36"/>
      <c r="AC2926" s="36"/>
      <c r="AD2926" s="36"/>
      <c r="AE2926" s="36"/>
      <c r="AF2926" s="53" t="s">
        <v>68</v>
      </c>
      <c r="AG2926" s="42"/>
      <c r="AH2926" s="42"/>
      <c r="AI2926" s="43"/>
      <c r="AJ2926" s="43"/>
      <c r="AK2926" s="43"/>
      <c r="AL2926" s="43"/>
      <c r="AM2926" s="43"/>
      <c r="AN2926" s="42"/>
      <c r="AO2926" s="42"/>
      <c r="AP2926" s="42"/>
      <c r="AQ2926" s="43"/>
      <c r="AR2926" s="42"/>
      <c r="AS2926" s="42"/>
    </row>
    <row r="2927" spans="1:45" ht="15" customHeight="1">
      <c r="A2927" s="65" t="s">
        <v>57</v>
      </c>
      <c r="B2927" s="21" t="s">
        <v>46</v>
      </c>
      <c r="C2927" s="21" t="s">
        <v>188</v>
      </c>
      <c r="D2927" s="22" t="s">
        <v>59</v>
      </c>
      <c r="E2927" s="66" t="s">
        <v>4546</v>
      </c>
      <c r="F2927" s="65" t="s">
        <v>336</v>
      </c>
      <c r="G2927" s="26" t="s">
        <v>77</v>
      </c>
      <c r="H2927" s="45" t="s">
        <v>4547</v>
      </c>
      <c r="I2927" s="102" t="s">
        <v>78</v>
      </c>
      <c r="J2927" s="101" t="s">
        <v>1456</v>
      </c>
      <c r="K2927" s="115"/>
      <c r="L2927" s="48" t="s">
        <v>364</v>
      </c>
      <c r="M2927" s="49">
        <v>45203</v>
      </c>
      <c r="N2927" s="116" t="s">
        <v>177</v>
      </c>
      <c r="O2927" s="68">
        <v>4169</v>
      </c>
      <c r="P2927" s="68">
        <v>-99</v>
      </c>
      <c r="Q2927" s="51">
        <f>ROUND(O2927*P2927*27/31,2)</f>
        <v>-359475.39</v>
      </c>
      <c r="R2927" s="31">
        <v>202310</v>
      </c>
      <c r="S2927" s="117" t="s">
        <v>4552</v>
      </c>
      <c r="T2927" s="118"/>
      <c r="U2927" s="117" t="s">
        <v>606</v>
      </c>
      <c r="V2927" s="118"/>
      <c r="W2927" s="67"/>
      <c r="X2927" s="67"/>
      <c r="Y2927" s="36"/>
      <c r="Z2927" s="36"/>
      <c r="AA2927" s="36"/>
      <c r="AB2927" s="36"/>
      <c r="AC2927" s="36"/>
      <c r="AD2927" s="36"/>
      <c r="AE2927" s="36"/>
      <c r="AF2927" s="53" t="s">
        <v>68</v>
      </c>
      <c r="AG2927" s="42"/>
      <c r="AH2927" s="42"/>
      <c r="AI2927" s="43"/>
      <c r="AJ2927" s="43"/>
      <c r="AK2927" s="43"/>
      <c r="AL2927" s="43"/>
      <c r="AM2927" s="43"/>
      <c r="AN2927" s="42"/>
      <c r="AO2927" s="42"/>
      <c r="AP2927" s="42"/>
      <c r="AQ2927" s="43"/>
      <c r="AR2927" s="42"/>
      <c r="AS2927" s="42"/>
    </row>
    <row r="2928" spans="1:45" ht="15" customHeight="1">
      <c r="A2928" s="65" t="s">
        <v>57</v>
      </c>
      <c r="B2928" s="21" t="s">
        <v>46</v>
      </c>
      <c r="C2928" s="21" t="s">
        <v>188</v>
      </c>
      <c r="D2928" s="22" t="s">
        <v>59</v>
      </c>
      <c r="E2928" s="66" t="s">
        <v>4546</v>
      </c>
      <c r="F2928" s="65" t="s">
        <v>336</v>
      </c>
      <c r="G2928" s="26" t="s">
        <v>77</v>
      </c>
      <c r="H2928" s="45" t="s">
        <v>4547</v>
      </c>
      <c r="I2928" s="102" t="s">
        <v>78</v>
      </c>
      <c r="J2928" s="101" t="s">
        <v>1456</v>
      </c>
      <c r="K2928" s="115"/>
      <c r="L2928" s="48" t="s">
        <v>364</v>
      </c>
      <c r="M2928" s="49">
        <v>45200</v>
      </c>
      <c r="N2928" s="116" t="s">
        <v>177</v>
      </c>
      <c r="O2928" s="68">
        <v>4169</v>
      </c>
      <c r="P2928" s="68">
        <v>5</v>
      </c>
      <c r="Q2928" s="51">
        <f>ROUND(O2928*P2928,2)</f>
        <v>20845</v>
      </c>
      <c r="R2928" s="31">
        <v>202310</v>
      </c>
      <c r="S2928" s="117" t="s">
        <v>4553</v>
      </c>
      <c r="T2928" s="261"/>
      <c r="U2928" s="117" t="s">
        <v>4549</v>
      </c>
      <c r="V2928" s="261"/>
      <c r="W2928" s="132"/>
      <c r="X2928" s="132"/>
      <c r="Y2928" s="97"/>
      <c r="Z2928" s="97"/>
      <c r="AA2928" s="97"/>
      <c r="AB2928" s="36"/>
      <c r="AC2928" s="36"/>
      <c r="AD2928" s="36"/>
      <c r="AE2928" s="36"/>
      <c r="AF2928" s="53" t="s">
        <v>68</v>
      </c>
      <c r="AG2928" s="42"/>
      <c r="AH2928" s="42"/>
      <c r="AI2928" s="43"/>
      <c r="AJ2928" s="43"/>
      <c r="AK2928" s="43"/>
      <c r="AL2928" s="43"/>
      <c r="AM2928" s="43"/>
      <c r="AN2928" s="42"/>
      <c r="AO2928" s="42"/>
      <c r="AP2928" s="42"/>
      <c r="AQ2928" s="43"/>
      <c r="AR2928" s="42"/>
      <c r="AS2928" s="42"/>
    </row>
    <row r="2929" spans="1:45" ht="15" customHeight="1">
      <c r="A2929" s="65" t="s">
        <v>57</v>
      </c>
      <c r="B2929" s="21" t="s">
        <v>46</v>
      </c>
      <c r="C2929" s="21" t="s">
        <v>188</v>
      </c>
      <c r="D2929" s="22" t="s">
        <v>59</v>
      </c>
      <c r="E2929" s="66" t="s">
        <v>4546</v>
      </c>
      <c r="F2929" s="65" t="s">
        <v>336</v>
      </c>
      <c r="G2929" s="26" t="s">
        <v>77</v>
      </c>
      <c r="H2929" s="45" t="s">
        <v>4547</v>
      </c>
      <c r="I2929" s="102" t="s">
        <v>78</v>
      </c>
      <c r="J2929" s="101" t="s">
        <v>1456</v>
      </c>
      <c r="K2929" s="115"/>
      <c r="L2929" s="48" t="s">
        <v>364</v>
      </c>
      <c r="M2929" s="49">
        <v>45209</v>
      </c>
      <c r="N2929" s="116" t="s">
        <v>177</v>
      </c>
      <c r="O2929" s="68">
        <v>4169</v>
      </c>
      <c r="P2929" s="68">
        <v>-5</v>
      </c>
      <c r="Q2929" s="51">
        <f>ROUND(O2929*P2929*21/31,2)</f>
        <v>-14120.81</v>
      </c>
      <c r="R2929" s="31">
        <v>202310</v>
      </c>
      <c r="S2929" s="117" t="s">
        <v>4553</v>
      </c>
      <c r="T2929" s="118"/>
      <c r="U2929" s="117" t="s">
        <v>606</v>
      </c>
      <c r="V2929" s="118"/>
      <c r="W2929" s="67"/>
      <c r="X2929" s="67"/>
      <c r="Y2929" s="36"/>
      <c r="Z2929" s="36"/>
      <c r="AA2929" s="36"/>
      <c r="AB2929" s="36"/>
      <c r="AC2929" s="36"/>
      <c r="AD2929" s="36"/>
      <c r="AE2929" s="36"/>
      <c r="AF2929" s="53" t="s">
        <v>68</v>
      </c>
      <c r="AG2929" s="42"/>
      <c r="AH2929" s="42"/>
      <c r="AI2929" s="43"/>
      <c r="AJ2929" s="43"/>
      <c r="AK2929" s="43"/>
      <c r="AL2929" s="43"/>
      <c r="AM2929" s="43"/>
      <c r="AN2929" s="42"/>
      <c r="AO2929" s="42"/>
      <c r="AP2929" s="42"/>
      <c r="AQ2929" s="43"/>
      <c r="AR2929" s="42"/>
      <c r="AS2929" s="42"/>
    </row>
    <row r="2930" spans="1:45" ht="15" customHeight="1">
      <c r="A2930" s="65" t="s">
        <v>57</v>
      </c>
      <c r="B2930" s="21" t="s">
        <v>46</v>
      </c>
      <c r="C2930" s="21" t="s">
        <v>188</v>
      </c>
      <c r="D2930" s="22" t="s">
        <v>59</v>
      </c>
      <c r="E2930" s="66" t="s">
        <v>4546</v>
      </c>
      <c r="F2930" s="65" t="s">
        <v>336</v>
      </c>
      <c r="G2930" s="26" t="s">
        <v>77</v>
      </c>
      <c r="H2930" s="45" t="s">
        <v>4547</v>
      </c>
      <c r="I2930" s="102" t="s">
        <v>78</v>
      </c>
      <c r="J2930" s="101" t="s">
        <v>1456</v>
      </c>
      <c r="K2930" s="115"/>
      <c r="L2930" s="48" t="s">
        <v>364</v>
      </c>
      <c r="M2930" s="49">
        <v>45200</v>
      </c>
      <c r="N2930" s="116" t="s">
        <v>177</v>
      </c>
      <c r="O2930" s="68">
        <v>4169</v>
      </c>
      <c r="P2930" s="68">
        <v>14</v>
      </c>
      <c r="Q2930" s="51">
        <f>ROUND(O2930*P2930,2)</f>
        <v>58366</v>
      </c>
      <c r="R2930" s="31">
        <v>202310</v>
      </c>
      <c r="S2930" s="117" t="s">
        <v>4554</v>
      </c>
      <c r="T2930" s="261"/>
      <c r="U2930" s="117" t="s">
        <v>4549</v>
      </c>
      <c r="V2930" s="261"/>
      <c r="W2930" s="132"/>
      <c r="X2930" s="132"/>
      <c r="Y2930" s="97"/>
      <c r="Z2930" s="97"/>
      <c r="AA2930" s="97"/>
      <c r="AB2930" s="36"/>
      <c r="AC2930" s="36"/>
      <c r="AD2930" s="36"/>
      <c r="AE2930" s="36"/>
      <c r="AF2930" s="53" t="s">
        <v>68</v>
      </c>
      <c r="AG2930" s="42"/>
      <c r="AH2930" s="42"/>
      <c r="AI2930" s="43"/>
      <c r="AJ2930" s="43"/>
      <c r="AK2930" s="43"/>
      <c r="AL2930" s="43"/>
      <c r="AM2930" s="43"/>
      <c r="AN2930" s="42"/>
      <c r="AO2930" s="42"/>
      <c r="AP2930" s="42"/>
      <c r="AQ2930" s="43"/>
      <c r="AR2930" s="42"/>
      <c r="AS2930" s="42"/>
    </row>
    <row r="2931" spans="1:45" ht="15" customHeight="1">
      <c r="A2931" s="65" t="s">
        <v>57</v>
      </c>
      <c r="B2931" s="21" t="s">
        <v>46</v>
      </c>
      <c r="C2931" s="21" t="s">
        <v>188</v>
      </c>
      <c r="D2931" s="22" t="s">
        <v>59</v>
      </c>
      <c r="E2931" s="66" t="s">
        <v>4546</v>
      </c>
      <c r="F2931" s="65" t="s">
        <v>336</v>
      </c>
      <c r="G2931" s="26" t="s">
        <v>77</v>
      </c>
      <c r="H2931" s="45" t="s">
        <v>4547</v>
      </c>
      <c r="I2931" s="102" t="s">
        <v>78</v>
      </c>
      <c r="J2931" s="101" t="s">
        <v>1456</v>
      </c>
      <c r="K2931" s="115"/>
      <c r="L2931" s="48" t="s">
        <v>364</v>
      </c>
      <c r="M2931" s="49">
        <v>45212</v>
      </c>
      <c r="N2931" s="116" t="s">
        <v>177</v>
      </c>
      <c r="O2931" s="68">
        <v>4169</v>
      </c>
      <c r="P2931" s="68">
        <v>-14</v>
      </c>
      <c r="Q2931" s="51">
        <f>ROUND(O2931*P2931*18/31,2)</f>
        <v>-33889.94</v>
      </c>
      <c r="R2931" s="31">
        <v>202310</v>
      </c>
      <c r="S2931" s="117" t="s">
        <v>4554</v>
      </c>
      <c r="T2931" s="118"/>
      <c r="U2931" s="117" t="s">
        <v>606</v>
      </c>
      <c r="V2931" s="118"/>
      <c r="W2931" s="67"/>
      <c r="X2931" s="67"/>
      <c r="Y2931" s="36"/>
      <c r="Z2931" s="36"/>
      <c r="AA2931" s="36"/>
      <c r="AB2931" s="36"/>
      <c r="AC2931" s="36"/>
      <c r="AD2931" s="36"/>
      <c r="AE2931" s="36"/>
      <c r="AF2931" s="53" t="s">
        <v>68</v>
      </c>
      <c r="AG2931" s="42"/>
      <c r="AH2931" s="42"/>
      <c r="AI2931" s="43"/>
      <c r="AJ2931" s="43"/>
      <c r="AK2931" s="43"/>
      <c r="AL2931" s="43"/>
      <c r="AM2931" s="43"/>
      <c r="AN2931" s="42"/>
      <c r="AO2931" s="42"/>
      <c r="AP2931" s="42"/>
      <c r="AQ2931" s="43"/>
      <c r="AR2931" s="42"/>
      <c r="AS2931" s="42"/>
    </row>
    <row r="2932" spans="1:45" ht="15" customHeight="1">
      <c r="A2932" s="65" t="s">
        <v>57</v>
      </c>
      <c r="B2932" s="21" t="s">
        <v>46</v>
      </c>
      <c r="C2932" s="21" t="s">
        <v>188</v>
      </c>
      <c r="D2932" s="22" t="s">
        <v>59</v>
      </c>
      <c r="E2932" s="66" t="s">
        <v>4546</v>
      </c>
      <c r="F2932" s="65" t="s">
        <v>336</v>
      </c>
      <c r="G2932" s="26" t="s">
        <v>77</v>
      </c>
      <c r="H2932" s="45" t="s">
        <v>4547</v>
      </c>
      <c r="I2932" s="102" t="s">
        <v>78</v>
      </c>
      <c r="J2932" s="101" t="s">
        <v>1456</v>
      </c>
      <c r="K2932" s="115"/>
      <c r="L2932" s="48" t="s">
        <v>364</v>
      </c>
      <c r="M2932" s="49">
        <v>45200</v>
      </c>
      <c r="N2932" s="116" t="s">
        <v>177</v>
      </c>
      <c r="O2932" s="68">
        <v>4169</v>
      </c>
      <c r="P2932" s="68">
        <v>7</v>
      </c>
      <c r="Q2932" s="51">
        <f>ROUND(O2932*P2932,2)</f>
        <v>29183</v>
      </c>
      <c r="R2932" s="31">
        <v>202310</v>
      </c>
      <c r="S2932" s="117" t="s">
        <v>4555</v>
      </c>
      <c r="T2932" s="261"/>
      <c r="U2932" s="117" t="s">
        <v>4549</v>
      </c>
      <c r="V2932" s="261"/>
      <c r="W2932" s="132"/>
      <c r="X2932" s="132"/>
      <c r="Y2932" s="97"/>
      <c r="Z2932" s="97"/>
      <c r="AA2932" s="97"/>
      <c r="AB2932" s="36"/>
      <c r="AC2932" s="36"/>
      <c r="AD2932" s="36"/>
      <c r="AE2932" s="36"/>
      <c r="AF2932" s="53" t="s">
        <v>68</v>
      </c>
      <c r="AG2932" s="42"/>
      <c r="AH2932" s="42"/>
      <c r="AI2932" s="43"/>
      <c r="AJ2932" s="43"/>
      <c r="AK2932" s="43"/>
      <c r="AL2932" s="43"/>
      <c r="AM2932" s="43"/>
      <c r="AN2932" s="42"/>
      <c r="AO2932" s="42"/>
      <c r="AP2932" s="42"/>
      <c r="AQ2932" s="43"/>
      <c r="AR2932" s="42"/>
      <c r="AS2932" s="42"/>
    </row>
    <row r="2933" spans="1:45" ht="15" customHeight="1">
      <c r="A2933" s="65" t="s">
        <v>57</v>
      </c>
      <c r="B2933" s="21" t="s">
        <v>46</v>
      </c>
      <c r="C2933" s="21" t="s">
        <v>188</v>
      </c>
      <c r="D2933" s="22" t="s">
        <v>59</v>
      </c>
      <c r="E2933" s="66" t="s">
        <v>4546</v>
      </c>
      <c r="F2933" s="65" t="s">
        <v>336</v>
      </c>
      <c r="G2933" s="26" t="s">
        <v>77</v>
      </c>
      <c r="H2933" s="45" t="s">
        <v>4547</v>
      </c>
      <c r="I2933" s="102" t="s">
        <v>78</v>
      </c>
      <c r="J2933" s="101" t="s">
        <v>1456</v>
      </c>
      <c r="K2933" s="115"/>
      <c r="L2933" s="48" t="s">
        <v>364</v>
      </c>
      <c r="M2933" s="49">
        <v>45219</v>
      </c>
      <c r="N2933" s="116" t="s">
        <v>177</v>
      </c>
      <c r="O2933" s="68">
        <v>4169</v>
      </c>
      <c r="P2933" s="68">
        <v>-7</v>
      </c>
      <c r="Q2933" s="51">
        <f>ROUND(O2933*P2933*11/31,2)</f>
        <v>-10355.26</v>
      </c>
      <c r="R2933" s="31">
        <v>202310</v>
      </c>
      <c r="S2933" s="117" t="s">
        <v>4555</v>
      </c>
      <c r="T2933" s="118"/>
      <c r="U2933" s="117" t="s">
        <v>606</v>
      </c>
      <c r="V2933" s="118"/>
      <c r="W2933" s="67"/>
      <c r="X2933" s="67"/>
      <c r="Y2933" s="36"/>
      <c r="Z2933" s="36"/>
      <c r="AA2933" s="36"/>
      <c r="AB2933" s="36"/>
      <c r="AC2933" s="36"/>
      <c r="AD2933" s="36"/>
      <c r="AE2933" s="36"/>
      <c r="AF2933" s="53" t="s">
        <v>68</v>
      </c>
      <c r="AG2933" s="42"/>
      <c r="AH2933" s="42"/>
      <c r="AI2933" s="43"/>
      <c r="AJ2933" s="43"/>
      <c r="AK2933" s="43"/>
      <c r="AL2933" s="43"/>
      <c r="AM2933" s="43"/>
      <c r="AN2933" s="42"/>
      <c r="AO2933" s="42"/>
      <c r="AP2933" s="42"/>
      <c r="AQ2933" s="43"/>
      <c r="AR2933" s="42"/>
      <c r="AS2933" s="42"/>
    </row>
    <row r="2934" spans="1:45" ht="15" customHeight="1">
      <c r="A2934" s="65" t="s">
        <v>57</v>
      </c>
      <c r="B2934" s="21" t="s">
        <v>46</v>
      </c>
      <c r="C2934" s="21" t="s">
        <v>188</v>
      </c>
      <c r="D2934" s="22" t="s">
        <v>59</v>
      </c>
      <c r="E2934" s="66" t="s">
        <v>4546</v>
      </c>
      <c r="F2934" s="65" t="s">
        <v>336</v>
      </c>
      <c r="G2934" s="26" t="s">
        <v>77</v>
      </c>
      <c r="H2934" s="45" t="s">
        <v>4547</v>
      </c>
      <c r="I2934" s="102" t="s">
        <v>78</v>
      </c>
      <c r="J2934" s="101" t="s">
        <v>1456</v>
      </c>
      <c r="K2934" s="115"/>
      <c r="L2934" s="48" t="s">
        <v>364</v>
      </c>
      <c r="M2934" s="49">
        <v>45200</v>
      </c>
      <c r="N2934" s="116" t="s">
        <v>177</v>
      </c>
      <c r="O2934" s="68">
        <v>4169</v>
      </c>
      <c r="P2934" s="68">
        <v>8</v>
      </c>
      <c r="Q2934" s="51">
        <f t="shared" ref="Q2934:Q2936" si="90">ROUND(O2934*P2934,2)</f>
        <v>33352</v>
      </c>
      <c r="R2934" s="31">
        <v>202310</v>
      </c>
      <c r="S2934" s="117" t="s">
        <v>4556</v>
      </c>
      <c r="T2934" s="33"/>
      <c r="U2934" s="117" t="s">
        <v>4549</v>
      </c>
      <c r="V2934" s="118"/>
      <c r="W2934" s="67"/>
      <c r="X2934" s="67"/>
      <c r="Y2934" s="36"/>
      <c r="Z2934" s="36"/>
      <c r="AA2934" s="36"/>
      <c r="AB2934" s="36"/>
      <c r="AC2934" s="36"/>
      <c r="AD2934" s="36"/>
      <c r="AE2934" s="36"/>
      <c r="AF2934" s="53" t="s">
        <v>68</v>
      </c>
      <c r="AG2934" s="42"/>
      <c r="AH2934" s="42"/>
      <c r="AI2934" s="43"/>
      <c r="AJ2934" s="43"/>
      <c r="AK2934" s="43"/>
      <c r="AL2934" s="43"/>
      <c r="AM2934" s="43"/>
      <c r="AN2934" s="42"/>
      <c r="AO2934" s="42"/>
      <c r="AP2934" s="42"/>
      <c r="AQ2934" s="43"/>
      <c r="AR2934" s="42"/>
      <c r="AS2934" s="42"/>
    </row>
    <row r="2935" spans="1:45" ht="15" customHeight="1">
      <c r="A2935" s="65" t="s">
        <v>57</v>
      </c>
      <c r="B2935" s="21" t="s">
        <v>46</v>
      </c>
      <c r="C2935" s="21" t="s">
        <v>188</v>
      </c>
      <c r="D2935" s="22" t="s">
        <v>59</v>
      </c>
      <c r="E2935" s="66" t="s">
        <v>4546</v>
      </c>
      <c r="F2935" s="65" t="s">
        <v>336</v>
      </c>
      <c r="G2935" s="26" t="s">
        <v>77</v>
      </c>
      <c r="H2935" s="45" t="s">
        <v>4547</v>
      </c>
      <c r="I2935" s="102" t="s">
        <v>78</v>
      </c>
      <c r="J2935" s="101" t="s">
        <v>1456</v>
      </c>
      <c r="K2935" s="115"/>
      <c r="L2935" s="48" t="s">
        <v>364</v>
      </c>
      <c r="M2935" s="49">
        <v>45223</v>
      </c>
      <c r="N2935" s="116" t="s">
        <v>177</v>
      </c>
      <c r="O2935" s="68">
        <v>4169</v>
      </c>
      <c r="P2935" s="68">
        <v>-8</v>
      </c>
      <c r="Q2935" s="51">
        <f>ROUND(O2935*P2935*7/31,2)</f>
        <v>-7531.1</v>
      </c>
      <c r="R2935" s="31">
        <v>202310</v>
      </c>
      <c r="S2935" s="117" t="s">
        <v>4556</v>
      </c>
      <c r="T2935" s="33"/>
      <c r="U2935" s="117" t="s">
        <v>606</v>
      </c>
      <c r="V2935" s="118"/>
      <c r="W2935" s="67"/>
      <c r="X2935" s="67"/>
      <c r="Y2935" s="36"/>
      <c r="Z2935" s="36"/>
      <c r="AA2935" s="36"/>
      <c r="AB2935" s="36"/>
      <c r="AC2935" s="36"/>
      <c r="AD2935" s="36"/>
      <c r="AE2935" s="36"/>
      <c r="AF2935" s="53" t="s">
        <v>68</v>
      </c>
      <c r="AG2935" s="42"/>
      <c r="AH2935" s="42"/>
      <c r="AI2935" s="43"/>
      <c r="AJ2935" s="43"/>
      <c r="AK2935" s="43"/>
      <c r="AL2935" s="43"/>
      <c r="AM2935" s="43"/>
      <c r="AN2935" s="42"/>
      <c r="AO2935" s="42"/>
      <c r="AP2935" s="42"/>
      <c r="AQ2935" s="43"/>
      <c r="AR2935" s="42"/>
      <c r="AS2935" s="42"/>
    </row>
    <row r="2936" spans="1:45" ht="15" customHeight="1">
      <c r="A2936" s="65" t="s">
        <v>57</v>
      </c>
      <c r="B2936" s="21" t="s">
        <v>46</v>
      </c>
      <c r="C2936" s="21" t="s">
        <v>188</v>
      </c>
      <c r="D2936" s="22" t="s">
        <v>59</v>
      </c>
      <c r="E2936" s="66" t="s">
        <v>4546</v>
      </c>
      <c r="F2936" s="65" t="s">
        <v>336</v>
      </c>
      <c r="G2936" s="26" t="s">
        <v>77</v>
      </c>
      <c r="H2936" s="45" t="s">
        <v>4547</v>
      </c>
      <c r="I2936" s="102" t="s">
        <v>78</v>
      </c>
      <c r="J2936" s="101" t="s">
        <v>1456</v>
      </c>
      <c r="K2936" s="115"/>
      <c r="L2936" s="48" t="s">
        <v>364</v>
      </c>
      <c r="M2936" s="49">
        <v>45200</v>
      </c>
      <c r="N2936" s="116" t="s">
        <v>177</v>
      </c>
      <c r="O2936" s="68">
        <v>4169</v>
      </c>
      <c r="P2936" s="68">
        <v>5</v>
      </c>
      <c r="Q2936" s="51">
        <f t="shared" si="90"/>
        <v>20845</v>
      </c>
      <c r="R2936" s="31">
        <v>202310</v>
      </c>
      <c r="S2936" s="117" t="s">
        <v>4557</v>
      </c>
      <c r="T2936" s="33"/>
      <c r="U2936" s="117" t="s">
        <v>4549</v>
      </c>
      <c r="V2936" s="118"/>
      <c r="W2936" s="67"/>
      <c r="X2936" s="67"/>
      <c r="Y2936" s="36"/>
      <c r="Z2936" s="36"/>
      <c r="AA2936" s="36"/>
      <c r="AB2936" s="36"/>
      <c r="AC2936" s="36"/>
      <c r="AD2936" s="36"/>
      <c r="AE2936" s="36"/>
      <c r="AF2936" s="53" t="s">
        <v>68</v>
      </c>
      <c r="AG2936" s="42"/>
      <c r="AH2936" s="42"/>
      <c r="AI2936" s="43"/>
      <c r="AJ2936" s="43"/>
      <c r="AK2936" s="43"/>
      <c r="AL2936" s="43"/>
      <c r="AM2936" s="43"/>
      <c r="AN2936" s="42"/>
      <c r="AO2936" s="42"/>
      <c r="AP2936" s="42"/>
      <c r="AQ2936" s="43"/>
      <c r="AR2936" s="42"/>
      <c r="AS2936" s="42"/>
    </row>
    <row r="2937" spans="1:45" s="100" customFormat="1" ht="15" customHeight="1">
      <c r="A2937" s="125" t="s">
        <v>57</v>
      </c>
      <c r="B2937" s="123" t="s">
        <v>46</v>
      </c>
      <c r="C2937" s="123" t="s">
        <v>188</v>
      </c>
      <c r="D2937" s="83" t="s">
        <v>59</v>
      </c>
      <c r="E2937" s="262" t="s">
        <v>4546</v>
      </c>
      <c r="F2937" s="125" t="s">
        <v>336</v>
      </c>
      <c r="G2937" s="85" t="s">
        <v>77</v>
      </c>
      <c r="H2937" s="86" t="s">
        <v>4547</v>
      </c>
      <c r="I2937" s="263" t="s">
        <v>78</v>
      </c>
      <c r="J2937" s="126" t="s">
        <v>1456</v>
      </c>
      <c r="K2937" s="264"/>
      <c r="L2937" s="89" t="s">
        <v>364</v>
      </c>
      <c r="M2937" s="90">
        <v>45224</v>
      </c>
      <c r="N2937" s="265" t="s">
        <v>177</v>
      </c>
      <c r="O2937" s="266">
        <v>4169</v>
      </c>
      <c r="P2937" s="266">
        <v>-5</v>
      </c>
      <c r="Q2937" s="92">
        <f>ROUND(O2937*P2937*6/31,2)</f>
        <v>-4034.52</v>
      </c>
      <c r="R2937" s="93">
        <v>202310</v>
      </c>
      <c r="S2937" s="267" t="s">
        <v>4557</v>
      </c>
      <c r="T2937" s="172"/>
      <c r="U2937" s="127" t="s">
        <v>4558</v>
      </c>
      <c r="V2937" s="261"/>
      <c r="W2937" s="132"/>
      <c r="X2937" s="132"/>
      <c r="Y2937" s="97"/>
      <c r="Z2937" s="97"/>
      <c r="AA2937" s="97"/>
      <c r="AB2937" s="97"/>
      <c r="AC2937" s="97"/>
      <c r="AD2937" s="97"/>
      <c r="AE2937" s="97"/>
      <c r="AF2937" s="53" t="s">
        <v>68</v>
      </c>
      <c r="AG2937" s="96"/>
      <c r="AH2937" s="96"/>
      <c r="AI2937" s="99"/>
      <c r="AJ2937" s="99"/>
      <c r="AK2937" s="99"/>
      <c r="AL2937" s="99"/>
      <c r="AM2937" s="99"/>
      <c r="AN2937" s="96"/>
      <c r="AO2937" s="96"/>
      <c r="AP2937" s="96"/>
      <c r="AQ2937" s="99"/>
      <c r="AR2937" s="96"/>
      <c r="AS2937" s="96"/>
    </row>
    <row r="2938" spans="1:45" s="100" customFormat="1" ht="15" customHeight="1">
      <c r="A2938" s="125" t="s">
        <v>57</v>
      </c>
      <c r="B2938" s="123" t="s">
        <v>46</v>
      </c>
      <c r="C2938" s="123" t="s">
        <v>188</v>
      </c>
      <c r="D2938" s="83" t="s">
        <v>59</v>
      </c>
      <c r="E2938" s="262" t="s">
        <v>4546</v>
      </c>
      <c r="F2938" s="125" t="s">
        <v>336</v>
      </c>
      <c r="G2938" s="85" t="s">
        <v>77</v>
      </c>
      <c r="H2938" s="86" t="s">
        <v>4547</v>
      </c>
      <c r="I2938" s="263" t="s">
        <v>366</v>
      </c>
      <c r="J2938" s="125" t="s">
        <v>1456</v>
      </c>
      <c r="K2938" s="129"/>
      <c r="L2938" s="89" t="s">
        <v>364</v>
      </c>
      <c r="M2938" s="111"/>
      <c r="N2938" s="268"/>
      <c r="O2938" s="112">
        <v>300</v>
      </c>
      <c r="P2938" s="112">
        <v>500</v>
      </c>
      <c r="Q2938" s="92">
        <f t="shared" ref="Q2938:Q2947" si="91">ROUND(O2938*P2938,2)</f>
        <v>150000</v>
      </c>
      <c r="R2938" s="93">
        <v>202310</v>
      </c>
      <c r="S2938" s="269" t="s">
        <v>4559</v>
      </c>
      <c r="T2938" s="172" t="s">
        <v>1470</v>
      </c>
      <c r="U2938" s="127"/>
      <c r="V2938" s="132"/>
      <c r="W2938" s="132"/>
      <c r="X2938" s="132"/>
      <c r="Y2938" s="97"/>
      <c r="Z2938" s="97"/>
      <c r="AA2938" s="97"/>
      <c r="AB2938" s="97"/>
      <c r="AC2938" s="97"/>
      <c r="AD2938" s="97"/>
      <c r="AE2938" s="97"/>
      <c r="AF2938" s="98" t="s">
        <v>68</v>
      </c>
      <c r="AG2938" s="96"/>
      <c r="AH2938" s="96"/>
      <c r="AI2938" s="99"/>
      <c r="AJ2938" s="99"/>
      <c r="AK2938" s="99"/>
      <c r="AL2938" s="99"/>
      <c r="AM2938" s="99"/>
      <c r="AN2938" s="96"/>
      <c r="AO2938" s="96"/>
      <c r="AP2938" s="96"/>
      <c r="AQ2938" s="99"/>
      <c r="AR2938" s="96"/>
      <c r="AS2938" s="96"/>
    </row>
    <row r="2939" spans="1:45" ht="15" customHeight="1">
      <c r="A2939" s="56" t="s">
        <v>45</v>
      </c>
      <c r="B2939" s="21" t="s">
        <v>46</v>
      </c>
      <c r="C2939" s="57" t="s">
        <v>814</v>
      </c>
      <c r="D2939" s="22" t="s">
        <v>48</v>
      </c>
      <c r="E2939" s="58" t="s">
        <v>2965</v>
      </c>
      <c r="F2939" s="56" t="s">
        <v>2966</v>
      </c>
      <c r="G2939" s="26" t="s">
        <v>165</v>
      </c>
      <c r="H2939" s="25" t="s">
        <v>4560</v>
      </c>
      <c r="I2939" s="26" t="s">
        <v>3724</v>
      </c>
      <c r="J2939" s="56" t="s">
        <v>2968</v>
      </c>
      <c r="K2939" s="59" t="s">
        <v>2968</v>
      </c>
      <c r="L2939" s="48" t="s">
        <v>2969</v>
      </c>
      <c r="M2939" s="49" t="s">
        <v>4418</v>
      </c>
      <c r="N2939" s="49" t="s">
        <v>4419</v>
      </c>
      <c r="O2939" s="60">
        <v>6740</v>
      </c>
      <c r="P2939" s="61">
        <f>32.76-32.5</f>
        <v>0.25999999999999801</v>
      </c>
      <c r="Q2939" s="270">
        <f t="shared" si="91"/>
        <v>1752.4</v>
      </c>
      <c r="R2939" s="154">
        <v>202305</v>
      </c>
      <c r="S2939" s="62" t="s">
        <v>4561</v>
      </c>
      <c r="T2939" s="42" t="s">
        <v>4562</v>
      </c>
      <c r="U2939" s="70"/>
      <c r="V2939" s="42"/>
      <c r="W2939" s="34">
        <v>32.501873015999998</v>
      </c>
      <c r="X2939" s="63">
        <v>33.020000000000003</v>
      </c>
      <c r="Y2939" s="72">
        <v>44927</v>
      </c>
      <c r="Z2939" s="72">
        <v>45107</v>
      </c>
      <c r="AA2939" s="37"/>
      <c r="AB2939" s="38"/>
      <c r="AC2939" s="38"/>
      <c r="AD2939" s="38"/>
      <c r="AE2939" s="40"/>
      <c r="AF2939" s="271" t="s">
        <v>1589</v>
      </c>
      <c r="AG2939" s="40"/>
      <c r="AH2939" s="42"/>
      <c r="AI2939" s="42"/>
      <c r="AJ2939" s="43"/>
      <c r="AK2939" s="43"/>
      <c r="AL2939" s="43"/>
      <c r="AM2939" s="43"/>
      <c r="AN2939" s="43"/>
      <c r="AO2939" s="42"/>
      <c r="AP2939" s="42"/>
      <c r="AQ2939" s="42"/>
      <c r="AR2939" s="42"/>
      <c r="AS2939" s="42"/>
    </row>
    <row r="2940" spans="1:45" ht="15" customHeight="1">
      <c r="A2940" s="56" t="s">
        <v>45</v>
      </c>
      <c r="B2940" s="21" t="s">
        <v>46</v>
      </c>
      <c r="C2940" s="57" t="s">
        <v>814</v>
      </c>
      <c r="D2940" s="22" t="s">
        <v>48</v>
      </c>
      <c r="E2940" s="58" t="s">
        <v>2965</v>
      </c>
      <c r="F2940" s="56" t="s">
        <v>2966</v>
      </c>
      <c r="G2940" s="26" t="s">
        <v>165</v>
      </c>
      <c r="H2940" s="25" t="s">
        <v>4560</v>
      </c>
      <c r="I2940" s="24" t="s">
        <v>3724</v>
      </c>
      <c r="J2940" s="56" t="s">
        <v>2968</v>
      </c>
      <c r="K2940" s="59" t="s">
        <v>2968</v>
      </c>
      <c r="L2940" s="48" t="s">
        <v>2969</v>
      </c>
      <c r="M2940" s="49" t="s">
        <v>4418</v>
      </c>
      <c r="N2940" s="49" t="s">
        <v>4419</v>
      </c>
      <c r="O2940" s="60">
        <v>6740</v>
      </c>
      <c r="P2940" s="61">
        <f>32.26-32</f>
        <v>0.25999999999999801</v>
      </c>
      <c r="Q2940" s="270">
        <f t="shared" si="91"/>
        <v>1752.4</v>
      </c>
      <c r="R2940" s="154">
        <v>202306</v>
      </c>
      <c r="S2940" s="62" t="s">
        <v>4563</v>
      </c>
      <c r="T2940" s="42" t="s">
        <v>4562</v>
      </c>
      <c r="U2940" s="70"/>
      <c r="V2940" s="42"/>
      <c r="W2940" s="34">
        <v>31.983592987000002</v>
      </c>
      <c r="X2940" s="63">
        <v>32.54</v>
      </c>
      <c r="Y2940" s="72">
        <v>44927</v>
      </c>
      <c r="Z2940" s="72">
        <v>45107</v>
      </c>
      <c r="AA2940" s="37"/>
      <c r="AB2940" s="38"/>
      <c r="AC2940" s="38"/>
      <c r="AD2940" s="38"/>
      <c r="AE2940" s="40"/>
      <c r="AF2940" s="271" t="s">
        <v>1589</v>
      </c>
      <c r="AG2940" s="40"/>
      <c r="AH2940" s="42"/>
      <c r="AI2940" s="42"/>
      <c r="AJ2940" s="43"/>
      <c r="AK2940" s="43"/>
      <c r="AL2940" s="43"/>
      <c r="AM2940" s="43"/>
      <c r="AN2940" s="43"/>
      <c r="AO2940" s="42"/>
      <c r="AP2940" s="42"/>
      <c r="AQ2940" s="42"/>
      <c r="AR2940" s="42"/>
      <c r="AS2940" s="42"/>
    </row>
    <row r="2941" spans="1:45" ht="15" customHeight="1">
      <c r="A2941" s="56" t="s">
        <v>45</v>
      </c>
      <c r="B2941" s="21" t="s">
        <v>46</v>
      </c>
      <c r="C2941" s="57" t="s">
        <v>814</v>
      </c>
      <c r="D2941" s="22" t="s">
        <v>48</v>
      </c>
      <c r="E2941" s="58" t="s">
        <v>2965</v>
      </c>
      <c r="F2941" s="56" t="s">
        <v>2966</v>
      </c>
      <c r="G2941" s="26" t="s">
        <v>165</v>
      </c>
      <c r="H2941" s="25" t="s">
        <v>2967</v>
      </c>
      <c r="I2941" s="24" t="s">
        <v>3724</v>
      </c>
      <c r="J2941" s="56" t="s">
        <v>2968</v>
      </c>
      <c r="K2941" s="59" t="s">
        <v>2968</v>
      </c>
      <c r="L2941" s="48" t="s">
        <v>2969</v>
      </c>
      <c r="M2941" s="49" t="s">
        <v>4418</v>
      </c>
      <c r="N2941" s="49" t="s">
        <v>4419</v>
      </c>
      <c r="O2941" s="60">
        <v>6740</v>
      </c>
      <c r="P2941" s="61">
        <f>32.48-32.16</f>
        <v>0.32000000000000028</v>
      </c>
      <c r="Q2941" s="270">
        <f t="shared" si="91"/>
        <v>2156.8000000000002</v>
      </c>
      <c r="R2941" s="154">
        <v>202307</v>
      </c>
      <c r="S2941" s="62" t="s">
        <v>4564</v>
      </c>
      <c r="T2941" s="42" t="s">
        <v>4562</v>
      </c>
      <c r="U2941" s="70"/>
      <c r="V2941" s="42"/>
      <c r="W2941" s="34">
        <v>32.164649963000002</v>
      </c>
      <c r="X2941" s="63">
        <v>32.79</v>
      </c>
      <c r="Y2941" s="72">
        <v>45108</v>
      </c>
      <c r="Z2941" s="72">
        <v>45473</v>
      </c>
      <c r="AA2941" s="37"/>
      <c r="AB2941" s="38"/>
      <c r="AC2941" s="38"/>
      <c r="AD2941" s="38"/>
      <c r="AE2941" s="40"/>
      <c r="AF2941" s="271" t="s">
        <v>1589</v>
      </c>
      <c r="AG2941" s="40"/>
      <c r="AH2941" s="42"/>
      <c r="AI2941" s="42"/>
      <c r="AJ2941" s="43"/>
      <c r="AK2941" s="43"/>
      <c r="AL2941" s="43"/>
      <c r="AM2941" s="43"/>
      <c r="AN2941" s="43"/>
      <c r="AO2941" s="42"/>
      <c r="AP2941" s="42"/>
      <c r="AQ2941" s="42"/>
      <c r="AR2941" s="42"/>
      <c r="AS2941" s="42"/>
    </row>
    <row r="2942" spans="1:45" ht="15" customHeight="1">
      <c r="A2942" s="56" t="s">
        <v>45</v>
      </c>
      <c r="B2942" s="21" t="s">
        <v>46</v>
      </c>
      <c r="C2942" s="57" t="s">
        <v>814</v>
      </c>
      <c r="D2942" s="22" t="s">
        <v>48</v>
      </c>
      <c r="E2942" s="58" t="s">
        <v>2965</v>
      </c>
      <c r="F2942" s="56" t="s">
        <v>2966</v>
      </c>
      <c r="G2942" s="26" t="s">
        <v>165</v>
      </c>
      <c r="H2942" s="25" t="s">
        <v>2967</v>
      </c>
      <c r="I2942" s="24" t="s">
        <v>3724</v>
      </c>
      <c r="J2942" s="56" t="s">
        <v>2968</v>
      </c>
      <c r="K2942" s="59" t="s">
        <v>2968</v>
      </c>
      <c r="L2942" s="48" t="s">
        <v>2969</v>
      </c>
      <c r="M2942" s="49" t="s">
        <v>4418</v>
      </c>
      <c r="N2942" s="49" t="s">
        <v>4419</v>
      </c>
      <c r="O2942" s="60">
        <v>6740</v>
      </c>
      <c r="P2942" s="61">
        <f>33.36-33.12</f>
        <v>0.24000000000000199</v>
      </c>
      <c r="Q2942" s="270">
        <f t="shared" si="91"/>
        <v>1617.6</v>
      </c>
      <c r="R2942" s="154">
        <v>202308</v>
      </c>
      <c r="S2942" s="62" t="s">
        <v>4565</v>
      </c>
      <c r="T2942" s="42" t="s">
        <v>4562</v>
      </c>
      <c r="U2942" s="70"/>
      <c r="V2942" s="42"/>
      <c r="W2942" s="34">
        <v>33.116966247999997</v>
      </c>
      <c r="X2942" s="63">
        <v>33.590000000000003</v>
      </c>
      <c r="Y2942" s="72">
        <v>45108</v>
      </c>
      <c r="Z2942" s="72">
        <v>45473</v>
      </c>
      <c r="AA2942" s="37"/>
      <c r="AB2942" s="38"/>
      <c r="AC2942" s="38"/>
      <c r="AD2942" s="38"/>
      <c r="AE2942" s="40"/>
      <c r="AF2942" s="271" t="s">
        <v>1589</v>
      </c>
      <c r="AG2942" s="40"/>
      <c r="AH2942" s="42"/>
      <c r="AI2942" s="42"/>
      <c r="AJ2942" s="43"/>
      <c r="AK2942" s="43"/>
      <c r="AL2942" s="43"/>
      <c r="AM2942" s="43"/>
      <c r="AN2942" s="43"/>
      <c r="AO2942" s="42"/>
      <c r="AP2942" s="42"/>
      <c r="AQ2942" s="42"/>
      <c r="AR2942" s="42"/>
      <c r="AS2942" s="42"/>
    </row>
    <row r="2943" spans="1:45" ht="15" customHeight="1">
      <c r="A2943" s="56" t="s">
        <v>260</v>
      </c>
      <c r="B2943" s="21" t="s">
        <v>46</v>
      </c>
      <c r="C2943" s="57" t="s">
        <v>814</v>
      </c>
      <c r="D2943" s="22" t="s">
        <v>48</v>
      </c>
      <c r="E2943" s="58" t="s">
        <v>1488</v>
      </c>
      <c r="F2943" s="56" t="s">
        <v>1489</v>
      </c>
      <c r="G2943" s="26" t="s">
        <v>77</v>
      </c>
      <c r="H2943" s="219" t="s">
        <v>1495</v>
      </c>
      <c r="I2943" s="26" t="s">
        <v>479</v>
      </c>
      <c r="J2943" s="56" t="s">
        <v>1491</v>
      </c>
      <c r="K2943" s="59" t="s">
        <v>1506</v>
      </c>
      <c r="L2943" s="48" t="s">
        <v>1512</v>
      </c>
      <c r="M2943" s="49">
        <v>45170</v>
      </c>
      <c r="N2943" s="49" t="s">
        <v>1310</v>
      </c>
      <c r="O2943" s="60">
        <v>4700</v>
      </c>
      <c r="P2943" s="61">
        <v>1</v>
      </c>
      <c r="Q2943" s="51">
        <f t="shared" si="91"/>
        <v>4700</v>
      </c>
      <c r="R2943" s="154">
        <v>202309</v>
      </c>
      <c r="S2943" s="62" t="s">
        <v>4566</v>
      </c>
      <c r="T2943" s="42" t="s">
        <v>4562</v>
      </c>
      <c r="U2943" s="70"/>
      <c r="V2943" s="42"/>
      <c r="W2943" s="63"/>
      <c r="X2943" s="63"/>
      <c r="Y2943" s="72">
        <v>45017</v>
      </c>
      <c r="Z2943" s="72">
        <v>45382</v>
      </c>
      <c r="AA2943" s="37"/>
      <c r="AB2943" s="38"/>
      <c r="AC2943" s="38"/>
      <c r="AD2943" s="38"/>
      <c r="AE2943" s="40"/>
      <c r="AF2943" s="271" t="s">
        <v>1589</v>
      </c>
      <c r="AG2943" s="40"/>
      <c r="AH2943" s="42"/>
      <c r="AI2943" s="42"/>
      <c r="AJ2943" s="43"/>
      <c r="AK2943" s="43"/>
      <c r="AL2943" s="43"/>
      <c r="AM2943" s="43"/>
      <c r="AN2943" s="43"/>
      <c r="AO2943" s="42"/>
      <c r="AP2943" s="42"/>
      <c r="AQ2943" s="42"/>
      <c r="AR2943" s="42"/>
      <c r="AS2943" s="42"/>
    </row>
    <row r="2944" spans="1:45" ht="15" customHeight="1">
      <c r="A2944" s="20" t="s">
        <v>45</v>
      </c>
      <c r="B2944" s="21" t="s">
        <v>46</v>
      </c>
      <c r="C2944" s="22" t="s">
        <v>47</v>
      </c>
      <c r="D2944" s="22" t="s">
        <v>85</v>
      </c>
      <c r="E2944" s="23" t="s">
        <v>49</v>
      </c>
      <c r="F2944" s="20" t="s">
        <v>50</v>
      </c>
      <c r="G2944" s="20" t="s">
        <v>165</v>
      </c>
      <c r="H2944" s="25" t="s">
        <v>2827</v>
      </c>
      <c r="I2944" s="24" t="s">
        <v>3724</v>
      </c>
      <c r="J2944" s="20" t="s">
        <v>47</v>
      </c>
      <c r="K2944" s="26" t="s">
        <v>2828</v>
      </c>
      <c r="L2944" s="20" t="s">
        <v>2829</v>
      </c>
      <c r="M2944" s="156" t="s">
        <v>4299</v>
      </c>
      <c r="N2944" s="20" t="s">
        <v>4300</v>
      </c>
      <c r="O2944" s="28">
        <v>15000</v>
      </c>
      <c r="P2944" s="29">
        <f>8.83-8.82</f>
        <v>9.9999999999997868E-3</v>
      </c>
      <c r="Q2944" s="272">
        <f t="shared" si="91"/>
        <v>150</v>
      </c>
      <c r="R2944" s="154">
        <v>202302</v>
      </c>
      <c r="S2944" s="32" t="s">
        <v>4567</v>
      </c>
      <c r="T2944" s="42" t="s">
        <v>4562</v>
      </c>
      <c r="U2944" s="70"/>
      <c r="V2944" s="42"/>
      <c r="W2944" s="195">
        <v>8.821626663</v>
      </c>
      <c r="X2944" s="35">
        <v>8.84</v>
      </c>
      <c r="Y2944" s="72"/>
      <c r="Z2944" s="72"/>
      <c r="AA2944" s="37"/>
      <c r="AB2944" s="38"/>
      <c r="AC2944" s="38"/>
      <c r="AD2944" s="38"/>
      <c r="AE2944" s="40"/>
      <c r="AF2944" s="271" t="s">
        <v>1589</v>
      </c>
      <c r="AG2944" s="40"/>
      <c r="AH2944" s="42"/>
      <c r="AI2944" s="42"/>
      <c r="AJ2944" s="43"/>
      <c r="AK2944" s="43"/>
      <c r="AL2944" s="43"/>
      <c r="AM2944" s="43"/>
      <c r="AN2944" s="43"/>
      <c r="AO2944" s="42"/>
      <c r="AP2944" s="42"/>
      <c r="AQ2944" s="42"/>
      <c r="AR2944" s="42"/>
      <c r="AS2944" s="42"/>
    </row>
    <row r="2945" spans="1:45" ht="15" customHeight="1">
      <c r="A2945" s="20" t="s">
        <v>45</v>
      </c>
      <c r="B2945" s="21" t="s">
        <v>46</v>
      </c>
      <c r="C2945" s="22" t="s">
        <v>47</v>
      </c>
      <c r="D2945" s="22" t="s">
        <v>48</v>
      </c>
      <c r="E2945" s="23" t="s">
        <v>49</v>
      </c>
      <c r="F2945" s="20" t="s">
        <v>50</v>
      </c>
      <c r="G2945" s="20" t="s">
        <v>165</v>
      </c>
      <c r="H2945" s="25" t="s">
        <v>2827</v>
      </c>
      <c r="I2945" s="24" t="s">
        <v>3724</v>
      </c>
      <c r="J2945" s="20" t="s">
        <v>47</v>
      </c>
      <c r="K2945" s="26" t="s">
        <v>2828</v>
      </c>
      <c r="L2945" s="20" t="s">
        <v>2829</v>
      </c>
      <c r="M2945" s="156" t="s">
        <v>4299</v>
      </c>
      <c r="N2945" s="20" t="s">
        <v>4300</v>
      </c>
      <c r="O2945" s="28">
        <v>15000</v>
      </c>
      <c r="P2945" s="29">
        <f>8.83-8.77</f>
        <v>6.0000000000000497E-2</v>
      </c>
      <c r="Q2945" s="272">
        <f t="shared" si="91"/>
        <v>900</v>
      </c>
      <c r="R2945" s="154">
        <v>202303</v>
      </c>
      <c r="S2945" s="32" t="s">
        <v>4568</v>
      </c>
      <c r="T2945" s="42" t="s">
        <v>4562</v>
      </c>
      <c r="U2945" s="70"/>
      <c r="V2945" s="42"/>
      <c r="W2945" s="195">
        <v>8.7749567030000009</v>
      </c>
      <c r="X2945" s="35">
        <v>8.89</v>
      </c>
      <c r="Y2945" s="72"/>
      <c r="Z2945" s="72"/>
      <c r="AA2945" s="37"/>
      <c r="AB2945" s="38"/>
      <c r="AC2945" s="38"/>
      <c r="AD2945" s="38"/>
      <c r="AE2945" s="40"/>
      <c r="AF2945" s="271" t="s">
        <v>1589</v>
      </c>
      <c r="AG2945" s="40"/>
      <c r="AH2945" s="42"/>
      <c r="AI2945" s="42"/>
      <c r="AJ2945" s="43"/>
      <c r="AK2945" s="43"/>
      <c r="AL2945" s="43"/>
      <c r="AM2945" s="43"/>
      <c r="AN2945" s="43"/>
      <c r="AO2945" s="42"/>
      <c r="AP2945" s="42"/>
      <c r="AQ2945" s="42"/>
      <c r="AR2945" s="42"/>
      <c r="AS2945" s="42"/>
    </row>
    <row r="2946" spans="1:45" ht="15" customHeight="1">
      <c r="A2946" s="20" t="s">
        <v>45</v>
      </c>
      <c r="B2946" s="21" t="s">
        <v>46</v>
      </c>
      <c r="C2946" s="22" t="s">
        <v>47</v>
      </c>
      <c r="D2946" s="22" t="s">
        <v>48</v>
      </c>
      <c r="E2946" s="23" t="s">
        <v>49</v>
      </c>
      <c r="F2946" s="20" t="s">
        <v>50</v>
      </c>
      <c r="G2946" s="20" t="s">
        <v>165</v>
      </c>
      <c r="H2946" s="25" t="s">
        <v>2827</v>
      </c>
      <c r="I2946" s="24" t="s">
        <v>3724</v>
      </c>
      <c r="J2946" s="20" t="s">
        <v>47</v>
      </c>
      <c r="K2946" s="26" t="s">
        <v>2828</v>
      </c>
      <c r="L2946" s="20" t="s">
        <v>2829</v>
      </c>
      <c r="M2946" s="156" t="s">
        <v>4299</v>
      </c>
      <c r="N2946" s="20" t="s">
        <v>4300</v>
      </c>
      <c r="O2946" s="28">
        <v>15000</v>
      </c>
      <c r="P2946" s="29">
        <f>8.34-8.3</f>
        <v>3.9999999999999147E-2</v>
      </c>
      <c r="Q2946" s="272">
        <f t="shared" si="91"/>
        <v>600</v>
      </c>
      <c r="R2946" s="154">
        <v>202304</v>
      </c>
      <c r="S2946" s="32" t="s">
        <v>4569</v>
      </c>
      <c r="T2946" s="42" t="s">
        <v>4562</v>
      </c>
      <c r="U2946" s="70"/>
      <c r="V2946" s="42"/>
      <c r="W2946" s="195">
        <v>8.2955512999999996</v>
      </c>
      <c r="X2946" s="35">
        <v>8.3699999999999992</v>
      </c>
      <c r="Y2946" s="72"/>
      <c r="Z2946" s="72"/>
      <c r="AA2946" s="37"/>
      <c r="AB2946" s="38"/>
      <c r="AC2946" s="38"/>
      <c r="AD2946" s="38"/>
      <c r="AE2946" s="40"/>
      <c r="AF2946" s="271" t="s">
        <v>1589</v>
      </c>
      <c r="AG2946" s="40"/>
      <c r="AH2946" s="42"/>
      <c r="AI2946" s="42"/>
      <c r="AJ2946" s="43"/>
      <c r="AK2946" s="43"/>
      <c r="AL2946" s="43"/>
      <c r="AM2946" s="43"/>
      <c r="AN2946" s="43"/>
      <c r="AO2946" s="42"/>
      <c r="AP2946" s="42"/>
      <c r="AQ2946" s="42"/>
      <c r="AR2946" s="42"/>
      <c r="AS2946" s="42"/>
    </row>
    <row r="2947" spans="1:45" ht="15" customHeight="1">
      <c r="A2947" s="20" t="s">
        <v>45</v>
      </c>
      <c r="B2947" s="21" t="s">
        <v>46</v>
      </c>
      <c r="C2947" s="22" t="s">
        <v>47</v>
      </c>
      <c r="D2947" s="22" t="s">
        <v>48</v>
      </c>
      <c r="E2947" s="23" t="s">
        <v>49</v>
      </c>
      <c r="F2947" s="20" t="s">
        <v>50</v>
      </c>
      <c r="G2947" s="20" t="s">
        <v>165</v>
      </c>
      <c r="H2947" s="25" t="s">
        <v>2827</v>
      </c>
      <c r="I2947" s="24" t="s">
        <v>3724</v>
      </c>
      <c r="J2947" s="20" t="s">
        <v>47</v>
      </c>
      <c r="K2947" s="26" t="s">
        <v>2828</v>
      </c>
      <c r="L2947" s="20" t="s">
        <v>2829</v>
      </c>
      <c r="M2947" s="156" t="s">
        <v>4299</v>
      </c>
      <c r="N2947" s="20" t="s">
        <v>4300</v>
      </c>
      <c r="O2947" s="28">
        <v>15000</v>
      </c>
      <c r="P2947" s="29">
        <f>8.07-8.06</f>
        <v>9.9999999999997868E-3</v>
      </c>
      <c r="Q2947" s="272">
        <f t="shared" si="91"/>
        <v>150</v>
      </c>
      <c r="R2947" s="154">
        <v>202306</v>
      </c>
      <c r="S2947" s="32" t="s">
        <v>4570</v>
      </c>
      <c r="T2947" s="42" t="s">
        <v>4562</v>
      </c>
      <c r="U2947" s="70"/>
      <c r="V2947" s="42"/>
      <c r="W2947" s="195">
        <v>8.0571355820000008</v>
      </c>
      <c r="X2947" s="35">
        <v>8.08</v>
      </c>
      <c r="Y2947" s="72"/>
      <c r="Z2947" s="72"/>
      <c r="AA2947" s="37"/>
      <c r="AB2947" s="38"/>
      <c r="AC2947" s="38"/>
      <c r="AD2947" s="38"/>
      <c r="AE2947" s="40"/>
      <c r="AF2947" s="271" t="s">
        <v>1589</v>
      </c>
      <c r="AG2947" s="40"/>
      <c r="AH2947" s="42"/>
      <c r="AI2947" s="42"/>
      <c r="AJ2947" s="43"/>
      <c r="AK2947" s="43"/>
      <c r="AL2947" s="43"/>
      <c r="AM2947" s="43"/>
      <c r="AN2947" s="43"/>
      <c r="AO2947" s="42"/>
      <c r="AP2947" s="42"/>
      <c r="AQ2947" s="42"/>
      <c r="AR2947" s="42"/>
      <c r="AS2947" s="42"/>
    </row>
    <row r="2948" spans="1:45" ht="15" customHeight="1">
      <c r="A2948" s="20" t="s">
        <v>260</v>
      </c>
      <c r="B2948" s="21" t="s">
        <v>46</v>
      </c>
      <c r="C2948" s="22" t="s">
        <v>188</v>
      </c>
      <c r="D2948" s="21" t="s">
        <v>48</v>
      </c>
      <c r="E2948" s="23" t="s">
        <v>919</v>
      </c>
      <c r="F2948" s="20" t="s">
        <v>953</v>
      </c>
      <c r="G2948" s="20" t="s">
        <v>165</v>
      </c>
      <c r="H2948" s="25" t="s">
        <v>1225</v>
      </c>
      <c r="I2948" s="24" t="s">
        <v>3858</v>
      </c>
      <c r="J2948" s="20" t="s">
        <v>4571</v>
      </c>
      <c r="K2948" s="26" t="s">
        <v>4043</v>
      </c>
      <c r="L2948" s="20"/>
      <c r="M2948" s="156">
        <v>41244</v>
      </c>
      <c r="N2948" s="20" t="s">
        <v>4044</v>
      </c>
      <c r="O2948" s="28" t="s">
        <v>4045</v>
      </c>
      <c r="P2948" s="273">
        <f>93.101-91.2</f>
        <v>1.9009999999999962</v>
      </c>
      <c r="Q2948" s="274">
        <f>ROUND(14000*P2948,2)</f>
        <v>26614</v>
      </c>
      <c r="R2948" s="154">
        <v>202305</v>
      </c>
      <c r="S2948" s="32" t="s">
        <v>4572</v>
      </c>
      <c r="T2948" s="42" t="s">
        <v>4562</v>
      </c>
      <c r="U2948" s="70"/>
      <c r="V2948" s="42"/>
      <c r="W2948" s="275">
        <v>91.18215026</v>
      </c>
      <c r="X2948" s="276">
        <v>95.021000000000001</v>
      </c>
      <c r="Y2948" s="72">
        <v>44829</v>
      </c>
      <c r="Z2948" s="72">
        <v>45559</v>
      </c>
      <c r="AA2948" s="37"/>
      <c r="AB2948" s="38"/>
      <c r="AC2948" s="38"/>
      <c r="AD2948" s="38"/>
      <c r="AE2948" s="40"/>
      <c r="AF2948" s="271" t="s">
        <v>68</v>
      </c>
      <c r="AG2948" s="40"/>
      <c r="AH2948" s="42"/>
      <c r="AI2948" s="42"/>
      <c r="AJ2948" s="43"/>
      <c r="AK2948" s="43"/>
      <c r="AL2948" s="43"/>
      <c r="AM2948" s="43"/>
      <c r="AN2948" s="43"/>
      <c r="AO2948" s="42"/>
      <c r="AP2948" s="42"/>
      <c r="AQ2948" s="42"/>
      <c r="AR2948" s="42"/>
      <c r="AS2948" s="42"/>
    </row>
    <row r="2949" spans="1:45" ht="15" customHeight="1">
      <c r="A2949" s="20" t="s">
        <v>260</v>
      </c>
      <c r="B2949" s="21" t="s">
        <v>46</v>
      </c>
      <c r="C2949" s="22" t="s">
        <v>188</v>
      </c>
      <c r="D2949" s="21" t="s">
        <v>48</v>
      </c>
      <c r="E2949" s="23" t="s">
        <v>919</v>
      </c>
      <c r="F2949" s="20" t="s">
        <v>953</v>
      </c>
      <c r="G2949" s="20" t="s">
        <v>165</v>
      </c>
      <c r="H2949" s="25" t="s">
        <v>1225</v>
      </c>
      <c r="I2949" s="24" t="s">
        <v>3858</v>
      </c>
      <c r="J2949" s="20" t="s">
        <v>1226</v>
      </c>
      <c r="K2949" s="26" t="s">
        <v>1227</v>
      </c>
      <c r="L2949" s="20"/>
      <c r="M2949" s="156">
        <v>41244</v>
      </c>
      <c r="N2949" s="20" t="s">
        <v>1542</v>
      </c>
      <c r="O2949" s="28" t="s">
        <v>4045</v>
      </c>
      <c r="P2949" s="273">
        <f>79.288-77.5</f>
        <v>1.7879999999999967</v>
      </c>
      <c r="Q2949" s="274">
        <f>ROUND(14000*P2949,2)</f>
        <v>25032</v>
      </c>
      <c r="R2949" s="154">
        <v>202305</v>
      </c>
      <c r="S2949" s="32" t="s">
        <v>4573</v>
      </c>
      <c r="T2949" s="42" t="s">
        <v>4562</v>
      </c>
      <c r="U2949" s="70"/>
      <c r="V2949" s="42"/>
      <c r="W2949" s="275">
        <v>77.469247163000006</v>
      </c>
      <c r="X2949" s="276">
        <v>81.106999999999999</v>
      </c>
      <c r="Y2949" s="72">
        <v>44829</v>
      </c>
      <c r="Z2949" s="72">
        <v>45559</v>
      </c>
      <c r="AA2949" s="37"/>
      <c r="AB2949" s="38"/>
      <c r="AC2949" s="38"/>
      <c r="AD2949" s="38"/>
      <c r="AE2949" s="40"/>
      <c r="AF2949" s="271" t="s">
        <v>68</v>
      </c>
      <c r="AG2949" s="40"/>
      <c r="AH2949" s="42"/>
      <c r="AI2949" s="42"/>
      <c r="AJ2949" s="43"/>
      <c r="AK2949" s="43"/>
      <c r="AL2949" s="43"/>
      <c r="AM2949" s="43"/>
      <c r="AN2949" s="43"/>
      <c r="AO2949" s="42"/>
      <c r="AP2949" s="42"/>
      <c r="AQ2949" s="42"/>
      <c r="AR2949" s="42"/>
      <c r="AS2949" s="42"/>
    </row>
    <row r="2950" spans="1:45" ht="15" customHeight="1">
      <c r="A2950" s="20" t="s">
        <v>260</v>
      </c>
      <c r="B2950" s="21" t="s">
        <v>46</v>
      </c>
      <c r="C2950" s="22" t="s">
        <v>188</v>
      </c>
      <c r="D2950" s="21" t="s">
        <v>48</v>
      </c>
      <c r="E2950" s="23" t="s">
        <v>919</v>
      </c>
      <c r="F2950" s="20" t="s">
        <v>953</v>
      </c>
      <c r="G2950" s="20" t="s">
        <v>165</v>
      </c>
      <c r="H2950" s="25" t="s">
        <v>1225</v>
      </c>
      <c r="I2950" s="24" t="s">
        <v>3776</v>
      </c>
      <c r="J2950" s="20" t="s">
        <v>4052</v>
      </c>
      <c r="K2950" s="26" t="s">
        <v>4053</v>
      </c>
      <c r="L2950" s="20"/>
      <c r="M2950" s="156">
        <v>42796</v>
      </c>
      <c r="N2950" s="20" t="s">
        <v>3847</v>
      </c>
      <c r="O2950" s="28">
        <v>120000</v>
      </c>
      <c r="P2950" s="273">
        <f>3.873-3.8</f>
        <v>7.3000000000000398E-2</v>
      </c>
      <c r="Q2950" s="274">
        <f>ROUND(O2950*P2950,2)</f>
        <v>8760</v>
      </c>
      <c r="R2950" s="154">
        <v>202305</v>
      </c>
      <c r="S2950" s="32" t="s">
        <v>4574</v>
      </c>
      <c r="T2950" s="42" t="s">
        <v>4562</v>
      </c>
      <c r="U2950" s="70"/>
      <c r="V2950" s="42"/>
      <c r="W2950" s="275">
        <v>3.7071726659999999</v>
      </c>
      <c r="X2950" s="276">
        <v>4.0380000000000003</v>
      </c>
      <c r="Y2950" s="72">
        <v>44829</v>
      </c>
      <c r="Z2950" s="72">
        <v>45559</v>
      </c>
      <c r="AA2950" s="37"/>
      <c r="AB2950" s="38"/>
      <c r="AC2950" s="38"/>
      <c r="AD2950" s="38"/>
      <c r="AE2950" s="40"/>
      <c r="AF2950" s="271" t="s">
        <v>4575</v>
      </c>
      <c r="AG2950" s="40"/>
      <c r="AH2950" s="42"/>
      <c r="AI2950" s="42"/>
      <c r="AJ2950" s="43"/>
      <c r="AK2950" s="43"/>
      <c r="AL2950" s="43"/>
      <c r="AM2950" s="43"/>
      <c r="AN2950" s="43"/>
      <c r="AO2950" s="42"/>
      <c r="AP2950" s="42"/>
      <c r="AQ2950" s="42"/>
      <c r="AR2950" s="42"/>
      <c r="AS2950" s="42"/>
    </row>
    <row r="2951" spans="1:45" ht="15" customHeight="1">
      <c r="A2951" s="20" t="s">
        <v>260</v>
      </c>
      <c r="B2951" s="21" t="s">
        <v>46</v>
      </c>
      <c r="C2951" s="22" t="s">
        <v>188</v>
      </c>
      <c r="D2951" s="21" t="s">
        <v>48</v>
      </c>
      <c r="E2951" s="23" t="s">
        <v>919</v>
      </c>
      <c r="F2951" s="20" t="s">
        <v>953</v>
      </c>
      <c r="G2951" s="20" t="s">
        <v>165</v>
      </c>
      <c r="H2951" s="25" t="s">
        <v>1225</v>
      </c>
      <c r="I2951" s="24" t="s">
        <v>3858</v>
      </c>
      <c r="J2951" s="20" t="s">
        <v>4571</v>
      </c>
      <c r="K2951" s="26" t="s">
        <v>4043</v>
      </c>
      <c r="L2951" s="20"/>
      <c r="M2951" s="156">
        <v>41244</v>
      </c>
      <c r="N2951" s="20" t="s">
        <v>4044</v>
      </c>
      <c r="O2951" s="28" t="s">
        <v>4045</v>
      </c>
      <c r="P2951" s="193">
        <f>92.71-90.76</f>
        <v>1.9499999999999886</v>
      </c>
      <c r="Q2951" s="272">
        <f>ROUND(14000*P2951,2)</f>
        <v>27300</v>
      </c>
      <c r="R2951" s="154">
        <v>202306</v>
      </c>
      <c r="S2951" s="32" t="s">
        <v>4576</v>
      </c>
      <c r="T2951" s="42" t="s">
        <v>4562</v>
      </c>
      <c r="U2951" s="70"/>
      <c r="V2951" s="42"/>
      <c r="W2951" s="277">
        <v>90.760588088999995</v>
      </c>
      <c r="X2951" s="278">
        <v>94.66</v>
      </c>
      <c r="Y2951" s="72">
        <v>44829</v>
      </c>
      <c r="Z2951" s="72">
        <v>45559</v>
      </c>
      <c r="AA2951" s="37"/>
      <c r="AB2951" s="38"/>
      <c r="AC2951" s="38"/>
      <c r="AD2951" s="38"/>
      <c r="AE2951" s="40"/>
      <c r="AF2951" s="271" t="s">
        <v>68</v>
      </c>
      <c r="AG2951" s="40"/>
      <c r="AH2951" s="42"/>
      <c r="AI2951" s="42"/>
      <c r="AJ2951" s="43"/>
      <c r="AK2951" s="43"/>
      <c r="AL2951" s="43"/>
      <c r="AM2951" s="43"/>
      <c r="AN2951" s="43"/>
      <c r="AO2951" s="42"/>
      <c r="AP2951" s="42"/>
      <c r="AQ2951" s="42"/>
      <c r="AR2951" s="42"/>
      <c r="AS2951" s="42"/>
    </row>
    <row r="2952" spans="1:45" ht="15" customHeight="1">
      <c r="A2952" s="20" t="s">
        <v>260</v>
      </c>
      <c r="B2952" s="21" t="s">
        <v>46</v>
      </c>
      <c r="C2952" s="22" t="s">
        <v>188</v>
      </c>
      <c r="D2952" s="21" t="s">
        <v>48</v>
      </c>
      <c r="E2952" s="23" t="s">
        <v>919</v>
      </c>
      <c r="F2952" s="20" t="s">
        <v>953</v>
      </c>
      <c r="G2952" s="20" t="s">
        <v>165</v>
      </c>
      <c r="H2952" s="25" t="s">
        <v>1225</v>
      </c>
      <c r="I2952" s="24" t="s">
        <v>3858</v>
      </c>
      <c r="J2952" s="20" t="s">
        <v>1226</v>
      </c>
      <c r="K2952" s="26" t="s">
        <v>1227</v>
      </c>
      <c r="L2952" s="20"/>
      <c r="M2952" s="156">
        <v>41244</v>
      </c>
      <c r="N2952" s="20" t="s">
        <v>1542</v>
      </c>
      <c r="O2952" s="28" t="s">
        <v>4045</v>
      </c>
      <c r="P2952" s="193">
        <f>92.358-90.4</f>
        <v>1.9579999999999984</v>
      </c>
      <c r="Q2952" s="272">
        <f>ROUND(14000*P2952,2)</f>
        <v>27412</v>
      </c>
      <c r="R2952" s="154">
        <v>202306</v>
      </c>
      <c r="S2952" s="32" t="s">
        <v>4577</v>
      </c>
      <c r="T2952" s="42" t="s">
        <v>4562</v>
      </c>
      <c r="U2952" s="70"/>
      <c r="V2952" s="42"/>
      <c r="W2952" s="277">
        <v>90.397780862999994</v>
      </c>
      <c r="X2952" s="278">
        <v>94.319000000000003</v>
      </c>
      <c r="Y2952" s="72">
        <v>44829</v>
      </c>
      <c r="Z2952" s="72">
        <v>45559</v>
      </c>
      <c r="AA2952" s="37"/>
      <c r="AB2952" s="38"/>
      <c r="AC2952" s="38"/>
      <c r="AD2952" s="38"/>
      <c r="AE2952" s="40"/>
      <c r="AF2952" s="271" t="s">
        <v>68</v>
      </c>
      <c r="AG2952" s="40"/>
      <c r="AH2952" s="42"/>
      <c r="AI2952" s="42"/>
      <c r="AJ2952" s="43"/>
      <c r="AK2952" s="43"/>
      <c r="AL2952" s="43"/>
      <c r="AM2952" s="43"/>
      <c r="AN2952" s="43"/>
      <c r="AO2952" s="42"/>
      <c r="AP2952" s="42"/>
      <c r="AQ2952" s="42"/>
      <c r="AR2952" s="42"/>
      <c r="AS2952" s="42"/>
    </row>
    <row r="2953" spans="1:45" ht="15" customHeight="1">
      <c r="A2953" s="20" t="s">
        <v>260</v>
      </c>
      <c r="B2953" s="21" t="s">
        <v>46</v>
      </c>
      <c r="C2953" s="22" t="s">
        <v>188</v>
      </c>
      <c r="D2953" s="21" t="s">
        <v>48</v>
      </c>
      <c r="E2953" s="23" t="s">
        <v>919</v>
      </c>
      <c r="F2953" s="20" t="s">
        <v>953</v>
      </c>
      <c r="G2953" s="20" t="s">
        <v>165</v>
      </c>
      <c r="H2953" s="25" t="s">
        <v>1225</v>
      </c>
      <c r="I2953" s="24" t="s">
        <v>3776</v>
      </c>
      <c r="J2953" s="20" t="s">
        <v>4052</v>
      </c>
      <c r="K2953" s="26" t="s">
        <v>4053</v>
      </c>
      <c r="L2953" s="20"/>
      <c r="M2953" s="156">
        <v>42796</v>
      </c>
      <c r="N2953" s="20" t="s">
        <v>3847</v>
      </c>
      <c r="O2953" s="28">
        <v>120000</v>
      </c>
      <c r="P2953" s="193">
        <f>3.949-3.78</f>
        <v>0.16900000000000004</v>
      </c>
      <c r="Q2953" s="272">
        <f>ROUND(O2953*P2953,2)</f>
        <v>20280</v>
      </c>
      <c r="R2953" s="154">
        <v>202306</v>
      </c>
      <c r="S2953" s="32" t="s">
        <v>4578</v>
      </c>
      <c r="T2953" s="42" t="s">
        <v>4562</v>
      </c>
      <c r="U2953" s="70"/>
      <c r="V2953" s="42"/>
      <c r="W2953" s="277">
        <v>3.7826549680000001</v>
      </c>
      <c r="X2953" s="278">
        <v>4.1150000000000002</v>
      </c>
      <c r="Y2953" s="72">
        <v>44829</v>
      </c>
      <c r="Z2953" s="72">
        <v>45559</v>
      </c>
      <c r="AA2953" s="37"/>
      <c r="AB2953" s="38"/>
      <c r="AC2953" s="38"/>
      <c r="AD2953" s="38"/>
      <c r="AE2953" s="40"/>
      <c r="AF2953" s="271" t="s">
        <v>4575</v>
      </c>
      <c r="AG2953" s="40"/>
      <c r="AH2953" s="42"/>
      <c r="AI2953" s="42"/>
      <c r="AJ2953" s="43"/>
      <c r="AK2953" s="43"/>
      <c r="AL2953" s="43"/>
      <c r="AM2953" s="43"/>
      <c r="AN2953" s="43"/>
      <c r="AO2953" s="42"/>
      <c r="AP2953" s="42"/>
      <c r="AQ2953" s="42"/>
      <c r="AR2953" s="42"/>
      <c r="AS2953" s="42"/>
    </row>
    <row r="2954" spans="1:45" ht="15" customHeight="1">
      <c r="A2954" s="20" t="s">
        <v>260</v>
      </c>
      <c r="B2954" s="21" t="s">
        <v>46</v>
      </c>
      <c r="C2954" s="22" t="s">
        <v>188</v>
      </c>
      <c r="D2954" s="21" t="s">
        <v>48</v>
      </c>
      <c r="E2954" s="23" t="s">
        <v>919</v>
      </c>
      <c r="F2954" s="20" t="s">
        <v>953</v>
      </c>
      <c r="G2954" s="20" t="s">
        <v>165</v>
      </c>
      <c r="H2954" s="25" t="s">
        <v>1225</v>
      </c>
      <c r="I2954" s="24" t="s">
        <v>3858</v>
      </c>
      <c r="J2954" s="20" t="s">
        <v>4571</v>
      </c>
      <c r="K2954" s="26" t="s">
        <v>4043</v>
      </c>
      <c r="L2954" s="20"/>
      <c r="M2954" s="156">
        <v>41244</v>
      </c>
      <c r="N2954" s="20" t="s">
        <v>4044</v>
      </c>
      <c r="O2954" s="28" t="s">
        <v>4045</v>
      </c>
      <c r="P2954" s="193">
        <f>87.881-86.13</f>
        <v>1.7510000000000048</v>
      </c>
      <c r="Q2954" s="272">
        <f>ROUND(14000*P2954,2)</f>
        <v>24514</v>
      </c>
      <c r="R2954" s="154">
        <v>202307</v>
      </c>
      <c r="S2954" s="32" t="s">
        <v>4579</v>
      </c>
      <c r="T2954" s="42" t="s">
        <v>4562</v>
      </c>
      <c r="U2954" s="70"/>
      <c r="V2954" s="42"/>
      <c r="W2954" s="279">
        <v>86.134475975000001</v>
      </c>
      <c r="X2954" s="280">
        <f>197.7-X2955</f>
        <v>89.627999999999986</v>
      </c>
      <c r="Y2954" s="72">
        <v>44829</v>
      </c>
      <c r="Z2954" s="72">
        <v>45559</v>
      </c>
      <c r="AA2954" s="37"/>
      <c r="AB2954" s="38"/>
      <c r="AC2954" s="38"/>
      <c r="AD2954" s="38"/>
      <c r="AE2954" s="40"/>
      <c r="AF2954" s="271" t="s">
        <v>68</v>
      </c>
      <c r="AG2954" s="40"/>
      <c r="AH2954" s="42"/>
      <c r="AI2954" s="42"/>
      <c r="AJ2954" s="43"/>
      <c r="AK2954" s="43"/>
      <c r="AL2954" s="43"/>
      <c r="AM2954" s="43"/>
      <c r="AN2954" s="43"/>
      <c r="AO2954" s="42"/>
      <c r="AP2954" s="42"/>
      <c r="AQ2954" s="42"/>
      <c r="AR2954" s="42"/>
      <c r="AS2954" s="42"/>
    </row>
    <row r="2955" spans="1:45" ht="15" customHeight="1">
      <c r="A2955" s="20" t="s">
        <v>260</v>
      </c>
      <c r="B2955" s="21" t="s">
        <v>46</v>
      </c>
      <c r="C2955" s="22" t="s">
        <v>188</v>
      </c>
      <c r="D2955" s="21" t="s">
        <v>48</v>
      </c>
      <c r="E2955" s="23" t="s">
        <v>919</v>
      </c>
      <c r="F2955" s="20" t="s">
        <v>953</v>
      </c>
      <c r="G2955" s="20" t="s">
        <v>165</v>
      </c>
      <c r="H2955" s="25" t="s">
        <v>1225</v>
      </c>
      <c r="I2955" s="24" t="s">
        <v>3858</v>
      </c>
      <c r="J2955" s="20" t="s">
        <v>1226</v>
      </c>
      <c r="K2955" s="26" t="s">
        <v>1227</v>
      </c>
      <c r="L2955" s="20"/>
      <c r="M2955" s="156">
        <v>41244</v>
      </c>
      <c r="N2955" s="20" t="s">
        <v>1542</v>
      </c>
      <c r="O2955" s="28" t="s">
        <v>4045</v>
      </c>
      <c r="P2955" s="193">
        <f>105.905-103.74</f>
        <v>2.1650000000000063</v>
      </c>
      <c r="Q2955" s="272">
        <f>ROUND(14000*P2955,2)</f>
        <v>30310</v>
      </c>
      <c r="R2955" s="154">
        <v>202307</v>
      </c>
      <c r="S2955" s="32" t="s">
        <v>4580</v>
      </c>
      <c r="T2955" s="42" t="s">
        <v>4562</v>
      </c>
      <c r="U2955" s="70"/>
      <c r="V2955" s="42"/>
      <c r="W2955" s="228">
        <v>103.73724788</v>
      </c>
      <c r="X2955" s="35">
        <v>108.072</v>
      </c>
      <c r="Y2955" s="72">
        <v>44829</v>
      </c>
      <c r="Z2955" s="72">
        <v>45559</v>
      </c>
      <c r="AA2955" s="37"/>
      <c r="AB2955" s="38"/>
      <c r="AC2955" s="38"/>
      <c r="AD2955" s="38"/>
      <c r="AE2955" s="40"/>
      <c r="AF2955" s="271" t="s">
        <v>68</v>
      </c>
      <c r="AG2955" s="40"/>
      <c r="AH2955" s="42"/>
      <c r="AI2955" s="42"/>
      <c r="AJ2955" s="43"/>
      <c r="AK2955" s="43"/>
      <c r="AL2955" s="43"/>
      <c r="AM2955" s="43"/>
      <c r="AN2955" s="43"/>
      <c r="AO2955" s="42"/>
      <c r="AP2955" s="42"/>
      <c r="AQ2955" s="42"/>
      <c r="AR2955" s="42"/>
      <c r="AS2955" s="42"/>
    </row>
    <row r="2956" spans="1:45" ht="15" customHeight="1">
      <c r="A2956" s="20" t="s">
        <v>260</v>
      </c>
      <c r="B2956" s="21" t="s">
        <v>46</v>
      </c>
      <c r="C2956" s="22" t="s">
        <v>188</v>
      </c>
      <c r="D2956" s="21" t="s">
        <v>48</v>
      </c>
      <c r="E2956" s="23" t="s">
        <v>919</v>
      </c>
      <c r="F2956" s="20" t="s">
        <v>953</v>
      </c>
      <c r="G2956" s="20" t="s">
        <v>165</v>
      </c>
      <c r="H2956" s="25" t="s">
        <v>1225</v>
      </c>
      <c r="I2956" s="24" t="s">
        <v>3776</v>
      </c>
      <c r="J2956" s="20" t="s">
        <v>4052</v>
      </c>
      <c r="K2956" s="26" t="s">
        <v>4053</v>
      </c>
      <c r="L2956" s="20"/>
      <c r="M2956" s="156">
        <v>42796</v>
      </c>
      <c r="N2956" s="20" t="s">
        <v>3847</v>
      </c>
      <c r="O2956" s="28">
        <v>120000</v>
      </c>
      <c r="P2956" s="193">
        <f>4.284-4.11</f>
        <v>0.17399999999999949</v>
      </c>
      <c r="Q2956" s="272">
        <f t="shared" ref="Q2956" si="92">ROUND(O2956*P2956,2)</f>
        <v>20880</v>
      </c>
      <c r="R2956" s="154">
        <v>202307</v>
      </c>
      <c r="S2956" s="32" t="s">
        <v>4581</v>
      </c>
      <c r="T2956" s="42" t="s">
        <v>4562</v>
      </c>
      <c r="U2956" s="70"/>
      <c r="V2956" s="42"/>
      <c r="W2956" s="279">
        <v>4.1146105979999996</v>
      </c>
      <c r="X2956" s="280">
        <v>4.4539999999999997</v>
      </c>
      <c r="Y2956" s="72">
        <v>44829</v>
      </c>
      <c r="Z2956" s="72">
        <v>45559</v>
      </c>
      <c r="AA2956" s="37"/>
      <c r="AB2956" s="38"/>
      <c r="AC2956" s="38"/>
      <c r="AD2956" s="38"/>
      <c r="AE2956" s="40"/>
      <c r="AF2956" s="271" t="s">
        <v>4575</v>
      </c>
      <c r="AG2956" s="40"/>
      <c r="AH2956" s="42"/>
      <c r="AI2956" s="42"/>
      <c r="AJ2956" s="43"/>
      <c r="AK2956" s="43"/>
      <c r="AL2956" s="43"/>
      <c r="AM2956" s="43"/>
      <c r="AN2956" s="43"/>
      <c r="AO2956" s="42"/>
      <c r="AP2956" s="42"/>
      <c r="AQ2956" s="42"/>
      <c r="AR2956" s="42"/>
      <c r="AS2956" s="42"/>
    </row>
    <row r="2957" spans="1:45" ht="15" customHeight="1">
      <c r="A2957" s="20" t="s">
        <v>260</v>
      </c>
      <c r="B2957" s="21" t="s">
        <v>46</v>
      </c>
      <c r="C2957" s="22" t="s">
        <v>188</v>
      </c>
      <c r="D2957" s="21" t="s">
        <v>48</v>
      </c>
      <c r="E2957" s="23" t="s">
        <v>919</v>
      </c>
      <c r="F2957" s="20" t="s">
        <v>953</v>
      </c>
      <c r="G2957" s="20" t="s">
        <v>165</v>
      </c>
      <c r="H2957" s="25" t="s">
        <v>1225</v>
      </c>
      <c r="I2957" s="24" t="s">
        <v>3858</v>
      </c>
      <c r="J2957" s="20" t="s">
        <v>4571</v>
      </c>
      <c r="K2957" s="26" t="s">
        <v>4043</v>
      </c>
      <c r="L2957" s="20"/>
      <c r="M2957" s="156">
        <v>41244</v>
      </c>
      <c r="N2957" s="20" t="s">
        <v>4044</v>
      </c>
      <c r="O2957" s="28" t="s">
        <v>4045</v>
      </c>
      <c r="P2957" s="193">
        <f>88.892-87.06</f>
        <v>1.8319999999999936</v>
      </c>
      <c r="Q2957" s="272">
        <f>ROUND(14000*P2957,2)</f>
        <v>25648</v>
      </c>
      <c r="R2957" s="154">
        <v>202308</v>
      </c>
      <c r="S2957" s="32" t="s">
        <v>4582</v>
      </c>
      <c r="T2957" s="42" t="s">
        <v>4562</v>
      </c>
      <c r="U2957" s="70"/>
      <c r="V2957" s="42"/>
      <c r="W2957" s="237">
        <v>87.063915590999997</v>
      </c>
      <c r="X2957" s="242">
        <v>90.721000000000004</v>
      </c>
      <c r="Y2957" s="72">
        <v>44829</v>
      </c>
      <c r="Z2957" s="72">
        <v>45559</v>
      </c>
      <c r="AA2957" s="37"/>
      <c r="AB2957" s="38"/>
      <c r="AC2957" s="38"/>
      <c r="AD2957" s="38"/>
      <c r="AE2957" s="40"/>
      <c r="AF2957" s="271" t="s">
        <v>68</v>
      </c>
      <c r="AG2957" s="40"/>
      <c r="AH2957" s="42"/>
      <c r="AI2957" s="42"/>
      <c r="AJ2957" s="43"/>
      <c r="AK2957" s="43"/>
      <c r="AL2957" s="43"/>
      <c r="AM2957" s="43"/>
      <c r="AN2957" s="43"/>
      <c r="AO2957" s="42"/>
      <c r="AP2957" s="42"/>
      <c r="AQ2957" s="42"/>
      <c r="AR2957" s="42"/>
      <c r="AS2957" s="42"/>
    </row>
    <row r="2958" spans="1:45" ht="15" customHeight="1">
      <c r="A2958" s="20" t="s">
        <v>260</v>
      </c>
      <c r="B2958" s="21" t="s">
        <v>46</v>
      </c>
      <c r="C2958" s="22" t="s">
        <v>188</v>
      </c>
      <c r="D2958" s="21" t="s">
        <v>48</v>
      </c>
      <c r="E2958" s="23" t="s">
        <v>919</v>
      </c>
      <c r="F2958" s="20" t="s">
        <v>953</v>
      </c>
      <c r="G2958" s="20" t="s">
        <v>165</v>
      </c>
      <c r="H2958" s="25" t="s">
        <v>1225</v>
      </c>
      <c r="I2958" s="24" t="s">
        <v>3858</v>
      </c>
      <c r="J2958" s="20" t="s">
        <v>1226</v>
      </c>
      <c r="K2958" s="26" t="s">
        <v>1227</v>
      </c>
      <c r="L2958" s="20"/>
      <c r="M2958" s="156">
        <v>41244</v>
      </c>
      <c r="N2958" s="20" t="s">
        <v>1542</v>
      </c>
      <c r="O2958" s="28" t="s">
        <v>4045</v>
      </c>
      <c r="P2958" s="193">
        <f>105.77-103.62</f>
        <v>2.1499999999999915</v>
      </c>
      <c r="Q2958" s="272">
        <f>ROUND(14000*P2958,2)</f>
        <v>30100</v>
      </c>
      <c r="R2958" s="154">
        <v>202308</v>
      </c>
      <c r="S2958" s="32" t="s">
        <v>4583</v>
      </c>
      <c r="T2958" s="42" t="s">
        <v>4562</v>
      </c>
      <c r="U2958" s="70"/>
      <c r="V2958" s="42"/>
      <c r="W2958" s="237">
        <v>103.61664197499999</v>
      </c>
      <c r="X2958" s="242">
        <v>107.925</v>
      </c>
      <c r="Y2958" s="72">
        <v>44829</v>
      </c>
      <c r="Z2958" s="72">
        <v>45559</v>
      </c>
      <c r="AA2958" s="37"/>
      <c r="AB2958" s="38"/>
      <c r="AC2958" s="38"/>
      <c r="AD2958" s="38"/>
      <c r="AE2958" s="40"/>
      <c r="AF2958" s="271" t="s">
        <v>68</v>
      </c>
      <c r="AG2958" s="40"/>
      <c r="AH2958" s="42"/>
      <c r="AI2958" s="42"/>
      <c r="AJ2958" s="43"/>
      <c r="AK2958" s="43"/>
      <c r="AL2958" s="43"/>
      <c r="AM2958" s="43"/>
      <c r="AN2958" s="43"/>
      <c r="AO2958" s="42"/>
      <c r="AP2958" s="42"/>
      <c r="AQ2958" s="42"/>
      <c r="AR2958" s="42"/>
      <c r="AS2958" s="42"/>
    </row>
    <row r="2959" spans="1:45" ht="15" customHeight="1">
      <c r="A2959" s="20" t="s">
        <v>260</v>
      </c>
      <c r="B2959" s="21" t="s">
        <v>46</v>
      </c>
      <c r="C2959" s="22" t="s">
        <v>188</v>
      </c>
      <c r="D2959" s="21" t="s">
        <v>48</v>
      </c>
      <c r="E2959" s="23" t="s">
        <v>919</v>
      </c>
      <c r="F2959" s="20" t="s">
        <v>953</v>
      </c>
      <c r="G2959" s="20" t="s">
        <v>165</v>
      </c>
      <c r="H2959" s="25" t="s">
        <v>1225</v>
      </c>
      <c r="I2959" s="24" t="s">
        <v>3776</v>
      </c>
      <c r="J2959" s="20" t="s">
        <v>4052</v>
      </c>
      <c r="K2959" s="26" t="s">
        <v>4053</v>
      </c>
      <c r="L2959" s="20"/>
      <c r="M2959" s="156">
        <v>42796</v>
      </c>
      <c r="N2959" s="20" t="s">
        <v>3847</v>
      </c>
      <c r="O2959" s="28">
        <v>120000</v>
      </c>
      <c r="P2959" s="193">
        <f>4.092-3.92</f>
        <v>0.17199999999999971</v>
      </c>
      <c r="Q2959" s="272">
        <f>ROUND(O2959*P2959,2)</f>
        <v>20640</v>
      </c>
      <c r="R2959" s="154">
        <v>202308</v>
      </c>
      <c r="S2959" s="32" t="s">
        <v>4584</v>
      </c>
      <c r="T2959" s="42" t="s">
        <v>4562</v>
      </c>
      <c r="U2959" s="70"/>
      <c r="V2959" s="42"/>
      <c r="W2959" s="237">
        <v>3.9240515870000001</v>
      </c>
      <c r="X2959" s="242">
        <v>4.2590000000000003</v>
      </c>
      <c r="Y2959" s="72">
        <v>44829</v>
      </c>
      <c r="Z2959" s="72">
        <v>45559</v>
      </c>
      <c r="AA2959" s="37"/>
      <c r="AB2959" s="38"/>
      <c r="AC2959" s="38"/>
      <c r="AD2959" s="38"/>
      <c r="AE2959" s="40"/>
      <c r="AF2959" s="271" t="s">
        <v>4575</v>
      </c>
      <c r="AG2959" s="40"/>
      <c r="AH2959" s="42"/>
      <c r="AI2959" s="42"/>
      <c r="AJ2959" s="43"/>
      <c r="AK2959" s="43"/>
      <c r="AL2959" s="43"/>
      <c r="AM2959" s="43"/>
      <c r="AN2959" s="43"/>
      <c r="AO2959" s="42"/>
      <c r="AP2959" s="42"/>
      <c r="AQ2959" s="42"/>
      <c r="AR2959" s="42"/>
      <c r="AS2959" s="42"/>
    </row>
    <row r="2960" spans="1:45" ht="15" customHeight="1">
      <c r="A2960" s="20" t="s">
        <v>258</v>
      </c>
      <c r="B2960" s="21" t="s">
        <v>46</v>
      </c>
      <c r="C2960" s="22" t="s">
        <v>188</v>
      </c>
      <c r="D2960" s="21" t="s">
        <v>48</v>
      </c>
      <c r="E2960" s="23" t="s">
        <v>431</v>
      </c>
      <c r="F2960" s="20" t="s">
        <v>432</v>
      </c>
      <c r="G2960" s="20" t="s">
        <v>165</v>
      </c>
      <c r="H2960" s="25" t="s">
        <v>3843</v>
      </c>
      <c r="I2960" s="24" t="s">
        <v>3776</v>
      </c>
      <c r="J2960" s="20" t="s">
        <v>3844</v>
      </c>
      <c r="K2960" s="26" t="s">
        <v>3845</v>
      </c>
      <c r="L2960" s="20"/>
      <c r="M2960" s="156" t="s">
        <v>3846</v>
      </c>
      <c r="N2960" s="20" t="s">
        <v>3847</v>
      </c>
      <c r="O2960" s="28">
        <v>175000</v>
      </c>
      <c r="P2960" s="29">
        <f>4.5-4.4</f>
        <v>9.9999999999999645E-2</v>
      </c>
      <c r="Q2960" s="30">
        <f t="shared" ref="Q2960:Q2972" si="93">ROUND(O2960*P2960,2)</f>
        <v>17500</v>
      </c>
      <c r="R2960" s="154">
        <v>202309</v>
      </c>
      <c r="S2960" s="32" t="s">
        <v>4585</v>
      </c>
      <c r="T2960" s="42" t="s">
        <v>4562</v>
      </c>
      <c r="U2960" s="70"/>
      <c r="V2960" s="42"/>
      <c r="W2960" s="232">
        <v>4.3360249959999999</v>
      </c>
      <c r="X2960" s="35">
        <v>4.67</v>
      </c>
      <c r="Y2960" s="72"/>
      <c r="Z2960" s="72"/>
      <c r="AA2960" s="37"/>
      <c r="AB2960" s="38"/>
      <c r="AC2960" s="38"/>
      <c r="AD2960" s="38"/>
      <c r="AE2960" s="40"/>
      <c r="AF2960" s="40" t="s">
        <v>3783</v>
      </c>
      <c r="AG2960" s="40"/>
      <c r="AH2960" s="42"/>
      <c r="AI2960" s="42"/>
      <c r="AJ2960" s="43"/>
      <c r="AK2960" s="43"/>
      <c r="AL2960" s="43"/>
      <c r="AM2960" s="43"/>
      <c r="AN2960" s="43"/>
      <c r="AO2960" s="42"/>
      <c r="AP2960" s="42"/>
      <c r="AQ2960" s="42"/>
      <c r="AR2960" s="42"/>
      <c r="AS2960" s="42"/>
    </row>
    <row r="2961" spans="1:45" ht="15" customHeight="1">
      <c r="A2961" s="20" t="s">
        <v>258</v>
      </c>
      <c r="B2961" s="21" t="s">
        <v>46</v>
      </c>
      <c r="C2961" s="22" t="s">
        <v>188</v>
      </c>
      <c r="D2961" s="21" t="s">
        <v>48</v>
      </c>
      <c r="E2961" s="23" t="s">
        <v>431</v>
      </c>
      <c r="F2961" s="20" t="s">
        <v>432</v>
      </c>
      <c r="G2961" s="20" t="s">
        <v>165</v>
      </c>
      <c r="H2961" s="25" t="s">
        <v>610</v>
      </c>
      <c r="I2961" s="24" t="s">
        <v>3858</v>
      </c>
      <c r="J2961" s="20" t="s">
        <v>3859</v>
      </c>
      <c r="K2961" s="26" t="s">
        <v>3860</v>
      </c>
      <c r="L2961" s="20"/>
      <c r="M2961" s="156" t="s">
        <v>3861</v>
      </c>
      <c r="N2961" s="20" t="s">
        <v>3862</v>
      </c>
      <c r="O2961" s="28">
        <v>13333.33</v>
      </c>
      <c r="P2961" s="29">
        <f>58.97-57.8</f>
        <v>1.1700000000000017</v>
      </c>
      <c r="Q2961" s="30">
        <f t="shared" si="93"/>
        <v>15600</v>
      </c>
      <c r="R2961" s="154">
        <v>202309</v>
      </c>
      <c r="S2961" s="32" t="s">
        <v>4586</v>
      </c>
      <c r="T2961" s="42" t="s">
        <v>4562</v>
      </c>
      <c r="U2961" s="70"/>
      <c r="V2961" s="42"/>
      <c r="W2961" s="232">
        <v>57.770244050999999</v>
      </c>
      <c r="X2961" s="35">
        <v>60.17</v>
      </c>
      <c r="Y2961" s="72"/>
      <c r="Z2961" s="72"/>
      <c r="AA2961" s="37"/>
      <c r="AB2961" s="38"/>
      <c r="AC2961" s="38"/>
      <c r="AD2961" s="38"/>
      <c r="AE2961" s="40"/>
      <c r="AF2961" s="40" t="s">
        <v>56</v>
      </c>
      <c r="AG2961" s="40"/>
      <c r="AH2961" s="42"/>
      <c r="AI2961" s="42"/>
      <c r="AJ2961" s="43"/>
      <c r="AK2961" s="43"/>
      <c r="AL2961" s="43"/>
      <c r="AM2961" s="43"/>
      <c r="AN2961" s="43"/>
      <c r="AO2961" s="42"/>
      <c r="AP2961" s="42"/>
      <c r="AQ2961" s="42"/>
      <c r="AR2961" s="42"/>
      <c r="AS2961" s="42"/>
    </row>
    <row r="2962" spans="1:45" ht="15" customHeight="1">
      <c r="A2962" s="20" t="s">
        <v>258</v>
      </c>
      <c r="B2962" s="21" t="s">
        <v>46</v>
      </c>
      <c r="C2962" s="22" t="s">
        <v>188</v>
      </c>
      <c r="D2962" s="21" t="s">
        <v>48</v>
      </c>
      <c r="E2962" s="23" t="s">
        <v>431</v>
      </c>
      <c r="F2962" s="20" t="s">
        <v>432</v>
      </c>
      <c r="G2962" s="20" t="s">
        <v>165</v>
      </c>
      <c r="H2962" s="25" t="s">
        <v>610</v>
      </c>
      <c r="I2962" s="24" t="s">
        <v>3858</v>
      </c>
      <c r="J2962" s="20" t="s">
        <v>3866</v>
      </c>
      <c r="K2962" s="26" t="s">
        <v>3867</v>
      </c>
      <c r="L2962" s="20"/>
      <c r="M2962" s="156" t="s">
        <v>3868</v>
      </c>
      <c r="N2962" s="20" t="s">
        <v>3869</v>
      </c>
      <c r="O2962" s="28">
        <v>13333.33</v>
      </c>
      <c r="P2962" s="29">
        <f>15.88-15.7</f>
        <v>0.18000000000000149</v>
      </c>
      <c r="Q2962" s="30">
        <f t="shared" si="93"/>
        <v>2400</v>
      </c>
      <c r="R2962" s="154">
        <v>202309</v>
      </c>
      <c r="S2962" s="32" t="s">
        <v>4587</v>
      </c>
      <c r="T2962" s="42" t="s">
        <v>4562</v>
      </c>
      <c r="U2962" s="70"/>
      <c r="V2962" s="42"/>
      <c r="W2962" s="232">
        <v>15.631328109</v>
      </c>
      <c r="X2962" s="35">
        <v>16.12</v>
      </c>
      <c r="Y2962" s="72"/>
      <c r="Z2962" s="72"/>
      <c r="AA2962" s="37"/>
      <c r="AB2962" s="38"/>
      <c r="AC2962" s="38"/>
      <c r="AD2962" s="38"/>
      <c r="AE2962" s="40"/>
      <c r="AF2962" s="40" t="s">
        <v>56</v>
      </c>
      <c r="AG2962" s="40"/>
      <c r="AH2962" s="42"/>
      <c r="AI2962" s="42"/>
      <c r="AJ2962" s="43"/>
      <c r="AK2962" s="43"/>
      <c r="AL2962" s="43"/>
      <c r="AM2962" s="43"/>
      <c r="AN2962" s="43"/>
      <c r="AO2962" s="42"/>
      <c r="AP2962" s="42"/>
      <c r="AQ2962" s="42"/>
      <c r="AR2962" s="42"/>
      <c r="AS2962" s="42"/>
    </row>
    <row r="2963" spans="1:45" ht="15" customHeight="1">
      <c r="A2963" s="20" t="s">
        <v>258</v>
      </c>
      <c r="B2963" s="21" t="s">
        <v>46</v>
      </c>
      <c r="C2963" s="22" t="s">
        <v>188</v>
      </c>
      <c r="D2963" s="21" t="s">
        <v>48</v>
      </c>
      <c r="E2963" s="23" t="s">
        <v>431</v>
      </c>
      <c r="F2963" s="20" t="s">
        <v>547</v>
      </c>
      <c r="G2963" s="20" t="s">
        <v>165</v>
      </c>
      <c r="H2963" s="45" t="s">
        <v>548</v>
      </c>
      <c r="I2963" s="24" t="s">
        <v>3858</v>
      </c>
      <c r="J2963" s="20" t="s">
        <v>3872</v>
      </c>
      <c r="K2963" s="26" t="s">
        <v>3873</v>
      </c>
      <c r="L2963" s="20"/>
      <c r="M2963" s="156">
        <v>44453</v>
      </c>
      <c r="N2963" s="20" t="s">
        <v>3874</v>
      </c>
      <c r="O2963" s="28">
        <v>9000</v>
      </c>
      <c r="P2963" s="29">
        <f>77.31-75.6</f>
        <v>1.710000000000008</v>
      </c>
      <c r="Q2963" s="30">
        <f t="shared" si="93"/>
        <v>15390</v>
      </c>
      <c r="R2963" s="154">
        <v>202309</v>
      </c>
      <c r="S2963" s="32" t="s">
        <v>4588</v>
      </c>
      <c r="T2963" s="42" t="s">
        <v>4562</v>
      </c>
      <c r="U2963" s="70"/>
      <c r="V2963" s="42"/>
      <c r="W2963" s="232">
        <v>75.573084954999999</v>
      </c>
      <c r="X2963" s="35">
        <v>79.05</v>
      </c>
      <c r="Y2963" s="72"/>
      <c r="Z2963" s="72"/>
      <c r="AA2963" s="37"/>
      <c r="AB2963" s="38"/>
      <c r="AC2963" s="38"/>
      <c r="AD2963" s="38"/>
      <c r="AE2963" s="40"/>
      <c r="AF2963" s="40" t="s">
        <v>56</v>
      </c>
      <c r="AG2963" s="40"/>
      <c r="AH2963" s="42"/>
      <c r="AI2963" s="42"/>
      <c r="AJ2963" s="43"/>
      <c r="AK2963" s="43"/>
      <c r="AL2963" s="43"/>
      <c r="AM2963" s="43"/>
      <c r="AN2963" s="43"/>
      <c r="AO2963" s="42"/>
      <c r="AP2963" s="42"/>
      <c r="AQ2963" s="42"/>
      <c r="AR2963" s="42"/>
      <c r="AS2963" s="42"/>
    </row>
    <row r="2964" spans="1:45" ht="15" customHeight="1">
      <c r="A2964" s="20" t="s">
        <v>260</v>
      </c>
      <c r="B2964" s="21" t="s">
        <v>46</v>
      </c>
      <c r="C2964" s="22" t="s">
        <v>188</v>
      </c>
      <c r="D2964" s="22" t="s">
        <v>48</v>
      </c>
      <c r="E2964" s="23" t="s">
        <v>431</v>
      </c>
      <c r="F2964" s="20" t="s">
        <v>432</v>
      </c>
      <c r="G2964" s="20" t="s">
        <v>165</v>
      </c>
      <c r="H2964" s="25" t="s">
        <v>490</v>
      </c>
      <c r="I2964" s="24" t="s">
        <v>3724</v>
      </c>
      <c r="J2964" s="20" t="s">
        <v>3883</v>
      </c>
      <c r="K2964" s="26" t="s">
        <v>3603</v>
      </c>
      <c r="L2964" s="20"/>
      <c r="M2964" s="156" t="s">
        <v>3884</v>
      </c>
      <c r="N2964" s="20" t="s">
        <v>3885</v>
      </c>
      <c r="O2964" s="28">
        <v>7794</v>
      </c>
      <c r="P2964" s="29">
        <f>136.8-134.2</f>
        <v>2.6000000000000227</v>
      </c>
      <c r="Q2964" s="30">
        <f t="shared" si="93"/>
        <v>20264.400000000001</v>
      </c>
      <c r="R2964" s="154">
        <v>202309</v>
      </c>
      <c r="S2964" s="32" t="s">
        <v>4589</v>
      </c>
      <c r="T2964" s="42" t="s">
        <v>4562</v>
      </c>
      <c r="U2964" s="70"/>
      <c r="V2964" s="42"/>
      <c r="W2964" s="232">
        <v>134.15533966000001</v>
      </c>
      <c r="X2964" s="35">
        <v>139.30000000000001</v>
      </c>
      <c r="Y2964" s="72">
        <v>44044</v>
      </c>
      <c r="Z2964" s="72">
        <v>45199</v>
      </c>
      <c r="AA2964" s="37"/>
      <c r="AB2964" s="38"/>
      <c r="AC2964" s="38"/>
      <c r="AD2964" s="38"/>
      <c r="AE2964" s="40"/>
      <c r="AF2964" s="40" t="s">
        <v>503</v>
      </c>
      <c r="AG2964" s="40"/>
      <c r="AH2964" s="42"/>
      <c r="AI2964" s="42"/>
      <c r="AJ2964" s="43"/>
      <c r="AK2964" s="43"/>
      <c r="AL2964" s="43"/>
      <c r="AM2964" s="43"/>
      <c r="AN2964" s="43"/>
      <c r="AO2964" s="42"/>
      <c r="AP2964" s="42"/>
      <c r="AQ2964" s="42"/>
      <c r="AR2964" s="42"/>
      <c r="AS2964" s="42"/>
    </row>
    <row r="2965" spans="1:45" ht="15" customHeight="1">
      <c r="A2965" s="20" t="s">
        <v>45</v>
      </c>
      <c r="B2965" s="21" t="s">
        <v>46</v>
      </c>
      <c r="C2965" s="22" t="s">
        <v>188</v>
      </c>
      <c r="D2965" s="22" t="s">
        <v>48</v>
      </c>
      <c r="E2965" s="23" t="s">
        <v>431</v>
      </c>
      <c r="F2965" s="20" t="s">
        <v>432</v>
      </c>
      <c r="G2965" s="20" t="s">
        <v>165</v>
      </c>
      <c r="H2965" s="25" t="s">
        <v>490</v>
      </c>
      <c r="I2965" s="24" t="s">
        <v>3724</v>
      </c>
      <c r="J2965" s="20" t="s">
        <v>3888</v>
      </c>
      <c r="K2965" s="26" t="s">
        <v>3889</v>
      </c>
      <c r="L2965" s="20"/>
      <c r="M2965" s="156" t="s">
        <v>3890</v>
      </c>
      <c r="N2965" s="20" t="s">
        <v>3891</v>
      </c>
      <c r="O2965" s="28">
        <v>5000</v>
      </c>
      <c r="P2965" s="29">
        <f>128.7-123.1</f>
        <v>5.5999999999999943</v>
      </c>
      <c r="Q2965" s="30">
        <f t="shared" si="93"/>
        <v>28000</v>
      </c>
      <c r="R2965" s="154">
        <v>202309</v>
      </c>
      <c r="S2965" s="32" t="s">
        <v>4590</v>
      </c>
      <c r="T2965" s="42" t="s">
        <v>4562</v>
      </c>
      <c r="U2965" s="70"/>
      <c r="V2965" s="42"/>
      <c r="W2965" s="232">
        <v>123.023971558</v>
      </c>
      <c r="X2965" s="35">
        <v>134.19999999999999</v>
      </c>
      <c r="Y2965" s="72">
        <v>44044</v>
      </c>
      <c r="Z2965" s="72">
        <v>45199</v>
      </c>
      <c r="AA2965" s="37"/>
      <c r="AB2965" s="38"/>
      <c r="AC2965" s="38"/>
      <c r="AD2965" s="38"/>
      <c r="AE2965" s="40"/>
      <c r="AF2965" s="40" t="s">
        <v>503</v>
      </c>
      <c r="AG2965" s="40"/>
      <c r="AH2965" s="42"/>
      <c r="AI2965" s="42"/>
      <c r="AJ2965" s="43"/>
      <c r="AK2965" s="43"/>
      <c r="AL2965" s="43"/>
      <c r="AM2965" s="43"/>
      <c r="AN2965" s="43"/>
      <c r="AO2965" s="42"/>
      <c r="AP2965" s="42"/>
      <c r="AQ2965" s="42"/>
      <c r="AR2965" s="42"/>
      <c r="AS2965" s="42"/>
    </row>
    <row r="2966" spans="1:45" ht="15" customHeight="1">
      <c r="A2966" s="20" t="s">
        <v>258</v>
      </c>
      <c r="B2966" s="21" t="s">
        <v>46</v>
      </c>
      <c r="C2966" s="22" t="s">
        <v>188</v>
      </c>
      <c r="D2966" s="22" t="s">
        <v>48</v>
      </c>
      <c r="E2966" s="23" t="s">
        <v>431</v>
      </c>
      <c r="F2966" s="20" t="s">
        <v>432</v>
      </c>
      <c r="G2966" s="20" t="s">
        <v>165</v>
      </c>
      <c r="H2966" s="25" t="s">
        <v>632</v>
      </c>
      <c r="I2966" s="24" t="s">
        <v>3724</v>
      </c>
      <c r="J2966" s="20" t="s">
        <v>626</v>
      </c>
      <c r="K2966" s="26" t="s">
        <v>627</v>
      </c>
      <c r="L2966" s="20" t="s">
        <v>628</v>
      </c>
      <c r="M2966" s="156" t="s">
        <v>3894</v>
      </c>
      <c r="N2966" s="20" t="s">
        <v>3895</v>
      </c>
      <c r="O2966" s="28">
        <f>9000-6000</f>
        <v>3000</v>
      </c>
      <c r="P2966" s="29">
        <v>73.2</v>
      </c>
      <c r="Q2966" s="30">
        <f>72.6*9000-ROUND(6000*73.2,2)</f>
        <v>214200</v>
      </c>
      <c r="R2966" s="154">
        <v>202309</v>
      </c>
      <c r="S2966" s="32" t="s">
        <v>4591</v>
      </c>
      <c r="T2966" s="42" t="s">
        <v>4562</v>
      </c>
      <c r="U2966" s="70"/>
      <c r="V2966" s="42"/>
      <c r="W2966" s="232">
        <v>73.162682421</v>
      </c>
      <c r="X2966" s="35">
        <v>75.19</v>
      </c>
      <c r="Y2966" s="72"/>
      <c r="Z2966" s="72"/>
      <c r="AA2966" s="37"/>
      <c r="AB2966" s="38"/>
      <c r="AC2966" s="38"/>
      <c r="AD2966" s="38"/>
      <c r="AE2966" s="40"/>
      <c r="AF2966" s="40" t="s">
        <v>484</v>
      </c>
      <c r="AG2966" s="40"/>
      <c r="AH2966" s="42"/>
      <c r="AI2966" s="42"/>
      <c r="AJ2966" s="43"/>
      <c r="AK2966" s="43"/>
      <c r="AL2966" s="43"/>
      <c r="AM2966" s="43"/>
      <c r="AN2966" s="43"/>
      <c r="AO2966" s="42"/>
      <c r="AP2966" s="42"/>
      <c r="AQ2966" s="42"/>
      <c r="AR2966" s="42"/>
      <c r="AS2966" s="42"/>
    </row>
    <row r="2967" spans="1:45" ht="15" customHeight="1">
      <c r="A2967" s="20" t="s">
        <v>258</v>
      </c>
      <c r="B2967" s="21" t="s">
        <v>46</v>
      </c>
      <c r="C2967" s="22" t="s">
        <v>188</v>
      </c>
      <c r="D2967" s="22" t="s">
        <v>48</v>
      </c>
      <c r="E2967" s="23" t="s">
        <v>431</v>
      </c>
      <c r="F2967" s="20" t="s">
        <v>432</v>
      </c>
      <c r="G2967" s="47" t="s">
        <v>165</v>
      </c>
      <c r="H2967" s="234" t="s">
        <v>648</v>
      </c>
      <c r="I2967" s="24" t="s">
        <v>3724</v>
      </c>
      <c r="J2967" s="47" t="s">
        <v>649</v>
      </c>
      <c r="K2967" s="26" t="s">
        <v>650</v>
      </c>
      <c r="L2967" s="48" t="s">
        <v>651</v>
      </c>
      <c r="M2967" s="49" t="s">
        <v>3898</v>
      </c>
      <c r="N2967" s="49" t="s">
        <v>3899</v>
      </c>
      <c r="O2967" s="50">
        <v>9000</v>
      </c>
      <c r="P2967" s="51">
        <f>5.82-5.8</f>
        <v>2.0000000000000462E-2</v>
      </c>
      <c r="Q2967" s="51">
        <f t="shared" si="93"/>
        <v>180</v>
      </c>
      <c r="R2967" s="154">
        <v>202309</v>
      </c>
      <c r="S2967" s="108" t="s">
        <v>4592</v>
      </c>
      <c r="T2967" s="42" t="s">
        <v>4562</v>
      </c>
      <c r="U2967" s="70"/>
      <c r="V2967" s="42"/>
      <c r="W2967" s="232">
        <v>5.7638020699999997</v>
      </c>
      <c r="X2967" s="52">
        <v>5.82</v>
      </c>
      <c r="Y2967" s="72"/>
      <c r="Z2967" s="72"/>
      <c r="AA2967" s="37"/>
      <c r="AB2967" s="38"/>
      <c r="AC2967" s="38"/>
      <c r="AD2967" s="38"/>
      <c r="AE2967" s="40"/>
      <c r="AF2967" s="40" t="s">
        <v>484</v>
      </c>
      <c r="AG2967" s="40"/>
      <c r="AH2967" s="42"/>
      <c r="AI2967" s="42"/>
      <c r="AJ2967" s="43"/>
      <c r="AK2967" s="43"/>
      <c r="AL2967" s="43"/>
      <c r="AM2967" s="43"/>
      <c r="AN2967" s="43"/>
      <c r="AO2967" s="42"/>
      <c r="AP2967" s="42"/>
      <c r="AQ2967" s="42"/>
      <c r="AR2967" s="42"/>
      <c r="AS2967" s="42"/>
    </row>
    <row r="2968" spans="1:45" ht="15" customHeight="1">
      <c r="A2968" s="20" t="s">
        <v>57</v>
      </c>
      <c r="B2968" s="21" t="s">
        <v>3728</v>
      </c>
      <c r="C2968" s="22" t="s">
        <v>84</v>
      </c>
      <c r="D2968" s="22" t="s">
        <v>4593</v>
      </c>
      <c r="E2968" s="23" t="s">
        <v>3965</v>
      </c>
      <c r="F2968" s="20" t="s">
        <v>3966</v>
      </c>
      <c r="G2968" s="20" t="s">
        <v>165</v>
      </c>
      <c r="H2968" s="25" t="s">
        <v>3972</v>
      </c>
      <c r="I2968" s="24" t="s">
        <v>3724</v>
      </c>
      <c r="J2968" s="20" t="s">
        <v>3733</v>
      </c>
      <c r="K2968" s="26" t="s">
        <v>3973</v>
      </c>
      <c r="L2968" s="20"/>
      <c r="M2968" s="156">
        <v>43556</v>
      </c>
      <c r="N2968" s="20"/>
      <c r="O2968" s="28">
        <v>8400</v>
      </c>
      <c r="P2968" s="231">
        <f>2276.147255-2257.895</f>
        <v>18.252254999999877</v>
      </c>
      <c r="Q2968" s="30">
        <f t="shared" si="93"/>
        <v>153318.94</v>
      </c>
      <c r="R2968" s="154">
        <v>202309</v>
      </c>
      <c r="S2968" s="32" t="s">
        <v>4594</v>
      </c>
      <c r="T2968" s="42" t="s">
        <v>4562</v>
      </c>
      <c r="U2968" s="70"/>
      <c r="V2968" s="42"/>
      <c r="W2968" s="226">
        <v>2257.8940429690001</v>
      </c>
      <c r="X2968" s="281">
        <v>2276.1472549999999</v>
      </c>
      <c r="Y2968" s="72">
        <v>44927</v>
      </c>
      <c r="Z2968" s="72">
        <v>45291</v>
      </c>
      <c r="AA2968" s="37"/>
      <c r="AB2968" s="38"/>
      <c r="AC2968" s="38"/>
      <c r="AD2968" s="38"/>
      <c r="AE2968" s="40"/>
      <c r="AF2968" s="40" t="s">
        <v>3738</v>
      </c>
      <c r="AG2968" s="40"/>
      <c r="AH2968" s="42"/>
      <c r="AI2968" s="42"/>
      <c r="AJ2968" s="43"/>
      <c r="AK2968" s="43"/>
      <c r="AL2968" s="43"/>
      <c r="AM2968" s="43"/>
      <c r="AN2968" s="43"/>
      <c r="AO2968" s="42"/>
      <c r="AP2968" s="42"/>
      <c r="AQ2968" s="42"/>
      <c r="AR2968" s="42"/>
      <c r="AS2968" s="42"/>
    </row>
    <row r="2969" spans="1:45" ht="15" customHeight="1">
      <c r="A2969" s="56" t="s">
        <v>829</v>
      </c>
      <c r="B2969" s="21" t="s">
        <v>46</v>
      </c>
      <c r="C2969" s="57" t="s">
        <v>814</v>
      </c>
      <c r="D2969" s="22" t="s">
        <v>48</v>
      </c>
      <c r="E2969" s="58" t="s">
        <v>815</v>
      </c>
      <c r="F2969" s="56" t="s">
        <v>830</v>
      </c>
      <c r="G2969" s="26" t="s">
        <v>165</v>
      </c>
      <c r="H2969" s="25" t="s">
        <v>831</v>
      </c>
      <c r="I2969" s="24" t="s">
        <v>3724</v>
      </c>
      <c r="J2969" s="56" t="s">
        <v>818</v>
      </c>
      <c r="K2969" s="59" t="s">
        <v>832</v>
      </c>
      <c r="L2969" s="48" t="s">
        <v>820</v>
      </c>
      <c r="M2969" s="49" t="s">
        <v>4303</v>
      </c>
      <c r="N2969" s="49" t="s">
        <v>4304</v>
      </c>
      <c r="O2969" s="60">
        <v>6600</v>
      </c>
      <c r="P2969" s="61">
        <f>121.8-120.7</f>
        <v>1.0999999999999943</v>
      </c>
      <c r="Q2969" s="51">
        <f t="shared" si="93"/>
        <v>7260</v>
      </c>
      <c r="R2969" s="154">
        <v>202309</v>
      </c>
      <c r="S2969" s="62" t="s">
        <v>4595</v>
      </c>
      <c r="T2969" s="42" t="s">
        <v>4562</v>
      </c>
      <c r="U2969" s="70"/>
      <c r="V2969" s="42"/>
      <c r="W2969" s="232">
        <v>120.611152649</v>
      </c>
      <c r="X2969" s="63">
        <v>122.98</v>
      </c>
      <c r="Y2969" s="72">
        <v>45078</v>
      </c>
      <c r="Z2969" s="72">
        <v>45443</v>
      </c>
      <c r="AA2969" s="37"/>
      <c r="AB2969" s="38"/>
      <c r="AC2969" s="38"/>
      <c r="AD2969" s="38"/>
      <c r="AE2969" s="40"/>
      <c r="AF2969" s="40" t="s">
        <v>503</v>
      </c>
      <c r="AG2969" s="40"/>
      <c r="AH2969" s="42"/>
      <c r="AI2969" s="42"/>
      <c r="AJ2969" s="43"/>
      <c r="AK2969" s="43"/>
      <c r="AL2969" s="43"/>
      <c r="AM2969" s="43"/>
      <c r="AN2969" s="43"/>
      <c r="AO2969" s="42"/>
      <c r="AP2969" s="42"/>
      <c r="AQ2969" s="42"/>
      <c r="AR2969" s="42"/>
      <c r="AS2969" s="42"/>
    </row>
    <row r="2970" spans="1:45" ht="15" customHeight="1">
      <c r="A2970" s="56" t="s">
        <v>813</v>
      </c>
      <c r="B2970" s="21" t="s">
        <v>46</v>
      </c>
      <c r="C2970" s="57" t="s">
        <v>814</v>
      </c>
      <c r="D2970" s="22" t="s">
        <v>48</v>
      </c>
      <c r="E2970" s="58" t="s">
        <v>815</v>
      </c>
      <c r="F2970" s="56" t="s">
        <v>816</v>
      </c>
      <c r="G2970" s="26" t="s">
        <v>165</v>
      </c>
      <c r="H2970" s="25" t="s">
        <v>817</v>
      </c>
      <c r="I2970" s="24" t="s">
        <v>3724</v>
      </c>
      <c r="J2970" s="56" t="s">
        <v>818</v>
      </c>
      <c r="K2970" s="59" t="s">
        <v>819</v>
      </c>
      <c r="L2970" s="48" t="s">
        <v>820</v>
      </c>
      <c r="M2970" s="49" t="s">
        <v>4303</v>
      </c>
      <c r="N2970" s="49" t="s">
        <v>4307</v>
      </c>
      <c r="O2970" s="60">
        <v>7650</v>
      </c>
      <c r="P2970" s="61">
        <f>71.52-71</f>
        <v>0.51999999999999602</v>
      </c>
      <c r="Q2970" s="51">
        <f t="shared" si="93"/>
        <v>3978</v>
      </c>
      <c r="R2970" s="154">
        <v>202309</v>
      </c>
      <c r="S2970" s="62" t="s">
        <v>4596</v>
      </c>
      <c r="T2970" s="42" t="s">
        <v>4562</v>
      </c>
      <c r="U2970" s="70"/>
      <c r="V2970" s="42"/>
      <c r="W2970" s="232">
        <v>70.921508789000001</v>
      </c>
      <c r="X2970" s="63">
        <v>72.11</v>
      </c>
      <c r="Y2970" s="72">
        <v>45078</v>
      </c>
      <c r="Z2970" s="72">
        <v>45443</v>
      </c>
      <c r="AA2970" s="37"/>
      <c r="AB2970" s="38"/>
      <c r="AC2970" s="38"/>
      <c r="AD2970" s="38"/>
      <c r="AE2970" s="40"/>
      <c r="AF2970" s="40" t="s">
        <v>503</v>
      </c>
      <c r="AG2970" s="40"/>
      <c r="AH2970" s="42"/>
      <c r="AI2970" s="42"/>
      <c r="AJ2970" s="43"/>
      <c r="AK2970" s="43"/>
      <c r="AL2970" s="43"/>
      <c r="AM2970" s="43"/>
      <c r="AN2970" s="43"/>
      <c r="AO2970" s="42"/>
      <c r="AP2970" s="42"/>
      <c r="AQ2970" s="42"/>
      <c r="AR2970" s="42"/>
      <c r="AS2970" s="42"/>
    </row>
    <row r="2971" spans="1:45" ht="15" customHeight="1">
      <c r="A2971" s="56" t="s">
        <v>823</v>
      </c>
      <c r="B2971" s="21" t="s">
        <v>46</v>
      </c>
      <c r="C2971" s="57" t="s">
        <v>814</v>
      </c>
      <c r="D2971" s="22" t="s">
        <v>48</v>
      </c>
      <c r="E2971" s="58" t="s">
        <v>815</v>
      </c>
      <c r="F2971" s="56" t="s">
        <v>824</v>
      </c>
      <c r="G2971" s="26" t="s">
        <v>165</v>
      </c>
      <c r="H2971" s="25" t="s">
        <v>825</v>
      </c>
      <c r="I2971" s="24" t="s">
        <v>3724</v>
      </c>
      <c r="J2971" s="56" t="s">
        <v>818</v>
      </c>
      <c r="K2971" s="59" t="s">
        <v>826</v>
      </c>
      <c r="L2971" s="48" t="s">
        <v>820</v>
      </c>
      <c r="M2971" s="49" t="s">
        <v>4303</v>
      </c>
      <c r="N2971" s="49" t="s">
        <v>4310</v>
      </c>
      <c r="O2971" s="60">
        <v>5041.67</v>
      </c>
      <c r="P2971" s="61">
        <f>134.91-133.9</f>
        <v>1.0099999999999909</v>
      </c>
      <c r="Q2971" s="51">
        <f t="shared" si="93"/>
        <v>5092.09</v>
      </c>
      <c r="R2971" s="154">
        <v>202309</v>
      </c>
      <c r="S2971" s="62" t="s">
        <v>4597</v>
      </c>
      <c r="T2971" s="42" t="s">
        <v>4562</v>
      </c>
      <c r="U2971" s="70"/>
      <c r="V2971" s="42"/>
      <c r="W2971" s="232">
        <v>133.84036254899999</v>
      </c>
      <c r="X2971" s="63">
        <v>135.97</v>
      </c>
      <c r="Y2971" s="72">
        <v>45078</v>
      </c>
      <c r="Z2971" s="72">
        <v>45443</v>
      </c>
      <c r="AA2971" s="37"/>
      <c r="AB2971" s="38"/>
      <c r="AC2971" s="38"/>
      <c r="AD2971" s="38"/>
      <c r="AE2971" s="40"/>
      <c r="AF2971" s="40" t="s">
        <v>503</v>
      </c>
      <c r="AG2971" s="40"/>
      <c r="AH2971" s="42"/>
      <c r="AI2971" s="42"/>
      <c r="AJ2971" s="43"/>
      <c r="AK2971" s="43"/>
      <c r="AL2971" s="43"/>
      <c r="AM2971" s="43"/>
      <c r="AN2971" s="43"/>
      <c r="AO2971" s="42"/>
      <c r="AP2971" s="42"/>
      <c r="AQ2971" s="42"/>
      <c r="AR2971" s="42"/>
      <c r="AS2971" s="42"/>
    </row>
    <row r="2972" spans="1:45" ht="15" customHeight="1">
      <c r="A2972" s="135" t="s">
        <v>260</v>
      </c>
      <c r="B2972" s="136" t="s">
        <v>837</v>
      </c>
      <c r="C2972" s="136" t="s">
        <v>838</v>
      </c>
      <c r="D2972" s="136" t="s">
        <v>48</v>
      </c>
      <c r="E2972" s="198" t="s">
        <v>839</v>
      </c>
      <c r="F2972" s="47" t="s">
        <v>840</v>
      </c>
      <c r="G2972" s="26" t="s">
        <v>165</v>
      </c>
      <c r="H2972" s="26" t="s">
        <v>841</v>
      </c>
      <c r="I2972" s="24" t="s">
        <v>3724</v>
      </c>
      <c r="J2972" s="47" t="s">
        <v>855</v>
      </c>
      <c r="K2972" s="48" t="s">
        <v>856</v>
      </c>
      <c r="L2972" s="260" t="s">
        <v>857</v>
      </c>
      <c r="M2972" s="47" t="s">
        <v>4433</v>
      </c>
      <c r="N2972" s="46" t="s">
        <v>4434</v>
      </c>
      <c r="O2972" s="207">
        <v>9500</v>
      </c>
      <c r="P2972" s="201">
        <f>9.88-9.8</f>
        <v>8.0000000000000071E-2</v>
      </c>
      <c r="Q2972" s="208">
        <f t="shared" si="93"/>
        <v>760</v>
      </c>
      <c r="R2972" s="31">
        <v>202309</v>
      </c>
      <c r="S2972" s="202" t="s">
        <v>4598</v>
      </c>
      <c r="T2972" s="42" t="s">
        <v>4562</v>
      </c>
      <c r="U2972" s="70"/>
      <c r="V2972" s="42"/>
      <c r="W2972" s="232">
        <v>9.7919588090000005</v>
      </c>
      <c r="X2972" s="206">
        <v>9.9633421052631608</v>
      </c>
      <c r="Y2972" s="72"/>
      <c r="Z2972" s="72"/>
      <c r="AA2972" s="37"/>
      <c r="AB2972" s="38"/>
      <c r="AC2972" s="38"/>
      <c r="AD2972" s="38"/>
      <c r="AE2972" s="40"/>
      <c r="AF2972" s="190" t="s">
        <v>503</v>
      </c>
      <c r="AG2972" s="40"/>
      <c r="AH2972" s="42"/>
      <c r="AI2972" s="42"/>
      <c r="AJ2972" s="43"/>
      <c r="AK2972" s="43"/>
      <c r="AL2972" s="43"/>
      <c r="AM2972" s="43"/>
      <c r="AN2972" s="43"/>
      <c r="AO2972" s="42"/>
      <c r="AP2972" s="42"/>
      <c r="AQ2972" s="42"/>
      <c r="AR2972" s="42"/>
      <c r="AS2972" s="42"/>
    </row>
    <row r="2973" spans="1:45" ht="15" customHeight="1">
      <c r="A2973" s="21" t="s">
        <v>260</v>
      </c>
      <c r="B2973" s="21" t="s">
        <v>46</v>
      </c>
      <c r="C2973" s="21" t="s">
        <v>188</v>
      </c>
      <c r="D2973" s="21" t="s">
        <v>48</v>
      </c>
      <c r="E2973" s="80" t="s">
        <v>919</v>
      </c>
      <c r="F2973" s="21" t="s">
        <v>920</v>
      </c>
      <c r="G2973" s="101" t="s">
        <v>77</v>
      </c>
      <c r="H2973" s="25" t="s">
        <v>1114</v>
      </c>
      <c r="I2973" s="102" t="s">
        <v>366</v>
      </c>
      <c r="J2973" s="65" t="s">
        <v>1144</v>
      </c>
      <c r="K2973" s="104"/>
      <c r="L2973" s="48" t="s">
        <v>923</v>
      </c>
      <c r="M2973" s="27"/>
      <c r="N2973" s="105"/>
      <c r="O2973" s="106">
        <v>300</v>
      </c>
      <c r="P2973" s="106">
        <f>645.49-600</f>
        <v>45.490000000000009</v>
      </c>
      <c r="Q2973" s="51">
        <f>185506.05-ROUND(300*600,2)</f>
        <v>5506.0499999999884</v>
      </c>
      <c r="R2973" s="154">
        <v>202309</v>
      </c>
      <c r="S2973" s="107" t="s">
        <v>4599</v>
      </c>
      <c r="T2973" s="42" t="s">
        <v>4562</v>
      </c>
      <c r="U2973" s="70"/>
      <c r="V2973" s="42"/>
      <c r="W2973" s="67"/>
      <c r="X2973" s="67"/>
      <c r="Y2973" s="72">
        <v>44844</v>
      </c>
      <c r="Z2973" s="72">
        <v>47036</v>
      </c>
      <c r="AA2973" s="37"/>
      <c r="AB2973" s="38"/>
      <c r="AC2973" s="38"/>
      <c r="AD2973" s="38"/>
      <c r="AE2973" s="40"/>
      <c r="AF2973" s="53" t="s">
        <v>56</v>
      </c>
      <c r="AG2973" s="40"/>
      <c r="AH2973" s="42"/>
      <c r="AI2973" s="42"/>
      <c r="AJ2973" s="43"/>
      <c r="AK2973" s="43"/>
      <c r="AL2973" s="43"/>
      <c r="AM2973" s="43"/>
      <c r="AN2973" s="43"/>
      <c r="AO2973" s="42"/>
      <c r="AP2973" s="42"/>
      <c r="AQ2973" s="42"/>
      <c r="AR2973" s="42"/>
      <c r="AS2973" s="42"/>
    </row>
    <row r="2974" spans="1:45" ht="15" customHeight="1">
      <c r="A2974" s="20" t="s">
        <v>260</v>
      </c>
      <c r="B2974" s="21" t="s">
        <v>46</v>
      </c>
      <c r="C2974" s="22" t="s">
        <v>188</v>
      </c>
      <c r="D2974" s="21" t="s">
        <v>48</v>
      </c>
      <c r="E2974" s="23" t="s">
        <v>919</v>
      </c>
      <c r="F2974" s="20" t="s">
        <v>953</v>
      </c>
      <c r="G2974" s="20" t="s">
        <v>165</v>
      </c>
      <c r="H2974" s="25" t="s">
        <v>1225</v>
      </c>
      <c r="I2974" s="24" t="s">
        <v>3858</v>
      </c>
      <c r="J2974" s="20" t="s">
        <v>4571</v>
      </c>
      <c r="K2974" s="26" t="s">
        <v>4043</v>
      </c>
      <c r="L2974" s="20"/>
      <c r="M2974" s="156">
        <v>41244</v>
      </c>
      <c r="N2974" s="20" t="s">
        <v>4044</v>
      </c>
      <c r="O2974" s="28" t="s">
        <v>4045</v>
      </c>
      <c r="P2974" s="237">
        <f>102.633-100.534</f>
        <v>2.0989999999999895</v>
      </c>
      <c r="Q2974" s="30">
        <f>ROUND(14000*P2974,2)</f>
        <v>29386</v>
      </c>
      <c r="R2974" s="154">
        <v>202309</v>
      </c>
      <c r="S2974" s="32" t="s">
        <v>4600</v>
      </c>
      <c r="T2974" s="42" t="s">
        <v>4562</v>
      </c>
      <c r="U2974" s="70"/>
      <c r="V2974" s="42"/>
      <c r="W2974" s="226">
        <v>100.533848179</v>
      </c>
      <c r="X2974" s="35">
        <v>104.733</v>
      </c>
      <c r="Y2974" s="72">
        <v>44829</v>
      </c>
      <c r="Z2974" s="72">
        <v>45559</v>
      </c>
      <c r="AA2974" s="37"/>
      <c r="AB2974" s="38"/>
      <c r="AC2974" s="38"/>
      <c r="AD2974" s="38"/>
      <c r="AE2974" s="40"/>
      <c r="AF2974" s="40" t="s">
        <v>56</v>
      </c>
      <c r="AG2974" s="40"/>
      <c r="AH2974" s="42"/>
      <c r="AI2974" s="42"/>
      <c r="AJ2974" s="43"/>
      <c r="AK2974" s="43"/>
      <c r="AL2974" s="43"/>
      <c r="AM2974" s="43"/>
      <c r="AN2974" s="43"/>
      <c r="AO2974" s="42"/>
      <c r="AP2974" s="42"/>
      <c r="AQ2974" s="42"/>
      <c r="AR2974" s="42"/>
      <c r="AS2974" s="42"/>
    </row>
    <row r="2975" spans="1:45" ht="15" customHeight="1">
      <c r="A2975" s="20" t="s">
        <v>260</v>
      </c>
      <c r="B2975" s="21" t="s">
        <v>46</v>
      </c>
      <c r="C2975" s="22" t="s">
        <v>188</v>
      </c>
      <c r="D2975" s="21" t="s">
        <v>48</v>
      </c>
      <c r="E2975" s="23" t="s">
        <v>919</v>
      </c>
      <c r="F2975" s="20" t="s">
        <v>953</v>
      </c>
      <c r="G2975" s="20" t="s">
        <v>165</v>
      </c>
      <c r="H2975" s="25" t="s">
        <v>1225</v>
      </c>
      <c r="I2975" s="24" t="s">
        <v>3858</v>
      </c>
      <c r="J2975" s="20" t="s">
        <v>1226</v>
      </c>
      <c r="K2975" s="26" t="s">
        <v>1227</v>
      </c>
      <c r="L2975" s="20"/>
      <c r="M2975" s="156">
        <v>41244</v>
      </c>
      <c r="N2975" s="20" t="s">
        <v>1542</v>
      </c>
      <c r="O2975" s="28" t="s">
        <v>4045</v>
      </c>
      <c r="P2975" s="237">
        <f>110.182-108.079</f>
        <v>2.1030000000000086</v>
      </c>
      <c r="Q2975" s="30">
        <f>ROUND(14000*P2975,2)</f>
        <v>29442</v>
      </c>
      <c r="R2975" s="154">
        <v>202309</v>
      </c>
      <c r="S2975" s="32" t="s">
        <v>4601</v>
      </c>
      <c r="T2975" s="42" t="s">
        <v>4562</v>
      </c>
      <c r="U2975" s="70"/>
      <c r="V2975" s="42"/>
      <c r="W2975" s="226">
        <v>108.078279075</v>
      </c>
      <c r="X2975" s="242">
        <v>112.285</v>
      </c>
      <c r="Y2975" s="72">
        <v>44829</v>
      </c>
      <c r="Z2975" s="72">
        <v>45559</v>
      </c>
      <c r="AA2975" s="37"/>
      <c r="AB2975" s="38"/>
      <c r="AC2975" s="38"/>
      <c r="AD2975" s="38"/>
      <c r="AE2975" s="40"/>
      <c r="AF2975" s="40" t="s">
        <v>56</v>
      </c>
      <c r="AG2975" s="40"/>
      <c r="AH2975" s="42"/>
      <c r="AI2975" s="42"/>
      <c r="AJ2975" s="43"/>
      <c r="AK2975" s="43"/>
      <c r="AL2975" s="43"/>
      <c r="AM2975" s="43"/>
      <c r="AN2975" s="43"/>
      <c r="AO2975" s="42"/>
      <c r="AP2975" s="42"/>
      <c r="AQ2975" s="42"/>
      <c r="AR2975" s="42"/>
      <c r="AS2975" s="42"/>
    </row>
    <row r="2976" spans="1:45" ht="15" customHeight="1">
      <c r="A2976" s="20" t="s">
        <v>260</v>
      </c>
      <c r="B2976" s="21" t="s">
        <v>46</v>
      </c>
      <c r="C2976" s="22" t="s">
        <v>188</v>
      </c>
      <c r="D2976" s="21" t="s">
        <v>48</v>
      </c>
      <c r="E2976" s="23" t="s">
        <v>919</v>
      </c>
      <c r="F2976" s="20" t="s">
        <v>953</v>
      </c>
      <c r="G2976" s="20" t="s">
        <v>165</v>
      </c>
      <c r="H2976" s="25" t="s">
        <v>1225</v>
      </c>
      <c r="I2976" s="24" t="s">
        <v>3776</v>
      </c>
      <c r="J2976" s="20" t="s">
        <v>4052</v>
      </c>
      <c r="K2976" s="26" t="s">
        <v>4053</v>
      </c>
      <c r="L2976" s="20"/>
      <c r="M2976" s="156">
        <v>42796</v>
      </c>
      <c r="N2976" s="20" t="s">
        <v>3847</v>
      </c>
      <c r="O2976" s="28">
        <v>120000</v>
      </c>
      <c r="P2976" s="237">
        <f>4.209-4.064</f>
        <v>0.14499999999999957</v>
      </c>
      <c r="Q2976" s="30">
        <f>ROUND(O2976*P2976,2)</f>
        <v>17400</v>
      </c>
      <c r="R2976" s="154">
        <v>202309</v>
      </c>
      <c r="S2976" s="32" t="s">
        <v>4602</v>
      </c>
      <c r="T2976" s="42" t="s">
        <v>4562</v>
      </c>
      <c r="U2976" s="70"/>
      <c r="V2976" s="42"/>
      <c r="W2976" s="226">
        <v>4.0634842649999996</v>
      </c>
      <c r="X2976" s="242">
        <v>4.3550000000000004</v>
      </c>
      <c r="Y2976" s="72">
        <v>44829</v>
      </c>
      <c r="Z2976" s="72">
        <v>45559</v>
      </c>
      <c r="AA2976" s="37"/>
      <c r="AB2976" s="38"/>
      <c r="AC2976" s="38"/>
      <c r="AD2976" s="38"/>
      <c r="AE2976" s="40"/>
      <c r="AF2976" s="40" t="s">
        <v>3783</v>
      </c>
      <c r="AG2976" s="40"/>
      <c r="AH2976" s="42"/>
      <c r="AI2976" s="42"/>
      <c r="AJ2976" s="43"/>
      <c r="AK2976" s="43"/>
      <c r="AL2976" s="43"/>
      <c r="AM2976" s="43"/>
      <c r="AN2976" s="43"/>
      <c r="AO2976" s="42"/>
      <c r="AP2976" s="42"/>
      <c r="AQ2976" s="42"/>
      <c r="AR2976" s="42"/>
      <c r="AS2976" s="42"/>
    </row>
    <row r="2977" spans="1:45" ht="15" customHeight="1">
      <c r="A2977" s="20" t="s">
        <v>260</v>
      </c>
      <c r="B2977" s="21" t="s">
        <v>46</v>
      </c>
      <c r="C2977" s="22" t="s">
        <v>188</v>
      </c>
      <c r="D2977" s="21" t="s">
        <v>48</v>
      </c>
      <c r="E2977" s="23" t="s">
        <v>919</v>
      </c>
      <c r="F2977" s="20" t="s">
        <v>920</v>
      </c>
      <c r="G2977" s="20" t="s">
        <v>165</v>
      </c>
      <c r="H2977" s="25" t="s">
        <v>1225</v>
      </c>
      <c r="I2977" s="24" t="s">
        <v>3858</v>
      </c>
      <c r="J2977" s="20" t="s">
        <v>1246</v>
      </c>
      <c r="K2977" s="26" t="s">
        <v>1247</v>
      </c>
      <c r="L2977" s="20"/>
      <c r="M2977" s="156">
        <v>42795</v>
      </c>
      <c r="N2977" s="20" t="s">
        <v>4056</v>
      </c>
      <c r="O2977" s="28" t="s">
        <v>4057</v>
      </c>
      <c r="P2977" s="237">
        <f>30.322-29.992</f>
        <v>0.32999999999999829</v>
      </c>
      <c r="Q2977" s="30">
        <f>ROUND(14000*P2977,2)</f>
        <v>4620</v>
      </c>
      <c r="R2977" s="154">
        <v>202309</v>
      </c>
      <c r="S2977" s="32" t="s">
        <v>4603</v>
      </c>
      <c r="T2977" s="42" t="s">
        <v>4562</v>
      </c>
      <c r="U2977" s="70"/>
      <c r="V2977" s="42"/>
      <c r="W2977" s="282">
        <v>29.991536985</v>
      </c>
      <c r="X2977" s="242">
        <v>30.652000000000001</v>
      </c>
      <c r="Y2977" s="72">
        <v>44829</v>
      </c>
      <c r="Z2977" s="72">
        <v>45559</v>
      </c>
      <c r="AA2977" s="37"/>
      <c r="AB2977" s="38"/>
      <c r="AC2977" s="38"/>
      <c r="AD2977" s="38"/>
      <c r="AE2977" s="40"/>
      <c r="AF2977" s="40" t="s">
        <v>56</v>
      </c>
      <c r="AG2977" s="40"/>
      <c r="AH2977" s="42"/>
      <c r="AI2977" s="42"/>
      <c r="AJ2977" s="43"/>
      <c r="AK2977" s="43"/>
      <c r="AL2977" s="43"/>
      <c r="AM2977" s="43"/>
      <c r="AN2977" s="43"/>
      <c r="AO2977" s="42"/>
      <c r="AP2977" s="42"/>
      <c r="AQ2977" s="42"/>
      <c r="AR2977" s="42"/>
      <c r="AS2977" s="42"/>
    </row>
    <row r="2978" spans="1:45" ht="15" customHeight="1">
      <c r="A2978" s="20" t="s">
        <v>260</v>
      </c>
      <c r="B2978" s="21" t="s">
        <v>46</v>
      </c>
      <c r="C2978" s="22" t="s">
        <v>188</v>
      </c>
      <c r="D2978" s="21" t="s">
        <v>48</v>
      </c>
      <c r="E2978" s="23" t="s">
        <v>919</v>
      </c>
      <c r="F2978" s="20" t="s">
        <v>1202</v>
      </c>
      <c r="G2978" s="20" t="s">
        <v>165</v>
      </c>
      <c r="H2978" s="25" t="s">
        <v>4604</v>
      </c>
      <c r="I2978" s="24" t="s">
        <v>3858</v>
      </c>
      <c r="J2978" s="20" t="s">
        <v>4060</v>
      </c>
      <c r="K2978" s="26" t="s">
        <v>4061</v>
      </c>
      <c r="L2978" s="20"/>
      <c r="M2978" s="156" t="s">
        <v>4062</v>
      </c>
      <c r="N2978" s="20" t="s">
        <v>4063</v>
      </c>
      <c r="O2978" s="28">
        <v>9500</v>
      </c>
      <c r="P2978" s="29">
        <f>142.73-141.1</f>
        <v>1.6299999999999955</v>
      </c>
      <c r="Q2978" s="30">
        <f t="shared" ref="Q2978:Q2995" si="94">ROUND(O2978*P2978,2)</f>
        <v>15485</v>
      </c>
      <c r="R2978" s="154">
        <v>202309</v>
      </c>
      <c r="S2978" s="32" t="s">
        <v>4605</v>
      </c>
      <c r="T2978" s="42" t="s">
        <v>4562</v>
      </c>
      <c r="U2978" s="70"/>
      <c r="V2978" s="42"/>
      <c r="W2978" s="232">
        <v>141.06211798199999</v>
      </c>
      <c r="X2978" s="35">
        <v>144.4</v>
      </c>
      <c r="Y2978" s="72">
        <v>45017</v>
      </c>
      <c r="Z2978" s="72">
        <v>45199</v>
      </c>
      <c r="AA2978" s="37"/>
      <c r="AB2978" s="38"/>
      <c r="AC2978" s="38"/>
      <c r="AD2978" s="38"/>
      <c r="AE2978" s="40"/>
      <c r="AF2978" s="40" t="s">
        <v>56</v>
      </c>
      <c r="AG2978" s="40"/>
      <c r="AH2978" s="42"/>
      <c r="AI2978" s="42"/>
      <c r="AJ2978" s="43"/>
      <c r="AK2978" s="43"/>
      <c r="AL2978" s="43"/>
      <c r="AM2978" s="43"/>
      <c r="AN2978" s="43"/>
      <c r="AO2978" s="42"/>
      <c r="AP2978" s="42"/>
      <c r="AQ2978" s="42"/>
      <c r="AR2978" s="42"/>
      <c r="AS2978" s="42"/>
    </row>
    <row r="2979" spans="1:45" ht="15" customHeight="1">
      <c r="A2979" s="56" t="s">
        <v>260</v>
      </c>
      <c r="B2979" s="21" t="s">
        <v>46</v>
      </c>
      <c r="C2979" s="57" t="s">
        <v>814</v>
      </c>
      <c r="D2979" s="22" t="s">
        <v>48</v>
      </c>
      <c r="E2979" s="58" t="s">
        <v>1488</v>
      </c>
      <c r="F2979" s="56" t="s">
        <v>1489</v>
      </c>
      <c r="G2979" s="26" t="s">
        <v>77</v>
      </c>
      <c r="H2979" s="25" t="s">
        <v>1495</v>
      </c>
      <c r="I2979" s="26" t="s">
        <v>479</v>
      </c>
      <c r="J2979" s="56" t="s">
        <v>1499</v>
      </c>
      <c r="K2979" s="59" t="s">
        <v>1499</v>
      </c>
      <c r="L2979" s="48" t="s">
        <v>1512</v>
      </c>
      <c r="M2979" s="49">
        <v>45184</v>
      </c>
      <c r="N2979" s="49" t="s">
        <v>1310</v>
      </c>
      <c r="O2979" s="60">
        <v>4700</v>
      </c>
      <c r="P2979" s="61">
        <v>3</v>
      </c>
      <c r="Q2979" s="51">
        <f>ROUND(O2979*P2979*15/30,2)</f>
        <v>7050</v>
      </c>
      <c r="R2979" s="154">
        <v>202309</v>
      </c>
      <c r="S2979" s="32" t="s">
        <v>4606</v>
      </c>
      <c r="T2979" s="42" t="s">
        <v>4562</v>
      </c>
      <c r="U2979" s="70"/>
      <c r="V2979" s="42"/>
      <c r="W2979" s="63"/>
      <c r="X2979" s="63"/>
      <c r="Y2979" s="72">
        <v>45017</v>
      </c>
      <c r="Z2979" s="72">
        <v>45382</v>
      </c>
      <c r="AA2979" s="37"/>
      <c r="AB2979" s="38"/>
      <c r="AC2979" s="38"/>
      <c r="AD2979" s="38"/>
      <c r="AE2979" s="40"/>
      <c r="AF2979" s="40" t="s">
        <v>484</v>
      </c>
      <c r="AG2979" s="40"/>
      <c r="AH2979" s="42"/>
      <c r="AI2979" s="42"/>
      <c r="AJ2979" s="43"/>
      <c r="AK2979" s="43"/>
      <c r="AL2979" s="43"/>
      <c r="AM2979" s="43"/>
      <c r="AN2979" s="43"/>
      <c r="AO2979" s="42"/>
      <c r="AP2979" s="42"/>
      <c r="AQ2979" s="42"/>
      <c r="AR2979" s="42"/>
      <c r="AS2979" s="42"/>
    </row>
    <row r="2980" spans="1:45" ht="15" customHeight="1">
      <c r="A2980" s="20" t="s">
        <v>260</v>
      </c>
      <c r="B2980" s="21" t="s">
        <v>46</v>
      </c>
      <c r="C2980" s="22" t="s">
        <v>47</v>
      </c>
      <c r="D2980" s="22" t="s">
        <v>48</v>
      </c>
      <c r="E2980" s="23" t="s">
        <v>1594</v>
      </c>
      <c r="F2980" s="22" t="s">
        <v>1595</v>
      </c>
      <c r="G2980" s="20" t="s">
        <v>165</v>
      </c>
      <c r="H2980" s="25" t="s">
        <v>1611</v>
      </c>
      <c r="I2980" s="24" t="s">
        <v>3724</v>
      </c>
      <c r="J2980" s="20" t="s">
        <v>4102</v>
      </c>
      <c r="K2980" s="26" t="s">
        <v>1619</v>
      </c>
      <c r="L2980" s="20"/>
      <c r="M2980" s="156" t="s">
        <v>4103</v>
      </c>
      <c r="N2980" s="20" t="s">
        <v>4104</v>
      </c>
      <c r="O2980" s="28">
        <v>11500</v>
      </c>
      <c r="P2980" s="29">
        <f>10-9.8</f>
        <v>0.19999999999999929</v>
      </c>
      <c r="Q2980" s="30">
        <f t="shared" si="94"/>
        <v>2300</v>
      </c>
      <c r="R2980" s="154">
        <v>202309</v>
      </c>
      <c r="S2980" s="32" t="s">
        <v>4607</v>
      </c>
      <c r="T2980" s="42" t="s">
        <v>4562</v>
      </c>
      <c r="U2980" s="70"/>
      <c r="V2980" s="42"/>
      <c r="W2980" s="232">
        <v>9.7213580129999997</v>
      </c>
      <c r="X2980" s="35">
        <v>10</v>
      </c>
      <c r="Y2980" s="72"/>
      <c r="Z2980" s="72"/>
      <c r="AA2980" s="37"/>
      <c r="AB2980" s="38"/>
      <c r="AC2980" s="38"/>
      <c r="AD2980" s="38"/>
      <c r="AE2980" s="40"/>
      <c r="AF2980" s="40" t="s">
        <v>503</v>
      </c>
      <c r="AG2980" s="40"/>
      <c r="AH2980" s="42"/>
      <c r="AI2980" s="42"/>
      <c r="AJ2980" s="43"/>
      <c r="AK2980" s="43"/>
      <c r="AL2980" s="43"/>
      <c r="AM2980" s="43"/>
      <c r="AN2980" s="43"/>
      <c r="AO2980" s="42"/>
      <c r="AP2980" s="42"/>
      <c r="AQ2980" s="42"/>
      <c r="AR2980" s="42"/>
      <c r="AS2980" s="42"/>
    </row>
    <row r="2981" spans="1:45" ht="15" customHeight="1">
      <c r="A2981" s="135" t="s">
        <v>258</v>
      </c>
      <c r="B2981" s="136" t="s">
        <v>837</v>
      </c>
      <c r="C2981" s="136" t="s">
        <v>838</v>
      </c>
      <c r="D2981" s="136" t="s">
        <v>48</v>
      </c>
      <c r="E2981" s="137" t="s">
        <v>2024</v>
      </c>
      <c r="F2981" s="47" t="s">
        <v>2025</v>
      </c>
      <c r="G2981" s="26" t="s">
        <v>165</v>
      </c>
      <c r="H2981" s="26" t="s">
        <v>2026</v>
      </c>
      <c r="I2981" s="24" t="s">
        <v>3724</v>
      </c>
      <c r="J2981" s="47" t="s">
        <v>865</v>
      </c>
      <c r="K2981" s="48" t="s">
        <v>2027</v>
      </c>
      <c r="L2981" s="260" t="s">
        <v>2032</v>
      </c>
      <c r="M2981" s="47" t="s">
        <v>4437</v>
      </c>
      <c r="N2981" s="46" t="s">
        <v>4438</v>
      </c>
      <c r="O2981" s="139">
        <v>9000</v>
      </c>
      <c r="P2981" s="283">
        <f>6.835-6.7</f>
        <v>0.13499999999999979</v>
      </c>
      <c r="Q2981" s="208">
        <f t="shared" si="94"/>
        <v>1215</v>
      </c>
      <c r="R2981" s="31">
        <v>202309</v>
      </c>
      <c r="S2981" s="202" t="s">
        <v>4608</v>
      </c>
      <c r="T2981" s="42" t="s">
        <v>4562</v>
      </c>
      <c r="U2981" s="70"/>
      <c r="V2981" s="42"/>
      <c r="W2981" s="232">
        <v>6.6719027039999999</v>
      </c>
      <c r="X2981" s="252">
        <v>7</v>
      </c>
      <c r="Y2981" s="72">
        <v>43915</v>
      </c>
      <c r="Z2981" s="72">
        <v>45382</v>
      </c>
      <c r="AA2981" s="37"/>
      <c r="AB2981" s="38"/>
      <c r="AC2981" s="38"/>
      <c r="AD2981" s="38"/>
      <c r="AE2981" s="40"/>
      <c r="AF2981" s="190" t="s">
        <v>503</v>
      </c>
      <c r="AG2981" s="40"/>
      <c r="AH2981" s="42"/>
      <c r="AI2981" s="42"/>
      <c r="AJ2981" s="43"/>
      <c r="AK2981" s="43"/>
      <c r="AL2981" s="43"/>
      <c r="AM2981" s="43"/>
      <c r="AN2981" s="43"/>
      <c r="AO2981" s="42"/>
      <c r="AP2981" s="42"/>
      <c r="AQ2981" s="42"/>
      <c r="AR2981" s="42"/>
      <c r="AS2981" s="42"/>
    </row>
    <row r="2982" spans="1:45" ht="15" customHeight="1">
      <c r="A2982" s="20" t="s">
        <v>258</v>
      </c>
      <c r="B2982" s="21" t="s">
        <v>46</v>
      </c>
      <c r="C2982" s="22" t="s">
        <v>887</v>
      </c>
      <c r="D2982" s="21" t="s">
        <v>888</v>
      </c>
      <c r="E2982" s="23" t="s">
        <v>2183</v>
      </c>
      <c r="F2982" s="20" t="s">
        <v>2184</v>
      </c>
      <c r="G2982" s="20" t="s">
        <v>165</v>
      </c>
      <c r="H2982" s="25" t="s">
        <v>2265</v>
      </c>
      <c r="I2982" s="24" t="s">
        <v>3724</v>
      </c>
      <c r="J2982" s="20" t="s">
        <v>4153</v>
      </c>
      <c r="K2982" s="26" t="s">
        <v>2285</v>
      </c>
      <c r="L2982" s="20"/>
      <c r="M2982" s="156" t="s">
        <v>4154</v>
      </c>
      <c r="N2982" s="20" t="s">
        <v>4155</v>
      </c>
      <c r="O2982" s="28">
        <v>9000</v>
      </c>
      <c r="P2982" s="237">
        <f>49.829-48.876</f>
        <v>0.95300000000000296</v>
      </c>
      <c r="Q2982" s="30">
        <f t="shared" si="94"/>
        <v>8577</v>
      </c>
      <c r="R2982" s="154">
        <v>202309</v>
      </c>
      <c r="S2982" s="202" t="s">
        <v>4609</v>
      </c>
      <c r="T2982" s="42" t="s">
        <v>4562</v>
      </c>
      <c r="U2982" s="70"/>
      <c r="V2982" s="42"/>
      <c r="W2982" s="241">
        <v>48.875372847999998</v>
      </c>
      <c r="X2982" s="242">
        <v>49.829000000000001</v>
      </c>
      <c r="Y2982" s="72">
        <v>45017</v>
      </c>
      <c r="Z2982" s="72">
        <v>45382</v>
      </c>
      <c r="AA2982" s="37"/>
      <c r="AB2982" s="38"/>
      <c r="AC2982" s="38"/>
      <c r="AD2982" s="38"/>
      <c r="AE2982" s="40"/>
      <c r="AF2982" s="40" t="s">
        <v>503</v>
      </c>
      <c r="AG2982" s="40"/>
      <c r="AH2982" s="42"/>
      <c r="AI2982" s="42"/>
      <c r="AJ2982" s="43"/>
      <c r="AK2982" s="43"/>
      <c r="AL2982" s="43"/>
      <c r="AM2982" s="43"/>
      <c r="AN2982" s="43"/>
      <c r="AO2982" s="42"/>
      <c r="AP2982" s="42"/>
      <c r="AQ2982" s="42"/>
      <c r="AR2982" s="42"/>
      <c r="AS2982" s="42"/>
    </row>
    <row r="2983" spans="1:45" ht="15" customHeight="1">
      <c r="A2983" s="20" t="s">
        <v>258</v>
      </c>
      <c r="B2983" s="21" t="s">
        <v>46</v>
      </c>
      <c r="C2983" s="22" t="s">
        <v>887</v>
      </c>
      <c r="D2983" s="21" t="s">
        <v>888</v>
      </c>
      <c r="E2983" s="23" t="s">
        <v>2183</v>
      </c>
      <c r="F2983" s="20" t="s">
        <v>2184</v>
      </c>
      <c r="G2983" s="20" t="s">
        <v>165</v>
      </c>
      <c r="H2983" s="25" t="s">
        <v>2265</v>
      </c>
      <c r="I2983" s="24" t="s">
        <v>3724</v>
      </c>
      <c r="J2983" s="20" t="s">
        <v>4164</v>
      </c>
      <c r="K2983" s="26" t="s">
        <v>2184</v>
      </c>
      <c r="L2983" s="20"/>
      <c r="M2983" s="156">
        <v>44774</v>
      </c>
      <c r="N2983" s="20" t="s">
        <v>3874</v>
      </c>
      <c r="O2983" s="28">
        <v>9000</v>
      </c>
      <c r="P2983" s="237">
        <f>71.627-70.334</f>
        <v>1.2929999999999922</v>
      </c>
      <c r="Q2983" s="30">
        <f t="shared" si="94"/>
        <v>11637</v>
      </c>
      <c r="R2983" s="154">
        <v>202309</v>
      </c>
      <c r="S2983" s="32" t="s">
        <v>4610</v>
      </c>
      <c r="T2983" s="42" t="s">
        <v>4562</v>
      </c>
      <c r="U2983" s="70"/>
      <c r="V2983" s="42"/>
      <c r="W2983" s="241">
        <v>70.333460235000004</v>
      </c>
      <c r="X2983" s="242">
        <v>71.626999999999995</v>
      </c>
      <c r="Y2983" s="72">
        <v>45017</v>
      </c>
      <c r="Z2983" s="72">
        <v>45382</v>
      </c>
      <c r="AA2983" s="37"/>
      <c r="AB2983" s="38"/>
      <c r="AC2983" s="38"/>
      <c r="AD2983" s="38"/>
      <c r="AE2983" s="40"/>
      <c r="AF2983" s="40" t="s">
        <v>503</v>
      </c>
      <c r="AG2983" s="40"/>
      <c r="AH2983" s="42"/>
      <c r="AI2983" s="42"/>
      <c r="AJ2983" s="43"/>
      <c r="AK2983" s="43"/>
      <c r="AL2983" s="43"/>
      <c r="AM2983" s="43"/>
      <c r="AN2983" s="43"/>
      <c r="AO2983" s="42"/>
      <c r="AP2983" s="42"/>
      <c r="AQ2983" s="42"/>
      <c r="AR2983" s="42"/>
      <c r="AS2983" s="42"/>
    </row>
    <row r="2984" spans="1:45" ht="15" customHeight="1">
      <c r="A2984" s="20" t="s">
        <v>258</v>
      </c>
      <c r="B2984" s="21" t="s">
        <v>46</v>
      </c>
      <c r="C2984" s="22" t="s">
        <v>887</v>
      </c>
      <c r="D2984" s="21" t="s">
        <v>888</v>
      </c>
      <c r="E2984" s="23" t="s">
        <v>2405</v>
      </c>
      <c r="F2984" s="20" t="s">
        <v>2406</v>
      </c>
      <c r="G2984" s="20" t="s">
        <v>165</v>
      </c>
      <c r="H2984" s="25" t="s">
        <v>2407</v>
      </c>
      <c r="I2984" s="24" t="s">
        <v>3724</v>
      </c>
      <c r="J2984" s="20" t="s">
        <v>4199</v>
      </c>
      <c r="K2984" s="26" t="s">
        <v>2406</v>
      </c>
      <c r="L2984" s="20"/>
      <c r="M2984" s="156" t="s">
        <v>4200</v>
      </c>
      <c r="N2984" s="20" t="s">
        <v>4611</v>
      </c>
      <c r="O2984" s="28">
        <v>9000</v>
      </c>
      <c r="P2984" s="29">
        <f>19.5-19.2</f>
        <v>0.30000000000000071</v>
      </c>
      <c r="Q2984" s="30">
        <f t="shared" si="94"/>
        <v>2700</v>
      </c>
      <c r="R2984" s="154">
        <v>202309</v>
      </c>
      <c r="S2984" s="32" t="s">
        <v>4612</v>
      </c>
      <c r="T2984" s="42" t="s">
        <v>4562</v>
      </c>
      <c r="U2984" s="70"/>
      <c r="V2984" s="42"/>
      <c r="W2984" s="238">
        <v>19.144002647000001</v>
      </c>
      <c r="X2984" s="29">
        <v>19.5</v>
      </c>
      <c r="Y2984" s="72"/>
      <c r="Z2984" s="72"/>
      <c r="AA2984" s="37"/>
      <c r="AB2984" s="38"/>
      <c r="AC2984" s="38"/>
      <c r="AD2984" s="38"/>
      <c r="AE2984" s="40"/>
      <c r="AF2984" s="40" t="s">
        <v>503</v>
      </c>
      <c r="AG2984" s="40"/>
      <c r="AH2984" s="42"/>
      <c r="AI2984" s="42"/>
      <c r="AJ2984" s="43"/>
      <c r="AK2984" s="43"/>
      <c r="AL2984" s="43"/>
      <c r="AM2984" s="43"/>
      <c r="AN2984" s="43"/>
      <c r="AO2984" s="42"/>
      <c r="AP2984" s="42"/>
      <c r="AQ2984" s="42"/>
      <c r="AR2984" s="42"/>
      <c r="AS2984" s="42"/>
    </row>
    <row r="2985" spans="1:45" ht="15" customHeight="1">
      <c r="A2985" s="20" t="s">
        <v>45</v>
      </c>
      <c r="B2985" s="21" t="s">
        <v>46</v>
      </c>
      <c r="C2985" s="22" t="s">
        <v>188</v>
      </c>
      <c r="D2985" s="21" t="s">
        <v>48</v>
      </c>
      <c r="E2985" s="23" t="s">
        <v>2505</v>
      </c>
      <c r="F2985" s="20" t="s">
        <v>2512</v>
      </c>
      <c r="G2985" s="20" t="s">
        <v>165</v>
      </c>
      <c r="H2985" s="25" t="s">
        <v>2513</v>
      </c>
      <c r="I2985" s="24" t="s">
        <v>3858</v>
      </c>
      <c r="J2985" s="20" t="s">
        <v>4222</v>
      </c>
      <c r="K2985" s="26" t="s">
        <v>4223</v>
      </c>
      <c r="L2985" s="20"/>
      <c r="M2985" s="156" t="s">
        <v>4224</v>
      </c>
      <c r="N2985" s="20" t="s">
        <v>4225</v>
      </c>
      <c r="O2985" s="28">
        <v>6740</v>
      </c>
      <c r="P2985" s="193">
        <f>178.53-175.47</f>
        <v>3.0600000000000023</v>
      </c>
      <c r="Q2985" s="30">
        <f t="shared" si="94"/>
        <v>20624.400000000001</v>
      </c>
      <c r="R2985" s="154">
        <v>202309</v>
      </c>
      <c r="S2985" s="32" t="s">
        <v>4613</v>
      </c>
      <c r="T2985" s="42" t="s">
        <v>4562</v>
      </c>
      <c r="U2985" s="70"/>
      <c r="V2985" s="42"/>
      <c r="W2985" s="232">
        <v>175.46675080899001</v>
      </c>
      <c r="X2985" s="35">
        <v>181.59</v>
      </c>
      <c r="Y2985" s="72"/>
      <c r="Z2985" s="72"/>
      <c r="AA2985" s="37"/>
      <c r="AB2985" s="38"/>
      <c r="AC2985" s="38"/>
      <c r="AD2985" s="38"/>
      <c r="AE2985" s="40"/>
      <c r="AF2985" s="40" t="s">
        <v>56</v>
      </c>
      <c r="AG2985" s="40"/>
      <c r="AH2985" s="42"/>
      <c r="AI2985" s="42"/>
      <c r="AJ2985" s="43"/>
      <c r="AK2985" s="43"/>
      <c r="AL2985" s="43"/>
      <c r="AM2985" s="43"/>
      <c r="AN2985" s="43"/>
      <c r="AO2985" s="42"/>
      <c r="AP2985" s="42"/>
      <c r="AQ2985" s="42"/>
      <c r="AR2985" s="42"/>
      <c r="AS2985" s="42"/>
    </row>
    <row r="2986" spans="1:45" ht="15" customHeight="1">
      <c r="A2986" s="20" t="s">
        <v>45</v>
      </c>
      <c r="B2986" s="21" t="s">
        <v>46</v>
      </c>
      <c r="C2986" s="22" t="s">
        <v>188</v>
      </c>
      <c r="D2986" s="22" t="s">
        <v>48</v>
      </c>
      <c r="E2986" s="23" t="s">
        <v>2681</v>
      </c>
      <c r="F2986" s="20" t="s">
        <v>2682</v>
      </c>
      <c r="G2986" s="20" t="s">
        <v>165</v>
      </c>
      <c r="H2986" s="25" t="s">
        <v>2687</v>
      </c>
      <c r="I2986" s="24" t="s">
        <v>3724</v>
      </c>
      <c r="J2986" s="20" t="s">
        <v>4252</v>
      </c>
      <c r="K2986" s="26" t="s">
        <v>2682</v>
      </c>
      <c r="L2986" s="20"/>
      <c r="M2986" s="156" t="s">
        <v>4253</v>
      </c>
      <c r="N2986" s="20" t="s">
        <v>4254</v>
      </c>
      <c r="O2986" s="28">
        <v>6740</v>
      </c>
      <c r="P2986" s="29">
        <f>97.81-96.91</f>
        <v>0.90000000000000568</v>
      </c>
      <c r="Q2986" s="30">
        <f t="shared" si="94"/>
        <v>6066</v>
      </c>
      <c r="R2986" s="154">
        <v>202309</v>
      </c>
      <c r="S2986" s="32" t="s">
        <v>4614</v>
      </c>
      <c r="T2986" s="42" t="s">
        <v>4562</v>
      </c>
      <c r="U2986" s="70"/>
      <c r="V2986" s="42"/>
      <c r="W2986" s="232">
        <v>96.906582064000006</v>
      </c>
      <c r="X2986" s="35">
        <v>98.71</v>
      </c>
      <c r="Y2986" s="72"/>
      <c r="Z2986" s="72"/>
      <c r="AA2986" s="37"/>
      <c r="AB2986" s="38"/>
      <c r="AC2986" s="38"/>
      <c r="AD2986" s="38"/>
      <c r="AE2986" s="40"/>
      <c r="AF2986" s="40" t="s">
        <v>484</v>
      </c>
      <c r="AG2986" s="40"/>
      <c r="AH2986" s="42"/>
      <c r="AI2986" s="42"/>
      <c r="AJ2986" s="43"/>
      <c r="AK2986" s="43"/>
      <c r="AL2986" s="43"/>
      <c r="AM2986" s="43"/>
      <c r="AN2986" s="43"/>
      <c r="AO2986" s="42"/>
      <c r="AP2986" s="42"/>
      <c r="AQ2986" s="42"/>
      <c r="AR2986" s="42"/>
      <c r="AS2986" s="42"/>
    </row>
    <row r="2987" spans="1:45" ht="15" customHeight="1">
      <c r="A2987" s="20" t="s">
        <v>45</v>
      </c>
      <c r="B2987" s="21" t="s">
        <v>46</v>
      </c>
      <c r="C2987" s="22" t="s">
        <v>188</v>
      </c>
      <c r="D2987" s="22" t="s">
        <v>48</v>
      </c>
      <c r="E2987" s="23" t="s">
        <v>2681</v>
      </c>
      <c r="F2987" s="20" t="s">
        <v>2682</v>
      </c>
      <c r="G2987" s="20" t="s">
        <v>165</v>
      </c>
      <c r="H2987" s="25" t="s">
        <v>2683</v>
      </c>
      <c r="I2987" s="24" t="s">
        <v>3724</v>
      </c>
      <c r="J2987" s="20" t="s">
        <v>4252</v>
      </c>
      <c r="K2987" s="26" t="s">
        <v>2684</v>
      </c>
      <c r="L2987" s="20" t="s">
        <v>2688</v>
      </c>
      <c r="M2987" s="156">
        <v>44835</v>
      </c>
      <c r="N2987" s="20" t="s">
        <v>4123</v>
      </c>
      <c r="O2987" s="28">
        <v>6740</v>
      </c>
      <c r="P2987" s="29">
        <f>137.07-120.03</f>
        <v>17.039999999999992</v>
      </c>
      <c r="Q2987" s="30">
        <f t="shared" si="94"/>
        <v>114849.60000000001</v>
      </c>
      <c r="R2987" s="154">
        <v>202309</v>
      </c>
      <c r="S2987" s="32" t="s">
        <v>4615</v>
      </c>
      <c r="T2987" s="42" t="s">
        <v>4562</v>
      </c>
      <c r="U2987" s="70"/>
      <c r="V2987" s="42"/>
      <c r="W2987" s="232">
        <f>40.03+80</f>
        <v>120.03</v>
      </c>
      <c r="X2987" s="35">
        <v>137.07</v>
      </c>
      <c r="Y2987" s="72"/>
      <c r="Z2987" s="72"/>
      <c r="AA2987" s="37"/>
      <c r="AB2987" s="38"/>
      <c r="AC2987" s="38"/>
      <c r="AD2987" s="38"/>
      <c r="AE2987" s="40"/>
      <c r="AF2987" s="40" t="s">
        <v>484</v>
      </c>
      <c r="AG2987" s="40"/>
      <c r="AH2987" s="42"/>
      <c r="AI2987" s="42"/>
      <c r="AJ2987" s="43"/>
      <c r="AK2987" s="43"/>
      <c r="AL2987" s="43"/>
      <c r="AM2987" s="43"/>
      <c r="AN2987" s="43"/>
      <c r="AO2987" s="42"/>
      <c r="AP2987" s="42"/>
      <c r="AQ2987" s="42"/>
      <c r="AR2987" s="42"/>
      <c r="AS2987" s="42"/>
    </row>
    <row r="2988" spans="1:45" ht="15" customHeight="1">
      <c r="A2988" s="20" t="s">
        <v>45</v>
      </c>
      <c r="B2988" s="21" t="s">
        <v>46</v>
      </c>
      <c r="C2988" s="22" t="s">
        <v>887</v>
      </c>
      <c r="D2988" s="21" t="s">
        <v>888</v>
      </c>
      <c r="E2988" s="23" t="s">
        <v>2741</v>
      </c>
      <c r="F2988" s="20" t="s">
        <v>2742</v>
      </c>
      <c r="G2988" s="20" t="s">
        <v>165</v>
      </c>
      <c r="H2988" s="25" t="s">
        <v>2743</v>
      </c>
      <c r="I2988" s="24" t="s">
        <v>3724</v>
      </c>
      <c r="J2988" s="20" t="s">
        <v>4269</v>
      </c>
      <c r="K2988" s="26" t="s">
        <v>2754</v>
      </c>
      <c r="L2988" s="20"/>
      <c r="M2988" s="156" t="s">
        <v>4270</v>
      </c>
      <c r="N2988" s="20" t="s">
        <v>4271</v>
      </c>
      <c r="O2988" s="28">
        <v>6740</v>
      </c>
      <c r="P2988" s="193">
        <f>205.085-203.86</f>
        <v>1.2249999999999943</v>
      </c>
      <c r="Q2988" s="30">
        <f t="shared" si="94"/>
        <v>8256.5</v>
      </c>
      <c r="R2988" s="154">
        <v>202309</v>
      </c>
      <c r="S2988" s="32" t="s">
        <v>4616</v>
      </c>
      <c r="T2988" s="42" t="s">
        <v>4562</v>
      </c>
      <c r="U2988" s="70"/>
      <c r="V2988" s="42"/>
      <c r="W2988" s="238">
        <v>203.85841369600001</v>
      </c>
      <c r="X2988" s="35">
        <v>206.31</v>
      </c>
      <c r="Y2988" s="72"/>
      <c r="Z2988" s="72"/>
      <c r="AA2988" s="37"/>
      <c r="AB2988" s="38"/>
      <c r="AC2988" s="38"/>
      <c r="AD2988" s="38"/>
      <c r="AE2988" s="40"/>
      <c r="AF2988" s="40" t="s">
        <v>503</v>
      </c>
      <c r="AG2988" s="40"/>
      <c r="AH2988" s="42"/>
      <c r="AI2988" s="42"/>
      <c r="AJ2988" s="43"/>
      <c r="AK2988" s="43"/>
      <c r="AL2988" s="43"/>
      <c r="AM2988" s="43"/>
      <c r="AN2988" s="43"/>
      <c r="AO2988" s="42"/>
      <c r="AP2988" s="42"/>
      <c r="AQ2988" s="42"/>
      <c r="AR2988" s="42"/>
      <c r="AS2988" s="42"/>
    </row>
    <row r="2989" spans="1:45" ht="15" customHeight="1">
      <c r="A2989" s="21" t="s">
        <v>45</v>
      </c>
      <c r="B2989" s="22" t="s">
        <v>46</v>
      </c>
      <c r="C2989" s="21" t="s">
        <v>887</v>
      </c>
      <c r="D2989" s="21" t="s">
        <v>888</v>
      </c>
      <c r="E2989" s="80" t="s">
        <v>2818</v>
      </c>
      <c r="F2989" s="21" t="s">
        <v>2819</v>
      </c>
      <c r="G2989" s="101" t="s">
        <v>165</v>
      </c>
      <c r="H2989" s="25" t="s">
        <v>2820</v>
      </c>
      <c r="I2989" s="65" t="s">
        <v>3724</v>
      </c>
      <c r="J2989" s="65" t="s">
        <v>2821</v>
      </c>
      <c r="K2989" s="26" t="s">
        <v>2822</v>
      </c>
      <c r="L2989" s="48" t="s">
        <v>2823</v>
      </c>
      <c r="M2989" s="27">
        <v>45022</v>
      </c>
      <c r="N2989" s="105" t="s">
        <v>1542</v>
      </c>
      <c r="O2989" s="106">
        <v>6740</v>
      </c>
      <c r="P2989" s="106">
        <f>83.3-82.62</f>
        <v>0.67999999999999261</v>
      </c>
      <c r="Q2989" s="51">
        <f t="shared" si="94"/>
        <v>4583.2</v>
      </c>
      <c r="R2989" s="154">
        <v>202309</v>
      </c>
      <c r="S2989" s="54" t="s">
        <v>4617</v>
      </c>
      <c r="T2989" s="42" t="s">
        <v>4562</v>
      </c>
      <c r="U2989" s="70"/>
      <c r="V2989" s="42"/>
      <c r="W2989" s="238">
        <v>82.619171143000003</v>
      </c>
      <c r="X2989" s="52">
        <v>83.98</v>
      </c>
      <c r="Y2989" s="72"/>
      <c r="Z2989" s="72"/>
      <c r="AA2989" s="37"/>
      <c r="AB2989" s="38"/>
      <c r="AC2989" s="38"/>
      <c r="AD2989" s="38"/>
      <c r="AE2989" s="40"/>
      <c r="AF2989" s="53" t="s">
        <v>503</v>
      </c>
      <c r="AG2989" s="40"/>
      <c r="AH2989" s="42"/>
      <c r="AI2989" s="42"/>
      <c r="AJ2989" s="43"/>
      <c r="AK2989" s="43"/>
      <c r="AL2989" s="43"/>
      <c r="AM2989" s="43"/>
      <c r="AN2989" s="43"/>
      <c r="AO2989" s="42"/>
      <c r="AP2989" s="42"/>
      <c r="AQ2989" s="42"/>
      <c r="AR2989" s="42"/>
      <c r="AS2989" s="42"/>
    </row>
    <row r="2990" spans="1:45" ht="15" customHeight="1">
      <c r="A2990" s="56" t="s">
        <v>45</v>
      </c>
      <c r="B2990" s="21" t="s">
        <v>46</v>
      </c>
      <c r="C2990" s="57" t="s">
        <v>814</v>
      </c>
      <c r="D2990" s="22" t="s">
        <v>48</v>
      </c>
      <c r="E2990" s="58" t="s">
        <v>2841</v>
      </c>
      <c r="F2990" s="56" t="s">
        <v>2837</v>
      </c>
      <c r="G2990" s="26" t="s">
        <v>165</v>
      </c>
      <c r="H2990" s="25" t="s">
        <v>2838</v>
      </c>
      <c r="I2990" s="24" t="s">
        <v>3724</v>
      </c>
      <c r="J2990" s="59" t="s">
        <v>2855</v>
      </c>
      <c r="K2990" s="59" t="s">
        <v>2855</v>
      </c>
      <c r="L2990" s="48" t="s">
        <v>2856</v>
      </c>
      <c r="M2990" s="49" t="s">
        <v>4618</v>
      </c>
      <c r="N2990" s="49" t="s">
        <v>4619</v>
      </c>
      <c r="O2990" s="60">
        <v>6740</v>
      </c>
      <c r="P2990" s="61">
        <f>221.72-221.51</f>
        <v>0.21000000000000796</v>
      </c>
      <c r="Q2990" s="51">
        <f t="shared" si="94"/>
        <v>1415.4</v>
      </c>
      <c r="R2990" s="154">
        <v>202309</v>
      </c>
      <c r="S2990" s="62" t="s">
        <v>4620</v>
      </c>
      <c r="T2990" s="42" t="s">
        <v>4562</v>
      </c>
      <c r="U2990" s="70"/>
      <c r="V2990" s="42"/>
      <c r="W2990" s="232">
        <v>221.508132636</v>
      </c>
      <c r="X2990" s="63">
        <v>222.22</v>
      </c>
      <c r="Y2990" s="72"/>
      <c r="Z2990" s="72"/>
      <c r="AA2990" s="37"/>
      <c r="AB2990" s="38"/>
      <c r="AC2990" s="38"/>
      <c r="AD2990" s="38"/>
      <c r="AE2990" s="40"/>
      <c r="AF2990" s="40" t="s">
        <v>484</v>
      </c>
      <c r="AG2990" s="40"/>
      <c r="AH2990" s="42"/>
      <c r="AI2990" s="42"/>
      <c r="AJ2990" s="43"/>
      <c r="AK2990" s="43"/>
      <c r="AL2990" s="43"/>
      <c r="AM2990" s="43"/>
      <c r="AN2990" s="43"/>
      <c r="AO2990" s="42"/>
      <c r="AP2990" s="42"/>
      <c r="AQ2990" s="42"/>
      <c r="AR2990" s="42"/>
      <c r="AS2990" s="42"/>
    </row>
    <row r="2991" spans="1:45" ht="15" customHeight="1">
      <c r="A2991" s="56" t="s">
        <v>45</v>
      </c>
      <c r="B2991" s="21" t="s">
        <v>46</v>
      </c>
      <c r="C2991" s="57" t="s">
        <v>814</v>
      </c>
      <c r="D2991" s="22" t="s">
        <v>48</v>
      </c>
      <c r="E2991" s="58" t="s">
        <v>2872</v>
      </c>
      <c r="F2991" s="56" t="s">
        <v>2873</v>
      </c>
      <c r="G2991" s="26" t="s">
        <v>165</v>
      </c>
      <c r="H2991" s="25" t="s">
        <v>2874</v>
      </c>
      <c r="I2991" s="24" t="s">
        <v>3724</v>
      </c>
      <c r="J2991" s="56" t="s">
        <v>2879</v>
      </c>
      <c r="K2991" s="59" t="s">
        <v>2879</v>
      </c>
      <c r="L2991" s="48" t="s">
        <v>2880</v>
      </c>
      <c r="M2991" s="49" t="s">
        <v>4392</v>
      </c>
      <c r="N2991" s="49" t="s">
        <v>4393</v>
      </c>
      <c r="O2991" s="60">
        <v>6740</v>
      </c>
      <c r="P2991" s="61">
        <f>32.16-32</f>
        <v>0.15999999999999659</v>
      </c>
      <c r="Q2991" s="51">
        <f t="shared" si="94"/>
        <v>1078.4000000000001</v>
      </c>
      <c r="R2991" s="154">
        <v>202309</v>
      </c>
      <c r="S2991" s="62" t="s">
        <v>4621</v>
      </c>
      <c r="T2991" s="42" t="s">
        <v>4562</v>
      </c>
      <c r="U2991" s="70"/>
      <c r="V2991" s="42"/>
      <c r="W2991" s="232">
        <v>31.907009124999998</v>
      </c>
      <c r="X2991" s="63">
        <v>32.409999999999997</v>
      </c>
      <c r="Y2991" s="72">
        <v>45108</v>
      </c>
      <c r="Z2991" s="72">
        <v>45473</v>
      </c>
      <c r="AA2991" s="37"/>
      <c r="AB2991" s="38"/>
      <c r="AC2991" s="38"/>
      <c r="AD2991" s="38"/>
      <c r="AE2991" s="40"/>
      <c r="AF2991" s="40" t="s">
        <v>503</v>
      </c>
      <c r="AG2991" s="40"/>
      <c r="AH2991" s="42"/>
      <c r="AI2991" s="42"/>
      <c r="AJ2991" s="43"/>
      <c r="AK2991" s="43"/>
      <c r="AL2991" s="43"/>
      <c r="AM2991" s="43"/>
      <c r="AN2991" s="43"/>
      <c r="AO2991" s="42"/>
      <c r="AP2991" s="42"/>
      <c r="AQ2991" s="42"/>
      <c r="AR2991" s="42"/>
      <c r="AS2991" s="42"/>
    </row>
    <row r="2992" spans="1:45" ht="15" customHeight="1">
      <c r="A2992" s="56" t="s">
        <v>45</v>
      </c>
      <c r="B2992" s="21" t="s">
        <v>46</v>
      </c>
      <c r="C2992" s="57" t="s">
        <v>814</v>
      </c>
      <c r="D2992" s="22" t="s">
        <v>48</v>
      </c>
      <c r="E2992" s="58" t="s">
        <v>2934</v>
      </c>
      <c r="F2992" s="56" t="s">
        <v>2935</v>
      </c>
      <c r="G2992" s="26" t="s">
        <v>165</v>
      </c>
      <c r="H2992" s="25" t="s">
        <v>4622</v>
      </c>
      <c r="I2992" s="24" t="s">
        <v>3724</v>
      </c>
      <c r="J2992" s="56" t="s">
        <v>2937</v>
      </c>
      <c r="K2992" s="59" t="s">
        <v>2938</v>
      </c>
      <c r="L2992" s="48" t="s">
        <v>2939</v>
      </c>
      <c r="M2992" s="49">
        <v>44816</v>
      </c>
      <c r="N2992" s="49" t="s">
        <v>1542</v>
      </c>
      <c r="O2992" s="60">
        <v>6740</v>
      </c>
      <c r="P2992" s="61">
        <f>86.28-85.57</f>
        <v>0.71000000000000796</v>
      </c>
      <c r="Q2992" s="51">
        <f t="shared" si="94"/>
        <v>4785.3999999999996</v>
      </c>
      <c r="R2992" s="154">
        <v>202309</v>
      </c>
      <c r="S2992" s="62" t="s">
        <v>4623</v>
      </c>
      <c r="T2992" s="42" t="s">
        <v>4562</v>
      </c>
      <c r="U2992" s="70"/>
      <c r="V2992" s="42"/>
      <c r="W2992" s="232">
        <v>85.574126871000004</v>
      </c>
      <c r="X2992" s="247">
        <v>86.99</v>
      </c>
      <c r="Y2992" s="72"/>
      <c r="Z2992" s="72"/>
      <c r="AA2992" s="37"/>
      <c r="AB2992" s="38"/>
      <c r="AC2992" s="38"/>
      <c r="AD2992" s="38"/>
      <c r="AE2992" s="40"/>
      <c r="AF2992" s="40" t="s">
        <v>484</v>
      </c>
      <c r="AG2992" s="40"/>
      <c r="AH2992" s="42"/>
      <c r="AI2992" s="42"/>
      <c r="AJ2992" s="43"/>
      <c r="AK2992" s="43"/>
      <c r="AL2992" s="43"/>
      <c r="AM2992" s="43"/>
      <c r="AN2992" s="43"/>
      <c r="AO2992" s="42"/>
      <c r="AP2992" s="42"/>
      <c r="AQ2992" s="42"/>
      <c r="AR2992" s="42"/>
      <c r="AS2992" s="42"/>
    </row>
    <row r="2993" spans="1:45" ht="15" customHeight="1">
      <c r="A2993" s="56" t="s">
        <v>45</v>
      </c>
      <c r="B2993" s="21" t="s">
        <v>46</v>
      </c>
      <c r="C2993" s="57" t="s">
        <v>814</v>
      </c>
      <c r="D2993" s="22" t="s">
        <v>48</v>
      </c>
      <c r="E2993" s="58" t="s">
        <v>2944</v>
      </c>
      <c r="F2993" s="56" t="s">
        <v>2945</v>
      </c>
      <c r="G2993" s="26" t="s">
        <v>165</v>
      </c>
      <c r="H2993" s="25" t="s">
        <v>2946</v>
      </c>
      <c r="I2993" s="24" t="s">
        <v>3724</v>
      </c>
      <c r="J2993" s="56" t="s">
        <v>2948</v>
      </c>
      <c r="K2993" s="59" t="s">
        <v>2948</v>
      </c>
      <c r="L2993" s="48" t="s">
        <v>2949</v>
      </c>
      <c r="M2993" s="49" t="s">
        <v>4411</v>
      </c>
      <c r="N2993" s="49" t="s">
        <v>4624</v>
      </c>
      <c r="O2993" s="60">
        <v>6740</v>
      </c>
      <c r="P2993" s="61">
        <f>49.49-49.16</f>
        <v>0.3300000000000054</v>
      </c>
      <c r="Q2993" s="51">
        <f t="shared" si="94"/>
        <v>2224.1999999999998</v>
      </c>
      <c r="R2993" s="154">
        <v>202309</v>
      </c>
      <c r="S2993" s="62" t="s">
        <v>4625</v>
      </c>
      <c r="T2993" s="42" t="s">
        <v>4562</v>
      </c>
      <c r="U2993" s="70"/>
      <c r="V2993" s="42"/>
      <c r="W2993" s="232">
        <v>49.159290314000003</v>
      </c>
      <c r="X2993" s="63">
        <v>49.82</v>
      </c>
      <c r="Y2993" s="72">
        <v>45108</v>
      </c>
      <c r="Z2993" s="72">
        <v>45473</v>
      </c>
      <c r="AA2993" s="37"/>
      <c r="AB2993" s="38"/>
      <c r="AC2993" s="38"/>
      <c r="AD2993" s="38"/>
      <c r="AE2993" s="40"/>
      <c r="AF2993" s="40" t="s">
        <v>503</v>
      </c>
      <c r="AG2993" s="40"/>
      <c r="AH2993" s="42"/>
      <c r="AI2993" s="42"/>
      <c r="AJ2993" s="43"/>
      <c r="AK2993" s="43"/>
      <c r="AL2993" s="43"/>
      <c r="AM2993" s="43"/>
      <c r="AN2993" s="43"/>
      <c r="AO2993" s="42"/>
      <c r="AP2993" s="42"/>
      <c r="AQ2993" s="42"/>
      <c r="AR2993" s="42"/>
      <c r="AS2993" s="42"/>
    </row>
    <row r="2994" spans="1:45" ht="15" customHeight="1">
      <c r="A2994" s="56" t="s">
        <v>45</v>
      </c>
      <c r="B2994" s="21" t="s">
        <v>46</v>
      </c>
      <c r="C2994" s="57" t="s">
        <v>814</v>
      </c>
      <c r="D2994" s="22" t="s">
        <v>48</v>
      </c>
      <c r="E2994" s="58" t="s">
        <v>2965</v>
      </c>
      <c r="F2994" s="56" t="s">
        <v>2966</v>
      </c>
      <c r="G2994" s="26" t="s">
        <v>165</v>
      </c>
      <c r="H2994" s="25" t="s">
        <v>2967</v>
      </c>
      <c r="I2994" s="24" t="s">
        <v>3724</v>
      </c>
      <c r="J2994" s="56" t="s">
        <v>2968</v>
      </c>
      <c r="K2994" s="59" t="s">
        <v>2968</v>
      </c>
      <c r="L2994" s="48" t="s">
        <v>2969</v>
      </c>
      <c r="M2994" s="49" t="s">
        <v>4418</v>
      </c>
      <c r="N2994" s="49" t="s">
        <v>4419</v>
      </c>
      <c r="O2994" s="60">
        <v>6740</v>
      </c>
      <c r="P2994" s="61">
        <f>32.43-32.18</f>
        <v>0.25</v>
      </c>
      <c r="Q2994" s="51">
        <f t="shared" si="94"/>
        <v>1685</v>
      </c>
      <c r="R2994" s="154">
        <v>202309</v>
      </c>
      <c r="S2994" s="62" t="s">
        <v>4626</v>
      </c>
      <c r="T2994" s="42" t="s">
        <v>4562</v>
      </c>
      <c r="U2994" s="70"/>
      <c r="V2994" s="42"/>
      <c r="W2994" s="232">
        <v>32.181236267000003</v>
      </c>
      <c r="X2994" s="63">
        <v>32.68</v>
      </c>
      <c r="Y2994" s="72">
        <v>45108</v>
      </c>
      <c r="Z2994" s="72">
        <v>45473</v>
      </c>
      <c r="AA2994" s="37"/>
      <c r="AB2994" s="38"/>
      <c r="AC2994" s="38"/>
      <c r="AD2994" s="38"/>
      <c r="AE2994" s="40"/>
      <c r="AF2994" s="40" t="s">
        <v>503</v>
      </c>
      <c r="AG2994" s="40"/>
      <c r="AH2994" s="42"/>
      <c r="AI2994" s="42"/>
      <c r="AJ2994" s="43"/>
      <c r="AK2994" s="43"/>
      <c r="AL2994" s="43"/>
      <c r="AM2994" s="43"/>
      <c r="AN2994" s="43"/>
      <c r="AO2994" s="42"/>
      <c r="AP2994" s="42"/>
      <c r="AQ2994" s="42"/>
      <c r="AR2994" s="42"/>
      <c r="AS2994" s="42"/>
    </row>
    <row r="2995" spans="1:45" ht="15" customHeight="1">
      <c r="A2995" s="56" t="s">
        <v>45</v>
      </c>
      <c r="B2995" s="21" t="s">
        <v>46</v>
      </c>
      <c r="C2995" s="57" t="s">
        <v>814</v>
      </c>
      <c r="D2995" s="22" t="s">
        <v>48</v>
      </c>
      <c r="E2995" s="58" t="s">
        <v>2977</v>
      </c>
      <c r="F2995" s="56" t="s">
        <v>2978</v>
      </c>
      <c r="G2995" s="26" t="s">
        <v>165</v>
      </c>
      <c r="H2995" s="25" t="s">
        <v>3563</v>
      </c>
      <c r="I2995" s="24" t="s">
        <v>3724</v>
      </c>
      <c r="J2995" s="56" t="s">
        <v>2980</v>
      </c>
      <c r="K2995" s="59" t="s">
        <v>2978</v>
      </c>
      <c r="L2995" s="48" t="s">
        <v>2981</v>
      </c>
      <c r="M2995" s="49" t="s">
        <v>4422</v>
      </c>
      <c r="N2995" s="49" t="s">
        <v>4423</v>
      </c>
      <c r="O2995" s="60">
        <v>6740</v>
      </c>
      <c r="P2995" s="61">
        <f>383.01-377.08</f>
        <v>5.9300000000000068</v>
      </c>
      <c r="Q2995" s="51">
        <f t="shared" si="94"/>
        <v>39968.199999999997</v>
      </c>
      <c r="R2995" s="154">
        <v>202309</v>
      </c>
      <c r="S2995" s="62" t="s">
        <v>4627</v>
      </c>
      <c r="T2995" s="42" t="s">
        <v>4562</v>
      </c>
      <c r="U2995" s="70"/>
      <c r="V2995" s="42"/>
      <c r="W2995" s="232">
        <v>377.07925188000002</v>
      </c>
      <c r="X2995" s="63">
        <v>388.94</v>
      </c>
      <c r="Y2995" s="72"/>
      <c r="Z2995" s="72"/>
      <c r="AA2995" s="37"/>
      <c r="AB2995" s="38"/>
      <c r="AC2995" s="38"/>
      <c r="AD2995" s="38"/>
      <c r="AE2995" s="40"/>
      <c r="AF2995" s="40" t="s">
        <v>484</v>
      </c>
      <c r="AG2995" s="40"/>
      <c r="AH2995" s="42"/>
      <c r="AI2995" s="42"/>
      <c r="AJ2995" s="43"/>
      <c r="AK2995" s="43"/>
      <c r="AL2995" s="43"/>
      <c r="AM2995" s="43"/>
      <c r="AN2995" s="43"/>
      <c r="AO2995" s="42"/>
      <c r="AP2995" s="42"/>
      <c r="AQ2995" s="42"/>
      <c r="AR2995" s="42"/>
      <c r="AS2995" s="42"/>
    </row>
    <row r="2996" spans="1:45" ht="15" customHeight="1">
      <c r="Q2996" s="286">
        <f>SUM(Q2:Q2995)</f>
        <v>159421270.51000014</v>
      </c>
    </row>
    <row r="2999" spans="1:45" ht="15" customHeight="1">
      <c r="Q2999" s="286" t="e">
        <f>#REF!+'202310带宽'!#REF!</f>
        <v>#REF!</v>
      </c>
    </row>
    <row r="3002" spans="1:45" ht="15" customHeight="1">
      <c r="Q3002" s="286" t="e">
        <f>Q2996-Q2999</f>
        <v>#REF!</v>
      </c>
    </row>
    <row r="1030025" spans="1:41" s="294" customFormat="1" ht="15" customHeight="1">
      <c r="A1030025" s="44"/>
      <c r="B1030025" s="44"/>
      <c r="C1030025" s="44"/>
      <c r="D1030025" s="44"/>
      <c r="E1030025" s="44"/>
      <c r="F1030025" s="44"/>
      <c r="G1030025" s="44"/>
      <c r="H1030025" s="284"/>
      <c r="I1030025" s="44"/>
      <c r="J1030025" s="285"/>
      <c r="K1030025" s="285"/>
      <c r="L1030025" s="44"/>
      <c r="M1030025" s="44"/>
      <c r="N1030025" s="44"/>
      <c r="O1030025" s="286"/>
      <c r="P1030025" s="287"/>
      <c r="Q1030025" s="286"/>
      <c r="R1030025" s="288"/>
      <c r="S1030025" s="44"/>
      <c r="T1030025" s="44"/>
      <c r="U1030025" s="289"/>
      <c r="V1030025" s="44"/>
      <c r="W1030025" s="290"/>
      <c r="X1030025" s="44"/>
      <c r="Y1030025" s="291"/>
      <c r="Z1030025" s="291"/>
      <c r="AA1030025" s="292"/>
      <c r="AB1030025" s="293"/>
      <c r="AC1030025" s="293"/>
      <c r="AD1030025" s="293"/>
      <c r="AF1030025" s="285"/>
      <c r="AH1030025" s="44"/>
      <c r="AI1030025" s="44"/>
      <c r="AJ1030025" s="295"/>
      <c r="AK1030025" s="295"/>
      <c r="AL1030025" s="295"/>
      <c r="AM1030025" s="295"/>
      <c r="AN1030025" s="295"/>
      <c r="AO1030025" s="44"/>
    </row>
    <row r="1030026" spans="1:41" s="294" customFormat="1" ht="15" customHeight="1">
      <c r="A1030026" s="44"/>
      <c r="B1030026" s="44"/>
      <c r="C1030026" s="44"/>
      <c r="D1030026" s="44"/>
      <c r="E1030026" s="44"/>
      <c r="F1030026" s="44"/>
      <c r="G1030026" s="44"/>
      <c r="H1030026" s="284"/>
      <c r="I1030026" s="44"/>
      <c r="J1030026" s="285"/>
      <c r="K1030026" s="285"/>
      <c r="L1030026" s="44"/>
      <c r="M1030026" s="44"/>
      <c r="N1030026" s="44"/>
      <c r="O1030026" s="286"/>
      <c r="P1030026" s="287"/>
      <c r="Q1030026" s="286"/>
      <c r="R1030026" s="288"/>
      <c r="S1030026" s="44"/>
      <c r="T1030026" s="44"/>
      <c r="U1030026" s="289"/>
      <c r="V1030026" s="44"/>
      <c r="W1030026" s="290"/>
      <c r="X1030026" s="44"/>
      <c r="Y1030026" s="291"/>
      <c r="Z1030026" s="291"/>
      <c r="AA1030026" s="296"/>
      <c r="AB1030026" s="293"/>
      <c r="AC1030026" s="293"/>
      <c r="AD1030026" s="293"/>
      <c r="AF1030026" s="285"/>
      <c r="AH1030026" s="44"/>
      <c r="AI1030026" s="44"/>
      <c r="AJ1030026" s="295"/>
      <c r="AK1030026" s="295"/>
      <c r="AL1030026" s="295"/>
      <c r="AM1030026" s="295"/>
      <c r="AN1030026" s="295"/>
      <c r="AO1030026" s="44"/>
    </row>
    <row r="1030027" spans="1:41" s="294" customFormat="1" ht="15" customHeight="1">
      <c r="A1030027" s="44"/>
      <c r="B1030027" s="44"/>
      <c r="C1030027" s="44"/>
      <c r="D1030027" s="44"/>
      <c r="E1030027" s="44"/>
      <c r="F1030027" s="44"/>
      <c r="G1030027" s="44"/>
      <c r="H1030027" s="284"/>
      <c r="I1030027" s="44"/>
      <c r="J1030027" s="285"/>
      <c r="K1030027" s="285"/>
      <c r="L1030027" s="44"/>
      <c r="M1030027" s="44"/>
      <c r="N1030027" s="44"/>
      <c r="O1030027" s="286"/>
      <c r="P1030027" s="287"/>
      <c r="Q1030027" s="286"/>
      <c r="R1030027" s="288"/>
      <c r="S1030027" s="44"/>
      <c r="T1030027" s="44"/>
      <c r="U1030027" s="289"/>
      <c r="V1030027" s="44"/>
      <c r="W1030027" s="290"/>
      <c r="X1030027" s="44"/>
      <c r="Y1030027" s="291"/>
      <c r="Z1030027" s="291"/>
      <c r="AA1030027" s="296"/>
      <c r="AB1030027" s="293"/>
      <c r="AC1030027" s="293"/>
      <c r="AD1030027" s="293"/>
      <c r="AF1030027" s="285"/>
      <c r="AH1030027" s="44"/>
      <c r="AI1030027" s="44"/>
      <c r="AJ1030027" s="295"/>
      <c r="AK1030027" s="295"/>
      <c r="AL1030027" s="295"/>
      <c r="AM1030027" s="295"/>
      <c r="AN1030027" s="295"/>
      <c r="AO1030027" s="44"/>
    </row>
    <row r="1030028" spans="1:41" s="294" customFormat="1" ht="15" customHeight="1">
      <c r="A1030028" s="44"/>
      <c r="B1030028" s="44"/>
      <c r="C1030028" s="44"/>
      <c r="D1030028" s="44"/>
      <c r="E1030028" s="44"/>
      <c r="F1030028" s="44"/>
      <c r="G1030028" s="44"/>
      <c r="H1030028" s="284"/>
      <c r="I1030028" s="44"/>
      <c r="J1030028" s="285"/>
      <c r="K1030028" s="285"/>
      <c r="L1030028" s="44"/>
      <c r="M1030028" s="44"/>
      <c r="N1030028" s="44"/>
      <c r="O1030028" s="286"/>
      <c r="P1030028" s="287"/>
      <c r="Q1030028" s="286"/>
      <c r="R1030028" s="288"/>
      <c r="S1030028" s="44"/>
      <c r="T1030028" s="44"/>
      <c r="U1030028" s="289"/>
      <c r="V1030028" s="44"/>
      <c r="W1030028" s="290"/>
      <c r="X1030028" s="44"/>
      <c r="Y1030028" s="291"/>
      <c r="Z1030028" s="291"/>
      <c r="AA1030028" s="296"/>
      <c r="AB1030028" s="293"/>
      <c r="AC1030028" s="293"/>
      <c r="AD1030028" s="293"/>
      <c r="AF1030028" s="285"/>
      <c r="AH1030028" s="44"/>
      <c r="AI1030028" s="44"/>
      <c r="AJ1030028" s="295"/>
      <c r="AK1030028" s="295"/>
      <c r="AL1030028" s="295"/>
      <c r="AM1030028" s="295"/>
      <c r="AN1030028" s="295"/>
      <c r="AO1030028" s="44"/>
    </row>
    <row r="1030029" spans="1:41" s="294" customFormat="1" ht="15" customHeight="1">
      <c r="A1030029" s="44"/>
      <c r="B1030029" s="44"/>
      <c r="C1030029" s="44"/>
      <c r="D1030029" s="44"/>
      <c r="E1030029" s="44"/>
      <c r="F1030029" s="44"/>
      <c r="G1030029" s="44"/>
      <c r="H1030029" s="284"/>
      <c r="I1030029" s="44"/>
      <c r="J1030029" s="285"/>
      <c r="K1030029" s="285"/>
      <c r="L1030029" s="44"/>
      <c r="M1030029" s="44"/>
      <c r="N1030029" s="44"/>
      <c r="O1030029" s="286"/>
      <c r="P1030029" s="287"/>
      <c r="Q1030029" s="286"/>
      <c r="R1030029" s="288"/>
      <c r="S1030029" s="44"/>
      <c r="T1030029" s="44"/>
      <c r="U1030029" s="289"/>
      <c r="V1030029" s="44"/>
      <c r="W1030029" s="290"/>
      <c r="X1030029" s="44"/>
      <c r="Y1030029" s="291"/>
      <c r="Z1030029" s="291"/>
      <c r="AA1030029" s="296"/>
      <c r="AB1030029" s="293"/>
      <c r="AC1030029" s="293"/>
      <c r="AD1030029" s="293"/>
      <c r="AF1030029" s="285"/>
      <c r="AH1030029" s="44"/>
      <c r="AI1030029" s="44"/>
      <c r="AJ1030029" s="295"/>
      <c r="AK1030029" s="295"/>
      <c r="AL1030029" s="295"/>
      <c r="AM1030029" s="295"/>
      <c r="AN1030029" s="295"/>
      <c r="AO1030029" s="44"/>
    </row>
    <row r="1030030" spans="1:41" s="294" customFormat="1" ht="15" customHeight="1">
      <c r="A1030030" s="44"/>
      <c r="B1030030" s="44"/>
      <c r="C1030030" s="44"/>
      <c r="D1030030" s="44"/>
      <c r="E1030030" s="44"/>
      <c r="F1030030" s="44"/>
      <c r="G1030030" s="44"/>
      <c r="H1030030" s="284"/>
      <c r="I1030030" s="44"/>
      <c r="J1030030" s="285"/>
      <c r="K1030030" s="285"/>
      <c r="L1030030" s="44"/>
      <c r="M1030030" s="44"/>
      <c r="N1030030" s="44"/>
      <c r="O1030030" s="286"/>
      <c r="P1030030" s="287"/>
      <c r="Q1030030" s="286"/>
      <c r="R1030030" s="288"/>
      <c r="S1030030" s="44"/>
      <c r="T1030030" s="44"/>
      <c r="U1030030" s="289"/>
      <c r="V1030030" s="44"/>
      <c r="W1030030" s="290"/>
      <c r="X1030030" s="44"/>
      <c r="Y1030030" s="291"/>
      <c r="Z1030030" s="291"/>
      <c r="AA1030030" s="296"/>
      <c r="AB1030030" s="293"/>
      <c r="AC1030030" s="293"/>
      <c r="AD1030030" s="293"/>
      <c r="AF1030030" s="285"/>
      <c r="AH1030030" s="44"/>
      <c r="AI1030030" s="44"/>
      <c r="AJ1030030" s="295"/>
      <c r="AK1030030" s="295"/>
      <c r="AL1030030" s="295"/>
      <c r="AM1030030" s="295"/>
      <c r="AN1030030" s="295"/>
      <c r="AO1030030" s="44"/>
    </row>
    <row r="1030031" spans="1:41" s="294" customFormat="1" ht="15" customHeight="1">
      <c r="A1030031" s="44"/>
      <c r="B1030031" s="44"/>
      <c r="C1030031" s="44"/>
      <c r="D1030031" s="44"/>
      <c r="E1030031" s="44"/>
      <c r="F1030031" s="44"/>
      <c r="G1030031" s="44"/>
      <c r="H1030031" s="284"/>
      <c r="I1030031" s="44"/>
      <c r="J1030031" s="285"/>
      <c r="K1030031" s="285"/>
      <c r="L1030031" s="44"/>
      <c r="M1030031" s="44"/>
      <c r="N1030031" s="44"/>
      <c r="O1030031" s="286"/>
      <c r="P1030031" s="287"/>
      <c r="Q1030031" s="286"/>
      <c r="R1030031" s="288"/>
      <c r="S1030031" s="44"/>
      <c r="T1030031" s="44"/>
      <c r="U1030031" s="289"/>
      <c r="V1030031" s="44"/>
      <c r="W1030031" s="290"/>
      <c r="X1030031" s="44"/>
      <c r="Y1030031" s="291"/>
      <c r="Z1030031" s="291"/>
      <c r="AA1030031" s="296"/>
      <c r="AB1030031" s="293"/>
      <c r="AC1030031" s="293"/>
      <c r="AD1030031" s="293"/>
      <c r="AF1030031" s="285"/>
      <c r="AH1030031" s="44"/>
      <c r="AI1030031" s="44"/>
      <c r="AJ1030031" s="295"/>
      <c r="AK1030031" s="295"/>
      <c r="AL1030031" s="295"/>
      <c r="AM1030031" s="295"/>
      <c r="AN1030031" s="295"/>
      <c r="AO1030031" s="44"/>
    </row>
    <row r="1030032" spans="1:41" s="294" customFormat="1" ht="15" customHeight="1">
      <c r="A1030032" s="44"/>
      <c r="B1030032" s="44"/>
      <c r="C1030032" s="44"/>
      <c r="D1030032" s="44"/>
      <c r="E1030032" s="44"/>
      <c r="F1030032" s="44"/>
      <c r="G1030032" s="44"/>
      <c r="H1030032" s="284"/>
      <c r="I1030032" s="44"/>
      <c r="J1030032" s="285"/>
      <c r="K1030032" s="285"/>
      <c r="L1030032" s="44"/>
      <c r="M1030032" s="44"/>
      <c r="N1030032" s="44"/>
      <c r="O1030032" s="286"/>
      <c r="P1030032" s="287"/>
      <c r="Q1030032" s="286"/>
      <c r="R1030032" s="288"/>
      <c r="S1030032" s="44"/>
      <c r="T1030032" s="44"/>
      <c r="U1030032" s="289"/>
      <c r="V1030032" s="44"/>
      <c r="W1030032" s="290"/>
      <c r="X1030032" s="44"/>
      <c r="Y1030032" s="291"/>
      <c r="Z1030032" s="291"/>
      <c r="AA1030032" s="296"/>
      <c r="AB1030032" s="293"/>
      <c r="AC1030032" s="293"/>
      <c r="AD1030032" s="293"/>
      <c r="AF1030032" s="285"/>
      <c r="AH1030032" s="44"/>
      <c r="AI1030032" s="44"/>
      <c r="AJ1030032" s="295"/>
      <c r="AK1030032" s="295"/>
      <c r="AL1030032" s="295"/>
      <c r="AM1030032" s="295"/>
      <c r="AN1030032" s="295"/>
      <c r="AO1030032" s="44"/>
    </row>
    <row r="1030033" spans="1:41" s="294" customFormat="1" ht="15" customHeight="1">
      <c r="A1030033" s="44"/>
      <c r="B1030033" s="44"/>
      <c r="C1030033" s="44"/>
      <c r="D1030033" s="44"/>
      <c r="E1030033" s="44"/>
      <c r="F1030033" s="44"/>
      <c r="G1030033" s="44"/>
      <c r="H1030033" s="284"/>
      <c r="I1030033" s="44"/>
      <c r="J1030033" s="285"/>
      <c r="K1030033" s="285"/>
      <c r="L1030033" s="44"/>
      <c r="M1030033" s="44"/>
      <c r="N1030033" s="44"/>
      <c r="O1030033" s="286"/>
      <c r="P1030033" s="287"/>
      <c r="Q1030033" s="286"/>
      <c r="R1030033" s="288"/>
      <c r="S1030033" s="44"/>
      <c r="T1030033" s="44"/>
      <c r="U1030033" s="289"/>
      <c r="V1030033" s="44"/>
      <c r="W1030033" s="290"/>
      <c r="X1030033" s="44"/>
      <c r="Y1030033" s="291"/>
      <c r="Z1030033" s="291"/>
      <c r="AA1030033" s="296"/>
      <c r="AB1030033" s="293"/>
      <c r="AC1030033" s="293"/>
      <c r="AD1030033" s="293"/>
      <c r="AF1030033" s="285"/>
      <c r="AH1030033" s="44"/>
      <c r="AI1030033" s="44"/>
      <c r="AJ1030033" s="295"/>
      <c r="AK1030033" s="295"/>
      <c r="AL1030033" s="295"/>
      <c r="AM1030033" s="295"/>
      <c r="AN1030033" s="295"/>
      <c r="AO1030033" s="44"/>
    </row>
    <row r="1030034" spans="1:41" s="294" customFormat="1" ht="15" customHeight="1">
      <c r="A1030034" s="44"/>
      <c r="B1030034" s="44"/>
      <c r="C1030034" s="44"/>
      <c r="D1030034" s="44"/>
      <c r="E1030034" s="44"/>
      <c r="F1030034" s="44"/>
      <c r="G1030034" s="44"/>
      <c r="H1030034" s="284"/>
      <c r="I1030034" s="44"/>
      <c r="J1030034" s="285"/>
      <c r="K1030034" s="285"/>
      <c r="L1030034" s="44"/>
      <c r="M1030034" s="44"/>
      <c r="N1030034" s="44"/>
      <c r="O1030034" s="286"/>
      <c r="P1030034" s="287"/>
      <c r="Q1030034" s="286"/>
      <c r="R1030034" s="288"/>
      <c r="S1030034" s="44"/>
      <c r="T1030034" s="44"/>
      <c r="U1030034" s="289"/>
      <c r="V1030034" s="44"/>
      <c r="W1030034" s="290"/>
      <c r="X1030034" s="44"/>
      <c r="Y1030034" s="291"/>
      <c r="Z1030034" s="291"/>
      <c r="AA1030034" s="296"/>
      <c r="AB1030034" s="293"/>
      <c r="AC1030034" s="293"/>
      <c r="AD1030034" s="293"/>
      <c r="AF1030034" s="285"/>
      <c r="AH1030034" s="44"/>
      <c r="AI1030034" s="44"/>
      <c r="AJ1030034" s="295"/>
      <c r="AK1030034" s="295"/>
      <c r="AL1030034" s="295"/>
      <c r="AM1030034" s="295"/>
      <c r="AN1030034" s="295"/>
      <c r="AO1030034" s="44"/>
    </row>
    <row r="1030035" spans="1:41" s="294" customFormat="1" ht="15" customHeight="1">
      <c r="A1030035" s="44"/>
      <c r="B1030035" s="44"/>
      <c r="C1030035" s="44"/>
      <c r="D1030035" s="44"/>
      <c r="E1030035" s="44"/>
      <c r="F1030035" s="44"/>
      <c r="G1030035" s="44"/>
      <c r="H1030035" s="284"/>
      <c r="I1030035" s="44"/>
      <c r="J1030035" s="285"/>
      <c r="K1030035" s="285"/>
      <c r="L1030035" s="44"/>
      <c r="M1030035" s="44"/>
      <c r="N1030035" s="44"/>
      <c r="O1030035" s="286"/>
      <c r="P1030035" s="287"/>
      <c r="Q1030035" s="286"/>
      <c r="R1030035" s="288"/>
      <c r="S1030035" s="44"/>
      <c r="T1030035" s="44"/>
      <c r="U1030035" s="289"/>
      <c r="V1030035" s="44"/>
      <c r="W1030035" s="290"/>
      <c r="X1030035" s="44"/>
      <c r="Y1030035" s="291"/>
      <c r="Z1030035" s="291"/>
      <c r="AA1030035" s="296"/>
      <c r="AB1030035" s="293"/>
      <c r="AC1030035" s="293"/>
      <c r="AD1030035" s="293"/>
      <c r="AF1030035" s="285"/>
      <c r="AH1030035" s="44"/>
      <c r="AI1030035" s="44"/>
      <c r="AJ1030035" s="295"/>
      <c r="AK1030035" s="295"/>
      <c r="AL1030035" s="295"/>
      <c r="AM1030035" s="295"/>
      <c r="AN1030035" s="295"/>
      <c r="AO1030035" s="44"/>
    </row>
    <row r="1030036" spans="1:41" s="294" customFormat="1" ht="15" customHeight="1">
      <c r="A1030036" s="44"/>
      <c r="B1030036" s="44"/>
      <c r="C1030036" s="44"/>
      <c r="D1030036" s="44"/>
      <c r="E1030036" s="44"/>
      <c r="F1030036" s="44"/>
      <c r="G1030036" s="44"/>
      <c r="H1030036" s="284"/>
      <c r="I1030036" s="44"/>
      <c r="J1030036" s="285"/>
      <c r="K1030036" s="285"/>
      <c r="L1030036" s="44"/>
      <c r="M1030036" s="44"/>
      <c r="N1030036" s="44"/>
      <c r="O1030036" s="286"/>
      <c r="P1030036" s="287"/>
      <c r="Q1030036" s="286"/>
      <c r="R1030036" s="288"/>
      <c r="S1030036" s="44"/>
      <c r="T1030036" s="44"/>
      <c r="U1030036" s="289"/>
      <c r="V1030036" s="44"/>
      <c r="W1030036" s="290"/>
      <c r="X1030036" s="44"/>
      <c r="Y1030036" s="291"/>
      <c r="Z1030036" s="291"/>
      <c r="AA1030036" s="296"/>
      <c r="AB1030036" s="293"/>
      <c r="AC1030036" s="293"/>
      <c r="AD1030036" s="293"/>
      <c r="AF1030036" s="285"/>
      <c r="AH1030036" s="44"/>
      <c r="AI1030036" s="44"/>
      <c r="AJ1030036" s="295"/>
      <c r="AK1030036" s="295"/>
      <c r="AL1030036" s="295"/>
      <c r="AM1030036" s="295"/>
      <c r="AN1030036" s="295"/>
      <c r="AO1030036" s="44"/>
    </row>
    <row r="1030037" spans="1:41" s="294" customFormat="1" ht="15" customHeight="1">
      <c r="A1030037" s="44"/>
      <c r="B1030037" s="44"/>
      <c r="C1030037" s="44"/>
      <c r="D1030037" s="44"/>
      <c r="E1030037" s="44"/>
      <c r="F1030037" s="44"/>
      <c r="G1030037" s="44"/>
      <c r="H1030037" s="284"/>
      <c r="I1030037" s="44"/>
      <c r="J1030037" s="285"/>
      <c r="K1030037" s="285"/>
      <c r="L1030037" s="44"/>
      <c r="M1030037" s="44"/>
      <c r="N1030037" s="44"/>
      <c r="O1030037" s="286"/>
      <c r="P1030037" s="287"/>
      <c r="Q1030037" s="286"/>
      <c r="R1030037" s="288"/>
      <c r="S1030037" s="44"/>
      <c r="T1030037" s="44"/>
      <c r="U1030037" s="289"/>
      <c r="V1030037" s="44"/>
      <c r="W1030037" s="290"/>
      <c r="X1030037" s="44"/>
      <c r="Y1030037" s="291"/>
      <c r="Z1030037" s="291"/>
      <c r="AA1030037" s="296"/>
      <c r="AB1030037" s="293"/>
      <c r="AC1030037" s="293"/>
      <c r="AD1030037" s="293"/>
      <c r="AF1030037" s="285"/>
      <c r="AH1030037" s="44"/>
      <c r="AI1030037" s="44"/>
      <c r="AJ1030037" s="295"/>
      <c r="AK1030037" s="295"/>
      <c r="AL1030037" s="295"/>
      <c r="AM1030037" s="295"/>
      <c r="AN1030037" s="295"/>
      <c r="AO1030037" s="44"/>
    </row>
    <row r="1030038" spans="1:41" s="294" customFormat="1" ht="15" customHeight="1">
      <c r="A1030038" s="44"/>
      <c r="B1030038" s="44"/>
      <c r="C1030038" s="44"/>
      <c r="D1030038" s="44"/>
      <c r="E1030038" s="44"/>
      <c r="F1030038" s="44"/>
      <c r="G1030038" s="44"/>
      <c r="H1030038" s="284"/>
      <c r="I1030038" s="44"/>
      <c r="J1030038" s="285"/>
      <c r="K1030038" s="285"/>
      <c r="L1030038" s="44"/>
      <c r="M1030038" s="44"/>
      <c r="N1030038" s="44"/>
      <c r="O1030038" s="286"/>
      <c r="P1030038" s="287"/>
      <c r="Q1030038" s="286"/>
      <c r="R1030038" s="288"/>
      <c r="S1030038" s="44"/>
      <c r="T1030038" s="44"/>
      <c r="U1030038" s="289"/>
      <c r="V1030038" s="44"/>
      <c r="W1030038" s="290"/>
      <c r="X1030038" s="44"/>
      <c r="Y1030038" s="291"/>
      <c r="Z1030038" s="291"/>
      <c r="AA1030038" s="296"/>
      <c r="AB1030038" s="293"/>
      <c r="AC1030038" s="293"/>
      <c r="AD1030038" s="293"/>
      <c r="AF1030038" s="285"/>
      <c r="AH1030038" s="44"/>
      <c r="AI1030038" s="44"/>
      <c r="AJ1030038" s="295"/>
      <c r="AK1030038" s="295"/>
      <c r="AL1030038" s="295"/>
      <c r="AM1030038" s="295"/>
      <c r="AN1030038" s="295"/>
      <c r="AO1030038" s="44"/>
    </row>
    <row r="1030039" spans="1:41" s="294" customFormat="1" ht="15" customHeight="1">
      <c r="A1030039" s="44"/>
      <c r="B1030039" s="44"/>
      <c r="C1030039" s="44"/>
      <c r="D1030039" s="44"/>
      <c r="E1030039" s="44"/>
      <c r="F1030039" s="44"/>
      <c r="G1030039" s="44"/>
      <c r="H1030039" s="284"/>
      <c r="I1030039" s="44"/>
      <c r="J1030039" s="285"/>
      <c r="K1030039" s="285"/>
      <c r="L1030039" s="44"/>
      <c r="M1030039" s="44"/>
      <c r="N1030039" s="44"/>
      <c r="O1030039" s="286"/>
      <c r="P1030039" s="287"/>
      <c r="Q1030039" s="286"/>
      <c r="R1030039" s="288"/>
      <c r="S1030039" s="44"/>
      <c r="T1030039" s="44"/>
      <c r="U1030039" s="289"/>
      <c r="V1030039" s="44"/>
      <c r="W1030039" s="290"/>
      <c r="X1030039" s="44"/>
      <c r="Y1030039" s="291"/>
      <c r="Z1030039" s="291"/>
      <c r="AA1030039" s="297"/>
      <c r="AB1030039" s="293"/>
      <c r="AC1030039" s="293"/>
      <c r="AD1030039" s="293"/>
      <c r="AF1030039" s="285"/>
      <c r="AH1030039" s="44"/>
      <c r="AI1030039" s="44"/>
      <c r="AJ1030039" s="295"/>
      <c r="AK1030039" s="295"/>
      <c r="AL1030039" s="295"/>
      <c r="AM1030039" s="295"/>
      <c r="AN1030039" s="295"/>
      <c r="AO1030039" s="44"/>
    </row>
    <row r="1030040" spans="1:41" s="294" customFormat="1" ht="15" customHeight="1">
      <c r="A1030040" s="44"/>
      <c r="B1030040" s="44"/>
      <c r="C1030040" s="44"/>
      <c r="D1030040" s="44"/>
      <c r="E1030040" s="44"/>
      <c r="F1030040" s="44"/>
      <c r="G1030040" s="44"/>
      <c r="H1030040" s="284"/>
      <c r="I1030040" s="44"/>
      <c r="J1030040" s="285"/>
      <c r="K1030040" s="285"/>
      <c r="L1030040" s="44"/>
      <c r="M1030040" s="44"/>
      <c r="N1030040" s="44"/>
      <c r="O1030040" s="286"/>
      <c r="P1030040" s="287"/>
      <c r="Q1030040" s="286"/>
      <c r="R1030040" s="288"/>
      <c r="S1030040" s="44"/>
      <c r="T1030040" s="44"/>
      <c r="U1030040" s="289"/>
      <c r="V1030040" s="44"/>
      <c r="W1030040" s="290"/>
      <c r="X1030040" s="44"/>
      <c r="Y1030040" s="291"/>
      <c r="Z1030040" s="291"/>
      <c r="AA1030040" s="296"/>
      <c r="AB1030040" s="293"/>
      <c r="AC1030040" s="293"/>
      <c r="AD1030040" s="293"/>
      <c r="AF1030040" s="285"/>
      <c r="AH1030040" s="44"/>
      <c r="AI1030040" s="44"/>
      <c r="AJ1030040" s="295"/>
      <c r="AK1030040" s="295"/>
      <c r="AL1030040" s="295"/>
      <c r="AM1030040" s="295"/>
      <c r="AN1030040" s="295"/>
      <c r="AO1030040" s="44"/>
    </row>
    <row r="1030041" spans="1:41" s="294" customFormat="1" ht="15" customHeight="1">
      <c r="A1030041" s="44"/>
      <c r="B1030041" s="44"/>
      <c r="C1030041" s="44"/>
      <c r="D1030041" s="44"/>
      <c r="E1030041" s="44"/>
      <c r="F1030041" s="44"/>
      <c r="G1030041" s="44"/>
      <c r="H1030041" s="284"/>
      <c r="I1030041" s="44"/>
      <c r="J1030041" s="285"/>
      <c r="K1030041" s="285"/>
      <c r="L1030041" s="44"/>
      <c r="M1030041" s="44"/>
      <c r="N1030041" s="44"/>
      <c r="O1030041" s="286"/>
      <c r="P1030041" s="287"/>
      <c r="Q1030041" s="286"/>
      <c r="R1030041" s="288"/>
      <c r="S1030041" s="44"/>
      <c r="T1030041" s="44"/>
      <c r="U1030041" s="289"/>
      <c r="V1030041" s="44"/>
      <c r="W1030041" s="290"/>
      <c r="X1030041" s="44"/>
      <c r="Y1030041" s="291"/>
      <c r="Z1030041" s="291"/>
      <c r="AA1030041" s="296"/>
      <c r="AB1030041" s="293"/>
      <c r="AC1030041" s="293"/>
      <c r="AD1030041" s="293"/>
      <c r="AF1030041" s="285"/>
      <c r="AH1030041" s="44"/>
      <c r="AI1030041" s="44"/>
      <c r="AJ1030041" s="295"/>
      <c r="AK1030041" s="295"/>
      <c r="AL1030041" s="295"/>
      <c r="AM1030041" s="295"/>
      <c r="AN1030041" s="295"/>
      <c r="AO1030041" s="44"/>
    </row>
    <row r="1030042" spans="1:41" s="294" customFormat="1" ht="15" customHeight="1">
      <c r="A1030042" s="44"/>
      <c r="B1030042" s="44"/>
      <c r="C1030042" s="44"/>
      <c r="D1030042" s="44"/>
      <c r="E1030042" s="44"/>
      <c r="F1030042" s="44"/>
      <c r="G1030042" s="44"/>
      <c r="H1030042" s="284"/>
      <c r="I1030042" s="44"/>
      <c r="J1030042" s="285"/>
      <c r="K1030042" s="285"/>
      <c r="L1030042" s="44"/>
      <c r="M1030042" s="44"/>
      <c r="N1030042" s="44"/>
      <c r="O1030042" s="286"/>
      <c r="P1030042" s="287"/>
      <c r="Q1030042" s="286"/>
      <c r="R1030042" s="288"/>
      <c r="S1030042" s="44"/>
      <c r="T1030042" s="44"/>
      <c r="U1030042" s="289"/>
      <c r="V1030042" s="44"/>
      <c r="W1030042" s="290"/>
      <c r="X1030042" s="44"/>
      <c r="Y1030042" s="291"/>
      <c r="Z1030042" s="291"/>
      <c r="AA1030042" s="296"/>
      <c r="AB1030042" s="293"/>
      <c r="AC1030042" s="293"/>
      <c r="AD1030042" s="293"/>
      <c r="AF1030042" s="285"/>
      <c r="AH1030042" s="44"/>
      <c r="AI1030042" s="44"/>
      <c r="AJ1030042" s="295"/>
      <c r="AK1030042" s="295"/>
      <c r="AL1030042" s="295"/>
      <c r="AM1030042" s="295"/>
      <c r="AN1030042" s="295"/>
      <c r="AO1030042" s="44"/>
    </row>
    <row r="1030043" spans="1:41" s="294" customFormat="1" ht="15" customHeight="1">
      <c r="A1030043" s="44"/>
      <c r="B1030043" s="44"/>
      <c r="C1030043" s="44"/>
      <c r="D1030043" s="44"/>
      <c r="E1030043" s="44"/>
      <c r="F1030043" s="44"/>
      <c r="G1030043" s="44"/>
      <c r="H1030043" s="284"/>
      <c r="I1030043" s="44"/>
      <c r="J1030043" s="285"/>
      <c r="K1030043" s="285"/>
      <c r="L1030043" s="44"/>
      <c r="M1030043" s="44"/>
      <c r="N1030043" s="44"/>
      <c r="O1030043" s="286"/>
      <c r="P1030043" s="287"/>
      <c r="Q1030043" s="286"/>
      <c r="R1030043" s="288"/>
      <c r="S1030043" s="44"/>
      <c r="T1030043" s="44"/>
      <c r="U1030043" s="289"/>
      <c r="V1030043" s="44"/>
      <c r="W1030043" s="290"/>
      <c r="X1030043" s="44"/>
      <c r="Y1030043" s="291"/>
      <c r="Z1030043" s="291"/>
      <c r="AA1030043" s="296"/>
      <c r="AB1030043" s="293"/>
      <c r="AC1030043" s="293"/>
      <c r="AD1030043" s="293"/>
      <c r="AF1030043" s="285"/>
      <c r="AH1030043" s="44"/>
      <c r="AI1030043" s="44"/>
      <c r="AJ1030043" s="295"/>
      <c r="AK1030043" s="295"/>
      <c r="AL1030043" s="295"/>
      <c r="AM1030043" s="295"/>
      <c r="AN1030043" s="295"/>
      <c r="AO1030043" s="44"/>
    </row>
    <row r="1030044" spans="1:41" s="294" customFormat="1" ht="15" customHeight="1">
      <c r="A1030044" s="44"/>
      <c r="B1030044" s="44"/>
      <c r="C1030044" s="44"/>
      <c r="D1030044" s="44"/>
      <c r="E1030044" s="44"/>
      <c r="F1030044" s="44"/>
      <c r="G1030044" s="44"/>
      <c r="H1030044" s="284"/>
      <c r="I1030044" s="44"/>
      <c r="J1030044" s="285"/>
      <c r="K1030044" s="285"/>
      <c r="L1030044" s="44"/>
      <c r="M1030044" s="44"/>
      <c r="N1030044" s="44"/>
      <c r="O1030044" s="286"/>
      <c r="P1030044" s="287"/>
      <c r="Q1030044" s="286"/>
      <c r="R1030044" s="288"/>
      <c r="S1030044" s="44"/>
      <c r="T1030044" s="44"/>
      <c r="U1030044" s="289"/>
      <c r="V1030044" s="44"/>
      <c r="W1030044" s="290"/>
      <c r="X1030044" s="44"/>
      <c r="Y1030044" s="291"/>
      <c r="Z1030044" s="291"/>
      <c r="AA1030044" s="296"/>
      <c r="AB1030044" s="293"/>
      <c r="AC1030044" s="293"/>
      <c r="AD1030044" s="293"/>
      <c r="AF1030044" s="285"/>
      <c r="AH1030044" s="44"/>
      <c r="AI1030044" s="44"/>
      <c r="AJ1030044" s="295"/>
      <c r="AK1030044" s="295"/>
      <c r="AL1030044" s="295"/>
      <c r="AM1030044" s="295"/>
      <c r="AN1030044" s="295"/>
      <c r="AO1030044" s="44"/>
    </row>
    <row r="1030045" spans="1:41" s="294" customFormat="1" ht="15" customHeight="1">
      <c r="A1030045" s="44"/>
      <c r="B1030045" s="44"/>
      <c r="C1030045" s="44"/>
      <c r="D1030045" s="44"/>
      <c r="E1030045" s="44"/>
      <c r="F1030045" s="44"/>
      <c r="G1030045" s="44"/>
      <c r="H1030045" s="284"/>
      <c r="I1030045" s="44"/>
      <c r="J1030045" s="285"/>
      <c r="K1030045" s="285"/>
      <c r="L1030045" s="44"/>
      <c r="M1030045" s="44"/>
      <c r="N1030045" s="44"/>
      <c r="O1030045" s="286"/>
      <c r="P1030045" s="287"/>
      <c r="Q1030045" s="286"/>
      <c r="R1030045" s="288"/>
      <c r="S1030045" s="44"/>
      <c r="T1030045" s="44"/>
      <c r="U1030045" s="289"/>
      <c r="V1030045" s="44"/>
      <c r="W1030045" s="290"/>
      <c r="X1030045" s="44"/>
      <c r="Y1030045" s="291"/>
      <c r="Z1030045" s="291"/>
      <c r="AA1030045" s="296"/>
      <c r="AB1030045" s="293"/>
      <c r="AC1030045" s="293"/>
      <c r="AD1030045" s="293"/>
      <c r="AF1030045" s="285"/>
      <c r="AH1030045" s="44"/>
      <c r="AI1030045" s="44"/>
      <c r="AJ1030045" s="295"/>
      <c r="AK1030045" s="295"/>
      <c r="AL1030045" s="295"/>
      <c r="AM1030045" s="295"/>
      <c r="AN1030045" s="295"/>
      <c r="AO1030045" s="44"/>
    </row>
    <row r="1030046" spans="1:41" s="294" customFormat="1" ht="15" customHeight="1">
      <c r="A1030046" s="44"/>
      <c r="B1030046" s="44"/>
      <c r="C1030046" s="44"/>
      <c r="D1030046" s="44"/>
      <c r="E1030046" s="44"/>
      <c r="F1030046" s="44"/>
      <c r="G1030046" s="44"/>
      <c r="H1030046" s="284"/>
      <c r="I1030046" s="44"/>
      <c r="J1030046" s="285"/>
      <c r="K1030046" s="285"/>
      <c r="L1030046" s="44"/>
      <c r="M1030046" s="44"/>
      <c r="N1030046" s="44"/>
      <c r="O1030046" s="286"/>
      <c r="P1030046" s="287"/>
      <c r="Q1030046" s="286"/>
      <c r="R1030046" s="288"/>
      <c r="S1030046" s="44"/>
      <c r="T1030046" s="44"/>
      <c r="U1030046" s="289"/>
      <c r="V1030046" s="44"/>
      <c r="W1030046" s="290"/>
      <c r="X1030046" s="44"/>
      <c r="Y1030046" s="291"/>
      <c r="Z1030046" s="291"/>
      <c r="AA1030046" s="296"/>
      <c r="AB1030046" s="293"/>
      <c r="AC1030046" s="293"/>
      <c r="AD1030046" s="293"/>
      <c r="AF1030046" s="285"/>
      <c r="AH1030046" s="44"/>
      <c r="AI1030046" s="44"/>
      <c r="AJ1030046" s="295"/>
      <c r="AK1030046" s="295"/>
      <c r="AL1030046" s="295"/>
      <c r="AM1030046" s="295"/>
      <c r="AN1030046" s="295"/>
      <c r="AO1030046" s="44"/>
    </row>
    <row r="1030047" spans="1:41" s="294" customFormat="1" ht="15" customHeight="1">
      <c r="A1030047" s="44"/>
      <c r="B1030047" s="44"/>
      <c r="C1030047" s="44"/>
      <c r="D1030047" s="44"/>
      <c r="E1030047" s="44"/>
      <c r="F1030047" s="44"/>
      <c r="G1030047" s="44"/>
      <c r="H1030047" s="284"/>
      <c r="I1030047" s="44"/>
      <c r="J1030047" s="285"/>
      <c r="K1030047" s="285"/>
      <c r="L1030047" s="44"/>
      <c r="M1030047" s="44"/>
      <c r="N1030047" s="44"/>
      <c r="O1030047" s="286"/>
      <c r="P1030047" s="287"/>
      <c r="Q1030047" s="286"/>
      <c r="R1030047" s="288"/>
      <c r="S1030047" s="44"/>
      <c r="T1030047" s="44"/>
      <c r="U1030047" s="289"/>
      <c r="V1030047" s="44"/>
      <c r="W1030047" s="290"/>
      <c r="X1030047" s="44"/>
      <c r="Y1030047" s="291"/>
      <c r="Z1030047" s="291"/>
      <c r="AA1030047" s="296"/>
      <c r="AB1030047" s="293"/>
      <c r="AC1030047" s="293"/>
      <c r="AD1030047" s="293"/>
      <c r="AF1030047" s="285"/>
      <c r="AH1030047" s="44"/>
      <c r="AI1030047" s="44"/>
      <c r="AJ1030047" s="295"/>
      <c r="AK1030047" s="295"/>
      <c r="AL1030047" s="295"/>
      <c r="AM1030047" s="295"/>
      <c r="AN1030047" s="295"/>
      <c r="AO1030047" s="44"/>
    </row>
    <row r="1030048" spans="1:41" s="294" customFormat="1" ht="15" customHeight="1">
      <c r="A1030048" s="44"/>
      <c r="B1030048" s="44"/>
      <c r="C1030048" s="44"/>
      <c r="D1030048" s="44"/>
      <c r="E1030048" s="44"/>
      <c r="F1030048" s="44"/>
      <c r="G1030048" s="44"/>
      <c r="H1030048" s="284"/>
      <c r="I1030048" s="44"/>
      <c r="J1030048" s="285"/>
      <c r="K1030048" s="285"/>
      <c r="L1030048" s="44"/>
      <c r="M1030048" s="44"/>
      <c r="N1030048" s="44"/>
      <c r="O1030048" s="286"/>
      <c r="P1030048" s="287"/>
      <c r="Q1030048" s="286"/>
      <c r="R1030048" s="288"/>
      <c r="S1030048" s="44"/>
      <c r="T1030048" s="44"/>
      <c r="U1030048" s="289"/>
      <c r="V1030048" s="44"/>
      <c r="W1030048" s="290"/>
      <c r="X1030048" s="44"/>
      <c r="Y1030048" s="291"/>
      <c r="Z1030048" s="291"/>
      <c r="AA1030048" s="296"/>
      <c r="AB1030048" s="293"/>
      <c r="AC1030048" s="293"/>
      <c r="AD1030048" s="293"/>
      <c r="AF1030048" s="285"/>
      <c r="AH1030048" s="44"/>
      <c r="AI1030048" s="44"/>
      <c r="AJ1030048" s="295"/>
      <c r="AK1030048" s="295"/>
      <c r="AL1030048" s="295"/>
      <c r="AM1030048" s="295"/>
      <c r="AN1030048" s="295"/>
      <c r="AO1030048" s="44"/>
    </row>
    <row r="1030049" spans="1:41" s="294" customFormat="1" ht="15" customHeight="1">
      <c r="A1030049" s="44"/>
      <c r="B1030049" s="44"/>
      <c r="C1030049" s="44"/>
      <c r="D1030049" s="44"/>
      <c r="E1030049" s="44"/>
      <c r="F1030049" s="44"/>
      <c r="G1030049" s="44"/>
      <c r="H1030049" s="284"/>
      <c r="I1030049" s="44"/>
      <c r="J1030049" s="285"/>
      <c r="K1030049" s="285"/>
      <c r="L1030049" s="44"/>
      <c r="M1030049" s="44"/>
      <c r="N1030049" s="44"/>
      <c r="O1030049" s="286"/>
      <c r="P1030049" s="287"/>
      <c r="Q1030049" s="286"/>
      <c r="R1030049" s="288"/>
      <c r="S1030049" s="44"/>
      <c r="T1030049" s="44"/>
      <c r="U1030049" s="289"/>
      <c r="V1030049" s="44"/>
      <c r="W1030049" s="290"/>
      <c r="X1030049" s="44"/>
      <c r="Y1030049" s="291"/>
      <c r="Z1030049" s="291"/>
      <c r="AA1030049" s="296"/>
      <c r="AB1030049" s="293"/>
      <c r="AC1030049" s="293"/>
      <c r="AD1030049" s="293"/>
      <c r="AF1030049" s="285"/>
      <c r="AH1030049" s="44"/>
      <c r="AI1030049" s="44"/>
      <c r="AJ1030049" s="295"/>
      <c r="AK1030049" s="295"/>
      <c r="AL1030049" s="295"/>
      <c r="AM1030049" s="295"/>
      <c r="AN1030049" s="295"/>
      <c r="AO1030049" s="44"/>
    </row>
    <row r="1030050" spans="1:41" s="294" customFormat="1" ht="15" customHeight="1">
      <c r="A1030050" s="44"/>
      <c r="B1030050" s="44"/>
      <c r="C1030050" s="44"/>
      <c r="D1030050" s="44"/>
      <c r="E1030050" s="44"/>
      <c r="F1030050" s="44"/>
      <c r="G1030050" s="44"/>
      <c r="H1030050" s="284"/>
      <c r="I1030050" s="44"/>
      <c r="J1030050" s="285"/>
      <c r="K1030050" s="285"/>
      <c r="L1030050" s="44"/>
      <c r="M1030050" s="44"/>
      <c r="N1030050" s="44"/>
      <c r="O1030050" s="286"/>
      <c r="P1030050" s="287"/>
      <c r="Q1030050" s="286"/>
      <c r="R1030050" s="288"/>
      <c r="S1030050" s="44"/>
      <c r="T1030050" s="44"/>
      <c r="U1030050" s="289"/>
      <c r="V1030050" s="44"/>
      <c r="W1030050" s="290"/>
      <c r="X1030050" s="44"/>
      <c r="Y1030050" s="291"/>
      <c r="Z1030050" s="291"/>
      <c r="AA1030050" s="296"/>
      <c r="AB1030050" s="293"/>
      <c r="AC1030050" s="293"/>
      <c r="AD1030050" s="293"/>
      <c r="AF1030050" s="285"/>
      <c r="AH1030050" s="44"/>
      <c r="AI1030050" s="44"/>
      <c r="AJ1030050" s="295"/>
      <c r="AK1030050" s="295"/>
      <c r="AL1030050" s="295"/>
      <c r="AM1030050" s="295"/>
      <c r="AN1030050" s="295"/>
      <c r="AO1030050" s="44"/>
    </row>
    <row r="1030051" spans="1:41" s="294" customFormat="1" ht="15" customHeight="1">
      <c r="A1030051" s="44"/>
      <c r="B1030051" s="44"/>
      <c r="C1030051" s="44"/>
      <c r="D1030051" s="44"/>
      <c r="E1030051" s="44"/>
      <c r="F1030051" s="44"/>
      <c r="G1030051" s="44"/>
      <c r="H1030051" s="284"/>
      <c r="I1030051" s="44"/>
      <c r="J1030051" s="285"/>
      <c r="K1030051" s="285"/>
      <c r="L1030051" s="44"/>
      <c r="M1030051" s="44"/>
      <c r="N1030051" s="44"/>
      <c r="O1030051" s="286"/>
      <c r="P1030051" s="287"/>
      <c r="Q1030051" s="286"/>
      <c r="R1030051" s="288"/>
      <c r="S1030051" s="44"/>
      <c r="T1030051" s="44"/>
      <c r="U1030051" s="289"/>
      <c r="V1030051" s="44"/>
      <c r="W1030051" s="290"/>
      <c r="X1030051" s="44"/>
      <c r="Y1030051" s="291"/>
      <c r="Z1030051" s="291"/>
      <c r="AA1030051" s="296"/>
      <c r="AB1030051" s="293"/>
      <c r="AC1030051" s="293"/>
      <c r="AD1030051" s="293"/>
      <c r="AF1030051" s="285"/>
      <c r="AH1030051" s="44"/>
      <c r="AI1030051" s="44"/>
      <c r="AJ1030051" s="295"/>
      <c r="AK1030051" s="295"/>
      <c r="AL1030051" s="295"/>
      <c r="AM1030051" s="295"/>
      <c r="AN1030051" s="295"/>
      <c r="AO1030051" s="44"/>
    </row>
    <row r="1030052" spans="1:41" s="294" customFormat="1" ht="15" customHeight="1">
      <c r="A1030052" s="44"/>
      <c r="B1030052" s="44"/>
      <c r="C1030052" s="44"/>
      <c r="D1030052" s="44"/>
      <c r="E1030052" s="44"/>
      <c r="F1030052" s="44"/>
      <c r="G1030052" s="44"/>
      <c r="H1030052" s="284"/>
      <c r="I1030052" s="44"/>
      <c r="J1030052" s="285"/>
      <c r="K1030052" s="285"/>
      <c r="L1030052" s="44"/>
      <c r="M1030052" s="44"/>
      <c r="N1030052" s="44"/>
      <c r="O1030052" s="286"/>
      <c r="P1030052" s="287"/>
      <c r="Q1030052" s="286"/>
      <c r="R1030052" s="288"/>
      <c r="S1030052" s="44"/>
      <c r="T1030052" s="44"/>
      <c r="U1030052" s="289"/>
      <c r="V1030052" s="44"/>
      <c r="W1030052" s="290"/>
      <c r="X1030052" s="44"/>
      <c r="Y1030052" s="291"/>
      <c r="Z1030052" s="291"/>
      <c r="AA1030052" s="296"/>
      <c r="AB1030052" s="293"/>
      <c r="AC1030052" s="293"/>
      <c r="AD1030052" s="293"/>
      <c r="AF1030052" s="285"/>
      <c r="AH1030052" s="44"/>
      <c r="AI1030052" s="44"/>
      <c r="AJ1030052" s="295"/>
      <c r="AK1030052" s="295"/>
      <c r="AL1030052" s="295"/>
      <c r="AM1030052" s="295"/>
      <c r="AN1030052" s="295"/>
      <c r="AO1030052" s="44"/>
    </row>
    <row r="1030053" spans="1:41" s="294" customFormat="1" ht="15" customHeight="1">
      <c r="A1030053" s="44"/>
      <c r="B1030053" s="44"/>
      <c r="C1030053" s="44"/>
      <c r="D1030053" s="44"/>
      <c r="E1030053" s="44"/>
      <c r="F1030053" s="44"/>
      <c r="G1030053" s="44"/>
      <c r="H1030053" s="284"/>
      <c r="I1030053" s="44"/>
      <c r="J1030053" s="285"/>
      <c r="K1030053" s="285"/>
      <c r="L1030053" s="44"/>
      <c r="M1030053" s="44"/>
      <c r="N1030053" s="44"/>
      <c r="O1030053" s="286"/>
      <c r="P1030053" s="287"/>
      <c r="Q1030053" s="286"/>
      <c r="R1030053" s="288"/>
      <c r="S1030053" s="44"/>
      <c r="T1030053" s="44"/>
      <c r="U1030053" s="289"/>
      <c r="V1030053" s="44"/>
      <c r="W1030053" s="290"/>
      <c r="X1030053" s="44"/>
      <c r="Y1030053" s="291"/>
      <c r="Z1030053" s="291"/>
      <c r="AA1030053" s="296"/>
      <c r="AB1030053" s="293"/>
      <c r="AC1030053" s="293"/>
      <c r="AD1030053" s="293"/>
      <c r="AF1030053" s="285"/>
      <c r="AH1030053" s="44"/>
      <c r="AI1030053" s="44"/>
      <c r="AJ1030053" s="295"/>
      <c r="AK1030053" s="295"/>
      <c r="AL1030053" s="295"/>
      <c r="AM1030053" s="295"/>
      <c r="AN1030053" s="295"/>
      <c r="AO1030053" s="44"/>
    </row>
    <row r="1030054" spans="1:41" s="294" customFormat="1" ht="15" customHeight="1">
      <c r="A1030054" s="44"/>
      <c r="B1030054" s="44"/>
      <c r="C1030054" s="44"/>
      <c r="D1030054" s="44"/>
      <c r="E1030054" s="44"/>
      <c r="F1030054" s="44"/>
      <c r="G1030054" s="44"/>
      <c r="H1030054" s="284"/>
      <c r="I1030054" s="44"/>
      <c r="J1030054" s="285"/>
      <c r="K1030054" s="285"/>
      <c r="L1030054" s="44"/>
      <c r="M1030054" s="44"/>
      <c r="N1030054" s="44"/>
      <c r="O1030054" s="286"/>
      <c r="P1030054" s="287"/>
      <c r="Q1030054" s="286"/>
      <c r="R1030054" s="288"/>
      <c r="S1030054" s="44"/>
      <c r="T1030054" s="44"/>
      <c r="U1030054" s="289"/>
      <c r="V1030054" s="44"/>
      <c r="W1030054" s="290"/>
      <c r="X1030054" s="44"/>
      <c r="Y1030054" s="291"/>
      <c r="Z1030054" s="291"/>
      <c r="AA1030054" s="296"/>
      <c r="AB1030054" s="293"/>
      <c r="AC1030054" s="293"/>
      <c r="AD1030054" s="293"/>
      <c r="AF1030054" s="285"/>
      <c r="AH1030054" s="44"/>
      <c r="AI1030054" s="44"/>
      <c r="AJ1030054" s="295"/>
      <c r="AK1030054" s="295"/>
      <c r="AL1030054" s="295"/>
      <c r="AM1030054" s="295"/>
      <c r="AN1030054" s="295"/>
      <c r="AO1030054" s="44"/>
    </row>
    <row r="1030055" spans="1:41" s="294" customFormat="1" ht="15" customHeight="1">
      <c r="A1030055" s="44"/>
      <c r="B1030055" s="44"/>
      <c r="C1030055" s="44"/>
      <c r="D1030055" s="44"/>
      <c r="E1030055" s="44"/>
      <c r="F1030055" s="44"/>
      <c r="G1030055" s="44"/>
      <c r="H1030055" s="284"/>
      <c r="I1030055" s="44"/>
      <c r="J1030055" s="285"/>
      <c r="K1030055" s="285"/>
      <c r="L1030055" s="44"/>
      <c r="M1030055" s="44"/>
      <c r="N1030055" s="44"/>
      <c r="O1030055" s="286"/>
      <c r="P1030055" s="287"/>
      <c r="Q1030055" s="286"/>
      <c r="R1030055" s="288"/>
      <c r="S1030055" s="44"/>
      <c r="T1030055" s="44"/>
      <c r="U1030055" s="289"/>
      <c r="V1030055" s="44"/>
      <c r="W1030055" s="290"/>
      <c r="X1030055" s="44"/>
      <c r="Y1030055" s="291"/>
      <c r="Z1030055" s="291"/>
      <c r="AA1030055" s="296"/>
      <c r="AB1030055" s="293"/>
      <c r="AC1030055" s="293"/>
      <c r="AD1030055" s="293"/>
      <c r="AF1030055" s="285"/>
      <c r="AH1030055" s="44"/>
      <c r="AI1030055" s="44"/>
      <c r="AJ1030055" s="295"/>
      <c r="AK1030055" s="295"/>
      <c r="AL1030055" s="295"/>
      <c r="AM1030055" s="295"/>
      <c r="AN1030055" s="295"/>
      <c r="AO1030055" s="44"/>
    </row>
    <row r="1030056" spans="1:41" s="294" customFormat="1" ht="15" customHeight="1">
      <c r="A1030056" s="44"/>
      <c r="B1030056" s="44"/>
      <c r="C1030056" s="44"/>
      <c r="D1030056" s="44"/>
      <c r="E1030056" s="44"/>
      <c r="F1030056" s="44"/>
      <c r="G1030056" s="44"/>
      <c r="H1030056" s="284"/>
      <c r="I1030056" s="44"/>
      <c r="J1030056" s="285"/>
      <c r="K1030056" s="285"/>
      <c r="L1030056" s="44"/>
      <c r="M1030056" s="44"/>
      <c r="N1030056" s="44"/>
      <c r="O1030056" s="286"/>
      <c r="P1030056" s="287"/>
      <c r="Q1030056" s="286"/>
      <c r="R1030056" s="288"/>
      <c r="S1030056" s="44"/>
      <c r="T1030056" s="44"/>
      <c r="U1030056" s="289"/>
      <c r="V1030056" s="44"/>
      <c r="W1030056" s="290"/>
      <c r="X1030056" s="44"/>
      <c r="Y1030056" s="291"/>
      <c r="Z1030056" s="291"/>
      <c r="AA1030056" s="296"/>
      <c r="AB1030056" s="293"/>
      <c r="AC1030056" s="293"/>
      <c r="AD1030056" s="293"/>
      <c r="AF1030056" s="285"/>
      <c r="AH1030056" s="44"/>
      <c r="AI1030056" s="44"/>
      <c r="AJ1030056" s="295"/>
      <c r="AK1030056" s="295"/>
      <c r="AL1030056" s="295"/>
      <c r="AM1030056" s="295"/>
      <c r="AN1030056" s="295"/>
      <c r="AO1030056" s="44"/>
    </row>
    <row r="1030057" spans="1:41" s="294" customFormat="1" ht="15" customHeight="1">
      <c r="A1030057" s="44"/>
      <c r="B1030057" s="44"/>
      <c r="C1030057" s="44"/>
      <c r="D1030057" s="44"/>
      <c r="E1030057" s="44"/>
      <c r="F1030057" s="44"/>
      <c r="G1030057" s="44"/>
      <c r="H1030057" s="284"/>
      <c r="I1030057" s="44"/>
      <c r="J1030057" s="285"/>
      <c r="K1030057" s="285"/>
      <c r="L1030057" s="44"/>
      <c r="M1030057" s="44"/>
      <c r="N1030057" s="44"/>
      <c r="O1030057" s="286"/>
      <c r="P1030057" s="287"/>
      <c r="Q1030057" s="286"/>
      <c r="R1030057" s="288"/>
      <c r="S1030057" s="44"/>
      <c r="T1030057" s="44"/>
      <c r="U1030057" s="289"/>
      <c r="V1030057" s="44"/>
      <c r="W1030057" s="290"/>
      <c r="X1030057" s="44"/>
      <c r="Y1030057" s="291"/>
      <c r="Z1030057" s="291"/>
      <c r="AA1030057" s="296"/>
      <c r="AB1030057" s="293"/>
      <c r="AC1030057" s="293"/>
      <c r="AD1030057" s="293"/>
      <c r="AF1030057" s="285"/>
      <c r="AH1030057" s="44"/>
      <c r="AI1030057" s="44"/>
      <c r="AJ1030057" s="295"/>
      <c r="AK1030057" s="295"/>
      <c r="AL1030057" s="295"/>
      <c r="AM1030057" s="295"/>
      <c r="AN1030057" s="295"/>
      <c r="AO1030057" s="44"/>
    </row>
    <row r="1030058" spans="1:41" s="294" customFormat="1" ht="15" customHeight="1">
      <c r="A1030058" s="44"/>
      <c r="B1030058" s="44"/>
      <c r="C1030058" s="44"/>
      <c r="D1030058" s="44"/>
      <c r="E1030058" s="44"/>
      <c r="F1030058" s="44"/>
      <c r="G1030058" s="44"/>
      <c r="H1030058" s="284"/>
      <c r="I1030058" s="44"/>
      <c r="J1030058" s="285"/>
      <c r="K1030058" s="285"/>
      <c r="L1030058" s="44"/>
      <c r="M1030058" s="44"/>
      <c r="N1030058" s="44"/>
      <c r="O1030058" s="286"/>
      <c r="P1030058" s="287"/>
      <c r="Q1030058" s="286"/>
      <c r="R1030058" s="288"/>
      <c r="S1030058" s="44"/>
      <c r="T1030058" s="44"/>
      <c r="U1030058" s="289"/>
      <c r="V1030058" s="44"/>
      <c r="W1030058" s="290"/>
      <c r="X1030058" s="44"/>
      <c r="Y1030058" s="291"/>
      <c r="Z1030058" s="291"/>
      <c r="AA1030058" s="296"/>
      <c r="AB1030058" s="293"/>
      <c r="AC1030058" s="293"/>
      <c r="AD1030058" s="293"/>
      <c r="AF1030058" s="285"/>
      <c r="AH1030058" s="44"/>
      <c r="AI1030058" s="44"/>
      <c r="AJ1030058" s="295"/>
      <c r="AK1030058" s="295"/>
      <c r="AL1030058" s="295"/>
      <c r="AM1030058" s="295"/>
      <c r="AN1030058" s="295"/>
      <c r="AO1030058" s="44"/>
    </row>
    <row r="1030059" spans="1:41" s="294" customFormat="1" ht="15" customHeight="1">
      <c r="A1030059" s="44"/>
      <c r="B1030059" s="44"/>
      <c r="C1030059" s="44"/>
      <c r="D1030059" s="44"/>
      <c r="E1030059" s="44"/>
      <c r="F1030059" s="44"/>
      <c r="G1030059" s="44"/>
      <c r="H1030059" s="284"/>
      <c r="I1030059" s="44"/>
      <c r="J1030059" s="285"/>
      <c r="K1030059" s="285"/>
      <c r="L1030059" s="44"/>
      <c r="M1030059" s="44"/>
      <c r="N1030059" s="44"/>
      <c r="O1030059" s="286"/>
      <c r="P1030059" s="287"/>
      <c r="Q1030059" s="286"/>
      <c r="R1030059" s="288"/>
      <c r="S1030059" s="44"/>
      <c r="T1030059" s="44"/>
      <c r="U1030059" s="289"/>
      <c r="V1030059" s="44"/>
      <c r="W1030059" s="290"/>
      <c r="X1030059" s="44"/>
      <c r="Y1030059" s="291"/>
      <c r="Z1030059" s="291"/>
      <c r="AA1030059" s="296"/>
      <c r="AB1030059" s="293"/>
      <c r="AC1030059" s="293"/>
      <c r="AD1030059" s="293"/>
      <c r="AF1030059" s="285"/>
      <c r="AH1030059" s="44"/>
      <c r="AI1030059" s="44"/>
      <c r="AJ1030059" s="295"/>
      <c r="AK1030059" s="295"/>
      <c r="AL1030059" s="295"/>
      <c r="AM1030059" s="295"/>
      <c r="AN1030059" s="295"/>
      <c r="AO1030059" s="44"/>
    </row>
    <row r="1030060" spans="1:41" s="294" customFormat="1" ht="15" customHeight="1">
      <c r="A1030060" s="44"/>
      <c r="B1030060" s="44"/>
      <c r="C1030060" s="44"/>
      <c r="D1030060" s="44"/>
      <c r="E1030060" s="44"/>
      <c r="F1030060" s="44"/>
      <c r="G1030060" s="44"/>
      <c r="H1030060" s="284"/>
      <c r="I1030060" s="44"/>
      <c r="J1030060" s="285"/>
      <c r="K1030060" s="285"/>
      <c r="L1030060" s="44"/>
      <c r="M1030060" s="44"/>
      <c r="N1030060" s="44"/>
      <c r="O1030060" s="286"/>
      <c r="P1030060" s="287"/>
      <c r="Q1030060" s="286"/>
      <c r="R1030060" s="288"/>
      <c r="S1030060" s="44"/>
      <c r="T1030060" s="44"/>
      <c r="U1030060" s="289"/>
      <c r="V1030060" s="44"/>
      <c r="W1030060" s="290"/>
      <c r="X1030060" s="44"/>
      <c r="Y1030060" s="291"/>
      <c r="Z1030060" s="291"/>
      <c r="AA1030060" s="296"/>
      <c r="AB1030060" s="293"/>
      <c r="AC1030060" s="293"/>
      <c r="AD1030060" s="293"/>
      <c r="AF1030060" s="285"/>
      <c r="AH1030060" s="44"/>
      <c r="AI1030060" s="44"/>
      <c r="AJ1030060" s="295"/>
      <c r="AK1030060" s="295"/>
      <c r="AL1030060" s="295"/>
      <c r="AM1030060" s="295"/>
      <c r="AN1030060" s="295"/>
      <c r="AO1030060" s="44"/>
    </row>
    <row r="1030061" spans="1:41" s="294" customFormat="1" ht="15" customHeight="1">
      <c r="A1030061" s="44"/>
      <c r="B1030061" s="44"/>
      <c r="C1030061" s="44"/>
      <c r="D1030061" s="44"/>
      <c r="E1030061" s="44"/>
      <c r="F1030061" s="44"/>
      <c r="G1030061" s="44"/>
      <c r="H1030061" s="284"/>
      <c r="I1030061" s="44"/>
      <c r="J1030061" s="285"/>
      <c r="K1030061" s="285"/>
      <c r="L1030061" s="44"/>
      <c r="M1030061" s="44"/>
      <c r="N1030061" s="44"/>
      <c r="O1030061" s="286"/>
      <c r="P1030061" s="287"/>
      <c r="Q1030061" s="286"/>
      <c r="R1030061" s="288"/>
      <c r="S1030061" s="44"/>
      <c r="T1030061" s="44"/>
      <c r="U1030061" s="289"/>
      <c r="V1030061" s="44"/>
      <c r="W1030061" s="290"/>
      <c r="X1030061" s="44"/>
      <c r="Y1030061" s="291"/>
      <c r="Z1030061" s="291"/>
      <c r="AA1030061" s="296"/>
      <c r="AB1030061" s="293"/>
      <c r="AC1030061" s="293"/>
      <c r="AD1030061" s="293"/>
      <c r="AF1030061" s="285"/>
      <c r="AH1030061" s="44"/>
      <c r="AI1030061" s="44"/>
      <c r="AJ1030061" s="295"/>
      <c r="AK1030061" s="295"/>
      <c r="AL1030061" s="295"/>
      <c r="AM1030061" s="295"/>
      <c r="AN1030061" s="295"/>
      <c r="AO1030061" s="44"/>
    </row>
    <row r="1030062" spans="1:41" s="294" customFormat="1" ht="15" customHeight="1">
      <c r="A1030062" s="44"/>
      <c r="B1030062" s="44"/>
      <c r="C1030062" s="44"/>
      <c r="D1030062" s="44"/>
      <c r="E1030062" s="44"/>
      <c r="F1030062" s="44"/>
      <c r="G1030062" s="44"/>
      <c r="H1030062" s="284"/>
      <c r="I1030062" s="44"/>
      <c r="J1030062" s="285"/>
      <c r="K1030062" s="285"/>
      <c r="L1030062" s="44"/>
      <c r="M1030062" s="44"/>
      <c r="N1030062" s="44"/>
      <c r="O1030062" s="286"/>
      <c r="P1030062" s="287"/>
      <c r="Q1030062" s="286"/>
      <c r="R1030062" s="288"/>
      <c r="S1030062" s="44"/>
      <c r="T1030062" s="44"/>
      <c r="U1030062" s="289"/>
      <c r="V1030062" s="44"/>
      <c r="W1030062" s="290"/>
      <c r="X1030062" s="44"/>
      <c r="Y1030062" s="291"/>
      <c r="Z1030062" s="291"/>
      <c r="AA1030062" s="296"/>
      <c r="AB1030062" s="293"/>
      <c r="AC1030062" s="293"/>
      <c r="AD1030062" s="293"/>
      <c r="AF1030062" s="285"/>
      <c r="AH1030062" s="44"/>
      <c r="AI1030062" s="44"/>
      <c r="AJ1030062" s="295"/>
      <c r="AK1030062" s="295"/>
      <c r="AL1030062" s="295"/>
      <c r="AM1030062" s="295"/>
      <c r="AN1030062" s="295"/>
      <c r="AO1030062" s="44"/>
    </row>
    <row r="1030063" spans="1:41" s="294" customFormat="1" ht="15" customHeight="1">
      <c r="A1030063" s="44"/>
      <c r="B1030063" s="44"/>
      <c r="C1030063" s="44"/>
      <c r="D1030063" s="44"/>
      <c r="E1030063" s="44"/>
      <c r="F1030063" s="44"/>
      <c r="G1030063" s="44"/>
      <c r="H1030063" s="284"/>
      <c r="I1030063" s="44"/>
      <c r="J1030063" s="285"/>
      <c r="K1030063" s="285"/>
      <c r="L1030063" s="44"/>
      <c r="M1030063" s="44"/>
      <c r="N1030063" s="44"/>
      <c r="O1030063" s="286"/>
      <c r="P1030063" s="287"/>
      <c r="Q1030063" s="286"/>
      <c r="R1030063" s="288"/>
      <c r="S1030063" s="44"/>
      <c r="T1030063" s="44"/>
      <c r="U1030063" s="289"/>
      <c r="V1030063" s="44"/>
      <c r="W1030063" s="290"/>
      <c r="X1030063" s="44"/>
      <c r="Y1030063" s="291"/>
      <c r="Z1030063" s="291"/>
      <c r="AA1030063" s="296"/>
      <c r="AB1030063" s="293"/>
      <c r="AC1030063" s="293"/>
      <c r="AD1030063" s="293"/>
      <c r="AF1030063" s="285"/>
      <c r="AH1030063" s="44"/>
      <c r="AI1030063" s="44"/>
      <c r="AJ1030063" s="295"/>
      <c r="AK1030063" s="295"/>
      <c r="AL1030063" s="295"/>
      <c r="AM1030063" s="295"/>
      <c r="AN1030063" s="295"/>
      <c r="AO1030063" s="44"/>
    </row>
    <row r="1030064" spans="1:41" s="294" customFormat="1" ht="15" customHeight="1">
      <c r="A1030064" s="44"/>
      <c r="B1030064" s="44"/>
      <c r="C1030064" s="44"/>
      <c r="D1030064" s="44"/>
      <c r="E1030064" s="44"/>
      <c r="F1030064" s="44"/>
      <c r="G1030064" s="44"/>
      <c r="H1030064" s="284"/>
      <c r="I1030064" s="44"/>
      <c r="J1030064" s="285"/>
      <c r="K1030064" s="285"/>
      <c r="L1030064" s="44"/>
      <c r="M1030064" s="44"/>
      <c r="N1030064" s="44"/>
      <c r="O1030064" s="286"/>
      <c r="P1030064" s="287"/>
      <c r="Q1030064" s="286"/>
      <c r="R1030064" s="288"/>
      <c r="S1030064" s="44"/>
      <c r="T1030064" s="44"/>
      <c r="U1030064" s="289"/>
      <c r="V1030064" s="44"/>
      <c r="W1030064" s="290"/>
      <c r="X1030064" s="44"/>
      <c r="Y1030064" s="291"/>
      <c r="Z1030064" s="291"/>
      <c r="AA1030064" s="296"/>
      <c r="AB1030064" s="293"/>
      <c r="AC1030064" s="293"/>
      <c r="AD1030064" s="293"/>
      <c r="AF1030064" s="285"/>
      <c r="AH1030064" s="44"/>
      <c r="AI1030064" s="44"/>
      <c r="AJ1030064" s="295"/>
      <c r="AK1030064" s="295"/>
      <c r="AL1030064" s="295"/>
      <c r="AM1030064" s="295"/>
      <c r="AN1030064" s="295"/>
      <c r="AO1030064" s="44"/>
    </row>
    <row r="1030065" spans="1:41" s="294" customFormat="1" ht="15" customHeight="1">
      <c r="A1030065" s="44"/>
      <c r="B1030065" s="44"/>
      <c r="C1030065" s="44"/>
      <c r="D1030065" s="44"/>
      <c r="E1030065" s="44"/>
      <c r="F1030065" s="44"/>
      <c r="G1030065" s="44"/>
      <c r="H1030065" s="284"/>
      <c r="I1030065" s="44"/>
      <c r="J1030065" s="285"/>
      <c r="K1030065" s="285"/>
      <c r="L1030065" s="44"/>
      <c r="M1030065" s="44"/>
      <c r="N1030065" s="44"/>
      <c r="O1030065" s="286"/>
      <c r="P1030065" s="287"/>
      <c r="Q1030065" s="286"/>
      <c r="R1030065" s="288"/>
      <c r="S1030065" s="44"/>
      <c r="T1030065" s="44"/>
      <c r="U1030065" s="289"/>
      <c r="V1030065" s="44"/>
      <c r="W1030065" s="290"/>
      <c r="X1030065" s="44"/>
      <c r="Y1030065" s="291"/>
      <c r="Z1030065" s="291"/>
      <c r="AA1030065" s="296"/>
      <c r="AB1030065" s="293"/>
      <c r="AC1030065" s="293"/>
      <c r="AD1030065" s="293"/>
      <c r="AF1030065" s="285"/>
      <c r="AH1030065" s="44"/>
      <c r="AI1030065" s="44"/>
      <c r="AJ1030065" s="295"/>
      <c r="AK1030065" s="295"/>
      <c r="AL1030065" s="295"/>
      <c r="AM1030065" s="295"/>
      <c r="AN1030065" s="295"/>
      <c r="AO1030065" s="44"/>
    </row>
    <row r="1030066" spans="1:41" s="294" customFormat="1" ht="15" customHeight="1">
      <c r="A1030066" s="44"/>
      <c r="B1030066" s="44"/>
      <c r="C1030066" s="44"/>
      <c r="D1030066" s="44"/>
      <c r="E1030066" s="44"/>
      <c r="F1030066" s="44"/>
      <c r="G1030066" s="44"/>
      <c r="H1030066" s="284"/>
      <c r="I1030066" s="44"/>
      <c r="J1030066" s="285"/>
      <c r="K1030066" s="285"/>
      <c r="L1030066" s="44"/>
      <c r="M1030066" s="44"/>
      <c r="N1030066" s="44"/>
      <c r="O1030066" s="286"/>
      <c r="P1030066" s="287"/>
      <c r="Q1030066" s="286"/>
      <c r="R1030066" s="288"/>
      <c r="S1030066" s="44"/>
      <c r="T1030066" s="44"/>
      <c r="U1030066" s="289"/>
      <c r="V1030066" s="44"/>
      <c r="W1030066" s="290"/>
      <c r="X1030066" s="44"/>
      <c r="Y1030066" s="291"/>
      <c r="Z1030066" s="291"/>
      <c r="AA1030066" s="296"/>
      <c r="AB1030066" s="293"/>
      <c r="AC1030066" s="293"/>
      <c r="AD1030066" s="293"/>
      <c r="AF1030066" s="285"/>
      <c r="AH1030066" s="44"/>
      <c r="AI1030066" s="44"/>
      <c r="AJ1030066" s="295"/>
      <c r="AK1030066" s="295"/>
      <c r="AL1030066" s="295"/>
      <c r="AM1030066" s="295"/>
      <c r="AN1030066" s="295"/>
      <c r="AO1030066" s="44"/>
    </row>
    <row r="1030067" spans="1:41" s="294" customFormat="1" ht="15" customHeight="1">
      <c r="A1030067" s="44"/>
      <c r="B1030067" s="44"/>
      <c r="C1030067" s="44"/>
      <c r="D1030067" s="44"/>
      <c r="E1030067" s="44"/>
      <c r="F1030067" s="44"/>
      <c r="G1030067" s="44"/>
      <c r="H1030067" s="284"/>
      <c r="I1030067" s="44"/>
      <c r="J1030067" s="285"/>
      <c r="K1030067" s="285"/>
      <c r="L1030067" s="44"/>
      <c r="M1030067" s="44"/>
      <c r="N1030067" s="44"/>
      <c r="O1030067" s="286"/>
      <c r="P1030067" s="287"/>
      <c r="Q1030067" s="286"/>
      <c r="R1030067" s="288"/>
      <c r="S1030067" s="44"/>
      <c r="T1030067" s="44"/>
      <c r="U1030067" s="289"/>
      <c r="V1030067" s="44"/>
      <c r="W1030067" s="290"/>
      <c r="X1030067" s="44"/>
      <c r="Y1030067" s="291"/>
      <c r="Z1030067" s="291"/>
      <c r="AA1030067" s="296"/>
      <c r="AB1030067" s="293"/>
      <c r="AC1030067" s="293"/>
      <c r="AD1030067" s="293"/>
      <c r="AF1030067" s="285"/>
      <c r="AH1030067" s="44"/>
      <c r="AI1030067" s="44"/>
      <c r="AJ1030067" s="295"/>
      <c r="AK1030067" s="295"/>
      <c r="AL1030067" s="295"/>
      <c r="AM1030067" s="295"/>
      <c r="AN1030067" s="295"/>
      <c r="AO1030067" s="44"/>
    </row>
    <row r="1030068" spans="1:41" s="294" customFormat="1" ht="15" customHeight="1">
      <c r="A1030068" s="44"/>
      <c r="B1030068" s="44"/>
      <c r="C1030068" s="44"/>
      <c r="D1030068" s="44"/>
      <c r="E1030068" s="44"/>
      <c r="F1030068" s="44"/>
      <c r="G1030068" s="44"/>
      <c r="H1030068" s="284"/>
      <c r="I1030068" s="44"/>
      <c r="J1030068" s="285"/>
      <c r="K1030068" s="285"/>
      <c r="L1030068" s="44"/>
      <c r="M1030068" s="44"/>
      <c r="N1030068" s="44"/>
      <c r="O1030068" s="286"/>
      <c r="P1030068" s="287"/>
      <c r="Q1030068" s="286"/>
      <c r="R1030068" s="288"/>
      <c r="S1030068" s="44"/>
      <c r="T1030068" s="44"/>
      <c r="U1030068" s="289"/>
      <c r="V1030068" s="44"/>
      <c r="W1030068" s="290"/>
      <c r="X1030068" s="44"/>
      <c r="Y1030068" s="291"/>
      <c r="Z1030068" s="291"/>
      <c r="AA1030068" s="296"/>
      <c r="AB1030068" s="293"/>
      <c r="AC1030068" s="293"/>
      <c r="AD1030068" s="293"/>
      <c r="AF1030068" s="285"/>
      <c r="AH1030068" s="44"/>
      <c r="AI1030068" s="44"/>
      <c r="AJ1030068" s="295"/>
      <c r="AK1030068" s="295"/>
      <c r="AL1030068" s="295"/>
      <c r="AM1030068" s="295"/>
      <c r="AN1030068" s="295"/>
      <c r="AO1030068" s="44"/>
    </row>
    <row r="1030069" spans="1:41" s="294" customFormat="1" ht="15" customHeight="1">
      <c r="A1030069" s="44"/>
      <c r="B1030069" s="44"/>
      <c r="C1030069" s="44"/>
      <c r="D1030069" s="44"/>
      <c r="E1030069" s="44"/>
      <c r="F1030069" s="44"/>
      <c r="G1030069" s="44"/>
      <c r="H1030069" s="284"/>
      <c r="I1030069" s="44"/>
      <c r="J1030069" s="285"/>
      <c r="K1030069" s="285"/>
      <c r="L1030069" s="44"/>
      <c r="M1030069" s="44"/>
      <c r="N1030069" s="44"/>
      <c r="O1030069" s="286"/>
      <c r="P1030069" s="287"/>
      <c r="Q1030069" s="286"/>
      <c r="R1030069" s="288"/>
      <c r="S1030069" s="44"/>
      <c r="T1030069" s="44"/>
      <c r="U1030069" s="289"/>
      <c r="V1030069" s="44"/>
      <c r="W1030069" s="290"/>
      <c r="X1030069" s="44"/>
      <c r="Y1030069" s="291"/>
      <c r="Z1030069" s="291"/>
      <c r="AA1030069" s="296"/>
      <c r="AB1030069" s="293"/>
      <c r="AC1030069" s="293"/>
      <c r="AD1030069" s="293"/>
      <c r="AF1030069" s="285"/>
      <c r="AH1030069" s="44"/>
      <c r="AI1030069" s="44"/>
      <c r="AJ1030069" s="295"/>
      <c r="AK1030069" s="295"/>
      <c r="AL1030069" s="295"/>
      <c r="AM1030069" s="295"/>
      <c r="AN1030069" s="295"/>
      <c r="AO1030069" s="44"/>
    </row>
    <row r="1030070" spans="1:41" s="294" customFormat="1" ht="15" customHeight="1">
      <c r="A1030070" s="44"/>
      <c r="B1030070" s="44"/>
      <c r="C1030070" s="44"/>
      <c r="D1030070" s="44"/>
      <c r="E1030070" s="44"/>
      <c r="F1030070" s="44"/>
      <c r="G1030070" s="44"/>
      <c r="H1030070" s="284"/>
      <c r="I1030070" s="44"/>
      <c r="J1030070" s="285"/>
      <c r="K1030070" s="285"/>
      <c r="L1030070" s="44"/>
      <c r="M1030070" s="44"/>
      <c r="N1030070" s="44"/>
      <c r="O1030070" s="286"/>
      <c r="P1030070" s="287"/>
      <c r="Q1030070" s="286"/>
      <c r="R1030070" s="288"/>
      <c r="S1030070" s="44"/>
      <c r="T1030070" s="44"/>
      <c r="U1030070" s="289"/>
      <c r="V1030070" s="44"/>
      <c r="W1030070" s="290"/>
      <c r="X1030070" s="44"/>
      <c r="Y1030070" s="291"/>
      <c r="Z1030070" s="291"/>
      <c r="AA1030070" s="296"/>
      <c r="AB1030070" s="293"/>
      <c r="AC1030070" s="293"/>
      <c r="AD1030070" s="293"/>
      <c r="AF1030070" s="285"/>
      <c r="AH1030070" s="44"/>
      <c r="AI1030070" s="44"/>
      <c r="AJ1030070" s="295"/>
      <c r="AK1030070" s="295"/>
      <c r="AL1030070" s="295"/>
      <c r="AM1030070" s="295"/>
      <c r="AN1030070" s="295"/>
      <c r="AO1030070" s="44"/>
    </row>
    <row r="1030071" spans="1:41" s="294" customFormat="1" ht="15" customHeight="1">
      <c r="A1030071" s="44"/>
      <c r="B1030071" s="44"/>
      <c r="C1030071" s="44"/>
      <c r="D1030071" s="44"/>
      <c r="E1030071" s="44"/>
      <c r="F1030071" s="44"/>
      <c r="G1030071" s="44"/>
      <c r="H1030071" s="284"/>
      <c r="I1030071" s="44"/>
      <c r="J1030071" s="285"/>
      <c r="K1030071" s="285"/>
      <c r="L1030071" s="44"/>
      <c r="M1030071" s="44"/>
      <c r="N1030071" s="44"/>
      <c r="O1030071" s="286"/>
      <c r="P1030071" s="287"/>
      <c r="Q1030071" s="286"/>
      <c r="R1030071" s="288"/>
      <c r="S1030071" s="44"/>
      <c r="T1030071" s="44"/>
      <c r="U1030071" s="289"/>
      <c r="V1030071" s="44"/>
      <c r="W1030071" s="290"/>
      <c r="X1030071" s="44"/>
      <c r="Y1030071" s="291"/>
      <c r="Z1030071" s="291"/>
      <c r="AA1030071" s="296"/>
      <c r="AB1030071" s="293"/>
      <c r="AC1030071" s="293"/>
      <c r="AD1030071" s="293"/>
      <c r="AF1030071" s="285"/>
      <c r="AH1030071" s="44"/>
      <c r="AI1030071" s="44"/>
      <c r="AJ1030071" s="295"/>
      <c r="AK1030071" s="295"/>
      <c r="AL1030071" s="295"/>
      <c r="AM1030071" s="295"/>
      <c r="AN1030071" s="295"/>
      <c r="AO1030071" s="44"/>
    </row>
    <row r="1030072" spans="1:41" s="294" customFormat="1" ht="15" customHeight="1">
      <c r="A1030072" s="44"/>
      <c r="B1030072" s="44"/>
      <c r="C1030072" s="44"/>
      <c r="D1030072" s="44"/>
      <c r="E1030072" s="44"/>
      <c r="F1030072" s="44"/>
      <c r="G1030072" s="44"/>
      <c r="H1030072" s="284"/>
      <c r="I1030072" s="44"/>
      <c r="J1030072" s="285"/>
      <c r="K1030072" s="285"/>
      <c r="L1030072" s="44"/>
      <c r="M1030072" s="44"/>
      <c r="N1030072" s="44"/>
      <c r="O1030072" s="286"/>
      <c r="P1030072" s="287"/>
      <c r="Q1030072" s="286"/>
      <c r="R1030072" s="288"/>
      <c r="S1030072" s="44"/>
      <c r="T1030072" s="44"/>
      <c r="U1030072" s="289"/>
      <c r="V1030072" s="44"/>
      <c r="W1030072" s="290"/>
      <c r="X1030072" s="44"/>
      <c r="Y1030072" s="291"/>
      <c r="Z1030072" s="291"/>
      <c r="AA1030072" s="296"/>
      <c r="AB1030072" s="293"/>
      <c r="AC1030072" s="293"/>
      <c r="AD1030072" s="293"/>
      <c r="AF1030072" s="285"/>
      <c r="AH1030072" s="44"/>
      <c r="AI1030072" s="44"/>
      <c r="AJ1030072" s="295"/>
      <c r="AK1030072" s="295"/>
      <c r="AL1030072" s="295"/>
      <c r="AM1030072" s="295"/>
      <c r="AN1030072" s="295"/>
      <c r="AO1030072" s="44"/>
    </row>
    <row r="1030073" spans="1:41" s="294" customFormat="1" ht="15" customHeight="1">
      <c r="A1030073" s="44"/>
      <c r="B1030073" s="44"/>
      <c r="C1030073" s="44"/>
      <c r="D1030073" s="44"/>
      <c r="E1030073" s="44"/>
      <c r="F1030073" s="44"/>
      <c r="G1030073" s="44"/>
      <c r="H1030073" s="284"/>
      <c r="I1030073" s="44"/>
      <c r="J1030073" s="285"/>
      <c r="K1030073" s="285"/>
      <c r="L1030073" s="44"/>
      <c r="M1030073" s="44"/>
      <c r="N1030073" s="44"/>
      <c r="O1030073" s="286"/>
      <c r="P1030073" s="287"/>
      <c r="Q1030073" s="286"/>
      <c r="R1030073" s="288"/>
      <c r="S1030073" s="44"/>
      <c r="T1030073" s="44"/>
      <c r="U1030073" s="289"/>
      <c r="V1030073" s="44"/>
      <c r="W1030073" s="290"/>
      <c r="X1030073" s="44"/>
      <c r="Y1030073" s="291"/>
      <c r="Z1030073" s="291"/>
      <c r="AA1030073" s="296"/>
      <c r="AB1030073" s="293"/>
      <c r="AC1030073" s="293"/>
      <c r="AD1030073" s="293"/>
      <c r="AF1030073" s="285"/>
      <c r="AH1030073" s="44"/>
      <c r="AI1030073" s="44"/>
      <c r="AJ1030073" s="295"/>
      <c r="AK1030073" s="295"/>
      <c r="AL1030073" s="295"/>
      <c r="AM1030073" s="295"/>
      <c r="AN1030073" s="295"/>
      <c r="AO1030073" s="44"/>
    </row>
    <row r="1030074" spans="1:41" s="294" customFormat="1" ht="15" customHeight="1">
      <c r="A1030074" s="44"/>
      <c r="B1030074" s="44"/>
      <c r="C1030074" s="44"/>
      <c r="D1030074" s="44"/>
      <c r="E1030074" s="44"/>
      <c r="F1030074" s="44"/>
      <c r="G1030074" s="44"/>
      <c r="H1030074" s="284"/>
      <c r="I1030074" s="44"/>
      <c r="J1030074" s="285"/>
      <c r="K1030074" s="285"/>
      <c r="L1030074" s="44"/>
      <c r="M1030074" s="44"/>
      <c r="N1030074" s="44"/>
      <c r="O1030074" s="286"/>
      <c r="P1030074" s="287"/>
      <c r="Q1030074" s="286"/>
      <c r="R1030074" s="288"/>
      <c r="S1030074" s="44"/>
      <c r="T1030074" s="44"/>
      <c r="U1030074" s="289"/>
      <c r="V1030074" s="44"/>
      <c r="W1030074" s="290"/>
      <c r="X1030074" s="44"/>
      <c r="Y1030074" s="291"/>
      <c r="Z1030074" s="291"/>
      <c r="AA1030074" s="296"/>
      <c r="AB1030074" s="293"/>
      <c r="AC1030074" s="293"/>
      <c r="AD1030074" s="293"/>
      <c r="AF1030074" s="285"/>
      <c r="AH1030074" s="44"/>
      <c r="AI1030074" s="44"/>
      <c r="AJ1030074" s="295"/>
      <c r="AK1030074" s="295"/>
      <c r="AL1030074" s="295"/>
      <c r="AM1030074" s="295"/>
      <c r="AN1030074" s="295"/>
      <c r="AO1030074" s="44"/>
    </row>
    <row r="1030075" spans="1:41" s="294" customFormat="1" ht="15" customHeight="1">
      <c r="A1030075" s="44"/>
      <c r="B1030075" s="44"/>
      <c r="C1030075" s="44"/>
      <c r="D1030075" s="44"/>
      <c r="E1030075" s="44"/>
      <c r="F1030075" s="44"/>
      <c r="G1030075" s="44"/>
      <c r="H1030075" s="284"/>
      <c r="I1030075" s="44"/>
      <c r="J1030075" s="285"/>
      <c r="K1030075" s="285"/>
      <c r="L1030075" s="44"/>
      <c r="M1030075" s="44"/>
      <c r="N1030075" s="44"/>
      <c r="O1030075" s="286"/>
      <c r="P1030075" s="287"/>
      <c r="Q1030075" s="286"/>
      <c r="R1030075" s="288"/>
      <c r="S1030075" s="44"/>
      <c r="T1030075" s="44"/>
      <c r="U1030075" s="289"/>
      <c r="V1030075" s="44"/>
      <c r="W1030075" s="290"/>
      <c r="X1030075" s="44"/>
      <c r="Y1030075" s="291"/>
      <c r="Z1030075" s="291"/>
      <c r="AA1030075" s="296"/>
      <c r="AB1030075" s="293"/>
      <c r="AC1030075" s="293"/>
      <c r="AD1030075" s="293"/>
      <c r="AF1030075" s="285"/>
      <c r="AH1030075" s="44"/>
      <c r="AI1030075" s="44"/>
      <c r="AJ1030075" s="295"/>
      <c r="AK1030075" s="295"/>
      <c r="AL1030075" s="295"/>
      <c r="AM1030075" s="295"/>
      <c r="AN1030075" s="295"/>
      <c r="AO1030075" s="44"/>
    </row>
    <row r="1030076" spans="1:41" s="294" customFormat="1" ht="15" customHeight="1">
      <c r="A1030076" s="44"/>
      <c r="B1030076" s="44"/>
      <c r="C1030076" s="44"/>
      <c r="D1030076" s="44"/>
      <c r="E1030076" s="44"/>
      <c r="F1030076" s="44"/>
      <c r="G1030076" s="44"/>
      <c r="H1030076" s="284"/>
      <c r="I1030076" s="44"/>
      <c r="J1030076" s="285"/>
      <c r="K1030076" s="285"/>
      <c r="L1030076" s="44"/>
      <c r="M1030076" s="44"/>
      <c r="N1030076" s="44"/>
      <c r="O1030076" s="286"/>
      <c r="P1030076" s="287"/>
      <c r="Q1030076" s="286"/>
      <c r="R1030076" s="288"/>
      <c r="S1030076" s="44"/>
      <c r="T1030076" s="44"/>
      <c r="U1030076" s="289"/>
      <c r="V1030076" s="44"/>
      <c r="W1030076" s="290"/>
      <c r="X1030076" s="44"/>
      <c r="Y1030076" s="291"/>
      <c r="Z1030076" s="291"/>
      <c r="AA1030076" s="296"/>
      <c r="AB1030076" s="293"/>
      <c r="AC1030076" s="293"/>
      <c r="AD1030076" s="293"/>
      <c r="AF1030076" s="285"/>
      <c r="AH1030076" s="44"/>
      <c r="AI1030076" s="44"/>
      <c r="AJ1030076" s="295"/>
      <c r="AK1030076" s="295"/>
      <c r="AL1030076" s="295"/>
      <c r="AM1030076" s="295"/>
      <c r="AN1030076" s="295"/>
      <c r="AO1030076" s="44"/>
    </row>
    <row r="1030077" spans="1:41" s="294" customFormat="1" ht="15" customHeight="1">
      <c r="A1030077" s="44"/>
      <c r="B1030077" s="44"/>
      <c r="C1030077" s="44"/>
      <c r="D1030077" s="44"/>
      <c r="E1030077" s="44"/>
      <c r="F1030077" s="44"/>
      <c r="G1030077" s="44"/>
      <c r="H1030077" s="284"/>
      <c r="I1030077" s="44"/>
      <c r="J1030077" s="285"/>
      <c r="K1030077" s="285"/>
      <c r="L1030077" s="44"/>
      <c r="M1030077" s="44"/>
      <c r="N1030077" s="44"/>
      <c r="O1030077" s="286"/>
      <c r="P1030077" s="287"/>
      <c r="Q1030077" s="286"/>
      <c r="R1030077" s="288"/>
      <c r="S1030077" s="44"/>
      <c r="T1030077" s="44"/>
      <c r="U1030077" s="289"/>
      <c r="V1030077" s="44"/>
      <c r="W1030077" s="290"/>
      <c r="X1030077" s="44"/>
      <c r="Y1030077" s="291"/>
      <c r="Z1030077" s="291"/>
      <c r="AA1030077" s="296"/>
      <c r="AB1030077" s="293"/>
      <c r="AC1030077" s="293"/>
      <c r="AD1030077" s="293"/>
      <c r="AF1030077" s="285"/>
      <c r="AH1030077" s="44"/>
      <c r="AI1030077" s="44"/>
      <c r="AJ1030077" s="295"/>
      <c r="AK1030077" s="295"/>
      <c r="AL1030077" s="295"/>
      <c r="AM1030077" s="295"/>
      <c r="AN1030077" s="295"/>
      <c r="AO1030077" s="44"/>
    </row>
    <row r="1030078" spans="1:41" s="294" customFormat="1" ht="15" customHeight="1">
      <c r="A1030078" s="44"/>
      <c r="B1030078" s="44"/>
      <c r="C1030078" s="44"/>
      <c r="D1030078" s="44"/>
      <c r="E1030078" s="44"/>
      <c r="F1030078" s="44"/>
      <c r="G1030078" s="44"/>
      <c r="H1030078" s="284"/>
      <c r="I1030078" s="44"/>
      <c r="J1030078" s="285"/>
      <c r="K1030078" s="285"/>
      <c r="L1030078" s="44"/>
      <c r="M1030078" s="44"/>
      <c r="N1030078" s="44"/>
      <c r="O1030078" s="286"/>
      <c r="P1030078" s="287"/>
      <c r="Q1030078" s="286"/>
      <c r="R1030078" s="288"/>
      <c r="S1030078" s="44"/>
      <c r="T1030078" s="44"/>
      <c r="U1030078" s="289"/>
      <c r="V1030078" s="44"/>
      <c r="W1030078" s="290"/>
      <c r="X1030078" s="44"/>
      <c r="Y1030078" s="291"/>
      <c r="Z1030078" s="291"/>
      <c r="AA1030078" s="296"/>
      <c r="AB1030078" s="293"/>
      <c r="AC1030078" s="293"/>
      <c r="AD1030078" s="293"/>
      <c r="AF1030078" s="285"/>
      <c r="AH1030078" s="44"/>
      <c r="AI1030078" s="44"/>
      <c r="AJ1030078" s="295"/>
      <c r="AK1030078" s="295"/>
      <c r="AL1030078" s="295"/>
      <c r="AM1030078" s="295"/>
      <c r="AN1030078" s="295"/>
      <c r="AO1030078" s="44"/>
    </row>
    <row r="1030079" spans="1:41" s="294" customFormat="1" ht="15" customHeight="1">
      <c r="A1030079" s="44"/>
      <c r="B1030079" s="44"/>
      <c r="C1030079" s="44"/>
      <c r="D1030079" s="44"/>
      <c r="E1030079" s="44"/>
      <c r="F1030079" s="44"/>
      <c r="G1030079" s="44"/>
      <c r="H1030079" s="284"/>
      <c r="I1030079" s="44"/>
      <c r="J1030079" s="285"/>
      <c r="K1030079" s="285"/>
      <c r="L1030079" s="44"/>
      <c r="M1030079" s="44"/>
      <c r="N1030079" s="44"/>
      <c r="O1030079" s="286"/>
      <c r="P1030079" s="287"/>
      <c r="Q1030079" s="286"/>
      <c r="R1030079" s="288"/>
      <c r="S1030079" s="44"/>
      <c r="T1030079" s="44"/>
      <c r="U1030079" s="289"/>
      <c r="V1030079" s="44"/>
      <c r="W1030079" s="290"/>
      <c r="X1030079" s="44"/>
      <c r="Y1030079" s="291"/>
      <c r="Z1030079" s="291"/>
      <c r="AA1030079" s="296"/>
      <c r="AB1030079" s="293"/>
      <c r="AC1030079" s="293"/>
      <c r="AD1030079" s="293"/>
      <c r="AF1030079" s="285"/>
      <c r="AH1030079" s="44"/>
      <c r="AI1030079" s="44"/>
      <c r="AJ1030079" s="295"/>
      <c r="AK1030079" s="295"/>
      <c r="AL1030079" s="295"/>
      <c r="AM1030079" s="295"/>
      <c r="AN1030079" s="295"/>
      <c r="AO1030079" s="44"/>
    </row>
    <row r="1030080" spans="1:41" s="294" customFormat="1" ht="15" customHeight="1">
      <c r="A1030080" s="44"/>
      <c r="B1030080" s="44"/>
      <c r="C1030080" s="44"/>
      <c r="D1030080" s="44"/>
      <c r="E1030080" s="44"/>
      <c r="F1030080" s="44"/>
      <c r="G1030080" s="44"/>
      <c r="H1030080" s="284"/>
      <c r="I1030080" s="44"/>
      <c r="J1030080" s="285"/>
      <c r="K1030080" s="285"/>
      <c r="L1030080" s="44"/>
      <c r="M1030080" s="44"/>
      <c r="N1030080" s="44"/>
      <c r="O1030080" s="286"/>
      <c r="P1030080" s="287"/>
      <c r="Q1030080" s="286"/>
      <c r="R1030080" s="288"/>
      <c r="S1030080" s="44"/>
      <c r="T1030080" s="44"/>
      <c r="U1030080" s="289"/>
      <c r="V1030080" s="44"/>
      <c r="W1030080" s="290"/>
      <c r="X1030080" s="44"/>
      <c r="Y1030080" s="291"/>
      <c r="Z1030080" s="291"/>
      <c r="AA1030080" s="296"/>
      <c r="AB1030080" s="293"/>
      <c r="AC1030080" s="293"/>
      <c r="AD1030080" s="293"/>
      <c r="AF1030080" s="285"/>
      <c r="AH1030080" s="44"/>
      <c r="AI1030080" s="44"/>
      <c r="AJ1030080" s="295"/>
      <c r="AK1030080" s="295"/>
      <c r="AL1030080" s="295"/>
      <c r="AM1030080" s="295"/>
      <c r="AN1030080" s="295"/>
      <c r="AO1030080" s="44"/>
    </row>
    <row r="1030081" spans="1:41" s="294" customFormat="1" ht="15" customHeight="1">
      <c r="A1030081" s="44"/>
      <c r="B1030081" s="44"/>
      <c r="C1030081" s="44"/>
      <c r="D1030081" s="44"/>
      <c r="E1030081" s="44"/>
      <c r="F1030081" s="44"/>
      <c r="G1030081" s="44"/>
      <c r="H1030081" s="284"/>
      <c r="I1030081" s="44"/>
      <c r="J1030081" s="285"/>
      <c r="K1030081" s="285"/>
      <c r="L1030081" s="44"/>
      <c r="M1030081" s="44"/>
      <c r="N1030081" s="44"/>
      <c r="O1030081" s="286"/>
      <c r="P1030081" s="287"/>
      <c r="Q1030081" s="286"/>
      <c r="R1030081" s="288"/>
      <c r="S1030081" s="44"/>
      <c r="T1030081" s="44"/>
      <c r="U1030081" s="289"/>
      <c r="V1030081" s="44"/>
      <c r="W1030081" s="290"/>
      <c r="X1030081" s="44"/>
      <c r="Y1030081" s="291"/>
      <c r="Z1030081" s="291"/>
      <c r="AA1030081" s="296"/>
      <c r="AB1030081" s="293"/>
      <c r="AC1030081" s="293"/>
      <c r="AD1030081" s="293"/>
      <c r="AF1030081" s="285"/>
      <c r="AH1030081" s="44"/>
      <c r="AI1030081" s="44"/>
      <c r="AJ1030081" s="295"/>
      <c r="AK1030081" s="295"/>
      <c r="AL1030081" s="295"/>
      <c r="AM1030081" s="295"/>
      <c r="AN1030081" s="295"/>
      <c r="AO1030081" s="44"/>
    </row>
    <row r="1030082" spans="1:41" s="294" customFormat="1" ht="15" customHeight="1">
      <c r="A1030082" s="44"/>
      <c r="B1030082" s="44"/>
      <c r="C1030082" s="44"/>
      <c r="D1030082" s="44"/>
      <c r="E1030082" s="44"/>
      <c r="F1030082" s="44"/>
      <c r="G1030082" s="44"/>
      <c r="H1030082" s="284"/>
      <c r="I1030082" s="44"/>
      <c r="J1030082" s="285"/>
      <c r="K1030082" s="285"/>
      <c r="L1030082" s="44"/>
      <c r="M1030082" s="44"/>
      <c r="N1030082" s="44"/>
      <c r="O1030082" s="286"/>
      <c r="P1030082" s="287"/>
      <c r="Q1030082" s="286"/>
      <c r="R1030082" s="288"/>
      <c r="S1030082" s="44"/>
      <c r="T1030082" s="44"/>
      <c r="U1030082" s="289"/>
      <c r="V1030082" s="44"/>
      <c r="W1030082" s="290"/>
      <c r="X1030082" s="44"/>
      <c r="Y1030082" s="291"/>
      <c r="Z1030082" s="291"/>
      <c r="AA1030082" s="296"/>
      <c r="AB1030082" s="293"/>
      <c r="AC1030082" s="293"/>
      <c r="AD1030082" s="293"/>
      <c r="AF1030082" s="285"/>
      <c r="AH1030082" s="44"/>
      <c r="AI1030082" s="44"/>
      <c r="AJ1030082" s="295"/>
      <c r="AK1030082" s="295"/>
      <c r="AL1030082" s="295"/>
      <c r="AM1030082" s="295"/>
      <c r="AN1030082" s="295"/>
      <c r="AO1030082" s="44"/>
    </row>
    <row r="1030083" spans="1:41" s="294" customFormat="1" ht="15" customHeight="1">
      <c r="A1030083" s="44"/>
      <c r="B1030083" s="44"/>
      <c r="C1030083" s="44"/>
      <c r="D1030083" s="44"/>
      <c r="E1030083" s="44"/>
      <c r="F1030083" s="44"/>
      <c r="G1030083" s="44"/>
      <c r="H1030083" s="284"/>
      <c r="I1030083" s="44"/>
      <c r="J1030083" s="285"/>
      <c r="K1030083" s="285"/>
      <c r="L1030083" s="44"/>
      <c r="M1030083" s="44"/>
      <c r="N1030083" s="44"/>
      <c r="O1030083" s="286"/>
      <c r="P1030083" s="287"/>
      <c r="Q1030083" s="286"/>
      <c r="R1030083" s="288"/>
      <c r="S1030083" s="44"/>
      <c r="T1030083" s="44"/>
      <c r="U1030083" s="289"/>
      <c r="V1030083" s="44"/>
      <c r="W1030083" s="290"/>
      <c r="X1030083" s="44"/>
      <c r="Y1030083" s="291"/>
      <c r="Z1030083" s="291"/>
      <c r="AA1030083" s="296"/>
      <c r="AB1030083" s="293"/>
      <c r="AC1030083" s="293"/>
      <c r="AD1030083" s="293"/>
      <c r="AF1030083" s="285"/>
      <c r="AH1030083" s="44"/>
      <c r="AI1030083" s="44"/>
      <c r="AJ1030083" s="295"/>
      <c r="AK1030083" s="295"/>
      <c r="AL1030083" s="295"/>
      <c r="AM1030083" s="295"/>
      <c r="AN1030083" s="295"/>
      <c r="AO1030083" s="44"/>
    </row>
    <row r="1030084" spans="1:41" s="294" customFormat="1" ht="15" customHeight="1">
      <c r="A1030084" s="44"/>
      <c r="B1030084" s="44"/>
      <c r="C1030084" s="44"/>
      <c r="D1030084" s="44"/>
      <c r="E1030084" s="44"/>
      <c r="F1030084" s="44"/>
      <c r="G1030084" s="44"/>
      <c r="H1030084" s="284"/>
      <c r="I1030084" s="44"/>
      <c r="J1030084" s="285"/>
      <c r="K1030084" s="285"/>
      <c r="L1030084" s="44"/>
      <c r="M1030084" s="44"/>
      <c r="N1030084" s="44"/>
      <c r="O1030084" s="286"/>
      <c r="P1030084" s="287"/>
      <c r="Q1030084" s="286"/>
      <c r="R1030084" s="288"/>
      <c r="S1030084" s="44"/>
      <c r="T1030084" s="44"/>
      <c r="U1030084" s="289"/>
      <c r="V1030084" s="44"/>
      <c r="W1030084" s="290"/>
      <c r="X1030084" s="44"/>
      <c r="Y1030084" s="291"/>
      <c r="Z1030084" s="291"/>
      <c r="AA1030084" s="296"/>
      <c r="AB1030084" s="293"/>
      <c r="AC1030084" s="293"/>
      <c r="AD1030084" s="293"/>
      <c r="AF1030084" s="285"/>
      <c r="AH1030084" s="44"/>
      <c r="AI1030084" s="44"/>
      <c r="AJ1030084" s="295"/>
      <c r="AK1030084" s="295"/>
      <c r="AL1030084" s="295"/>
      <c r="AM1030084" s="295"/>
      <c r="AN1030084" s="295"/>
      <c r="AO1030084" s="44"/>
    </row>
    <row r="1030085" spans="1:41" s="294" customFormat="1" ht="15" customHeight="1">
      <c r="A1030085" s="44"/>
      <c r="B1030085" s="44"/>
      <c r="C1030085" s="44"/>
      <c r="D1030085" s="44"/>
      <c r="E1030085" s="44"/>
      <c r="F1030085" s="44"/>
      <c r="G1030085" s="44"/>
      <c r="H1030085" s="284"/>
      <c r="I1030085" s="44"/>
      <c r="J1030085" s="285"/>
      <c r="K1030085" s="285"/>
      <c r="L1030085" s="44"/>
      <c r="M1030085" s="44"/>
      <c r="N1030085" s="44"/>
      <c r="O1030085" s="286"/>
      <c r="P1030085" s="287"/>
      <c r="Q1030085" s="286"/>
      <c r="R1030085" s="288"/>
      <c r="S1030085" s="44"/>
      <c r="T1030085" s="44"/>
      <c r="U1030085" s="289"/>
      <c r="V1030085" s="44"/>
      <c r="W1030085" s="290"/>
      <c r="X1030085" s="44"/>
      <c r="Y1030085" s="291"/>
      <c r="Z1030085" s="291"/>
      <c r="AA1030085" s="296"/>
      <c r="AB1030085" s="293"/>
      <c r="AC1030085" s="293"/>
      <c r="AD1030085" s="293"/>
      <c r="AF1030085" s="285"/>
      <c r="AH1030085" s="44"/>
      <c r="AI1030085" s="44"/>
      <c r="AJ1030085" s="295"/>
      <c r="AK1030085" s="295"/>
      <c r="AL1030085" s="295"/>
      <c r="AM1030085" s="295"/>
      <c r="AN1030085" s="295"/>
      <c r="AO1030085" s="44"/>
    </row>
    <row r="1030086" spans="1:41" s="294" customFormat="1" ht="15" customHeight="1">
      <c r="A1030086" s="44"/>
      <c r="B1030086" s="44"/>
      <c r="C1030086" s="44"/>
      <c r="D1030086" s="44"/>
      <c r="E1030086" s="44"/>
      <c r="F1030086" s="44"/>
      <c r="G1030086" s="44"/>
      <c r="H1030086" s="284"/>
      <c r="I1030086" s="44"/>
      <c r="J1030086" s="285"/>
      <c r="K1030086" s="285"/>
      <c r="L1030086" s="44"/>
      <c r="M1030086" s="44"/>
      <c r="N1030086" s="44"/>
      <c r="O1030086" s="286"/>
      <c r="P1030086" s="287"/>
      <c r="Q1030086" s="286"/>
      <c r="R1030086" s="288"/>
      <c r="S1030086" s="44"/>
      <c r="T1030086" s="44"/>
      <c r="U1030086" s="289"/>
      <c r="V1030086" s="44"/>
      <c r="W1030086" s="290"/>
      <c r="X1030086" s="44"/>
      <c r="Y1030086" s="291"/>
      <c r="Z1030086" s="291"/>
      <c r="AA1030086" s="296"/>
      <c r="AB1030086" s="293"/>
      <c r="AC1030086" s="293"/>
      <c r="AD1030086" s="293"/>
      <c r="AF1030086" s="285"/>
      <c r="AH1030086" s="44"/>
      <c r="AI1030086" s="44"/>
      <c r="AJ1030086" s="295"/>
      <c r="AK1030086" s="295"/>
      <c r="AL1030086" s="295"/>
      <c r="AM1030086" s="295"/>
      <c r="AN1030086" s="295"/>
      <c r="AO1030086" s="44"/>
    </row>
    <row r="1030087" spans="1:41" s="294" customFormat="1" ht="15" customHeight="1">
      <c r="A1030087" s="44"/>
      <c r="B1030087" s="44"/>
      <c r="C1030087" s="44"/>
      <c r="D1030087" s="44"/>
      <c r="E1030087" s="44"/>
      <c r="F1030087" s="44"/>
      <c r="G1030087" s="44"/>
      <c r="H1030087" s="284"/>
      <c r="I1030087" s="44"/>
      <c r="J1030087" s="285"/>
      <c r="K1030087" s="285"/>
      <c r="L1030087" s="44"/>
      <c r="M1030087" s="44"/>
      <c r="N1030087" s="44"/>
      <c r="O1030087" s="286"/>
      <c r="P1030087" s="287"/>
      <c r="Q1030087" s="286"/>
      <c r="R1030087" s="288"/>
      <c r="S1030087" s="44"/>
      <c r="T1030087" s="44"/>
      <c r="U1030087" s="289"/>
      <c r="V1030087" s="44"/>
      <c r="W1030087" s="290"/>
      <c r="X1030087" s="44"/>
      <c r="Y1030087" s="291"/>
      <c r="Z1030087" s="291"/>
      <c r="AA1030087" s="296"/>
      <c r="AB1030087" s="293"/>
      <c r="AC1030087" s="293"/>
      <c r="AD1030087" s="293"/>
      <c r="AF1030087" s="285"/>
      <c r="AH1030087" s="44"/>
      <c r="AI1030087" s="44"/>
      <c r="AJ1030087" s="295"/>
      <c r="AK1030087" s="295"/>
      <c r="AL1030087" s="295"/>
      <c r="AM1030087" s="295"/>
      <c r="AN1030087" s="295"/>
      <c r="AO1030087" s="44"/>
    </row>
    <row r="1030088" spans="1:41" s="294" customFormat="1" ht="15" customHeight="1">
      <c r="A1030088" s="44"/>
      <c r="B1030088" s="44"/>
      <c r="C1030088" s="44"/>
      <c r="D1030088" s="44"/>
      <c r="E1030088" s="44"/>
      <c r="F1030088" s="44"/>
      <c r="G1030088" s="44"/>
      <c r="H1030088" s="284"/>
      <c r="I1030088" s="44"/>
      <c r="J1030088" s="285"/>
      <c r="K1030088" s="285"/>
      <c r="L1030088" s="44"/>
      <c r="M1030088" s="44"/>
      <c r="N1030088" s="44"/>
      <c r="O1030088" s="286"/>
      <c r="P1030088" s="287"/>
      <c r="Q1030088" s="286"/>
      <c r="R1030088" s="288"/>
      <c r="S1030088" s="44"/>
      <c r="T1030088" s="44"/>
      <c r="U1030088" s="289"/>
      <c r="V1030088" s="44"/>
      <c r="W1030088" s="290"/>
      <c r="X1030088" s="44"/>
      <c r="Y1030088" s="291"/>
      <c r="Z1030088" s="291"/>
      <c r="AA1030088" s="296"/>
      <c r="AB1030088" s="293"/>
      <c r="AC1030088" s="293"/>
      <c r="AD1030088" s="293"/>
      <c r="AF1030088" s="285"/>
      <c r="AH1030088" s="44"/>
      <c r="AI1030088" s="44"/>
      <c r="AJ1030088" s="295"/>
      <c r="AK1030088" s="295"/>
      <c r="AL1030088" s="295"/>
      <c r="AM1030088" s="295"/>
      <c r="AN1030088" s="295"/>
      <c r="AO1030088" s="44"/>
    </row>
    <row r="1030089" spans="1:41" s="294" customFormat="1" ht="15" customHeight="1">
      <c r="A1030089" s="44"/>
      <c r="B1030089" s="44"/>
      <c r="C1030089" s="44"/>
      <c r="D1030089" s="44"/>
      <c r="E1030089" s="44"/>
      <c r="F1030089" s="44"/>
      <c r="G1030089" s="44"/>
      <c r="H1030089" s="284"/>
      <c r="I1030089" s="44"/>
      <c r="J1030089" s="285"/>
      <c r="K1030089" s="285"/>
      <c r="L1030089" s="44"/>
      <c r="M1030089" s="44"/>
      <c r="N1030089" s="44"/>
      <c r="O1030089" s="286"/>
      <c r="P1030089" s="287"/>
      <c r="Q1030089" s="286"/>
      <c r="R1030089" s="288"/>
      <c r="S1030089" s="44"/>
      <c r="T1030089" s="44"/>
      <c r="U1030089" s="289"/>
      <c r="V1030089" s="44"/>
      <c r="W1030089" s="290"/>
      <c r="X1030089" s="44"/>
      <c r="Y1030089" s="291"/>
      <c r="Z1030089" s="291"/>
      <c r="AA1030089" s="296"/>
      <c r="AB1030089" s="293"/>
      <c r="AC1030089" s="293"/>
      <c r="AD1030089" s="293"/>
      <c r="AF1030089" s="285"/>
      <c r="AH1030089" s="44"/>
      <c r="AI1030089" s="44"/>
      <c r="AJ1030089" s="295"/>
      <c r="AK1030089" s="295"/>
      <c r="AL1030089" s="295"/>
      <c r="AM1030089" s="295"/>
      <c r="AN1030089" s="295"/>
      <c r="AO1030089" s="44"/>
    </row>
    <row r="1030090" spans="1:41" s="294" customFormat="1" ht="15" customHeight="1">
      <c r="A1030090" s="44"/>
      <c r="B1030090" s="44"/>
      <c r="C1030090" s="44"/>
      <c r="D1030090" s="44"/>
      <c r="E1030090" s="44"/>
      <c r="F1030090" s="44"/>
      <c r="G1030090" s="44"/>
      <c r="H1030090" s="284"/>
      <c r="I1030090" s="44"/>
      <c r="J1030090" s="285"/>
      <c r="K1030090" s="285"/>
      <c r="L1030090" s="44"/>
      <c r="M1030090" s="44"/>
      <c r="N1030090" s="44"/>
      <c r="O1030090" s="286"/>
      <c r="P1030090" s="287"/>
      <c r="Q1030090" s="286"/>
      <c r="R1030090" s="288"/>
      <c r="S1030090" s="44"/>
      <c r="T1030090" s="44"/>
      <c r="U1030090" s="289"/>
      <c r="V1030090" s="44"/>
      <c r="W1030090" s="290"/>
      <c r="X1030090" s="44"/>
      <c r="Y1030090" s="291"/>
      <c r="Z1030090" s="291"/>
      <c r="AA1030090" s="296"/>
      <c r="AB1030090" s="293"/>
      <c r="AC1030090" s="293"/>
      <c r="AD1030090" s="293"/>
      <c r="AF1030090" s="285"/>
      <c r="AH1030090" s="44"/>
      <c r="AI1030090" s="44"/>
      <c r="AJ1030090" s="295"/>
      <c r="AK1030090" s="295"/>
      <c r="AL1030090" s="295"/>
      <c r="AM1030090" s="295"/>
      <c r="AN1030090" s="295"/>
      <c r="AO1030090" s="44"/>
    </row>
    <row r="1030091" spans="1:41" s="294" customFormat="1" ht="15" customHeight="1">
      <c r="A1030091" s="44"/>
      <c r="B1030091" s="44"/>
      <c r="C1030091" s="44"/>
      <c r="D1030091" s="44"/>
      <c r="E1030091" s="44"/>
      <c r="F1030091" s="44"/>
      <c r="G1030091" s="44"/>
      <c r="H1030091" s="284"/>
      <c r="I1030091" s="44"/>
      <c r="J1030091" s="285"/>
      <c r="K1030091" s="285"/>
      <c r="L1030091" s="44"/>
      <c r="M1030091" s="44"/>
      <c r="N1030091" s="44"/>
      <c r="O1030091" s="286"/>
      <c r="P1030091" s="287"/>
      <c r="Q1030091" s="286"/>
      <c r="R1030091" s="288"/>
      <c r="S1030091" s="44"/>
      <c r="T1030091" s="44"/>
      <c r="U1030091" s="289"/>
      <c r="V1030091" s="44"/>
      <c r="W1030091" s="290"/>
      <c r="X1030091" s="44"/>
      <c r="Y1030091" s="291"/>
      <c r="Z1030091" s="291"/>
      <c r="AA1030091" s="296"/>
      <c r="AB1030091" s="293"/>
      <c r="AC1030091" s="293"/>
      <c r="AD1030091" s="293"/>
      <c r="AF1030091" s="285"/>
      <c r="AH1030091" s="44"/>
      <c r="AI1030091" s="44"/>
      <c r="AJ1030091" s="295"/>
      <c r="AK1030091" s="295"/>
      <c r="AL1030091" s="295"/>
      <c r="AM1030091" s="295"/>
      <c r="AN1030091" s="295"/>
      <c r="AO1030091" s="44"/>
    </row>
    <row r="1030092" spans="1:41" s="294" customFormat="1" ht="15" customHeight="1">
      <c r="A1030092" s="44"/>
      <c r="B1030092" s="44"/>
      <c r="C1030092" s="44"/>
      <c r="D1030092" s="44"/>
      <c r="E1030092" s="44"/>
      <c r="F1030092" s="44"/>
      <c r="G1030092" s="44"/>
      <c r="H1030092" s="284"/>
      <c r="I1030092" s="44"/>
      <c r="J1030092" s="285"/>
      <c r="K1030092" s="285"/>
      <c r="L1030092" s="44"/>
      <c r="M1030092" s="44"/>
      <c r="N1030092" s="44"/>
      <c r="O1030092" s="286"/>
      <c r="P1030092" s="287"/>
      <c r="Q1030092" s="286"/>
      <c r="R1030092" s="288"/>
      <c r="S1030092" s="44"/>
      <c r="T1030092" s="44"/>
      <c r="U1030092" s="289"/>
      <c r="V1030092" s="44"/>
      <c r="W1030092" s="290"/>
      <c r="X1030092" s="44"/>
      <c r="Y1030092" s="291"/>
      <c r="Z1030092" s="291"/>
      <c r="AA1030092" s="296"/>
      <c r="AB1030092" s="293"/>
      <c r="AC1030092" s="293"/>
      <c r="AD1030092" s="293"/>
      <c r="AF1030092" s="285"/>
      <c r="AH1030092" s="44"/>
      <c r="AI1030092" s="44"/>
      <c r="AJ1030092" s="295"/>
      <c r="AK1030092" s="295"/>
      <c r="AL1030092" s="295"/>
      <c r="AM1030092" s="295"/>
      <c r="AN1030092" s="295"/>
      <c r="AO1030092" s="44"/>
    </row>
    <row r="1030093" spans="1:41" s="294" customFormat="1" ht="15" customHeight="1">
      <c r="A1030093" s="44"/>
      <c r="B1030093" s="44"/>
      <c r="C1030093" s="44"/>
      <c r="D1030093" s="44"/>
      <c r="E1030093" s="44"/>
      <c r="F1030093" s="44"/>
      <c r="G1030093" s="44"/>
      <c r="H1030093" s="284"/>
      <c r="I1030093" s="44"/>
      <c r="J1030093" s="285"/>
      <c r="K1030093" s="285"/>
      <c r="L1030093" s="44"/>
      <c r="M1030093" s="44"/>
      <c r="N1030093" s="44"/>
      <c r="O1030093" s="286"/>
      <c r="P1030093" s="287"/>
      <c r="Q1030093" s="286"/>
      <c r="R1030093" s="288"/>
      <c r="S1030093" s="44"/>
      <c r="T1030093" s="44"/>
      <c r="U1030093" s="289"/>
      <c r="V1030093" s="44"/>
      <c r="W1030093" s="290"/>
      <c r="X1030093" s="44"/>
      <c r="Y1030093" s="291"/>
      <c r="Z1030093" s="291"/>
      <c r="AA1030093" s="296"/>
      <c r="AB1030093" s="293"/>
      <c r="AC1030093" s="293"/>
      <c r="AD1030093" s="293"/>
      <c r="AF1030093" s="285"/>
      <c r="AH1030093" s="44"/>
      <c r="AI1030093" s="44"/>
      <c r="AJ1030093" s="295"/>
      <c r="AK1030093" s="295"/>
      <c r="AL1030093" s="295"/>
      <c r="AM1030093" s="295"/>
      <c r="AN1030093" s="295"/>
      <c r="AO1030093" s="44"/>
    </row>
    <row r="1030094" spans="1:41" s="294" customFormat="1" ht="15" customHeight="1">
      <c r="A1030094" s="44"/>
      <c r="B1030094" s="44"/>
      <c r="C1030094" s="44"/>
      <c r="D1030094" s="44"/>
      <c r="E1030094" s="44"/>
      <c r="F1030094" s="44"/>
      <c r="G1030094" s="44"/>
      <c r="H1030094" s="284"/>
      <c r="I1030094" s="44"/>
      <c r="J1030094" s="285"/>
      <c r="K1030094" s="285"/>
      <c r="L1030094" s="44"/>
      <c r="M1030094" s="44"/>
      <c r="N1030094" s="44"/>
      <c r="O1030094" s="286"/>
      <c r="P1030094" s="287"/>
      <c r="Q1030094" s="286"/>
      <c r="R1030094" s="288"/>
      <c r="S1030094" s="44"/>
      <c r="T1030094" s="44"/>
      <c r="U1030094" s="289"/>
      <c r="V1030094" s="44"/>
      <c r="W1030094" s="290"/>
      <c r="X1030094" s="44"/>
      <c r="Y1030094" s="291"/>
      <c r="Z1030094" s="291"/>
      <c r="AA1030094" s="296"/>
      <c r="AB1030094" s="293"/>
      <c r="AC1030094" s="293"/>
      <c r="AD1030094" s="293"/>
      <c r="AF1030094" s="285"/>
      <c r="AH1030094" s="44"/>
      <c r="AI1030094" s="44"/>
      <c r="AJ1030094" s="295"/>
      <c r="AK1030094" s="295"/>
      <c r="AL1030094" s="295"/>
      <c r="AM1030094" s="295"/>
      <c r="AN1030094" s="295"/>
      <c r="AO1030094" s="44"/>
    </row>
    <row r="1030095" spans="1:41" s="294" customFormat="1" ht="15" customHeight="1">
      <c r="A1030095" s="44"/>
      <c r="B1030095" s="44"/>
      <c r="C1030095" s="44"/>
      <c r="D1030095" s="44"/>
      <c r="E1030095" s="44"/>
      <c r="F1030095" s="44"/>
      <c r="G1030095" s="44"/>
      <c r="H1030095" s="284"/>
      <c r="I1030095" s="44"/>
      <c r="J1030095" s="285"/>
      <c r="K1030095" s="285"/>
      <c r="L1030095" s="44"/>
      <c r="M1030095" s="44"/>
      <c r="N1030095" s="44"/>
      <c r="O1030095" s="286"/>
      <c r="P1030095" s="287"/>
      <c r="Q1030095" s="286"/>
      <c r="R1030095" s="288"/>
      <c r="S1030095" s="44"/>
      <c r="T1030095" s="44"/>
      <c r="U1030095" s="289"/>
      <c r="V1030095" s="44"/>
      <c r="W1030095" s="290"/>
      <c r="X1030095" s="44"/>
      <c r="Y1030095" s="291"/>
      <c r="Z1030095" s="291"/>
      <c r="AA1030095" s="296"/>
      <c r="AB1030095" s="293"/>
      <c r="AC1030095" s="293"/>
      <c r="AD1030095" s="293"/>
      <c r="AF1030095" s="285"/>
      <c r="AH1030095" s="44"/>
      <c r="AI1030095" s="44"/>
      <c r="AJ1030095" s="295"/>
      <c r="AK1030095" s="295"/>
      <c r="AL1030095" s="295"/>
      <c r="AM1030095" s="295"/>
      <c r="AN1030095" s="295"/>
      <c r="AO1030095" s="44"/>
    </row>
    <row r="1030096" spans="1:41" s="294" customFormat="1" ht="15" customHeight="1">
      <c r="A1030096" s="44"/>
      <c r="B1030096" s="44"/>
      <c r="C1030096" s="44"/>
      <c r="D1030096" s="44"/>
      <c r="E1030096" s="44"/>
      <c r="F1030096" s="44"/>
      <c r="G1030096" s="44"/>
      <c r="H1030096" s="284"/>
      <c r="I1030096" s="44"/>
      <c r="J1030096" s="285"/>
      <c r="K1030096" s="285"/>
      <c r="L1030096" s="44"/>
      <c r="M1030096" s="44"/>
      <c r="N1030096" s="44"/>
      <c r="O1030096" s="286"/>
      <c r="P1030096" s="287"/>
      <c r="Q1030096" s="286"/>
      <c r="R1030096" s="288"/>
      <c r="S1030096" s="44"/>
      <c r="T1030096" s="44"/>
      <c r="U1030096" s="289"/>
      <c r="V1030096" s="44"/>
      <c r="W1030096" s="290"/>
      <c r="X1030096" s="44"/>
      <c r="Y1030096" s="291"/>
      <c r="Z1030096" s="291"/>
      <c r="AA1030096" s="296"/>
      <c r="AB1030096" s="293"/>
      <c r="AC1030096" s="293"/>
      <c r="AD1030096" s="293"/>
      <c r="AF1030096" s="285"/>
      <c r="AH1030096" s="44"/>
      <c r="AI1030096" s="44"/>
      <c r="AJ1030096" s="295"/>
      <c r="AK1030096" s="295"/>
      <c r="AL1030096" s="295"/>
      <c r="AM1030096" s="295"/>
      <c r="AN1030096" s="295"/>
      <c r="AO1030096" s="44"/>
    </row>
    <row r="1030097" spans="1:41" s="294" customFormat="1" ht="15" customHeight="1">
      <c r="A1030097" s="44"/>
      <c r="B1030097" s="44"/>
      <c r="C1030097" s="44"/>
      <c r="D1030097" s="44"/>
      <c r="E1030097" s="44"/>
      <c r="F1030097" s="44"/>
      <c r="G1030097" s="44"/>
      <c r="H1030097" s="284"/>
      <c r="I1030097" s="44"/>
      <c r="J1030097" s="285"/>
      <c r="K1030097" s="285"/>
      <c r="L1030097" s="44"/>
      <c r="M1030097" s="44"/>
      <c r="N1030097" s="44"/>
      <c r="O1030097" s="286"/>
      <c r="P1030097" s="287"/>
      <c r="Q1030097" s="286"/>
      <c r="R1030097" s="288"/>
      <c r="S1030097" s="44"/>
      <c r="T1030097" s="44"/>
      <c r="U1030097" s="289"/>
      <c r="V1030097" s="44"/>
      <c r="W1030097" s="290"/>
      <c r="X1030097" s="44"/>
      <c r="Y1030097" s="291"/>
      <c r="Z1030097" s="291"/>
      <c r="AA1030097" s="296"/>
      <c r="AB1030097" s="293"/>
      <c r="AC1030097" s="293"/>
      <c r="AD1030097" s="293"/>
      <c r="AF1030097" s="285"/>
      <c r="AH1030097" s="44"/>
      <c r="AI1030097" s="44"/>
      <c r="AJ1030097" s="295"/>
      <c r="AK1030097" s="295"/>
      <c r="AL1030097" s="295"/>
      <c r="AM1030097" s="295"/>
      <c r="AN1030097" s="295"/>
      <c r="AO1030097" s="44"/>
    </row>
    <row r="1030098" spans="1:41" s="294" customFormat="1" ht="15" customHeight="1">
      <c r="A1030098" s="44"/>
      <c r="B1030098" s="44"/>
      <c r="C1030098" s="44"/>
      <c r="D1030098" s="44"/>
      <c r="E1030098" s="44"/>
      <c r="F1030098" s="44"/>
      <c r="G1030098" s="44"/>
      <c r="H1030098" s="284"/>
      <c r="I1030098" s="44"/>
      <c r="J1030098" s="285"/>
      <c r="K1030098" s="285"/>
      <c r="L1030098" s="44"/>
      <c r="M1030098" s="44"/>
      <c r="N1030098" s="44"/>
      <c r="O1030098" s="286"/>
      <c r="P1030098" s="287"/>
      <c r="Q1030098" s="286"/>
      <c r="R1030098" s="288"/>
      <c r="S1030098" s="44"/>
      <c r="T1030098" s="44"/>
      <c r="U1030098" s="289"/>
      <c r="V1030098" s="44"/>
      <c r="W1030098" s="290"/>
      <c r="X1030098" s="44"/>
      <c r="Y1030098" s="291"/>
      <c r="Z1030098" s="291"/>
      <c r="AA1030098" s="296"/>
      <c r="AB1030098" s="293"/>
      <c r="AC1030098" s="293"/>
      <c r="AD1030098" s="293"/>
      <c r="AF1030098" s="285"/>
      <c r="AH1030098" s="44"/>
      <c r="AI1030098" s="44"/>
      <c r="AJ1030098" s="295"/>
      <c r="AK1030098" s="295"/>
      <c r="AL1030098" s="295"/>
      <c r="AM1030098" s="295"/>
      <c r="AN1030098" s="295"/>
      <c r="AO1030098" s="44"/>
    </row>
    <row r="1030099" spans="1:41" s="294" customFormat="1" ht="15" customHeight="1">
      <c r="A1030099" s="44"/>
      <c r="B1030099" s="44"/>
      <c r="C1030099" s="44"/>
      <c r="D1030099" s="44"/>
      <c r="E1030099" s="44"/>
      <c r="F1030099" s="44"/>
      <c r="G1030099" s="44"/>
      <c r="H1030099" s="284"/>
      <c r="I1030099" s="44"/>
      <c r="J1030099" s="285"/>
      <c r="K1030099" s="285"/>
      <c r="L1030099" s="44"/>
      <c r="M1030099" s="44"/>
      <c r="N1030099" s="44"/>
      <c r="O1030099" s="286"/>
      <c r="P1030099" s="287"/>
      <c r="Q1030099" s="286"/>
      <c r="R1030099" s="288"/>
      <c r="S1030099" s="44"/>
      <c r="T1030099" s="44"/>
      <c r="U1030099" s="289"/>
      <c r="V1030099" s="44"/>
      <c r="W1030099" s="290"/>
      <c r="X1030099" s="44"/>
      <c r="Y1030099" s="291"/>
      <c r="Z1030099" s="291"/>
      <c r="AA1030099" s="296"/>
      <c r="AB1030099" s="293"/>
      <c r="AC1030099" s="293"/>
      <c r="AD1030099" s="293"/>
      <c r="AF1030099" s="285"/>
      <c r="AH1030099" s="44"/>
      <c r="AI1030099" s="44"/>
      <c r="AJ1030099" s="295"/>
      <c r="AK1030099" s="295"/>
      <c r="AL1030099" s="295"/>
      <c r="AM1030099" s="295"/>
      <c r="AN1030099" s="295"/>
      <c r="AO1030099" s="44"/>
    </row>
    <row r="1030100" spans="1:41" s="294" customFormat="1" ht="15" customHeight="1">
      <c r="A1030100" s="44"/>
      <c r="B1030100" s="44"/>
      <c r="C1030100" s="44"/>
      <c r="D1030100" s="44"/>
      <c r="E1030100" s="44"/>
      <c r="F1030100" s="44"/>
      <c r="G1030100" s="44"/>
      <c r="H1030100" s="284"/>
      <c r="I1030100" s="44"/>
      <c r="J1030100" s="285"/>
      <c r="K1030100" s="285"/>
      <c r="L1030100" s="44"/>
      <c r="M1030100" s="44"/>
      <c r="N1030100" s="44"/>
      <c r="O1030100" s="286"/>
      <c r="P1030100" s="287"/>
      <c r="Q1030100" s="286"/>
      <c r="R1030100" s="288"/>
      <c r="S1030100" s="44"/>
      <c r="T1030100" s="44"/>
      <c r="U1030100" s="289"/>
      <c r="V1030100" s="44"/>
      <c r="W1030100" s="290"/>
      <c r="X1030100" s="44"/>
      <c r="Y1030100" s="291"/>
      <c r="Z1030100" s="291"/>
      <c r="AA1030100" s="296"/>
      <c r="AB1030100" s="293"/>
      <c r="AC1030100" s="293"/>
      <c r="AD1030100" s="293"/>
      <c r="AF1030100" s="285"/>
      <c r="AH1030100" s="44"/>
      <c r="AI1030100" s="44"/>
      <c r="AJ1030100" s="295"/>
      <c r="AK1030100" s="295"/>
      <c r="AL1030100" s="295"/>
      <c r="AM1030100" s="295"/>
      <c r="AN1030100" s="295"/>
      <c r="AO1030100" s="44"/>
    </row>
    <row r="1030101" spans="1:41" s="294" customFormat="1" ht="15" customHeight="1">
      <c r="A1030101" s="44"/>
      <c r="B1030101" s="44"/>
      <c r="C1030101" s="44"/>
      <c r="D1030101" s="44"/>
      <c r="E1030101" s="44"/>
      <c r="F1030101" s="44"/>
      <c r="G1030101" s="44"/>
      <c r="H1030101" s="284"/>
      <c r="I1030101" s="44"/>
      <c r="J1030101" s="285"/>
      <c r="K1030101" s="285"/>
      <c r="L1030101" s="44"/>
      <c r="M1030101" s="44"/>
      <c r="N1030101" s="44"/>
      <c r="O1030101" s="286"/>
      <c r="P1030101" s="287"/>
      <c r="Q1030101" s="286"/>
      <c r="R1030101" s="288"/>
      <c r="S1030101" s="44"/>
      <c r="T1030101" s="44"/>
      <c r="U1030101" s="289"/>
      <c r="V1030101" s="44"/>
      <c r="W1030101" s="290"/>
      <c r="X1030101" s="44"/>
      <c r="Y1030101" s="291"/>
      <c r="Z1030101" s="291"/>
      <c r="AA1030101" s="296"/>
      <c r="AB1030101" s="293"/>
      <c r="AC1030101" s="293"/>
      <c r="AD1030101" s="293"/>
      <c r="AF1030101" s="285"/>
      <c r="AH1030101" s="44"/>
      <c r="AI1030101" s="44"/>
      <c r="AJ1030101" s="295"/>
      <c r="AK1030101" s="295"/>
      <c r="AL1030101" s="295"/>
      <c r="AM1030101" s="295"/>
      <c r="AN1030101" s="295"/>
      <c r="AO1030101" s="44"/>
    </row>
    <row r="1030102" spans="1:41" s="294" customFormat="1" ht="15" customHeight="1">
      <c r="A1030102" s="44"/>
      <c r="B1030102" s="44"/>
      <c r="C1030102" s="44"/>
      <c r="D1030102" s="44"/>
      <c r="E1030102" s="44"/>
      <c r="F1030102" s="44"/>
      <c r="G1030102" s="44"/>
      <c r="H1030102" s="284"/>
      <c r="I1030102" s="44"/>
      <c r="J1030102" s="285"/>
      <c r="K1030102" s="285"/>
      <c r="L1030102" s="44"/>
      <c r="M1030102" s="44"/>
      <c r="N1030102" s="44"/>
      <c r="O1030102" s="286"/>
      <c r="P1030102" s="287"/>
      <c r="Q1030102" s="286"/>
      <c r="R1030102" s="288"/>
      <c r="S1030102" s="44"/>
      <c r="T1030102" s="44"/>
      <c r="U1030102" s="289"/>
      <c r="V1030102" s="44"/>
      <c r="W1030102" s="290"/>
      <c r="X1030102" s="44"/>
      <c r="Y1030102" s="291"/>
      <c r="Z1030102" s="291"/>
      <c r="AA1030102" s="296"/>
      <c r="AB1030102" s="293"/>
      <c r="AC1030102" s="293"/>
      <c r="AD1030102" s="293"/>
      <c r="AF1030102" s="285"/>
      <c r="AH1030102" s="44"/>
      <c r="AI1030102" s="44"/>
      <c r="AJ1030102" s="295"/>
      <c r="AK1030102" s="295"/>
      <c r="AL1030102" s="295"/>
      <c r="AM1030102" s="295"/>
      <c r="AN1030102" s="295"/>
      <c r="AO1030102" s="44"/>
    </row>
    <row r="1030103" spans="1:41" s="294" customFormat="1" ht="15" customHeight="1">
      <c r="A1030103" s="44"/>
      <c r="B1030103" s="44"/>
      <c r="C1030103" s="44"/>
      <c r="D1030103" s="44"/>
      <c r="E1030103" s="44"/>
      <c r="F1030103" s="44"/>
      <c r="G1030103" s="44"/>
      <c r="H1030103" s="284"/>
      <c r="I1030103" s="44"/>
      <c r="J1030103" s="285"/>
      <c r="K1030103" s="285"/>
      <c r="L1030103" s="44"/>
      <c r="M1030103" s="44"/>
      <c r="N1030103" s="44"/>
      <c r="O1030103" s="286"/>
      <c r="P1030103" s="287"/>
      <c r="Q1030103" s="286"/>
      <c r="R1030103" s="288"/>
      <c r="S1030103" s="44"/>
      <c r="T1030103" s="44"/>
      <c r="U1030103" s="289"/>
      <c r="V1030103" s="44"/>
      <c r="W1030103" s="290"/>
      <c r="X1030103" s="44"/>
      <c r="Y1030103" s="291"/>
      <c r="Z1030103" s="291"/>
      <c r="AA1030103" s="296"/>
      <c r="AB1030103" s="293"/>
      <c r="AC1030103" s="293"/>
      <c r="AD1030103" s="293"/>
      <c r="AF1030103" s="285"/>
      <c r="AH1030103" s="44"/>
      <c r="AI1030103" s="44"/>
      <c r="AJ1030103" s="295"/>
      <c r="AK1030103" s="295"/>
      <c r="AL1030103" s="295"/>
      <c r="AM1030103" s="295"/>
      <c r="AN1030103" s="295"/>
      <c r="AO1030103" s="44"/>
    </row>
    <row r="1030104" spans="1:41" s="294" customFormat="1" ht="15" customHeight="1">
      <c r="A1030104" s="44"/>
      <c r="B1030104" s="44"/>
      <c r="C1030104" s="44"/>
      <c r="D1030104" s="44"/>
      <c r="E1030104" s="44"/>
      <c r="F1030104" s="44"/>
      <c r="G1030104" s="44"/>
      <c r="H1030104" s="284"/>
      <c r="I1030104" s="44"/>
      <c r="J1030104" s="285"/>
      <c r="K1030104" s="285"/>
      <c r="L1030104" s="44"/>
      <c r="M1030104" s="44"/>
      <c r="N1030104" s="44"/>
      <c r="O1030104" s="286"/>
      <c r="P1030104" s="287"/>
      <c r="Q1030104" s="286"/>
      <c r="R1030104" s="288"/>
      <c r="S1030104" s="44"/>
      <c r="T1030104" s="44"/>
      <c r="U1030104" s="289"/>
      <c r="V1030104" s="44"/>
      <c r="W1030104" s="290"/>
      <c r="X1030104" s="44"/>
      <c r="Y1030104" s="291"/>
      <c r="Z1030104" s="291"/>
      <c r="AA1030104" s="296"/>
      <c r="AB1030104" s="293"/>
      <c r="AC1030104" s="293"/>
      <c r="AD1030104" s="293"/>
      <c r="AF1030104" s="285"/>
      <c r="AH1030104" s="44"/>
      <c r="AI1030104" s="44"/>
      <c r="AJ1030104" s="295"/>
      <c r="AK1030104" s="295"/>
      <c r="AL1030104" s="295"/>
      <c r="AM1030104" s="295"/>
      <c r="AN1030104" s="295"/>
      <c r="AO1030104" s="44"/>
    </row>
    <row r="1030105" spans="1:41" s="294" customFormat="1" ht="15" customHeight="1">
      <c r="A1030105" s="44"/>
      <c r="B1030105" s="44"/>
      <c r="C1030105" s="44"/>
      <c r="D1030105" s="44"/>
      <c r="E1030105" s="44"/>
      <c r="F1030105" s="44"/>
      <c r="G1030105" s="44"/>
      <c r="H1030105" s="284"/>
      <c r="I1030105" s="44"/>
      <c r="J1030105" s="285"/>
      <c r="K1030105" s="285"/>
      <c r="L1030105" s="44"/>
      <c r="M1030105" s="44"/>
      <c r="N1030105" s="44"/>
      <c r="O1030105" s="286"/>
      <c r="P1030105" s="287"/>
      <c r="Q1030105" s="286"/>
      <c r="R1030105" s="288"/>
      <c r="S1030105" s="44"/>
      <c r="T1030105" s="44"/>
      <c r="U1030105" s="289"/>
      <c r="V1030105" s="44"/>
      <c r="W1030105" s="290"/>
      <c r="X1030105" s="44"/>
      <c r="Y1030105" s="291"/>
      <c r="Z1030105" s="291"/>
      <c r="AA1030105" s="296"/>
      <c r="AB1030105" s="293"/>
      <c r="AC1030105" s="293"/>
      <c r="AD1030105" s="293"/>
      <c r="AF1030105" s="285"/>
      <c r="AH1030105" s="44"/>
      <c r="AI1030105" s="44"/>
      <c r="AJ1030105" s="295"/>
      <c r="AK1030105" s="295"/>
      <c r="AL1030105" s="295"/>
      <c r="AM1030105" s="295"/>
      <c r="AN1030105" s="295"/>
      <c r="AO1030105" s="44"/>
    </row>
    <row r="1030106" spans="1:41" s="294" customFormat="1" ht="15" customHeight="1">
      <c r="A1030106" s="44"/>
      <c r="B1030106" s="44"/>
      <c r="C1030106" s="44"/>
      <c r="D1030106" s="44"/>
      <c r="E1030106" s="44"/>
      <c r="F1030106" s="44"/>
      <c r="G1030106" s="44"/>
      <c r="H1030106" s="284"/>
      <c r="I1030106" s="44"/>
      <c r="J1030106" s="285"/>
      <c r="K1030106" s="285"/>
      <c r="L1030106" s="44"/>
      <c r="M1030106" s="44"/>
      <c r="N1030106" s="44"/>
      <c r="O1030106" s="286"/>
      <c r="P1030106" s="287"/>
      <c r="Q1030106" s="286"/>
      <c r="R1030106" s="288"/>
      <c r="S1030106" s="44"/>
      <c r="T1030106" s="44"/>
      <c r="U1030106" s="289"/>
      <c r="V1030106" s="44"/>
      <c r="W1030106" s="290"/>
      <c r="X1030106" s="44"/>
      <c r="Y1030106" s="291"/>
      <c r="Z1030106" s="291"/>
      <c r="AA1030106" s="296"/>
      <c r="AB1030106" s="293"/>
      <c r="AC1030106" s="293"/>
      <c r="AD1030106" s="293"/>
      <c r="AF1030106" s="285"/>
      <c r="AH1030106" s="44"/>
      <c r="AI1030106" s="44"/>
      <c r="AJ1030106" s="295"/>
      <c r="AK1030106" s="295"/>
      <c r="AL1030106" s="295"/>
      <c r="AM1030106" s="295"/>
      <c r="AN1030106" s="295"/>
      <c r="AO1030106" s="44"/>
    </row>
    <row r="1030107" spans="1:41" s="294" customFormat="1" ht="15" customHeight="1">
      <c r="A1030107" s="44"/>
      <c r="B1030107" s="44"/>
      <c r="C1030107" s="44"/>
      <c r="D1030107" s="44"/>
      <c r="E1030107" s="44"/>
      <c r="F1030107" s="44"/>
      <c r="G1030107" s="44"/>
      <c r="H1030107" s="284"/>
      <c r="I1030107" s="44"/>
      <c r="J1030107" s="285"/>
      <c r="K1030107" s="285"/>
      <c r="L1030107" s="44"/>
      <c r="M1030107" s="44"/>
      <c r="N1030107" s="44"/>
      <c r="O1030107" s="286"/>
      <c r="P1030107" s="287"/>
      <c r="Q1030107" s="286"/>
      <c r="R1030107" s="288"/>
      <c r="S1030107" s="44"/>
      <c r="T1030107" s="44"/>
      <c r="U1030107" s="289"/>
      <c r="V1030107" s="44"/>
      <c r="W1030107" s="290"/>
      <c r="X1030107" s="44"/>
      <c r="Y1030107" s="291"/>
      <c r="Z1030107" s="291"/>
      <c r="AA1030107" s="296"/>
      <c r="AB1030107" s="293"/>
      <c r="AC1030107" s="293"/>
      <c r="AD1030107" s="293"/>
      <c r="AF1030107" s="285"/>
      <c r="AH1030107" s="44"/>
      <c r="AI1030107" s="44"/>
      <c r="AJ1030107" s="295"/>
      <c r="AK1030107" s="295"/>
      <c r="AL1030107" s="295"/>
      <c r="AM1030107" s="295"/>
      <c r="AN1030107" s="295"/>
      <c r="AO1030107" s="44"/>
    </row>
    <row r="1030108" spans="1:41" s="294" customFormat="1" ht="15" customHeight="1">
      <c r="A1030108" s="44"/>
      <c r="B1030108" s="44"/>
      <c r="C1030108" s="44"/>
      <c r="D1030108" s="44"/>
      <c r="E1030108" s="44"/>
      <c r="F1030108" s="44"/>
      <c r="G1030108" s="44"/>
      <c r="H1030108" s="284"/>
      <c r="I1030108" s="44"/>
      <c r="J1030108" s="285"/>
      <c r="K1030108" s="285"/>
      <c r="L1030108" s="44"/>
      <c r="M1030108" s="44"/>
      <c r="N1030108" s="44"/>
      <c r="O1030108" s="286"/>
      <c r="P1030108" s="287"/>
      <c r="Q1030108" s="286"/>
      <c r="R1030108" s="288"/>
      <c r="S1030108" s="44"/>
      <c r="T1030108" s="44"/>
      <c r="U1030108" s="289"/>
      <c r="V1030108" s="44"/>
      <c r="W1030108" s="290"/>
      <c r="X1030108" s="44"/>
      <c r="Y1030108" s="291"/>
      <c r="Z1030108" s="291"/>
      <c r="AA1030108" s="296"/>
      <c r="AB1030108" s="293"/>
      <c r="AC1030108" s="293"/>
      <c r="AD1030108" s="293"/>
      <c r="AF1030108" s="285"/>
      <c r="AH1030108" s="44"/>
      <c r="AI1030108" s="44"/>
      <c r="AJ1030108" s="295"/>
      <c r="AK1030108" s="295"/>
      <c r="AL1030108" s="295"/>
      <c r="AM1030108" s="295"/>
      <c r="AN1030108" s="295"/>
      <c r="AO1030108" s="44"/>
    </row>
    <row r="1030109" spans="1:41" s="294" customFormat="1" ht="15" customHeight="1">
      <c r="A1030109" s="44"/>
      <c r="B1030109" s="44"/>
      <c r="C1030109" s="44"/>
      <c r="D1030109" s="44"/>
      <c r="E1030109" s="44"/>
      <c r="F1030109" s="44"/>
      <c r="G1030109" s="44"/>
      <c r="H1030109" s="284"/>
      <c r="I1030109" s="44"/>
      <c r="J1030109" s="285"/>
      <c r="K1030109" s="285"/>
      <c r="L1030109" s="44"/>
      <c r="M1030109" s="44"/>
      <c r="N1030109" s="44"/>
      <c r="O1030109" s="286"/>
      <c r="P1030109" s="287"/>
      <c r="Q1030109" s="286"/>
      <c r="R1030109" s="288"/>
      <c r="S1030109" s="44"/>
      <c r="T1030109" s="44"/>
      <c r="U1030109" s="289"/>
      <c r="V1030109" s="44"/>
      <c r="W1030109" s="290"/>
      <c r="X1030109" s="44"/>
      <c r="Y1030109" s="291"/>
      <c r="Z1030109" s="291"/>
      <c r="AA1030109" s="296"/>
      <c r="AB1030109" s="293"/>
      <c r="AC1030109" s="293"/>
      <c r="AD1030109" s="293"/>
      <c r="AF1030109" s="285"/>
      <c r="AH1030109" s="44"/>
      <c r="AI1030109" s="44"/>
      <c r="AJ1030109" s="295"/>
      <c r="AK1030109" s="295"/>
      <c r="AL1030109" s="295"/>
      <c r="AM1030109" s="295"/>
      <c r="AN1030109" s="295"/>
      <c r="AO1030109" s="44"/>
    </row>
    <row r="1030110" spans="1:41" s="294" customFormat="1" ht="15" customHeight="1">
      <c r="A1030110" s="44"/>
      <c r="B1030110" s="44"/>
      <c r="C1030110" s="44"/>
      <c r="D1030110" s="44"/>
      <c r="E1030110" s="44"/>
      <c r="F1030110" s="44"/>
      <c r="G1030110" s="44"/>
      <c r="H1030110" s="284"/>
      <c r="I1030110" s="44"/>
      <c r="J1030110" s="285"/>
      <c r="K1030110" s="285"/>
      <c r="L1030110" s="44"/>
      <c r="M1030110" s="44"/>
      <c r="N1030110" s="44"/>
      <c r="O1030110" s="286"/>
      <c r="P1030110" s="287"/>
      <c r="Q1030110" s="286"/>
      <c r="R1030110" s="288"/>
      <c r="S1030110" s="44"/>
      <c r="T1030110" s="44"/>
      <c r="U1030110" s="289"/>
      <c r="V1030110" s="44"/>
      <c r="W1030110" s="290"/>
      <c r="X1030110" s="44"/>
      <c r="Y1030110" s="291"/>
      <c r="Z1030110" s="291"/>
      <c r="AA1030110" s="296"/>
      <c r="AB1030110" s="293"/>
      <c r="AC1030110" s="293"/>
      <c r="AD1030110" s="293"/>
      <c r="AF1030110" s="285"/>
      <c r="AH1030110" s="44"/>
      <c r="AI1030110" s="44"/>
      <c r="AJ1030110" s="295"/>
      <c r="AK1030110" s="295"/>
      <c r="AL1030110" s="295"/>
      <c r="AM1030110" s="295"/>
      <c r="AN1030110" s="295"/>
      <c r="AO1030110" s="44"/>
    </row>
    <row r="1030111" spans="1:41" s="294" customFormat="1" ht="15" customHeight="1">
      <c r="A1030111" s="44"/>
      <c r="B1030111" s="44"/>
      <c r="C1030111" s="44"/>
      <c r="D1030111" s="44"/>
      <c r="E1030111" s="44"/>
      <c r="F1030111" s="44"/>
      <c r="G1030111" s="44"/>
      <c r="H1030111" s="284"/>
      <c r="I1030111" s="44"/>
      <c r="J1030111" s="285"/>
      <c r="K1030111" s="285"/>
      <c r="L1030111" s="44"/>
      <c r="M1030111" s="44"/>
      <c r="N1030111" s="44"/>
      <c r="O1030111" s="286"/>
      <c r="P1030111" s="287"/>
      <c r="Q1030111" s="286"/>
      <c r="R1030111" s="288"/>
      <c r="S1030111" s="44"/>
      <c r="T1030111" s="44"/>
      <c r="U1030111" s="289"/>
      <c r="V1030111" s="44"/>
      <c r="W1030111" s="290"/>
      <c r="X1030111" s="44"/>
      <c r="Y1030111" s="291"/>
      <c r="Z1030111" s="291"/>
      <c r="AA1030111" s="296"/>
      <c r="AB1030111" s="293"/>
      <c r="AC1030111" s="293"/>
      <c r="AD1030111" s="293"/>
      <c r="AF1030111" s="285"/>
      <c r="AH1030111" s="44"/>
      <c r="AI1030111" s="44"/>
      <c r="AJ1030111" s="295"/>
      <c r="AK1030111" s="295"/>
      <c r="AL1030111" s="295"/>
      <c r="AM1030111" s="295"/>
      <c r="AN1030111" s="295"/>
      <c r="AO1030111" s="44"/>
    </row>
    <row r="1030112" spans="1:41" s="294" customFormat="1" ht="15" customHeight="1">
      <c r="A1030112" s="44"/>
      <c r="B1030112" s="44"/>
      <c r="C1030112" s="44"/>
      <c r="D1030112" s="44"/>
      <c r="E1030112" s="44"/>
      <c r="F1030112" s="44"/>
      <c r="G1030112" s="44"/>
      <c r="H1030112" s="284"/>
      <c r="I1030112" s="44"/>
      <c r="J1030112" s="285"/>
      <c r="K1030112" s="285"/>
      <c r="L1030112" s="44"/>
      <c r="M1030112" s="44"/>
      <c r="N1030112" s="44"/>
      <c r="O1030112" s="286"/>
      <c r="P1030112" s="287"/>
      <c r="Q1030112" s="286"/>
      <c r="R1030112" s="288"/>
      <c r="S1030112" s="44"/>
      <c r="T1030112" s="44"/>
      <c r="U1030112" s="289"/>
      <c r="V1030112" s="44"/>
      <c r="W1030112" s="290"/>
      <c r="X1030112" s="44"/>
      <c r="Y1030112" s="291"/>
      <c r="Z1030112" s="291"/>
      <c r="AA1030112" s="296"/>
      <c r="AB1030112" s="293"/>
      <c r="AC1030112" s="293"/>
      <c r="AD1030112" s="293"/>
      <c r="AF1030112" s="285"/>
      <c r="AH1030112" s="44"/>
      <c r="AI1030112" s="44"/>
      <c r="AJ1030112" s="295"/>
      <c r="AK1030112" s="295"/>
      <c r="AL1030112" s="295"/>
      <c r="AM1030112" s="295"/>
      <c r="AN1030112" s="295"/>
      <c r="AO1030112" s="44"/>
    </row>
    <row r="1030113" spans="1:41" s="294" customFormat="1" ht="15" customHeight="1">
      <c r="A1030113" s="44"/>
      <c r="B1030113" s="44"/>
      <c r="C1030113" s="44"/>
      <c r="D1030113" s="44"/>
      <c r="E1030113" s="44"/>
      <c r="F1030113" s="44"/>
      <c r="G1030113" s="44"/>
      <c r="H1030113" s="284"/>
      <c r="I1030113" s="44"/>
      <c r="J1030113" s="285"/>
      <c r="K1030113" s="285"/>
      <c r="L1030113" s="44"/>
      <c r="M1030113" s="44"/>
      <c r="N1030113" s="44"/>
      <c r="O1030113" s="286"/>
      <c r="P1030113" s="287"/>
      <c r="Q1030113" s="286"/>
      <c r="R1030113" s="288"/>
      <c r="S1030113" s="44"/>
      <c r="T1030113" s="44"/>
      <c r="U1030113" s="289"/>
      <c r="V1030113" s="44"/>
      <c r="W1030113" s="290"/>
      <c r="X1030113" s="44"/>
      <c r="Y1030113" s="291"/>
      <c r="Z1030113" s="291"/>
      <c r="AA1030113" s="296"/>
      <c r="AB1030113" s="293"/>
      <c r="AC1030113" s="293"/>
      <c r="AD1030113" s="293"/>
      <c r="AF1030113" s="285"/>
      <c r="AH1030113" s="44"/>
      <c r="AI1030113" s="44"/>
      <c r="AJ1030113" s="295"/>
      <c r="AK1030113" s="295"/>
      <c r="AL1030113" s="295"/>
      <c r="AM1030113" s="295"/>
      <c r="AN1030113" s="295"/>
      <c r="AO1030113" s="44"/>
    </row>
    <row r="1030114" spans="1:41" s="294" customFormat="1" ht="15" customHeight="1">
      <c r="A1030114" s="44"/>
      <c r="B1030114" s="44"/>
      <c r="C1030114" s="44"/>
      <c r="D1030114" s="44"/>
      <c r="E1030114" s="44"/>
      <c r="F1030114" s="44"/>
      <c r="G1030114" s="44"/>
      <c r="H1030114" s="284"/>
      <c r="I1030114" s="44"/>
      <c r="J1030114" s="285"/>
      <c r="K1030114" s="285"/>
      <c r="L1030114" s="44"/>
      <c r="M1030114" s="44"/>
      <c r="N1030114" s="44"/>
      <c r="O1030114" s="286"/>
      <c r="P1030114" s="287"/>
      <c r="Q1030114" s="286"/>
      <c r="R1030114" s="288"/>
      <c r="S1030114" s="44"/>
      <c r="T1030114" s="44"/>
      <c r="U1030114" s="289"/>
      <c r="V1030114" s="44"/>
      <c r="W1030114" s="290"/>
      <c r="X1030114" s="44"/>
      <c r="Y1030114" s="291"/>
      <c r="Z1030114" s="291"/>
      <c r="AA1030114" s="296"/>
      <c r="AB1030114" s="293"/>
      <c r="AC1030114" s="293"/>
      <c r="AD1030114" s="293"/>
      <c r="AF1030114" s="285"/>
      <c r="AH1030114" s="44"/>
      <c r="AI1030114" s="44"/>
      <c r="AJ1030114" s="295"/>
      <c r="AK1030114" s="295"/>
      <c r="AL1030114" s="295"/>
      <c r="AM1030114" s="295"/>
      <c r="AN1030114" s="295"/>
      <c r="AO1030114" s="44"/>
    </row>
    <row r="1030115" spans="1:41" s="294" customFormat="1" ht="15" customHeight="1">
      <c r="A1030115" s="44"/>
      <c r="B1030115" s="44"/>
      <c r="C1030115" s="44"/>
      <c r="D1030115" s="44"/>
      <c r="E1030115" s="44"/>
      <c r="F1030115" s="44"/>
      <c r="G1030115" s="44"/>
      <c r="H1030115" s="284"/>
      <c r="I1030115" s="44"/>
      <c r="J1030115" s="285"/>
      <c r="K1030115" s="285"/>
      <c r="L1030115" s="44"/>
      <c r="M1030115" s="44"/>
      <c r="N1030115" s="44"/>
      <c r="O1030115" s="286"/>
      <c r="P1030115" s="287"/>
      <c r="Q1030115" s="286"/>
      <c r="R1030115" s="288"/>
      <c r="S1030115" s="44"/>
      <c r="T1030115" s="44"/>
      <c r="U1030115" s="289"/>
      <c r="V1030115" s="44"/>
      <c r="W1030115" s="290"/>
      <c r="X1030115" s="44"/>
      <c r="Y1030115" s="291"/>
      <c r="Z1030115" s="291"/>
      <c r="AA1030115" s="296"/>
      <c r="AB1030115" s="293"/>
      <c r="AC1030115" s="293"/>
      <c r="AD1030115" s="293"/>
      <c r="AF1030115" s="285"/>
      <c r="AH1030115" s="44"/>
      <c r="AI1030115" s="44"/>
      <c r="AJ1030115" s="295"/>
      <c r="AK1030115" s="295"/>
      <c r="AL1030115" s="295"/>
      <c r="AM1030115" s="295"/>
      <c r="AN1030115" s="295"/>
      <c r="AO1030115" s="44"/>
    </row>
    <row r="1030116" spans="1:41" s="294" customFormat="1" ht="15" customHeight="1">
      <c r="A1030116" s="44"/>
      <c r="B1030116" s="44"/>
      <c r="C1030116" s="44"/>
      <c r="D1030116" s="44"/>
      <c r="E1030116" s="44"/>
      <c r="F1030116" s="44"/>
      <c r="G1030116" s="44"/>
      <c r="H1030116" s="284"/>
      <c r="I1030116" s="44"/>
      <c r="J1030116" s="285"/>
      <c r="K1030116" s="285"/>
      <c r="L1030116" s="44"/>
      <c r="M1030116" s="44"/>
      <c r="N1030116" s="44"/>
      <c r="O1030116" s="286"/>
      <c r="P1030116" s="287"/>
      <c r="Q1030116" s="286"/>
      <c r="R1030116" s="288"/>
      <c r="S1030116" s="44"/>
      <c r="T1030116" s="44"/>
      <c r="U1030116" s="289"/>
      <c r="V1030116" s="44"/>
      <c r="W1030116" s="290"/>
      <c r="X1030116" s="44"/>
      <c r="Y1030116" s="291"/>
      <c r="Z1030116" s="291"/>
      <c r="AA1030116" s="296"/>
      <c r="AB1030116" s="293"/>
      <c r="AC1030116" s="293"/>
      <c r="AD1030116" s="293"/>
      <c r="AF1030116" s="285"/>
      <c r="AH1030116" s="44"/>
      <c r="AI1030116" s="44"/>
      <c r="AJ1030116" s="295"/>
      <c r="AK1030116" s="295"/>
      <c r="AL1030116" s="295"/>
      <c r="AM1030116" s="295"/>
      <c r="AN1030116" s="295"/>
      <c r="AO1030116" s="44"/>
    </row>
    <row r="1030117" spans="1:41" s="294" customFormat="1" ht="15" customHeight="1">
      <c r="A1030117" s="44"/>
      <c r="B1030117" s="44"/>
      <c r="C1030117" s="44"/>
      <c r="D1030117" s="44"/>
      <c r="E1030117" s="44"/>
      <c r="F1030117" s="44"/>
      <c r="G1030117" s="44"/>
      <c r="H1030117" s="284"/>
      <c r="I1030117" s="44"/>
      <c r="J1030117" s="285"/>
      <c r="K1030117" s="285"/>
      <c r="L1030117" s="44"/>
      <c r="M1030117" s="44"/>
      <c r="N1030117" s="44"/>
      <c r="O1030117" s="286"/>
      <c r="P1030117" s="287"/>
      <c r="Q1030117" s="286"/>
      <c r="R1030117" s="288"/>
      <c r="S1030117" s="44"/>
      <c r="T1030117" s="44"/>
      <c r="U1030117" s="289"/>
      <c r="V1030117" s="44"/>
      <c r="W1030117" s="290"/>
      <c r="X1030117" s="44"/>
      <c r="Y1030117" s="291"/>
      <c r="Z1030117" s="291"/>
      <c r="AA1030117" s="296"/>
      <c r="AB1030117" s="293"/>
      <c r="AC1030117" s="293"/>
      <c r="AD1030117" s="293"/>
      <c r="AF1030117" s="285"/>
      <c r="AH1030117" s="44"/>
      <c r="AI1030117" s="44"/>
      <c r="AJ1030117" s="295"/>
      <c r="AK1030117" s="295"/>
      <c r="AL1030117" s="295"/>
      <c r="AM1030117" s="295"/>
      <c r="AN1030117" s="295"/>
      <c r="AO1030117" s="44"/>
    </row>
    <row r="1030118" spans="1:41" s="294" customFormat="1" ht="15" customHeight="1">
      <c r="A1030118" s="44"/>
      <c r="B1030118" s="44"/>
      <c r="C1030118" s="44"/>
      <c r="D1030118" s="44"/>
      <c r="E1030118" s="44"/>
      <c r="F1030118" s="44"/>
      <c r="G1030118" s="44"/>
      <c r="H1030118" s="284"/>
      <c r="I1030118" s="44"/>
      <c r="J1030118" s="285"/>
      <c r="K1030118" s="285"/>
      <c r="L1030118" s="44"/>
      <c r="M1030118" s="44"/>
      <c r="N1030118" s="44"/>
      <c r="O1030118" s="286"/>
      <c r="P1030118" s="287"/>
      <c r="Q1030118" s="286"/>
      <c r="R1030118" s="288"/>
      <c r="S1030118" s="44"/>
      <c r="T1030118" s="44"/>
      <c r="U1030118" s="289"/>
      <c r="V1030118" s="44"/>
      <c r="W1030118" s="290"/>
      <c r="X1030118" s="44"/>
      <c r="Y1030118" s="291"/>
      <c r="Z1030118" s="291"/>
      <c r="AA1030118" s="296"/>
      <c r="AB1030118" s="293"/>
      <c r="AC1030118" s="293"/>
      <c r="AD1030118" s="293"/>
      <c r="AF1030118" s="285"/>
      <c r="AH1030118" s="44"/>
      <c r="AI1030118" s="44"/>
      <c r="AJ1030118" s="295"/>
      <c r="AK1030118" s="295"/>
      <c r="AL1030118" s="295"/>
      <c r="AM1030118" s="295"/>
      <c r="AN1030118" s="295"/>
      <c r="AO1030118" s="44"/>
    </row>
    <row r="1030119" spans="1:41" s="294" customFormat="1" ht="15" customHeight="1">
      <c r="A1030119" s="44"/>
      <c r="B1030119" s="44"/>
      <c r="C1030119" s="44"/>
      <c r="D1030119" s="44"/>
      <c r="E1030119" s="44"/>
      <c r="F1030119" s="44"/>
      <c r="G1030119" s="44"/>
      <c r="H1030119" s="284"/>
      <c r="I1030119" s="44"/>
      <c r="J1030119" s="285"/>
      <c r="K1030119" s="285"/>
      <c r="L1030119" s="44"/>
      <c r="M1030119" s="44"/>
      <c r="N1030119" s="44"/>
      <c r="O1030119" s="286"/>
      <c r="P1030119" s="287"/>
      <c r="Q1030119" s="286"/>
      <c r="R1030119" s="288"/>
      <c r="S1030119" s="44"/>
      <c r="T1030119" s="44"/>
      <c r="U1030119" s="289"/>
      <c r="V1030119" s="44"/>
      <c r="W1030119" s="290"/>
      <c r="X1030119" s="44"/>
      <c r="Y1030119" s="291"/>
      <c r="Z1030119" s="291"/>
      <c r="AA1030119" s="296"/>
      <c r="AB1030119" s="293"/>
      <c r="AC1030119" s="293"/>
      <c r="AD1030119" s="293"/>
      <c r="AF1030119" s="285"/>
      <c r="AH1030119" s="44"/>
      <c r="AI1030119" s="44"/>
      <c r="AJ1030119" s="295"/>
      <c r="AK1030119" s="295"/>
      <c r="AL1030119" s="295"/>
      <c r="AM1030119" s="295"/>
      <c r="AN1030119" s="295"/>
      <c r="AO1030119" s="44"/>
    </row>
    <row r="1030120" spans="1:41" s="294" customFormat="1" ht="15" customHeight="1">
      <c r="A1030120" s="44"/>
      <c r="B1030120" s="44"/>
      <c r="C1030120" s="44"/>
      <c r="D1030120" s="44"/>
      <c r="E1030120" s="44"/>
      <c r="F1030120" s="44"/>
      <c r="G1030120" s="44"/>
      <c r="H1030120" s="284"/>
      <c r="I1030120" s="44"/>
      <c r="J1030120" s="285"/>
      <c r="K1030120" s="285"/>
      <c r="L1030120" s="44"/>
      <c r="M1030120" s="44"/>
      <c r="N1030120" s="44"/>
      <c r="O1030120" s="286"/>
      <c r="P1030120" s="287"/>
      <c r="Q1030120" s="286"/>
      <c r="R1030120" s="288"/>
      <c r="S1030120" s="44"/>
      <c r="T1030120" s="44"/>
      <c r="U1030120" s="289"/>
      <c r="V1030120" s="44"/>
      <c r="W1030120" s="290"/>
      <c r="X1030120" s="44"/>
      <c r="Y1030120" s="291"/>
      <c r="Z1030120" s="291"/>
      <c r="AA1030120" s="296"/>
      <c r="AB1030120" s="293"/>
      <c r="AC1030120" s="293"/>
      <c r="AD1030120" s="293"/>
      <c r="AF1030120" s="285"/>
      <c r="AH1030120" s="44"/>
      <c r="AI1030120" s="44"/>
      <c r="AJ1030120" s="295"/>
      <c r="AK1030120" s="295"/>
      <c r="AL1030120" s="295"/>
      <c r="AM1030120" s="295"/>
      <c r="AN1030120" s="295"/>
      <c r="AO1030120" s="44"/>
    </row>
    <row r="1030121" spans="1:41" s="294" customFormat="1" ht="15" customHeight="1">
      <c r="A1030121" s="44"/>
      <c r="B1030121" s="44"/>
      <c r="C1030121" s="44"/>
      <c r="D1030121" s="44"/>
      <c r="E1030121" s="44"/>
      <c r="F1030121" s="44"/>
      <c r="G1030121" s="44"/>
      <c r="H1030121" s="284"/>
      <c r="I1030121" s="44"/>
      <c r="J1030121" s="285"/>
      <c r="K1030121" s="285"/>
      <c r="L1030121" s="44"/>
      <c r="M1030121" s="44"/>
      <c r="N1030121" s="44"/>
      <c r="O1030121" s="286"/>
      <c r="P1030121" s="287"/>
      <c r="Q1030121" s="286"/>
      <c r="R1030121" s="288"/>
      <c r="S1030121" s="44"/>
      <c r="T1030121" s="44"/>
      <c r="U1030121" s="289"/>
      <c r="V1030121" s="44"/>
      <c r="W1030121" s="290"/>
      <c r="X1030121" s="44"/>
      <c r="Y1030121" s="291"/>
      <c r="Z1030121" s="291"/>
      <c r="AA1030121" s="296"/>
      <c r="AB1030121" s="293"/>
      <c r="AC1030121" s="293"/>
      <c r="AD1030121" s="293"/>
      <c r="AF1030121" s="285"/>
      <c r="AH1030121" s="44"/>
      <c r="AI1030121" s="44"/>
      <c r="AJ1030121" s="295"/>
      <c r="AK1030121" s="295"/>
      <c r="AL1030121" s="295"/>
      <c r="AM1030121" s="295"/>
      <c r="AN1030121" s="295"/>
      <c r="AO1030121" s="44"/>
    </row>
    <row r="1030122" spans="1:41" s="294" customFormat="1" ht="15" customHeight="1">
      <c r="A1030122" s="44"/>
      <c r="B1030122" s="44"/>
      <c r="C1030122" s="44"/>
      <c r="D1030122" s="44"/>
      <c r="E1030122" s="44"/>
      <c r="F1030122" s="44"/>
      <c r="G1030122" s="44"/>
      <c r="H1030122" s="284"/>
      <c r="I1030122" s="44"/>
      <c r="J1030122" s="285"/>
      <c r="K1030122" s="285"/>
      <c r="L1030122" s="44"/>
      <c r="M1030122" s="44"/>
      <c r="N1030122" s="44"/>
      <c r="O1030122" s="286"/>
      <c r="P1030122" s="287"/>
      <c r="Q1030122" s="286"/>
      <c r="R1030122" s="288"/>
      <c r="S1030122" s="44"/>
      <c r="T1030122" s="44"/>
      <c r="U1030122" s="289"/>
      <c r="V1030122" s="44"/>
      <c r="W1030122" s="290"/>
      <c r="X1030122" s="44"/>
      <c r="Y1030122" s="291"/>
      <c r="Z1030122" s="291"/>
      <c r="AA1030122" s="296"/>
      <c r="AB1030122" s="293"/>
      <c r="AC1030122" s="293"/>
      <c r="AD1030122" s="293"/>
      <c r="AF1030122" s="285"/>
      <c r="AH1030122" s="44"/>
      <c r="AI1030122" s="44"/>
      <c r="AJ1030122" s="295"/>
      <c r="AK1030122" s="295"/>
      <c r="AL1030122" s="295"/>
      <c r="AM1030122" s="295"/>
      <c r="AN1030122" s="295"/>
      <c r="AO1030122" s="44"/>
    </row>
    <row r="1030123" spans="1:41" s="294" customFormat="1" ht="15" customHeight="1">
      <c r="A1030123" s="44"/>
      <c r="B1030123" s="44"/>
      <c r="C1030123" s="44"/>
      <c r="D1030123" s="44"/>
      <c r="E1030123" s="44"/>
      <c r="F1030123" s="44"/>
      <c r="G1030123" s="44"/>
      <c r="H1030123" s="284"/>
      <c r="I1030123" s="44"/>
      <c r="J1030123" s="285"/>
      <c r="K1030123" s="285"/>
      <c r="L1030123" s="44"/>
      <c r="M1030123" s="44"/>
      <c r="N1030123" s="44"/>
      <c r="O1030123" s="286"/>
      <c r="P1030123" s="287"/>
      <c r="Q1030123" s="286"/>
      <c r="R1030123" s="288"/>
      <c r="S1030123" s="44"/>
      <c r="T1030123" s="44"/>
      <c r="U1030123" s="289"/>
      <c r="V1030123" s="44"/>
      <c r="W1030123" s="290"/>
      <c r="X1030123" s="44"/>
      <c r="Y1030123" s="291"/>
      <c r="Z1030123" s="291"/>
      <c r="AA1030123" s="296"/>
      <c r="AB1030123" s="293"/>
      <c r="AC1030123" s="293"/>
      <c r="AD1030123" s="293"/>
      <c r="AF1030123" s="285"/>
      <c r="AH1030123" s="44"/>
      <c r="AI1030123" s="44"/>
      <c r="AJ1030123" s="295"/>
      <c r="AK1030123" s="295"/>
      <c r="AL1030123" s="295"/>
      <c r="AM1030123" s="295"/>
      <c r="AN1030123" s="295"/>
      <c r="AO1030123" s="44"/>
    </row>
    <row r="1030124" spans="1:41" s="294" customFormat="1" ht="15" customHeight="1">
      <c r="A1030124" s="44"/>
      <c r="B1030124" s="44"/>
      <c r="C1030124" s="44"/>
      <c r="D1030124" s="44"/>
      <c r="E1030124" s="44"/>
      <c r="F1030124" s="44"/>
      <c r="G1030124" s="44"/>
      <c r="H1030124" s="284"/>
      <c r="I1030124" s="44"/>
      <c r="J1030124" s="285"/>
      <c r="K1030124" s="285"/>
      <c r="L1030124" s="44"/>
      <c r="M1030124" s="44"/>
      <c r="N1030124" s="44"/>
      <c r="O1030124" s="286"/>
      <c r="P1030124" s="287"/>
      <c r="Q1030124" s="286"/>
      <c r="R1030124" s="288"/>
      <c r="S1030124" s="44"/>
      <c r="T1030124" s="44"/>
      <c r="U1030124" s="289"/>
      <c r="V1030124" s="44"/>
      <c r="W1030124" s="290"/>
      <c r="X1030124" s="44"/>
      <c r="Y1030124" s="291"/>
      <c r="Z1030124" s="291"/>
      <c r="AA1030124" s="296"/>
      <c r="AB1030124" s="293"/>
      <c r="AC1030124" s="293"/>
      <c r="AD1030124" s="293"/>
      <c r="AF1030124" s="285"/>
      <c r="AH1030124" s="44"/>
      <c r="AI1030124" s="44"/>
      <c r="AJ1030124" s="295"/>
      <c r="AK1030124" s="295"/>
      <c r="AL1030124" s="295"/>
      <c r="AM1030124" s="295"/>
      <c r="AN1030124" s="295"/>
      <c r="AO1030124" s="44"/>
    </row>
    <row r="1030125" spans="1:41" s="294" customFormat="1" ht="15" customHeight="1">
      <c r="A1030125" s="44"/>
      <c r="B1030125" s="44"/>
      <c r="C1030125" s="44"/>
      <c r="D1030125" s="44"/>
      <c r="E1030125" s="44"/>
      <c r="F1030125" s="44"/>
      <c r="G1030125" s="44"/>
      <c r="H1030125" s="284"/>
      <c r="I1030125" s="44"/>
      <c r="J1030125" s="285"/>
      <c r="K1030125" s="285"/>
      <c r="L1030125" s="44"/>
      <c r="M1030125" s="44"/>
      <c r="N1030125" s="44"/>
      <c r="O1030125" s="286"/>
      <c r="P1030125" s="287"/>
      <c r="Q1030125" s="286"/>
      <c r="R1030125" s="288"/>
      <c r="S1030125" s="44"/>
      <c r="T1030125" s="44"/>
      <c r="U1030125" s="289"/>
      <c r="V1030125" s="44"/>
      <c r="W1030125" s="290"/>
      <c r="X1030125" s="44"/>
      <c r="Y1030125" s="291"/>
      <c r="Z1030125" s="291"/>
      <c r="AA1030125" s="296"/>
      <c r="AB1030125" s="293"/>
      <c r="AC1030125" s="293"/>
      <c r="AD1030125" s="293"/>
      <c r="AF1030125" s="285"/>
      <c r="AH1030125" s="44"/>
      <c r="AI1030125" s="44"/>
      <c r="AJ1030125" s="295"/>
      <c r="AK1030125" s="295"/>
      <c r="AL1030125" s="295"/>
      <c r="AM1030125" s="295"/>
      <c r="AN1030125" s="295"/>
      <c r="AO1030125" s="44"/>
    </row>
    <row r="1030126" spans="1:41" s="294" customFormat="1" ht="15" customHeight="1">
      <c r="A1030126" s="44"/>
      <c r="B1030126" s="44"/>
      <c r="C1030126" s="44"/>
      <c r="D1030126" s="44"/>
      <c r="E1030126" s="44"/>
      <c r="F1030126" s="44"/>
      <c r="G1030126" s="44"/>
      <c r="H1030126" s="284"/>
      <c r="I1030126" s="44"/>
      <c r="J1030126" s="285"/>
      <c r="K1030126" s="285"/>
      <c r="L1030126" s="44"/>
      <c r="M1030126" s="44"/>
      <c r="N1030126" s="44"/>
      <c r="O1030126" s="286"/>
      <c r="P1030126" s="287"/>
      <c r="Q1030126" s="286"/>
      <c r="R1030126" s="288"/>
      <c r="S1030126" s="44"/>
      <c r="T1030126" s="44"/>
      <c r="U1030126" s="289"/>
      <c r="V1030126" s="44"/>
      <c r="W1030126" s="290"/>
      <c r="X1030126" s="44"/>
      <c r="Y1030126" s="291"/>
      <c r="Z1030126" s="291"/>
      <c r="AA1030126" s="296"/>
      <c r="AB1030126" s="293"/>
      <c r="AC1030126" s="293"/>
      <c r="AD1030126" s="293"/>
      <c r="AF1030126" s="285"/>
      <c r="AH1030126" s="44"/>
      <c r="AI1030126" s="44"/>
      <c r="AJ1030126" s="295"/>
      <c r="AK1030126" s="295"/>
      <c r="AL1030126" s="295"/>
      <c r="AM1030126" s="295"/>
      <c r="AN1030126" s="295"/>
      <c r="AO1030126" s="44"/>
    </row>
    <row r="1030127" spans="1:41" s="294" customFormat="1" ht="15" customHeight="1">
      <c r="A1030127" s="44"/>
      <c r="B1030127" s="44"/>
      <c r="C1030127" s="44"/>
      <c r="D1030127" s="44"/>
      <c r="E1030127" s="44"/>
      <c r="F1030127" s="44"/>
      <c r="G1030127" s="44"/>
      <c r="H1030127" s="284"/>
      <c r="I1030127" s="44"/>
      <c r="J1030127" s="285"/>
      <c r="K1030127" s="285"/>
      <c r="L1030127" s="44"/>
      <c r="M1030127" s="44"/>
      <c r="N1030127" s="44"/>
      <c r="O1030127" s="286"/>
      <c r="P1030127" s="287"/>
      <c r="Q1030127" s="286"/>
      <c r="R1030127" s="288"/>
      <c r="S1030127" s="44"/>
      <c r="T1030127" s="44"/>
      <c r="U1030127" s="289"/>
      <c r="V1030127" s="44"/>
      <c r="W1030127" s="290"/>
      <c r="X1030127" s="44"/>
      <c r="Y1030127" s="291"/>
      <c r="Z1030127" s="291"/>
      <c r="AA1030127" s="296"/>
      <c r="AB1030127" s="293"/>
      <c r="AC1030127" s="293"/>
      <c r="AD1030127" s="293"/>
      <c r="AF1030127" s="285"/>
      <c r="AH1030127" s="44"/>
      <c r="AI1030127" s="44"/>
      <c r="AJ1030127" s="295"/>
      <c r="AK1030127" s="295"/>
      <c r="AL1030127" s="295"/>
      <c r="AM1030127" s="295"/>
      <c r="AN1030127" s="295"/>
      <c r="AO1030127" s="44"/>
    </row>
    <row r="1030128" spans="1:41" s="294" customFormat="1" ht="15" customHeight="1">
      <c r="A1030128" s="44"/>
      <c r="B1030128" s="44"/>
      <c r="C1030128" s="44"/>
      <c r="D1030128" s="44"/>
      <c r="E1030128" s="44"/>
      <c r="F1030128" s="44"/>
      <c r="G1030128" s="44"/>
      <c r="H1030128" s="284"/>
      <c r="I1030128" s="44"/>
      <c r="J1030128" s="285"/>
      <c r="K1030128" s="285"/>
      <c r="L1030128" s="44"/>
      <c r="M1030128" s="44"/>
      <c r="N1030128" s="44"/>
      <c r="O1030128" s="286"/>
      <c r="P1030128" s="287"/>
      <c r="Q1030128" s="286"/>
      <c r="R1030128" s="288"/>
      <c r="S1030128" s="44"/>
      <c r="T1030128" s="44"/>
      <c r="U1030128" s="289"/>
      <c r="V1030128" s="44"/>
      <c r="W1030128" s="290"/>
      <c r="X1030128" s="44"/>
      <c r="Y1030128" s="291"/>
      <c r="Z1030128" s="291"/>
      <c r="AA1030128" s="297"/>
      <c r="AB1030128" s="293"/>
      <c r="AC1030128" s="293"/>
      <c r="AD1030128" s="293"/>
      <c r="AF1030128" s="285"/>
      <c r="AH1030128" s="44"/>
      <c r="AI1030128" s="44"/>
      <c r="AJ1030128" s="295"/>
      <c r="AK1030128" s="295"/>
      <c r="AL1030128" s="295"/>
      <c r="AM1030128" s="295"/>
      <c r="AN1030128" s="295"/>
      <c r="AO1030128" s="44"/>
    </row>
    <row r="1030129" spans="1:41" s="294" customFormat="1" ht="15" customHeight="1">
      <c r="A1030129" s="44"/>
      <c r="B1030129" s="44"/>
      <c r="C1030129" s="44"/>
      <c r="D1030129" s="44"/>
      <c r="E1030129" s="44"/>
      <c r="F1030129" s="44"/>
      <c r="G1030129" s="44"/>
      <c r="H1030129" s="284"/>
      <c r="I1030129" s="44"/>
      <c r="J1030129" s="285"/>
      <c r="K1030129" s="285"/>
      <c r="L1030129" s="44"/>
      <c r="M1030129" s="44"/>
      <c r="N1030129" s="44"/>
      <c r="O1030129" s="286"/>
      <c r="P1030129" s="287"/>
      <c r="Q1030129" s="286"/>
      <c r="R1030129" s="288"/>
      <c r="S1030129" s="44"/>
      <c r="T1030129" s="44"/>
      <c r="U1030129" s="289"/>
      <c r="V1030129" s="44"/>
      <c r="W1030129" s="290"/>
      <c r="X1030129" s="44"/>
      <c r="Y1030129" s="291"/>
      <c r="Z1030129" s="291"/>
      <c r="AA1030129" s="297"/>
      <c r="AB1030129" s="293"/>
      <c r="AC1030129" s="293"/>
      <c r="AD1030129" s="293"/>
      <c r="AF1030129" s="285"/>
      <c r="AH1030129" s="44"/>
      <c r="AI1030129" s="44"/>
      <c r="AJ1030129" s="295"/>
      <c r="AK1030129" s="295"/>
      <c r="AL1030129" s="295"/>
      <c r="AM1030129" s="295"/>
      <c r="AN1030129" s="295"/>
      <c r="AO1030129" s="44"/>
    </row>
    <row r="1030130" spans="1:41" s="294" customFormat="1" ht="15" customHeight="1">
      <c r="A1030130" s="44"/>
      <c r="B1030130" s="44"/>
      <c r="C1030130" s="44"/>
      <c r="D1030130" s="44"/>
      <c r="E1030130" s="44"/>
      <c r="F1030130" s="44"/>
      <c r="G1030130" s="44"/>
      <c r="H1030130" s="284"/>
      <c r="I1030130" s="44"/>
      <c r="J1030130" s="285"/>
      <c r="K1030130" s="285"/>
      <c r="L1030130" s="44"/>
      <c r="M1030130" s="44"/>
      <c r="N1030130" s="44"/>
      <c r="O1030130" s="286"/>
      <c r="P1030130" s="287"/>
      <c r="Q1030130" s="286"/>
      <c r="R1030130" s="288"/>
      <c r="S1030130" s="44"/>
      <c r="T1030130" s="44"/>
      <c r="U1030130" s="289"/>
      <c r="V1030130" s="44"/>
      <c r="W1030130" s="290"/>
      <c r="X1030130" s="44"/>
      <c r="Y1030130" s="291"/>
      <c r="Z1030130" s="291"/>
      <c r="AA1030130" s="297"/>
      <c r="AB1030130" s="293"/>
      <c r="AC1030130" s="293"/>
      <c r="AD1030130" s="293"/>
      <c r="AF1030130" s="285"/>
      <c r="AH1030130" s="44"/>
      <c r="AI1030130" s="44"/>
      <c r="AJ1030130" s="295"/>
      <c r="AK1030130" s="295"/>
      <c r="AL1030130" s="295"/>
      <c r="AM1030130" s="295"/>
      <c r="AN1030130" s="295"/>
      <c r="AO1030130" s="44"/>
    </row>
    <row r="1030131" spans="1:41" s="294" customFormat="1" ht="15" customHeight="1">
      <c r="A1030131" s="44"/>
      <c r="B1030131" s="44"/>
      <c r="C1030131" s="44"/>
      <c r="D1030131" s="44"/>
      <c r="E1030131" s="44"/>
      <c r="F1030131" s="44"/>
      <c r="G1030131" s="44"/>
      <c r="H1030131" s="284"/>
      <c r="I1030131" s="44"/>
      <c r="J1030131" s="285"/>
      <c r="K1030131" s="285"/>
      <c r="L1030131" s="44"/>
      <c r="M1030131" s="44"/>
      <c r="N1030131" s="44"/>
      <c r="O1030131" s="286"/>
      <c r="P1030131" s="287"/>
      <c r="Q1030131" s="286"/>
      <c r="R1030131" s="288"/>
      <c r="S1030131" s="44"/>
      <c r="T1030131" s="44"/>
      <c r="U1030131" s="289"/>
      <c r="V1030131" s="44"/>
      <c r="W1030131" s="290"/>
      <c r="X1030131" s="44"/>
      <c r="Y1030131" s="291"/>
      <c r="Z1030131" s="291"/>
      <c r="AA1030131" s="296"/>
      <c r="AB1030131" s="293"/>
      <c r="AC1030131" s="293"/>
      <c r="AD1030131" s="293"/>
      <c r="AF1030131" s="285"/>
      <c r="AH1030131" s="44"/>
      <c r="AI1030131" s="44"/>
      <c r="AJ1030131" s="295"/>
      <c r="AK1030131" s="295"/>
      <c r="AL1030131" s="295"/>
      <c r="AM1030131" s="295"/>
      <c r="AN1030131" s="295"/>
      <c r="AO1030131" s="44"/>
    </row>
    <row r="1030132" spans="1:41" s="294" customFormat="1" ht="15" customHeight="1">
      <c r="A1030132" s="44"/>
      <c r="B1030132" s="44"/>
      <c r="C1030132" s="44"/>
      <c r="D1030132" s="44"/>
      <c r="E1030132" s="44"/>
      <c r="F1030132" s="44"/>
      <c r="G1030132" s="44"/>
      <c r="H1030132" s="284"/>
      <c r="I1030132" s="44"/>
      <c r="J1030132" s="285"/>
      <c r="K1030132" s="285"/>
      <c r="L1030132" s="44"/>
      <c r="M1030132" s="44"/>
      <c r="N1030132" s="44"/>
      <c r="O1030132" s="286"/>
      <c r="P1030132" s="287"/>
      <c r="Q1030132" s="286"/>
      <c r="R1030132" s="288"/>
      <c r="S1030132" s="44"/>
      <c r="T1030132" s="44"/>
      <c r="U1030132" s="289"/>
      <c r="V1030132" s="44"/>
      <c r="W1030132" s="290"/>
      <c r="X1030132" s="44"/>
      <c r="Y1030132" s="291"/>
      <c r="Z1030132" s="291"/>
      <c r="AA1030132" s="297"/>
      <c r="AB1030132" s="293"/>
      <c r="AC1030132" s="293"/>
      <c r="AD1030132" s="293"/>
      <c r="AF1030132" s="285"/>
      <c r="AH1030132" s="44"/>
      <c r="AI1030132" s="44"/>
      <c r="AJ1030132" s="295"/>
      <c r="AK1030132" s="295"/>
      <c r="AL1030132" s="295"/>
      <c r="AM1030132" s="295"/>
      <c r="AN1030132" s="295"/>
      <c r="AO1030132" s="44"/>
    </row>
    <row r="1030133" spans="1:41" s="294" customFormat="1" ht="15" customHeight="1">
      <c r="A1030133" s="44"/>
      <c r="B1030133" s="44"/>
      <c r="C1030133" s="44"/>
      <c r="D1030133" s="44"/>
      <c r="E1030133" s="44"/>
      <c r="F1030133" s="44"/>
      <c r="G1030133" s="44"/>
      <c r="H1030133" s="284"/>
      <c r="I1030133" s="44"/>
      <c r="J1030133" s="285"/>
      <c r="K1030133" s="285"/>
      <c r="L1030133" s="44"/>
      <c r="M1030133" s="44"/>
      <c r="N1030133" s="44"/>
      <c r="O1030133" s="286"/>
      <c r="P1030133" s="287"/>
      <c r="Q1030133" s="286"/>
      <c r="R1030133" s="288"/>
      <c r="S1030133" s="44"/>
      <c r="T1030133" s="44"/>
      <c r="U1030133" s="289"/>
      <c r="V1030133" s="44"/>
      <c r="W1030133" s="290"/>
      <c r="X1030133" s="44"/>
      <c r="Y1030133" s="291"/>
      <c r="Z1030133" s="291"/>
      <c r="AA1030133" s="297"/>
      <c r="AB1030133" s="293"/>
      <c r="AC1030133" s="293"/>
      <c r="AD1030133" s="293"/>
      <c r="AF1030133" s="285"/>
      <c r="AH1030133" s="44"/>
      <c r="AI1030133" s="44"/>
      <c r="AJ1030133" s="295"/>
      <c r="AK1030133" s="295"/>
      <c r="AL1030133" s="295"/>
      <c r="AM1030133" s="295"/>
      <c r="AN1030133" s="295"/>
      <c r="AO1030133" s="44"/>
    </row>
    <row r="1030134" spans="1:41" s="294" customFormat="1" ht="15" customHeight="1">
      <c r="A1030134" s="44"/>
      <c r="B1030134" s="44"/>
      <c r="C1030134" s="44"/>
      <c r="D1030134" s="44"/>
      <c r="E1030134" s="44"/>
      <c r="F1030134" s="44"/>
      <c r="G1030134" s="44"/>
      <c r="H1030134" s="284"/>
      <c r="I1030134" s="44"/>
      <c r="J1030134" s="285"/>
      <c r="K1030134" s="285"/>
      <c r="L1030134" s="44"/>
      <c r="M1030134" s="44"/>
      <c r="N1030134" s="44"/>
      <c r="O1030134" s="286"/>
      <c r="P1030134" s="287"/>
      <c r="Q1030134" s="286"/>
      <c r="R1030134" s="288"/>
      <c r="S1030134" s="44"/>
      <c r="T1030134" s="44"/>
      <c r="U1030134" s="289"/>
      <c r="V1030134" s="44"/>
      <c r="W1030134" s="290"/>
      <c r="X1030134" s="44"/>
      <c r="Y1030134" s="291"/>
      <c r="Z1030134" s="291"/>
      <c r="AA1030134" s="297"/>
      <c r="AB1030134" s="293"/>
      <c r="AC1030134" s="293"/>
      <c r="AD1030134" s="293"/>
      <c r="AF1030134" s="285"/>
      <c r="AH1030134" s="44"/>
      <c r="AI1030134" s="44"/>
      <c r="AJ1030134" s="295"/>
      <c r="AK1030134" s="295"/>
      <c r="AL1030134" s="295"/>
      <c r="AM1030134" s="295"/>
      <c r="AN1030134" s="295"/>
      <c r="AO1030134" s="44"/>
    </row>
    <row r="1030135" spans="1:41" s="294" customFormat="1" ht="15" customHeight="1">
      <c r="A1030135" s="44"/>
      <c r="B1030135" s="44"/>
      <c r="C1030135" s="44"/>
      <c r="D1030135" s="44"/>
      <c r="E1030135" s="44"/>
      <c r="F1030135" s="44"/>
      <c r="G1030135" s="44"/>
      <c r="H1030135" s="284"/>
      <c r="I1030135" s="44"/>
      <c r="J1030135" s="285"/>
      <c r="K1030135" s="285"/>
      <c r="L1030135" s="44"/>
      <c r="M1030135" s="44"/>
      <c r="N1030135" s="44"/>
      <c r="O1030135" s="286"/>
      <c r="P1030135" s="287"/>
      <c r="Q1030135" s="286"/>
      <c r="R1030135" s="288"/>
      <c r="S1030135" s="44"/>
      <c r="T1030135" s="44"/>
      <c r="U1030135" s="289"/>
      <c r="V1030135" s="44"/>
      <c r="W1030135" s="290"/>
      <c r="X1030135" s="44"/>
      <c r="Y1030135" s="291"/>
      <c r="Z1030135" s="291"/>
      <c r="AA1030135" s="296"/>
      <c r="AB1030135" s="293"/>
      <c r="AC1030135" s="293"/>
      <c r="AD1030135" s="293"/>
      <c r="AF1030135" s="285"/>
      <c r="AH1030135" s="44"/>
      <c r="AI1030135" s="44"/>
      <c r="AJ1030135" s="295"/>
      <c r="AK1030135" s="295"/>
      <c r="AL1030135" s="295"/>
      <c r="AM1030135" s="295"/>
      <c r="AN1030135" s="295"/>
      <c r="AO1030135" s="44"/>
    </row>
    <row r="1030136" spans="1:41" s="294" customFormat="1" ht="15" customHeight="1">
      <c r="A1030136" s="44"/>
      <c r="B1030136" s="44"/>
      <c r="C1030136" s="44"/>
      <c r="D1030136" s="44"/>
      <c r="E1030136" s="44"/>
      <c r="F1030136" s="44"/>
      <c r="G1030136" s="44"/>
      <c r="H1030136" s="284"/>
      <c r="I1030136" s="44"/>
      <c r="J1030136" s="285"/>
      <c r="K1030136" s="285"/>
      <c r="L1030136" s="44"/>
      <c r="M1030136" s="44"/>
      <c r="N1030136" s="44"/>
      <c r="O1030136" s="286"/>
      <c r="P1030136" s="287"/>
      <c r="Q1030136" s="286"/>
      <c r="R1030136" s="288"/>
      <c r="S1030136" s="44"/>
      <c r="T1030136" s="44"/>
      <c r="U1030136" s="289"/>
      <c r="V1030136" s="44"/>
      <c r="W1030136" s="290"/>
      <c r="X1030136" s="44"/>
      <c r="Y1030136" s="291"/>
      <c r="Z1030136" s="291"/>
      <c r="AA1030136" s="296"/>
      <c r="AB1030136" s="293"/>
      <c r="AC1030136" s="293"/>
      <c r="AD1030136" s="293"/>
      <c r="AF1030136" s="285"/>
      <c r="AH1030136" s="44"/>
      <c r="AI1030136" s="44"/>
      <c r="AJ1030136" s="295"/>
      <c r="AK1030136" s="295"/>
      <c r="AL1030136" s="295"/>
      <c r="AM1030136" s="295"/>
      <c r="AN1030136" s="295"/>
      <c r="AO1030136" s="44"/>
    </row>
    <row r="1030137" spans="1:41" s="294" customFormat="1" ht="15" customHeight="1">
      <c r="A1030137" s="44"/>
      <c r="B1030137" s="44"/>
      <c r="C1030137" s="44"/>
      <c r="D1030137" s="44"/>
      <c r="E1030137" s="44"/>
      <c r="F1030137" s="44"/>
      <c r="G1030137" s="44"/>
      <c r="H1030137" s="284"/>
      <c r="I1030137" s="44"/>
      <c r="J1030137" s="285"/>
      <c r="K1030137" s="285"/>
      <c r="L1030137" s="44"/>
      <c r="M1030137" s="44"/>
      <c r="N1030137" s="44"/>
      <c r="O1030137" s="286"/>
      <c r="P1030137" s="287"/>
      <c r="Q1030137" s="286"/>
      <c r="R1030137" s="288"/>
      <c r="S1030137" s="44"/>
      <c r="T1030137" s="44"/>
      <c r="U1030137" s="289"/>
      <c r="V1030137" s="44"/>
      <c r="W1030137" s="290"/>
      <c r="X1030137" s="44"/>
      <c r="Y1030137" s="291"/>
      <c r="Z1030137" s="291"/>
      <c r="AA1030137" s="296"/>
      <c r="AB1030137" s="293"/>
      <c r="AC1030137" s="293"/>
      <c r="AD1030137" s="293"/>
      <c r="AF1030137" s="285"/>
      <c r="AH1030137" s="44"/>
      <c r="AI1030137" s="44"/>
      <c r="AJ1030137" s="295"/>
      <c r="AK1030137" s="295"/>
      <c r="AL1030137" s="295"/>
      <c r="AM1030137" s="295"/>
      <c r="AN1030137" s="295"/>
      <c r="AO1030137" s="44"/>
    </row>
    <row r="1030138" spans="1:41" s="294" customFormat="1" ht="15" customHeight="1">
      <c r="A1030138" s="44"/>
      <c r="B1030138" s="44"/>
      <c r="C1030138" s="44"/>
      <c r="D1030138" s="44"/>
      <c r="E1030138" s="44"/>
      <c r="F1030138" s="44"/>
      <c r="G1030138" s="44"/>
      <c r="H1030138" s="284"/>
      <c r="I1030138" s="44"/>
      <c r="J1030138" s="285"/>
      <c r="K1030138" s="285"/>
      <c r="L1030138" s="44"/>
      <c r="M1030138" s="44"/>
      <c r="N1030138" s="44"/>
      <c r="O1030138" s="286"/>
      <c r="P1030138" s="287"/>
      <c r="Q1030138" s="286"/>
      <c r="R1030138" s="288"/>
      <c r="S1030138" s="44"/>
      <c r="T1030138" s="44"/>
      <c r="U1030138" s="289"/>
      <c r="V1030138" s="44"/>
      <c r="W1030138" s="290"/>
      <c r="X1030138" s="44"/>
      <c r="Y1030138" s="291"/>
      <c r="Z1030138" s="291"/>
      <c r="AA1030138" s="296"/>
      <c r="AB1030138" s="293"/>
      <c r="AC1030138" s="293"/>
      <c r="AD1030138" s="293"/>
      <c r="AF1030138" s="285"/>
      <c r="AH1030138" s="44"/>
      <c r="AI1030138" s="44"/>
      <c r="AJ1030138" s="295"/>
      <c r="AK1030138" s="295"/>
      <c r="AL1030138" s="295"/>
      <c r="AM1030138" s="295"/>
      <c r="AN1030138" s="295"/>
      <c r="AO1030138" s="44"/>
    </row>
    <row r="1030139" spans="1:41" s="294" customFormat="1" ht="15" customHeight="1">
      <c r="A1030139" s="44"/>
      <c r="B1030139" s="44"/>
      <c r="C1030139" s="44"/>
      <c r="D1030139" s="44"/>
      <c r="E1030139" s="44"/>
      <c r="F1030139" s="44"/>
      <c r="G1030139" s="44"/>
      <c r="H1030139" s="284"/>
      <c r="I1030139" s="44"/>
      <c r="J1030139" s="285"/>
      <c r="K1030139" s="285"/>
      <c r="L1030139" s="44"/>
      <c r="M1030139" s="44"/>
      <c r="N1030139" s="44"/>
      <c r="O1030139" s="286"/>
      <c r="P1030139" s="287"/>
      <c r="Q1030139" s="286"/>
      <c r="R1030139" s="288"/>
      <c r="S1030139" s="44"/>
      <c r="T1030139" s="44"/>
      <c r="U1030139" s="289"/>
      <c r="V1030139" s="44"/>
      <c r="W1030139" s="290"/>
      <c r="X1030139" s="44"/>
      <c r="Y1030139" s="291"/>
      <c r="Z1030139" s="291"/>
      <c r="AA1030139" s="297"/>
      <c r="AB1030139" s="293"/>
      <c r="AC1030139" s="293"/>
      <c r="AD1030139" s="293"/>
      <c r="AF1030139" s="285"/>
      <c r="AH1030139" s="44"/>
      <c r="AI1030139" s="44"/>
      <c r="AJ1030139" s="295"/>
      <c r="AK1030139" s="295"/>
      <c r="AL1030139" s="295"/>
      <c r="AM1030139" s="295"/>
      <c r="AN1030139" s="295"/>
      <c r="AO1030139" s="44"/>
    </row>
    <row r="1030140" spans="1:41" s="294" customFormat="1" ht="15" customHeight="1">
      <c r="A1030140" s="44"/>
      <c r="B1030140" s="44"/>
      <c r="C1030140" s="44"/>
      <c r="D1030140" s="44"/>
      <c r="E1030140" s="44"/>
      <c r="F1030140" s="44"/>
      <c r="G1030140" s="44"/>
      <c r="H1030140" s="284"/>
      <c r="I1030140" s="44"/>
      <c r="J1030140" s="285"/>
      <c r="K1030140" s="285"/>
      <c r="L1030140" s="44"/>
      <c r="M1030140" s="44"/>
      <c r="N1030140" s="44"/>
      <c r="O1030140" s="286"/>
      <c r="P1030140" s="287"/>
      <c r="Q1030140" s="286"/>
      <c r="R1030140" s="288"/>
      <c r="S1030140" s="44"/>
      <c r="T1030140" s="44"/>
      <c r="U1030140" s="289"/>
      <c r="V1030140" s="44"/>
      <c r="W1030140" s="290"/>
      <c r="X1030140" s="44"/>
      <c r="Y1030140" s="291"/>
      <c r="Z1030140" s="291"/>
      <c r="AA1030140" s="297"/>
      <c r="AB1030140" s="293"/>
      <c r="AC1030140" s="293"/>
      <c r="AD1030140" s="293"/>
      <c r="AF1030140" s="285"/>
      <c r="AH1030140" s="44"/>
      <c r="AI1030140" s="44"/>
      <c r="AJ1030140" s="295"/>
      <c r="AK1030140" s="295"/>
      <c r="AL1030140" s="295"/>
      <c r="AM1030140" s="295"/>
      <c r="AN1030140" s="295"/>
      <c r="AO1030140" s="44"/>
    </row>
    <row r="1030141" spans="1:41" s="294" customFormat="1" ht="15" customHeight="1">
      <c r="A1030141" s="44"/>
      <c r="B1030141" s="44"/>
      <c r="C1030141" s="44"/>
      <c r="D1030141" s="44"/>
      <c r="E1030141" s="44"/>
      <c r="F1030141" s="44"/>
      <c r="G1030141" s="44"/>
      <c r="H1030141" s="284"/>
      <c r="I1030141" s="44"/>
      <c r="J1030141" s="285"/>
      <c r="K1030141" s="285"/>
      <c r="L1030141" s="44"/>
      <c r="M1030141" s="44"/>
      <c r="N1030141" s="44"/>
      <c r="O1030141" s="286"/>
      <c r="P1030141" s="287"/>
      <c r="Q1030141" s="286"/>
      <c r="R1030141" s="288"/>
      <c r="S1030141" s="44"/>
      <c r="T1030141" s="44"/>
      <c r="U1030141" s="289"/>
      <c r="V1030141" s="44"/>
      <c r="W1030141" s="290"/>
      <c r="X1030141" s="44"/>
      <c r="Y1030141" s="291"/>
      <c r="Z1030141" s="291"/>
      <c r="AA1030141" s="297"/>
      <c r="AB1030141" s="293"/>
      <c r="AC1030141" s="293"/>
      <c r="AD1030141" s="293"/>
      <c r="AF1030141" s="285"/>
      <c r="AH1030141" s="44"/>
      <c r="AI1030141" s="44"/>
      <c r="AJ1030141" s="295"/>
      <c r="AK1030141" s="295"/>
      <c r="AL1030141" s="295"/>
      <c r="AM1030141" s="295"/>
      <c r="AN1030141" s="295"/>
      <c r="AO1030141" s="44"/>
    </row>
    <row r="1030142" spans="1:41" s="294" customFormat="1" ht="15" customHeight="1">
      <c r="A1030142" s="44"/>
      <c r="B1030142" s="44"/>
      <c r="C1030142" s="44"/>
      <c r="D1030142" s="44"/>
      <c r="E1030142" s="44"/>
      <c r="F1030142" s="44"/>
      <c r="G1030142" s="44"/>
      <c r="H1030142" s="284"/>
      <c r="I1030142" s="44"/>
      <c r="J1030142" s="285"/>
      <c r="K1030142" s="285"/>
      <c r="L1030142" s="44"/>
      <c r="M1030142" s="44"/>
      <c r="N1030142" s="44"/>
      <c r="O1030142" s="286"/>
      <c r="P1030142" s="287"/>
      <c r="Q1030142" s="286"/>
      <c r="R1030142" s="288"/>
      <c r="S1030142" s="44"/>
      <c r="T1030142" s="44"/>
      <c r="U1030142" s="289"/>
      <c r="V1030142" s="44"/>
      <c r="W1030142" s="290"/>
      <c r="X1030142" s="44"/>
      <c r="Y1030142" s="291"/>
      <c r="Z1030142" s="291"/>
      <c r="AA1030142" s="296"/>
      <c r="AB1030142" s="293"/>
      <c r="AC1030142" s="293"/>
      <c r="AD1030142" s="293"/>
      <c r="AF1030142" s="285"/>
      <c r="AH1030142" s="44"/>
      <c r="AI1030142" s="44"/>
      <c r="AJ1030142" s="295"/>
      <c r="AK1030142" s="295"/>
      <c r="AL1030142" s="295"/>
      <c r="AM1030142" s="295"/>
      <c r="AN1030142" s="295"/>
      <c r="AO1030142" s="44"/>
    </row>
    <row r="1030143" spans="1:41" s="294" customFormat="1" ht="15" customHeight="1">
      <c r="A1030143" s="44"/>
      <c r="B1030143" s="44"/>
      <c r="C1030143" s="44"/>
      <c r="D1030143" s="44"/>
      <c r="E1030143" s="44"/>
      <c r="F1030143" s="44"/>
      <c r="G1030143" s="44"/>
      <c r="H1030143" s="284"/>
      <c r="I1030143" s="44"/>
      <c r="J1030143" s="285"/>
      <c r="K1030143" s="285"/>
      <c r="L1030143" s="44"/>
      <c r="M1030143" s="44"/>
      <c r="N1030143" s="44"/>
      <c r="O1030143" s="286"/>
      <c r="P1030143" s="287"/>
      <c r="Q1030143" s="286"/>
      <c r="R1030143" s="288"/>
      <c r="S1030143" s="44"/>
      <c r="T1030143" s="44"/>
      <c r="U1030143" s="289"/>
      <c r="V1030143" s="44"/>
      <c r="W1030143" s="290"/>
      <c r="X1030143" s="44"/>
      <c r="Y1030143" s="291"/>
      <c r="Z1030143" s="291"/>
      <c r="AA1030143" s="297"/>
      <c r="AB1030143" s="293"/>
      <c r="AC1030143" s="293"/>
      <c r="AD1030143" s="293"/>
      <c r="AF1030143" s="285"/>
      <c r="AH1030143" s="44"/>
      <c r="AI1030143" s="44"/>
      <c r="AJ1030143" s="295"/>
      <c r="AK1030143" s="295"/>
      <c r="AL1030143" s="295"/>
      <c r="AM1030143" s="295"/>
      <c r="AN1030143" s="295"/>
      <c r="AO1030143" s="44"/>
    </row>
    <row r="1030144" spans="1:41" s="294" customFormat="1" ht="15" customHeight="1">
      <c r="A1030144" s="44"/>
      <c r="B1030144" s="44"/>
      <c r="C1030144" s="44"/>
      <c r="D1030144" s="44"/>
      <c r="E1030144" s="44"/>
      <c r="F1030144" s="44"/>
      <c r="G1030144" s="44"/>
      <c r="H1030144" s="284"/>
      <c r="I1030144" s="44"/>
      <c r="J1030144" s="285"/>
      <c r="K1030144" s="285"/>
      <c r="L1030144" s="44"/>
      <c r="M1030144" s="44"/>
      <c r="N1030144" s="44"/>
      <c r="O1030144" s="286"/>
      <c r="P1030144" s="287"/>
      <c r="Q1030144" s="286"/>
      <c r="R1030144" s="288"/>
      <c r="S1030144" s="44"/>
      <c r="T1030144" s="44"/>
      <c r="U1030144" s="289"/>
      <c r="V1030144" s="44"/>
      <c r="W1030144" s="290"/>
      <c r="X1030144" s="44"/>
      <c r="Y1030144" s="291"/>
      <c r="Z1030144" s="291"/>
      <c r="AA1030144" s="297"/>
      <c r="AB1030144" s="293"/>
      <c r="AC1030144" s="293"/>
      <c r="AD1030144" s="293"/>
      <c r="AF1030144" s="285"/>
      <c r="AH1030144" s="44"/>
      <c r="AI1030144" s="44"/>
      <c r="AJ1030144" s="295"/>
      <c r="AK1030144" s="295"/>
      <c r="AL1030144" s="295"/>
      <c r="AM1030144" s="295"/>
      <c r="AN1030144" s="295"/>
      <c r="AO1030144" s="44"/>
    </row>
    <row r="1030145" spans="1:41" s="294" customFormat="1" ht="15" customHeight="1">
      <c r="A1030145" s="44"/>
      <c r="B1030145" s="44"/>
      <c r="C1030145" s="44"/>
      <c r="D1030145" s="44"/>
      <c r="E1030145" s="44"/>
      <c r="F1030145" s="44"/>
      <c r="G1030145" s="44"/>
      <c r="H1030145" s="284"/>
      <c r="I1030145" s="44"/>
      <c r="J1030145" s="285"/>
      <c r="K1030145" s="285"/>
      <c r="L1030145" s="44"/>
      <c r="M1030145" s="44"/>
      <c r="N1030145" s="44"/>
      <c r="O1030145" s="286"/>
      <c r="P1030145" s="287"/>
      <c r="Q1030145" s="286"/>
      <c r="R1030145" s="288"/>
      <c r="S1030145" s="44"/>
      <c r="T1030145" s="44"/>
      <c r="U1030145" s="289"/>
      <c r="V1030145" s="44"/>
      <c r="W1030145" s="290"/>
      <c r="X1030145" s="44"/>
      <c r="Y1030145" s="291"/>
      <c r="Z1030145" s="291"/>
      <c r="AA1030145" s="297"/>
      <c r="AB1030145" s="293"/>
      <c r="AC1030145" s="293"/>
      <c r="AD1030145" s="293"/>
      <c r="AF1030145" s="285"/>
      <c r="AH1030145" s="44"/>
      <c r="AI1030145" s="44"/>
      <c r="AJ1030145" s="295"/>
      <c r="AK1030145" s="295"/>
      <c r="AL1030145" s="295"/>
      <c r="AM1030145" s="295"/>
      <c r="AN1030145" s="295"/>
      <c r="AO1030145" s="44"/>
    </row>
    <row r="1030146" spans="1:41" s="294" customFormat="1" ht="15" customHeight="1">
      <c r="A1030146" s="44"/>
      <c r="B1030146" s="44"/>
      <c r="C1030146" s="44"/>
      <c r="D1030146" s="44"/>
      <c r="E1030146" s="44"/>
      <c r="F1030146" s="44"/>
      <c r="G1030146" s="44"/>
      <c r="H1030146" s="284"/>
      <c r="I1030146" s="44"/>
      <c r="J1030146" s="285"/>
      <c r="K1030146" s="285"/>
      <c r="L1030146" s="44"/>
      <c r="M1030146" s="44"/>
      <c r="N1030146" s="44"/>
      <c r="O1030146" s="286"/>
      <c r="P1030146" s="287"/>
      <c r="Q1030146" s="286"/>
      <c r="R1030146" s="288"/>
      <c r="S1030146" s="44"/>
      <c r="T1030146" s="44"/>
      <c r="U1030146" s="289"/>
      <c r="V1030146" s="44"/>
      <c r="W1030146" s="290"/>
      <c r="X1030146" s="44"/>
      <c r="Y1030146" s="291"/>
      <c r="Z1030146" s="291"/>
      <c r="AA1030146" s="296"/>
      <c r="AB1030146" s="293"/>
      <c r="AC1030146" s="293"/>
      <c r="AD1030146" s="293"/>
      <c r="AF1030146" s="285"/>
      <c r="AH1030146" s="44"/>
      <c r="AI1030146" s="44"/>
      <c r="AJ1030146" s="295"/>
      <c r="AK1030146" s="295"/>
      <c r="AL1030146" s="295"/>
      <c r="AM1030146" s="295"/>
      <c r="AN1030146" s="295"/>
      <c r="AO1030146" s="44"/>
    </row>
    <row r="1030147" spans="1:41" s="294" customFormat="1" ht="15" customHeight="1">
      <c r="A1030147" s="44"/>
      <c r="B1030147" s="44"/>
      <c r="C1030147" s="44"/>
      <c r="D1030147" s="44"/>
      <c r="E1030147" s="44"/>
      <c r="F1030147" s="44"/>
      <c r="G1030147" s="44"/>
      <c r="H1030147" s="284"/>
      <c r="I1030147" s="44"/>
      <c r="J1030147" s="285"/>
      <c r="K1030147" s="285"/>
      <c r="L1030147" s="44"/>
      <c r="M1030147" s="44"/>
      <c r="N1030147" s="44"/>
      <c r="O1030147" s="286"/>
      <c r="P1030147" s="287"/>
      <c r="Q1030147" s="286"/>
      <c r="R1030147" s="288"/>
      <c r="S1030147" s="44"/>
      <c r="T1030147" s="44"/>
      <c r="U1030147" s="289"/>
      <c r="V1030147" s="44"/>
      <c r="W1030147" s="290"/>
      <c r="X1030147" s="44"/>
      <c r="Y1030147" s="291"/>
      <c r="Z1030147" s="291"/>
      <c r="AA1030147" s="297"/>
      <c r="AB1030147" s="293"/>
      <c r="AC1030147" s="293"/>
      <c r="AD1030147" s="293"/>
      <c r="AF1030147" s="285"/>
      <c r="AH1030147" s="44"/>
      <c r="AI1030147" s="44"/>
      <c r="AJ1030147" s="295"/>
      <c r="AK1030147" s="295"/>
      <c r="AL1030147" s="295"/>
      <c r="AM1030147" s="295"/>
      <c r="AN1030147" s="295"/>
      <c r="AO1030147" s="44"/>
    </row>
    <row r="1030148" spans="1:41" s="294" customFormat="1" ht="15" customHeight="1">
      <c r="A1030148" s="44"/>
      <c r="B1030148" s="44"/>
      <c r="C1030148" s="44"/>
      <c r="D1030148" s="44"/>
      <c r="E1030148" s="44"/>
      <c r="F1030148" s="44"/>
      <c r="G1030148" s="44"/>
      <c r="H1030148" s="284"/>
      <c r="I1030148" s="44"/>
      <c r="J1030148" s="285"/>
      <c r="K1030148" s="285"/>
      <c r="L1030148" s="44"/>
      <c r="M1030148" s="44"/>
      <c r="N1030148" s="44"/>
      <c r="O1030148" s="286"/>
      <c r="P1030148" s="287"/>
      <c r="Q1030148" s="286"/>
      <c r="R1030148" s="288"/>
      <c r="S1030148" s="44"/>
      <c r="T1030148" s="44"/>
      <c r="U1030148" s="289"/>
      <c r="V1030148" s="44"/>
      <c r="W1030148" s="290"/>
      <c r="X1030148" s="44"/>
      <c r="Y1030148" s="291"/>
      <c r="Z1030148" s="291"/>
      <c r="AA1030148" s="296"/>
      <c r="AB1030148" s="293"/>
      <c r="AC1030148" s="293"/>
      <c r="AD1030148" s="293"/>
      <c r="AF1030148" s="285"/>
      <c r="AH1030148" s="44"/>
      <c r="AI1030148" s="44"/>
      <c r="AJ1030148" s="295"/>
      <c r="AK1030148" s="295"/>
      <c r="AL1030148" s="295"/>
      <c r="AM1030148" s="295"/>
      <c r="AN1030148" s="295"/>
      <c r="AO1030148" s="44"/>
    </row>
    <row r="1030149" spans="1:41" s="294" customFormat="1" ht="15" customHeight="1">
      <c r="A1030149" s="44"/>
      <c r="B1030149" s="44"/>
      <c r="C1030149" s="44"/>
      <c r="D1030149" s="44"/>
      <c r="E1030149" s="44"/>
      <c r="F1030149" s="44"/>
      <c r="G1030149" s="44"/>
      <c r="H1030149" s="284"/>
      <c r="I1030149" s="44"/>
      <c r="J1030149" s="285"/>
      <c r="K1030149" s="285"/>
      <c r="L1030149" s="44"/>
      <c r="M1030149" s="44"/>
      <c r="N1030149" s="44"/>
      <c r="O1030149" s="286"/>
      <c r="P1030149" s="287"/>
      <c r="Q1030149" s="286"/>
      <c r="R1030149" s="288"/>
      <c r="S1030149" s="44"/>
      <c r="T1030149" s="44"/>
      <c r="U1030149" s="289"/>
      <c r="V1030149" s="44"/>
      <c r="W1030149" s="290"/>
      <c r="X1030149" s="44"/>
      <c r="Y1030149" s="291"/>
      <c r="Z1030149" s="291"/>
      <c r="AA1030149" s="296"/>
      <c r="AB1030149" s="293"/>
      <c r="AC1030149" s="293"/>
      <c r="AD1030149" s="293"/>
      <c r="AF1030149" s="285"/>
      <c r="AH1030149" s="44"/>
      <c r="AI1030149" s="44"/>
      <c r="AJ1030149" s="295"/>
      <c r="AK1030149" s="295"/>
      <c r="AL1030149" s="295"/>
      <c r="AM1030149" s="295"/>
      <c r="AN1030149" s="295"/>
      <c r="AO1030149" s="44"/>
    </row>
    <row r="1030150" spans="1:41" s="294" customFormat="1" ht="15" customHeight="1">
      <c r="A1030150" s="44"/>
      <c r="B1030150" s="44"/>
      <c r="C1030150" s="44"/>
      <c r="D1030150" s="44"/>
      <c r="E1030150" s="44"/>
      <c r="F1030150" s="44"/>
      <c r="G1030150" s="44"/>
      <c r="H1030150" s="284"/>
      <c r="I1030150" s="44"/>
      <c r="J1030150" s="285"/>
      <c r="K1030150" s="285"/>
      <c r="L1030150" s="44"/>
      <c r="M1030150" s="44"/>
      <c r="N1030150" s="44"/>
      <c r="O1030150" s="286"/>
      <c r="P1030150" s="287"/>
      <c r="Q1030150" s="286"/>
      <c r="R1030150" s="288"/>
      <c r="S1030150" s="44"/>
      <c r="T1030150" s="44"/>
      <c r="U1030150" s="289"/>
      <c r="V1030150" s="44"/>
      <c r="W1030150" s="290"/>
      <c r="X1030150" s="44"/>
      <c r="Y1030150" s="291"/>
      <c r="Z1030150" s="291"/>
      <c r="AA1030150" s="296"/>
      <c r="AB1030150" s="293"/>
      <c r="AC1030150" s="293"/>
      <c r="AD1030150" s="293"/>
      <c r="AF1030150" s="285"/>
      <c r="AH1030150" s="44"/>
      <c r="AI1030150" s="44"/>
      <c r="AJ1030150" s="295"/>
      <c r="AK1030150" s="295"/>
      <c r="AL1030150" s="295"/>
      <c r="AM1030150" s="295"/>
      <c r="AN1030150" s="295"/>
      <c r="AO1030150" s="44"/>
    </row>
    <row r="1030151" spans="1:41" s="294" customFormat="1" ht="15" customHeight="1">
      <c r="A1030151" s="44"/>
      <c r="B1030151" s="44"/>
      <c r="C1030151" s="44"/>
      <c r="D1030151" s="44"/>
      <c r="E1030151" s="44"/>
      <c r="F1030151" s="44"/>
      <c r="G1030151" s="44"/>
      <c r="H1030151" s="284"/>
      <c r="I1030151" s="44"/>
      <c r="J1030151" s="285"/>
      <c r="K1030151" s="285"/>
      <c r="L1030151" s="44"/>
      <c r="M1030151" s="44"/>
      <c r="N1030151" s="44"/>
      <c r="O1030151" s="286"/>
      <c r="P1030151" s="287"/>
      <c r="Q1030151" s="286"/>
      <c r="R1030151" s="288"/>
      <c r="S1030151" s="44"/>
      <c r="T1030151" s="44"/>
      <c r="U1030151" s="289"/>
      <c r="V1030151" s="44"/>
      <c r="W1030151" s="290"/>
      <c r="X1030151" s="44"/>
      <c r="Y1030151" s="291"/>
      <c r="Z1030151" s="291"/>
      <c r="AA1030151" s="296"/>
      <c r="AB1030151" s="293"/>
      <c r="AC1030151" s="293"/>
      <c r="AD1030151" s="293"/>
      <c r="AF1030151" s="285"/>
      <c r="AH1030151" s="44"/>
      <c r="AI1030151" s="44"/>
      <c r="AJ1030151" s="295"/>
      <c r="AK1030151" s="295"/>
      <c r="AL1030151" s="295"/>
      <c r="AM1030151" s="295"/>
      <c r="AN1030151" s="295"/>
      <c r="AO1030151" s="44"/>
    </row>
    <row r="1030152" spans="1:41" s="294" customFormat="1" ht="15" customHeight="1">
      <c r="A1030152" s="44"/>
      <c r="B1030152" s="44"/>
      <c r="C1030152" s="44"/>
      <c r="D1030152" s="44"/>
      <c r="E1030152" s="44"/>
      <c r="F1030152" s="44"/>
      <c r="G1030152" s="44"/>
      <c r="H1030152" s="284"/>
      <c r="I1030152" s="44"/>
      <c r="J1030152" s="285"/>
      <c r="K1030152" s="285"/>
      <c r="L1030152" s="44"/>
      <c r="M1030152" s="44"/>
      <c r="N1030152" s="44"/>
      <c r="O1030152" s="286"/>
      <c r="P1030152" s="287"/>
      <c r="Q1030152" s="286"/>
      <c r="R1030152" s="288"/>
      <c r="S1030152" s="44"/>
      <c r="T1030152" s="44"/>
      <c r="U1030152" s="289"/>
      <c r="V1030152" s="44"/>
      <c r="W1030152" s="290"/>
      <c r="X1030152" s="44"/>
      <c r="Y1030152" s="291"/>
      <c r="Z1030152" s="291"/>
      <c r="AA1030152" s="296"/>
      <c r="AB1030152" s="293"/>
      <c r="AC1030152" s="293"/>
      <c r="AD1030152" s="293"/>
      <c r="AF1030152" s="285"/>
      <c r="AH1030152" s="44"/>
      <c r="AI1030152" s="44"/>
      <c r="AJ1030152" s="295"/>
      <c r="AK1030152" s="295"/>
      <c r="AL1030152" s="295"/>
      <c r="AM1030152" s="295"/>
      <c r="AN1030152" s="295"/>
      <c r="AO1030152" s="44"/>
    </row>
    <row r="1030153" spans="1:41" s="294" customFormat="1" ht="15" customHeight="1">
      <c r="A1030153" s="44"/>
      <c r="B1030153" s="44"/>
      <c r="C1030153" s="44"/>
      <c r="D1030153" s="44"/>
      <c r="E1030153" s="44"/>
      <c r="F1030153" s="44"/>
      <c r="G1030153" s="44"/>
      <c r="H1030153" s="284"/>
      <c r="I1030153" s="44"/>
      <c r="J1030153" s="285"/>
      <c r="K1030153" s="285"/>
      <c r="L1030153" s="44"/>
      <c r="M1030153" s="44"/>
      <c r="N1030153" s="44"/>
      <c r="O1030153" s="286"/>
      <c r="P1030153" s="287"/>
      <c r="Q1030153" s="286"/>
      <c r="R1030153" s="288"/>
      <c r="S1030153" s="44"/>
      <c r="T1030153" s="44"/>
      <c r="U1030153" s="289"/>
      <c r="V1030153" s="44"/>
      <c r="W1030153" s="290"/>
      <c r="X1030153" s="44"/>
      <c r="Y1030153" s="291"/>
      <c r="Z1030153" s="291"/>
      <c r="AA1030153" s="296"/>
      <c r="AB1030153" s="293"/>
      <c r="AC1030153" s="293"/>
      <c r="AD1030153" s="293"/>
      <c r="AF1030153" s="285"/>
      <c r="AH1030153" s="44"/>
      <c r="AI1030153" s="44"/>
      <c r="AJ1030153" s="295"/>
      <c r="AK1030153" s="295"/>
      <c r="AL1030153" s="295"/>
      <c r="AM1030153" s="295"/>
      <c r="AN1030153" s="295"/>
      <c r="AO1030153" s="44"/>
    </row>
    <row r="1030154" spans="1:41" s="294" customFormat="1" ht="15" customHeight="1">
      <c r="A1030154" s="44"/>
      <c r="B1030154" s="44"/>
      <c r="C1030154" s="44"/>
      <c r="D1030154" s="44"/>
      <c r="E1030154" s="44"/>
      <c r="F1030154" s="44"/>
      <c r="G1030154" s="44"/>
      <c r="H1030154" s="284"/>
      <c r="I1030154" s="44"/>
      <c r="J1030154" s="285"/>
      <c r="K1030154" s="285"/>
      <c r="L1030154" s="44"/>
      <c r="M1030154" s="44"/>
      <c r="N1030154" s="44"/>
      <c r="O1030154" s="286"/>
      <c r="P1030154" s="287"/>
      <c r="Q1030154" s="286"/>
      <c r="R1030154" s="288"/>
      <c r="S1030154" s="44"/>
      <c r="T1030154" s="44"/>
      <c r="U1030154" s="289"/>
      <c r="V1030154" s="44"/>
      <c r="W1030154" s="290"/>
      <c r="X1030154" s="44"/>
      <c r="Y1030154" s="291"/>
      <c r="Z1030154" s="291"/>
      <c r="AA1030154" s="296"/>
      <c r="AB1030154" s="293"/>
      <c r="AC1030154" s="293"/>
      <c r="AD1030154" s="293"/>
      <c r="AF1030154" s="285"/>
      <c r="AH1030154" s="44"/>
      <c r="AI1030154" s="44"/>
      <c r="AJ1030154" s="295"/>
      <c r="AK1030154" s="295"/>
      <c r="AL1030154" s="295"/>
      <c r="AM1030154" s="295"/>
      <c r="AN1030154" s="295"/>
      <c r="AO1030154" s="44"/>
    </row>
    <row r="1030155" spans="1:41" s="294" customFormat="1" ht="15" customHeight="1">
      <c r="A1030155" s="44"/>
      <c r="B1030155" s="44"/>
      <c r="C1030155" s="44"/>
      <c r="D1030155" s="44"/>
      <c r="E1030155" s="44"/>
      <c r="F1030155" s="44"/>
      <c r="G1030155" s="44"/>
      <c r="H1030155" s="284"/>
      <c r="I1030155" s="44"/>
      <c r="J1030155" s="285"/>
      <c r="K1030155" s="285"/>
      <c r="L1030155" s="44"/>
      <c r="M1030155" s="44"/>
      <c r="N1030155" s="44"/>
      <c r="O1030155" s="286"/>
      <c r="P1030155" s="287"/>
      <c r="Q1030155" s="286"/>
      <c r="R1030155" s="288"/>
      <c r="S1030155" s="44"/>
      <c r="T1030155" s="44"/>
      <c r="U1030155" s="289"/>
      <c r="V1030155" s="44"/>
      <c r="W1030155" s="290"/>
      <c r="X1030155" s="44"/>
      <c r="Y1030155" s="291"/>
      <c r="Z1030155" s="291"/>
      <c r="AA1030155" s="296"/>
      <c r="AB1030155" s="293"/>
      <c r="AC1030155" s="293"/>
      <c r="AD1030155" s="293"/>
      <c r="AF1030155" s="285"/>
      <c r="AH1030155" s="44"/>
      <c r="AI1030155" s="44"/>
      <c r="AJ1030155" s="295"/>
      <c r="AK1030155" s="295"/>
      <c r="AL1030155" s="295"/>
      <c r="AM1030155" s="295"/>
      <c r="AN1030155" s="295"/>
      <c r="AO1030155" s="44"/>
    </row>
    <row r="1030156" spans="1:41" s="294" customFormat="1" ht="15" customHeight="1">
      <c r="A1030156" s="44"/>
      <c r="B1030156" s="44"/>
      <c r="C1030156" s="44"/>
      <c r="D1030156" s="44"/>
      <c r="E1030156" s="44"/>
      <c r="F1030156" s="44"/>
      <c r="G1030156" s="44"/>
      <c r="H1030156" s="284"/>
      <c r="I1030156" s="44"/>
      <c r="J1030156" s="285"/>
      <c r="K1030156" s="285"/>
      <c r="L1030156" s="44"/>
      <c r="M1030156" s="44"/>
      <c r="N1030156" s="44"/>
      <c r="O1030156" s="286"/>
      <c r="P1030156" s="287"/>
      <c r="Q1030156" s="286"/>
      <c r="R1030156" s="288"/>
      <c r="S1030156" s="44"/>
      <c r="T1030156" s="44"/>
      <c r="U1030156" s="289"/>
      <c r="V1030156" s="44"/>
      <c r="W1030156" s="290"/>
      <c r="X1030156" s="44"/>
      <c r="Y1030156" s="291"/>
      <c r="Z1030156" s="291"/>
      <c r="AA1030156" s="296"/>
      <c r="AB1030156" s="293"/>
      <c r="AC1030156" s="293"/>
      <c r="AD1030156" s="293"/>
      <c r="AF1030156" s="285"/>
      <c r="AH1030156" s="44"/>
      <c r="AI1030156" s="44"/>
      <c r="AJ1030156" s="295"/>
      <c r="AK1030156" s="295"/>
      <c r="AL1030156" s="295"/>
      <c r="AM1030156" s="295"/>
      <c r="AN1030156" s="295"/>
      <c r="AO1030156" s="44"/>
    </row>
    <row r="1030157" spans="1:41" s="294" customFormat="1" ht="15" customHeight="1">
      <c r="A1030157" s="44"/>
      <c r="B1030157" s="44"/>
      <c r="C1030157" s="44"/>
      <c r="D1030157" s="44"/>
      <c r="E1030157" s="44"/>
      <c r="F1030157" s="44"/>
      <c r="G1030157" s="44"/>
      <c r="H1030157" s="284"/>
      <c r="I1030157" s="44"/>
      <c r="J1030157" s="285"/>
      <c r="K1030157" s="285"/>
      <c r="L1030157" s="44"/>
      <c r="M1030157" s="44"/>
      <c r="N1030157" s="44"/>
      <c r="O1030157" s="286"/>
      <c r="P1030157" s="287"/>
      <c r="Q1030157" s="286"/>
      <c r="R1030157" s="288"/>
      <c r="S1030157" s="44"/>
      <c r="T1030157" s="44"/>
      <c r="U1030157" s="289"/>
      <c r="V1030157" s="44"/>
      <c r="W1030157" s="290"/>
      <c r="X1030157" s="44"/>
      <c r="Y1030157" s="291"/>
      <c r="Z1030157" s="291"/>
      <c r="AA1030157" s="296"/>
      <c r="AB1030157" s="293"/>
      <c r="AC1030157" s="293"/>
      <c r="AD1030157" s="293"/>
      <c r="AF1030157" s="285"/>
      <c r="AH1030157" s="44"/>
      <c r="AI1030157" s="44"/>
      <c r="AJ1030157" s="295"/>
      <c r="AK1030157" s="295"/>
      <c r="AL1030157" s="295"/>
      <c r="AM1030157" s="295"/>
      <c r="AN1030157" s="295"/>
      <c r="AO1030157" s="44"/>
    </row>
    <row r="1030158" spans="1:41" s="294" customFormat="1" ht="15" customHeight="1">
      <c r="A1030158" s="44"/>
      <c r="B1030158" s="44"/>
      <c r="C1030158" s="44"/>
      <c r="D1030158" s="44"/>
      <c r="E1030158" s="44"/>
      <c r="F1030158" s="44"/>
      <c r="G1030158" s="44"/>
      <c r="H1030158" s="284"/>
      <c r="I1030158" s="44"/>
      <c r="J1030158" s="285"/>
      <c r="K1030158" s="285"/>
      <c r="L1030158" s="44"/>
      <c r="M1030158" s="44"/>
      <c r="N1030158" s="44"/>
      <c r="O1030158" s="286"/>
      <c r="P1030158" s="287"/>
      <c r="Q1030158" s="286"/>
      <c r="R1030158" s="288"/>
      <c r="S1030158" s="44"/>
      <c r="T1030158" s="44"/>
      <c r="U1030158" s="289"/>
      <c r="V1030158" s="44"/>
      <c r="W1030158" s="290"/>
      <c r="X1030158" s="44"/>
      <c r="Y1030158" s="291"/>
      <c r="Z1030158" s="291"/>
      <c r="AA1030158" s="296"/>
      <c r="AB1030158" s="293"/>
      <c r="AC1030158" s="293"/>
      <c r="AD1030158" s="293"/>
      <c r="AF1030158" s="285"/>
      <c r="AH1030158" s="44"/>
      <c r="AI1030158" s="44"/>
      <c r="AJ1030158" s="295"/>
      <c r="AK1030158" s="295"/>
      <c r="AL1030158" s="295"/>
      <c r="AM1030158" s="295"/>
      <c r="AN1030158" s="295"/>
      <c r="AO1030158" s="44"/>
    </row>
    <row r="1030159" spans="1:41" s="294" customFormat="1" ht="15" customHeight="1">
      <c r="A1030159" s="44"/>
      <c r="B1030159" s="44"/>
      <c r="C1030159" s="44"/>
      <c r="D1030159" s="44"/>
      <c r="E1030159" s="44"/>
      <c r="F1030159" s="44"/>
      <c r="G1030159" s="44"/>
      <c r="H1030159" s="284"/>
      <c r="I1030159" s="44"/>
      <c r="J1030159" s="285"/>
      <c r="K1030159" s="285"/>
      <c r="L1030159" s="44"/>
      <c r="M1030159" s="44"/>
      <c r="N1030159" s="44"/>
      <c r="O1030159" s="286"/>
      <c r="P1030159" s="287"/>
      <c r="Q1030159" s="286"/>
      <c r="R1030159" s="288"/>
      <c r="S1030159" s="44"/>
      <c r="T1030159" s="44"/>
      <c r="U1030159" s="289"/>
      <c r="V1030159" s="44"/>
      <c r="W1030159" s="290"/>
      <c r="X1030159" s="44"/>
      <c r="Y1030159" s="291"/>
      <c r="Z1030159" s="291"/>
      <c r="AA1030159" s="296"/>
      <c r="AB1030159" s="293"/>
      <c r="AC1030159" s="293"/>
      <c r="AD1030159" s="293"/>
      <c r="AF1030159" s="285"/>
      <c r="AH1030159" s="44"/>
      <c r="AI1030159" s="44"/>
      <c r="AJ1030159" s="295"/>
      <c r="AK1030159" s="295"/>
      <c r="AL1030159" s="295"/>
      <c r="AM1030159" s="295"/>
      <c r="AN1030159" s="295"/>
      <c r="AO1030159" s="44"/>
    </row>
    <row r="1030160" spans="1:41" s="294" customFormat="1" ht="15" customHeight="1">
      <c r="A1030160" s="44"/>
      <c r="B1030160" s="44"/>
      <c r="C1030160" s="44"/>
      <c r="D1030160" s="44"/>
      <c r="E1030160" s="44"/>
      <c r="F1030160" s="44"/>
      <c r="G1030160" s="44"/>
      <c r="H1030160" s="284"/>
      <c r="I1030160" s="44"/>
      <c r="J1030160" s="285"/>
      <c r="K1030160" s="285"/>
      <c r="L1030160" s="44"/>
      <c r="M1030160" s="44"/>
      <c r="N1030160" s="44"/>
      <c r="O1030160" s="286"/>
      <c r="P1030160" s="287"/>
      <c r="Q1030160" s="286"/>
      <c r="R1030160" s="288"/>
      <c r="S1030160" s="44"/>
      <c r="T1030160" s="44"/>
      <c r="U1030160" s="289"/>
      <c r="V1030160" s="44"/>
      <c r="W1030160" s="290"/>
      <c r="X1030160" s="44"/>
      <c r="Y1030160" s="291"/>
      <c r="Z1030160" s="291"/>
      <c r="AA1030160" s="296"/>
      <c r="AB1030160" s="293"/>
      <c r="AC1030160" s="293"/>
      <c r="AD1030160" s="293"/>
      <c r="AF1030160" s="285"/>
      <c r="AH1030160" s="44"/>
      <c r="AI1030160" s="44"/>
      <c r="AJ1030160" s="295"/>
      <c r="AK1030160" s="295"/>
      <c r="AL1030160" s="295"/>
      <c r="AM1030160" s="295"/>
      <c r="AN1030160" s="295"/>
      <c r="AO1030160" s="44"/>
    </row>
    <row r="1030161" spans="1:41" s="294" customFormat="1" ht="15" customHeight="1">
      <c r="A1030161" s="44"/>
      <c r="B1030161" s="44"/>
      <c r="C1030161" s="44"/>
      <c r="D1030161" s="44"/>
      <c r="E1030161" s="44"/>
      <c r="F1030161" s="44"/>
      <c r="G1030161" s="44"/>
      <c r="H1030161" s="284"/>
      <c r="I1030161" s="44"/>
      <c r="J1030161" s="285"/>
      <c r="K1030161" s="285"/>
      <c r="L1030161" s="44"/>
      <c r="M1030161" s="44"/>
      <c r="N1030161" s="44"/>
      <c r="O1030161" s="286"/>
      <c r="P1030161" s="287"/>
      <c r="Q1030161" s="286"/>
      <c r="R1030161" s="288"/>
      <c r="S1030161" s="44"/>
      <c r="T1030161" s="44"/>
      <c r="U1030161" s="289"/>
      <c r="V1030161" s="44"/>
      <c r="W1030161" s="290"/>
      <c r="X1030161" s="44"/>
      <c r="Y1030161" s="291"/>
      <c r="Z1030161" s="291"/>
      <c r="AA1030161" s="297"/>
      <c r="AB1030161" s="293"/>
      <c r="AC1030161" s="293"/>
      <c r="AD1030161" s="293"/>
      <c r="AF1030161" s="285"/>
      <c r="AH1030161" s="44"/>
      <c r="AI1030161" s="44"/>
      <c r="AJ1030161" s="295"/>
      <c r="AK1030161" s="295"/>
      <c r="AL1030161" s="295"/>
      <c r="AM1030161" s="295"/>
      <c r="AN1030161" s="295"/>
      <c r="AO1030161" s="44"/>
    </row>
    <row r="1030162" spans="1:41" s="294" customFormat="1" ht="15" customHeight="1">
      <c r="A1030162" s="44"/>
      <c r="B1030162" s="44"/>
      <c r="C1030162" s="44"/>
      <c r="D1030162" s="44"/>
      <c r="E1030162" s="44"/>
      <c r="F1030162" s="44"/>
      <c r="G1030162" s="44"/>
      <c r="H1030162" s="284"/>
      <c r="I1030162" s="44"/>
      <c r="J1030162" s="285"/>
      <c r="K1030162" s="285"/>
      <c r="L1030162" s="44"/>
      <c r="M1030162" s="44"/>
      <c r="N1030162" s="44"/>
      <c r="O1030162" s="286"/>
      <c r="P1030162" s="287"/>
      <c r="Q1030162" s="286"/>
      <c r="R1030162" s="288"/>
      <c r="S1030162" s="44"/>
      <c r="T1030162" s="44"/>
      <c r="U1030162" s="289"/>
      <c r="V1030162" s="44"/>
      <c r="W1030162" s="290"/>
      <c r="X1030162" s="44"/>
      <c r="Y1030162" s="291"/>
      <c r="Z1030162" s="291"/>
      <c r="AA1030162" s="297"/>
      <c r="AB1030162" s="293"/>
      <c r="AC1030162" s="293"/>
      <c r="AD1030162" s="293"/>
      <c r="AF1030162" s="285"/>
      <c r="AH1030162" s="44"/>
      <c r="AI1030162" s="44"/>
      <c r="AJ1030162" s="295"/>
      <c r="AK1030162" s="295"/>
      <c r="AL1030162" s="295"/>
      <c r="AM1030162" s="295"/>
      <c r="AN1030162" s="295"/>
      <c r="AO1030162" s="44"/>
    </row>
    <row r="1030163" spans="1:41" s="294" customFormat="1" ht="15" customHeight="1">
      <c r="A1030163" s="44"/>
      <c r="B1030163" s="44"/>
      <c r="C1030163" s="44"/>
      <c r="D1030163" s="44"/>
      <c r="E1030163" s="44"/>
      <c r="F1030163" s="44"/>
      <c r="G1030163" s="44"/>
      <c r="H1030163" s="284"/>
      <c r="I1030163" s="44"/>
      <c r="J1030163" s="285"/>
      <c r="K1030163" s="285"/>
      <c r="L1030163" s="44"/>
      <c r="M1030163" s="44"/>
      <c r="N1030163" s="44"/>
      <c r="O1030163" s="286"/>
      <c r="P1030163" s="287"/>
      <c r="Q1030163" s="286"/>
      <c r="R1030163" s="288"/>
      <c r="S1030163" s="44"/>
      <c r="T1030163" s="44"/>
      <c r="U1030163" s="289"/>
      <c r="V1030163" s="44"/>
      <c r="W1030163" s="290"/>
      <c r="X1030163" s="44"/>
      <c r="Y1030163" s="291"/>
      <c r="Z1030163" s="291"/>
      <c r="AA1030163" s="296"/>
      <c r="AB1030163" s="293"/>
      <c r="AC1030163" s="293"/>
      <c r="AD1030163" s="293"/>
      <c r="AF1030163" s="285"/>
      <c r="AH1030163" s="44"/>
      <c r="AI1030163" s="44"/>
      <c r="AJ1030163" s="295"/>
      <c r="AK1030163" s="295"/>
      <c r="AL1030163" s="295"/>
      <c r="AM1030163" s="295"/>
      <c r="AN1030163" s="295"/>
      <c r="AO1030163" s="44"/>
    </row>
    <row r="1030164" spans="1:41" s="294" customFormat="1" ht="15" customHeight="1">
      <c r="A1030164" s="44"/>
      <c r="B1030164" s="44"/>
      <c r="C1030164" s="44"/>
      <c r="D1030164" s="44"/>
      <c r="E1030164" s="44"/>
      <c r="F1030164" s="44"/>
      <c r="G1030164" s="44"/>
      <c r="H1030164" s="284"/>
      <c r="I1030164" s="44"/>
      <c r="J1030164" s="285"/>
      <c r="K1030164" s="285"/>
      <c r="L1030164" s="44"/>
      <c r="M1030164" s="44"/>
      <c r="N1030164" s="44"/>
      <c r="O1030164" s="286"/>
      <c r="P1030164" s="287"/>
      <c r="Q1030164" s="286"/>
      <c r="R1030164" s="288"/>
      <c r="S1030164" s="44"/>
      <c r="T1030164" s="44"/>
      <c r="U1030164" s="289"/>
      <c r="V1030164" s="44"/>
      <c r="W1030164" s="290"/>
      <c r="X1030164" s="44"/>
      <c r="Y1030164" s="291"/>
      <c r="Z1030164" s="291"/>
      <c r="AA1030164" s="296"/>
      <c r="AB1030164" s="293"/>
      <c r="AC1030164" s="293"/>
      <c r="AD1030164" s="293"/>
      <c r="AF1030164" s="285"/>
      <c r="AH1030164" s="44"/>
      <c r="AI1030164" s="44"/>
      <c r="AJ1030164" s="295"/>
      <c r="AK1030164" s="295"/>
      <c r="AL1030164" s="295"/>
      <c r="AM1030164" s="295"/>
      <c r="AN1030164" s="295"/>
      <c r="AO1030164" s="44"/>
    </row>
    <row r="1030165" spans="1:41" s="294" customFormat="1" ht="15" customHeight="1">
      <c r="A1030165" s="44"/>
      <c r="B1030165" s="44"/>
      <c r="C1030165" s="44"/>
      <c r="D1030165" s="44"/>
      <c r="E1030165" s="44"/>
      <c r="F1030165" s="44"/>
      <c r="G1030165" s="44"/>
      <c r="H1030165" s="284"/>
      <c r="I1030165" s="44"/>
      <c r="J1030165" s="285"/>
      <c r="K1030165" s="285"/>
      <c r="L1030165" s="44"/>
      <c r="M1030165" s="44"/>
      <c r="N1030165" s="44"/>
      <c r="O1030165" s="286"/>
      <c r="P1030165" s="287"/>
      <c r="Q1030165" s="286"/>
      <c r="R1030165" s="288"/>
      <c r="S1030165" s="44"/>
      <c r="T1030165" s="44"/>
      <c r="U1030165" s="289"/>
      <c r="V1030165" s="44"/>
      <c r="W1030165" s="290"/>
      <c r="X1030165" s="44"/>
      <c r="Y1030165" s="291"/>
      <c r="Z1030165" s="291"/>
      <c r="AA1030165" s="296"/>
      <c r="AB1030165" s="293"/>
      <c r="AC1030165" s="293"/>
      <c r="AD1030165" s="293"/>
      <c r="AF1030165" s="285"/>
      <c r="AH1030165" s="44"/>
      <c r="AI1030165" s="44"/>
      <c r="AJ1030165" s="295"/>
      <c r="AK1030165" s="295"/>
      <c r="AL1030165" s="295"/>
      <c r="AM1030165" s="295"/>
      <c r="AN1030165" s="295"/>
      <c r="AO1030165" s="44"/>
    </row>
    <row r="1030166" spans="1:41" s="294" customFormat="1" ht="15" customHeight="1">
      <c r="A1030166" s="44"/>
      <c r="B1030166" s="44"/>
      <c r="C1030166" s="44"/>
      <c r="D1030166" s="44"/>
      <c r="E1030166" s="44"/>
      <c r="F1030166" s="44"/>
      <c r="G1030166" s="44"/>
      <c r="H1030166" s="284"/>
      <c r="I1030166" s="44"/>
      <c r="J1030166" s="285"/>
      <c r="K1030166" s="285"/>
      <c r="L1030166" s="44"/>
      <c r="M1030166" s="44"/>
      <c r="N1030166" s="44"/>
      <c r="O1030166" s="286"/>
      <c r="P1030166" s="287"/>
      <c r="Q1030166" s="286"/>
      <c r="R1030166" s="288"/>
      <c r="S1030166" s="44"/>
      <c r="T1030166" s="44"/>
      <c r="U1030166" s="289"/>
      <c r="V1030166" s="44"/>
      <c r="W1030166" s="290"/>
      <c r="X1030166" s="44"/>
      <c r="Y1030166" s="291"/>
      <c r="Z1030166" s="291"/>
      <c r="AA1030166" s="297"/>
      <c r="AB1030166" s="293"/>
      <c r="AC1030166" s="293"/>
      <c r="AD1030166" s="293"/>
      <c r="AF1030166" s="285"/>
      <c r="AH1030166" s="44"/>
      <c r="AI1030166" s="44"/>
      <c r="AJ1030166" s="295"/>
      <c r="AK1030166" s="295"/>
      <c r="AL1030166" s="295"/>
      <c r="AM1030166" s="295"/>
      <c r="AN1030166" s="295"/>
      <c r="AO1030166" s="44"/>
    </row>
    <row r="1030167" spans="1:41" s="294" customFormat="1" ht="15" customHeight="1">
      <c r="A1030167" s="44"/>
      <c r="B1030167" s="44"/>
      <c r="C1030167" s="44"/>
      <c r="D1030167" s="44"/>
      <c r="E1030167" s="44"/>
      <c r="F1030167" s="44"/>
      <c r="G1030167" s="44"/>
      <c r="H1030167" s="284"/>
      <c r="I1030167" s="44"/>
      <c r="J1030167" s="285"/>
      <c r="K1030167" s="285"/>
      <c r="L1030167" s="44"/>
      <c r="M1030167" s="44"/>
      <c r="N1030167" s="44"/>
      <c r="O1030167" s="286"/>
      <c r="P1030167" s="287"/>
      <c r="Q1030167" s="286"/>
      <c r="R1030167" s="288"/>
      <c r="S1030167" s="44"/>
      <c r="T1030167" s="44"/>
      <c r="U1030167" s="289"/>
      <c r="V1030167" s="44"/>
      <c r="W1030167" s="290"/>
      <c r="X1030167" s="44"/>
      <c r="Y1030167" s="291"/>
      <c r="Z1030167" s="291"/>
      <c r="AA1030167" s="297"/>
      <c r="AB1030167" s="293"/>
      <c r="AC1030167" s="293"/>
      <c r="AD1030167" s="293"/>
      <c r="AF1030167" s="285"/>
      <c r="AH1030167" s="44"/>
      <c r="AI1030167" s="44"/>
      <c r="AJ1030167" s="295"/>
      <c r="AK1030167" s="295"/>
      <c r="AL1030167" s="295"/>
      <c r="AM1030167" s="295"/>
      <c r="AN1030167" s="295"/>
      <c r="AO1030167" s="44"/>
    </row>
    <row r="1030168" spans="1:41" s="294" customFormat="1" ht="15" customHeight="1">
      <c r="A1030168" s="44"/>
      <c r="B1030168" s="44"/>
      <c r="C1030168" s="44"/>
      <c r="D1030168" s="44"/>
      <c r="E1030168" s="44"/>
      <c r="F1030168" s="44"/>
      <c r="G1030168" s="44"/>
      <c r="H1030168" s="284"/>
      <c r="I1030168" s="44"/>
      <c r="J1030168" s="285"/>
      <c r="K1030168" s="285"/>
      <c r="L1030168" s="44"/>
      <c r="M1030168" s="44"/>
      <c r="N1030168" s="44"/>
      <c r="O1030168" s="286"/>
      <c r="P1030168" s="287"/>
      <c r="Q1030168" s="286"/>
      <c r="R1030168" s="288"/>
      <c r="S1030168" s="44"/>
      <c r="T1030168" s="44"/>
      <c r="U1030168" s="289"/>
      <c r="V1030168" s="44"/>
      <c r="W1030168" s="290"/>
      <c r="X1030168" s="44"/>
      <c r="Y1030168" s="291"/>
      <c r="Z1030168" s="291"/>
      <c r="AA1030168" s="297"/>
      <c r="AB1030168" s="293"/>
      <c r="AC1030168" s="293"/>
      <c r="AD1030168" s="293"/>
      <c r="AF1030168" s="285"/>
      <c r="AH1030168" s="44"/>
      <c r="AI1030168" s="44"/>
      <c r="AJ1030168" s="295"/>
      <c r="AK1030168" s="295"/>
      <c r="AL1030168" s="295"/>
      <c r="AM1030168" s="295"/>
      <c r="AN1030168" s="295"/>
      <c r="AO1030168" s="44"/>
    </row>
    <row r="1030169" spans="1:41" s="294" customFormat="1" ht="15" customHeight="1">
      <c r="A1030169" s="44"/>
      <c r="B1030169" s="44"/>
      <c r="C1030169" s="44"/>
      <c r="D1030169" s="44"/>
      <c r="E1030169" s="44"/>
      <c r="F1030169" s="44"/>
      <c r="G1030169" s="44"/>
      <c r="H1030169" s="284"/>
      <c r="I1030169" s="44"/>
      <c r="J1030169" s="285"/>
      <c r="K1030169" s="285"/>
      <c r="L1030169" s="44"/>
      <c r="M1030169" s="44"/>
      <c r="N1030169" s="44"/>
      <c r="O1030169" s="286"/>
      <c r="P1030169" s="287"/>
      <c r="Q1030169" s="286"/>
      <c r="R1030169" s="288"/>
      <c r="S1030169" s="44"/>
      <c r="T1030169" s="44"/>
      <c r="U1030169" s="289"/>
      <c r="V1030169" s="44"/>
      <c r="W1030169" s="290"/>
      <c r="X1030169" s="44"/>
      <c r="Y1030169" s="291"/>
      <c r="Z1030169" s="291"/>
      <c r="AA1030169" s="297"/>
      <c r="AB1030169" s="293"/>
      <c r="AC1030169" s="293"/>
      <c r="AD1030169" s="293"/>
      <c r="AF1030169" s="285"/>
      <c r="AH1030169" s="44"/>
      <c r="AI1030169" s="44"/>
      <c r="AJ1030169" s="295"/>
      <c r="AK1030169" s="295"/>
      <c r="AL1030169" s="295"/>
      <c r="AM1030169" s="295"/>
      <c r="AN1030169" s="295"/>
      <c r="AO1030169" s="44"/>
    </row>
    <row r="1030170" spans="1:41" s="294" customFormat="1" ht="15" customHeight="1">
      <c r="A1030170" s="44"/>
      <c r="B1030170" s="44"/>
      <c r="C1030170" s="44"/>
      <c r="D1030170" s="44"/>
      <c r="E1030170" s="44"/>
      <c r="F1030170" s="44"/>
      <c r="G1030170" s="44"/>
      <c r="H1030170" s="284"/>
      <c r="I1030170" s="44"/>
      <c r="J1030170" s="285"/>
      <c r="K1030170" s="285"/>
      <c r="L1030170" s="44"/>
      <c r="M1030170" s="44"/>
      <c r="N1030170" s="44"/>
      <c r="O1030170" s="286"/>
      <c r="P1030170" s="287"/>
      <c r="Q1030170" s="286"/>
      <c r="R1030170" s="288"/>
      <c r="S1030170" s="44"/>
      <c r="T1030170" s="44"/>
      <c r="U1030170" s="289"/>
      <c r="V1030170" s="44"/>
      <c r="W1030170" s="290"/>
      <c r="X1030170" s="44"/>
      <c r="Y1030170" s="291"/>
      <c r="Z1030170" s="291"/>
      <c r="AA1030170" s="297"/>
      <c r="AB1030170" s="293"/>
      <c r="AC1030170" s="293"/>
      <c r="AD1030170" s="293"/>
      <c r="AF1030170" s="285"/>
      <c r="AH1030170" s="44"/>
      <c r="AI1030170" s="44"/>
      <c r="AJ1030170" s="295"/>
      <c r="AK1030170" s="295"/>
      <c r="AL1030170" s="295"/>
      <c r="AM1030170" s="295"/>
      <c r="AN1030170" s="295"/>
      <c r="AO1030170" s="44"/>
    </row>
    <row r="1030171" spans="1:41" s="294" customFormat="1" ht="15" customHeight="1">
      <c r="A1030171" s="44"/>
      <c r="B1030171" s="44"/>
      <c r="C1030171" s="44"/>
      <c r="D1030171" s="44"/>
      <c r="E1030171" s="44"/>
      <c r="F1030171" s="44"/>
      <c r="G1030171" s="44"/>
      <c r="H1030171" s="284"/>
      <c r="I1030171" s="44"/>
      <c r="J1030171" s="285"/>
      <c r="K1030171" s="285"/>
      <c r="L1030171" s="44"/>
      <c r="M1030171" s="44"/>
      <c r="N1030171" s="44"/>
      <c r="O1030171" s="286"/>
      <c r="P1030171" s="287"/>
      <c r="Q1030171" s="286"/>
      <c r="R1030171" s="288"/>
      <c r="S1030171" s="44"/>
      <c r="T1030171" s="44"/>
      <c r="U1030171" s="289"/>
      <c r="V1030171" s="44"/>
      <c r="W1030171" s="290"/>
      <c r="X1030171" s="44"/>
      <c r="Y1030171" s="291"/>
      <c r="Z1030171" s="291"/>
      <c r="AA1030171" s="297"/>
      <c r="AB1030171" s="293"/>
      <c r="AC1030171" s="293"/>
      <c r="AD1030171" s="293"/>
      <c r="AF1030171" s="285"/>
      <c r="AH1030171" s="44"/>
      <c r="AI1030171" s="44"/>
      <c r="AJ1030171" s="295"/>
      <c r="AK1030171" s="295"/>
      <c r="AL1030171" s="295"/>
      <c r="AM1030171" s="295"/>
      <c r="AN1030171" s="295"/>
      <c r="AO1030171" s="44"/>
    </row>
    <row r="1030172" spans="1:41" s="294" customFormat="1" ht="15" customHeight="1">
      <c r="A1030172" s="44"/>
      <c r="B1030172" s="44"/>
      <c r="C1030172" s="44"/>
      <c r="D1030172" s="44"/>
      <c r="E1030172" s="44"/>
      <c r="F1030172" s="44"/>
      <c r="G1030172" s="44"/>
      <c r="H1030172" s="284"/>
      <c r="I1030172" s="44"/>
      <c r="J1030172" s="285"/>
      <c r="K1030172" s="285"/>
      <c r="L1030172" s="44"/>
      <c r="M1030172" s="44"/>
      <c r="N1030172" s="44"/>
      <c r="O1030172" s="286"/>
      <c r="P1030172" s="287"/>
      <c r="Q1030172" s="286"/>
      <c r="R1030172" s="288"/>
      <c r="S1030172" s="44"/>
      <c r="T1030172" s="44"/>
      <c r="U1030172" s="289"/>
      <c r="V1030172" s="44"/>
      <c r="W1030172" s="290"/>
      <c r="X1030172" s="44"/>
      <c r="Y1030172" s="291"/>
      <c r="Z1030172" s="291"/>
      <c r="AA1030172" s="297"/>
      <c r="AB1030172" s="293"/>
      <c r="AC1030172" s="293"/>
      <c r="AD1030172" s="293"/>
      <c r="AF1030172" s="285"/>
      <c r="AH1030172" s="44"/>
      <c r="AI1030172" s="44"/>
      <c r="AJ1030172" s="295"/>
      <c r="AK1030172" s="295"/>
      <c r="AL1030172" s="295"/>
      <c r="AM1030172" s="295"/>
      <c r="AN1030172" s="295"/>
      <c r="AO1030172" s="44"/>
    </row>
    <row r="1030173" spans="1:41" s="294" customFormat="1" ht="15" customHeight="1">
      <c r="A1030173" s="44"/>
      <c r="B1030173" s="44"/>
      <c r="C1030173" s="44"/>
      <c r="D1030173" s="44"/>
      <c r="E1030173" s="44"/>
      <c r="F1030173" s="44"/>
      <c r="G1030173" s="44"/>
      <c r="H1030173" s="284"/>
      <c r="I1030173" s="44"/>
      <c r="J1030173" s="285"/>
      <c r="K1030173" s="285"/>
      <c r="L1030173" s="44"/>
      <c r="M1030173" s="44"/>
      <c r="N1030173" s="44"/>
      <c r="O1030173" s="286"/>
      <c r="P1030173" s="287"/>
      <c r="Q1030173" s="286"/>
      <c r="R1030173" s="288"/>
      <c r="S1030173" s="44"/>
      <c r="T1030173" s="44"/>
      <c r="U1030173" s="289"/>
      <c r="V1030173" s="44"/>
      <c r="W1030173" s="290"/>
      <c r="X1030173" s="44"/>
      <c r="Y1030173" s="291"/>
      <c r="Z1030173" s="291"/>
      <c r="AA1030173" s="297"/>
      <c r="AB1030173" s="293"/>
      <c r="AC1030173" s="293"/>
      <c r="AD1030173" s="293"/>
      <c r="AF1030173" s="285"/>
      <c r="AH1030173" s="44"/>
      <c r="AI1030173" s="44"/>
      <c r="AJ1030173" s="295"/>
      <c r="AK1030173" s="295"/>
      <c r="AL1030173" s="295"/>
      <c r="AM1030173" s="295"/>
      <c r="AN1030173" s="295"/>
      <c r="AO1030173" s="44"/>
    </row>
    <row r="1030174" spans="1:41" s="294" customFormat="1" ht="15" customHeight="1">
      <c r="A1030174" s="44"/>
      <c r="B1030174" s="44"/>
      <c r="C1030174" s="44"/>
      <c r="D1030174" s="44"/>
      <c r="E1030174" s="44"/>
      <c r="F1030174" s="44"/>
      <c r="G1030174" s="44"/>
      <c r="H1030174" s="284"/>
      <c r="I1030174" s="44"/>
      <c r="J1030174" s="285"/>
      <c r="K1030174" s="285"/>
      <c r="L1030174" s="44"/>
      <c r="M1030174" s="44"/>
      <c r="N1030174" s="44"/>
      <c r="O1030174" s="286"/>
      <c r="P1030174" s="287"/>
      <c r="Q1030174" s="286"/>
      <c r="R1030174" s="288"/>
      <c r="S1030174" s="44"/>
      <c r="T1030174" s="44"/>
      <c r="U1030174" s="289"/>
      <c r="V1030174" s="44"/>
      <c r="W1030174" s="290"/>
      <c r="X1030174" s="44"/>
      <c r="Y1030174" s="291"/>
      <c r="Z1030174" s="291"/>
      <c r="AA1030174" s="297"/>
      <c r="AB1030174" s="293"/>
      <c r="AC1030174" s="293"/>
      <c r="AD1030174" s="293"/>
      <c r="AF1030174" s="285"/>
      <c r="AH1030174" s="44"/>
      <c r="AI1030174" s="44"/>
      <c r="AJ1030174" s="295"/>
      <c r="AK1030174" s="295"/>
      <c r="AL1030174" s="295"/>
      <c r="AM1030174" s="295"/>
      <c r="AN1030174" s="295"/>
      <c r="AO1030174" s="44"/>
    </row>
    <row r="1030175" spans="1:41" s="294" customFormat="1" ht="15" customHeight="1">
      <c r="A1030175" s="44"/>
      <c r="B1030175" s="44"/>
      <c r="C1030175" s="44"/>
      <c r="D1030175" s="44"/>
      <c r="E1030175" s="44"/>
      <c r="F1030175" s="44"/>
      <c r="G1030175" s="44"/>
      <c r="H1030175" s="284"/>
      <c r="I1030175" s="44"/>
      <c r="J1030175" s="285"/>
      <c r="K1030175" s="285"/>
      <c r="L1030175" s="44"/>
      <c r="M1030175" s="44"/>
      <c r="N1030175" s="44"/>
      <c r="O1030175" s="286"/>
      <c r="P1030175" s="287"/>
      <c r="Q1030175" s="286"/>
      <c r="R1030175" s="288"/>
      <c r="S1030175" s="44"/>
      <c r="T1030175" s="44"/>
      <c r="U1030175" s="289"/>
      <c r="V1030175" s="44"/>
      <c r="W1030175" s="290"/>
      <c r="X1030175" s="44"/>
      <c r="Y1030175" s="291"/>
      <c r="Z1030175" s="291"/>
      <c r="AA1030175" s="297"/>
      <c r="AB1030175" s="293"/>
      <c r="AC1030175" s="293"/>
      <c r="AD1030175" s="293"/>
      <c r="AF1030175" s="285"/>
      <c r="AH1030175" s="44"/>
      <c r="AI1030175" s="44"/>
      <c r="AJ1030175" s="295"/>
      <c r="AK1030175" s="295"/>
      <c r="AL1030175" s="295"/>
      <c r="AM1030175" s="295"/>
      <c r="AN1030175" s="295"/>
      <c r="AO1030175" s="44"/>
    </row>
    <row r="1030176" spans="1:41" s="294" customFormat="1" ht="15" customHeight="1">
      <c r="A1030176" s="44"/>
      <c r="B1030176" s="44"/>
      <c r="C1030176" s="44"/>
      <c r="D1030176" s="44"/>
      <c r="E1030176" s="44"/>
      <c r="F1030176" s="44"/>
      <c r="G1030176" s="44"/>
      <c r="H1030176" s="284"/>
      <c r="I1030176" s="44"/>
      <c r="J1030176" s="285"/>
      <c r="K1030176" s="285"/>
      <c r="L1030176" s="44"/>
      <c r="M1030176" s="44"/>
      <c r="N1030176" s="44"/>
      <c r="O1030176" s="286"/>
      <c r="P1030176" s="287"/>
      <c r="Q1030176" s="286"/>
      <c r="R1030176" s="288"/>
      <c r="S1030176" s="44"/>
      <c r="T1030176" s="44"/>
      <c r="U1030176" s="289"/>
      <c r="V1030176" s="44"/>
      <c r="W1030176" s="290"/>
      <c r="X1030176" s="44"/>
      <c r="Y1030176" s="291"/>
      <c r="Z1030176" s="291"/>
      <c r="AA1030176" s="297"/>
      <c r="AB1030176" s="293"/>
      <c r="AC1030176" s="293"/>
      <c r="AD1030176" s="293"/>
      <c r="AF1030176" s="285"/>
      <c r="AH1030176" s="44"/>
      <c r="AI1030176" s="44"/>
      <c r="AJ1030176" s="295"/>
      <c r="AK1030176" s="295"/>
      <c r="AL1030176" s="295"/>
      <c r="AM1030176" s="295"/>
      <c r="AN1030176" s="295"/>
      <c r="AO1030176" s="44"/>
    </row>
    <row r="1030177" spans="1:41" s="294" customFormat="1" ht="15" customHeight="1">
      <c r="A1030177" s="44"/>
      <c r="B1030177" s="44"/>
      <c r="C1030177" s="44"/>
      <c r="D1030177" s="44"/>
      <c r="E1030177" s="44"/>
      <c r="F1030177" s="44"/>
      <c r="G1030177" s="44"/>
      <c r="H1030177" s="284"/>
      <c r="I1030177" s="44"/>
      <c r="J1030177" s="285"/>
      <c r="K1030177" s="285"/>
      <c r="L1030177" s="44"/>
      <c r="M1030177" s="44"/>
      <c r="N1030177" s="44"/>
      <c r="O1030177" s="286"/>
      <c r="P1030177" s="287"/>
      <c r="Q1030177" s="286"/>
      <c r="R1030177" s="288"/>
      <c r="S1030177" s="44"/>
      <c r="T1030177" s="44"/>
      <c r="U1030177" s="289"/>
      <c r="V1030177" s="44"/>
      <c r="W1030177" s="290"/>
      <c r="X1030177" s="44"/>
      <c r="Y1030177" s="291"/>
      <c r="Z1030177" s="291"/>
      <c r="AA1030177" s="296"/>
      <c r="AB1030177" s="293"/>
      <c r="AC1030177" s="293"/>
      <c r="AD1030177" s="293"/>
      <c r="AF1030177" s="285"/>
      <c r="AH1030177" s="44"/>
      <c r="AI1030177" s="44"/>
      <c r="AJ1030177" s="295"/>
      <c r="AK1030177" s="295"/>
      <c r="AL1030177" s="295"/>
      <c r="AM1030177" s="295"/>
      <c r="AN1030177" s="295"/>
      <c r="AO1030177" s="44"/>
    </row>
    <row r="1030178" spans="1:41" s="294" customFormat="1" ht="15" customHeight="1">
      <c r="A1030178" s="44"/>
      <c r="B1030178" s="44"/>
      <c r="C1030178" s="44"/>
      <c r="D1030178" s="44"/>
      <c r="E1030178" s="44"/>
      <c r="F1030178" s="44"/>
      <c r="G1030178" s="44"/>
      <c r="H1030178" s="284"/>
      <c r="I1030178" s="44"/>
      <c r="J1030178" s="285"/>
      <c r="K1030178" s="285"/>
      <c r="L1030178" s="44"/>
      <c r="M1030178" s="44"/>
      <c r="N1030178" s="44"/>
      <c r="O1030178" s="286"/>
      <c r="P1030178" s="287"/>
      <c r="Q1030178" s="286"/>
      <c r="R1030178" s="288"/>
      <c r="S1030178" s="44"/>
      <c r="T1030178" s="44"/>
      <c r="U1030178" s="289"/>
      <c r="V1030178" s="44"/>
      <c r="W1030178" s="290"/>
      <c r="X1030178" s="44"/>
      <c r="Y1030178" s="291"/>
      <c r="Z1030178" s="291"/>
      <c r="AA1030178" s="296"/>
      <c r="AB1030178" s="293"/>
      <c r="AC1030178" s="293"/>
      <c r="AD1030178" s="293"/>
      <c r="AF1030178" s="285"/>
      <c r="AH1030178" s="44"/>
      <c r="AI1030178" s="44"/>
      <c r="AJ1030178" s="295"/>
      <c r="AK1030178" s="295"/>
      <c r="AL1030178" s="295"/>
      <c r="AM1030178" s="295"/>
      <c r="AN1030178" s="295"/>
      <c r="AO1030178" s="44"/>
    </row>
    <row r="1030179" spans="1:41" s="294" customFormat="1" ht="15" customHeight="1">
      <c r="A1030179" s="44"/>
      <c r="B1030179" s="44"/>
      <c r="C1030179" s="44"/>
      <c r="D1030179" s="44"/>
      <c r="E1030179" s="44"/>
      <c r="F1030179" s="44"/>
      <c r="G1030179" s="44"/>
      <c r="H1030179" s="284"/>
      <c r="I1030179" s="44"/>
      <c r="J1030179" s="285"/>
      <c r="K1030179" s="285"/>
      <c r="L1030179" s="44"/>
      <c r="M1030179" s="44"/>
      <c r="N1030179" s="44"/>
      <c r="O1030179" s="286"/>
      <c r="P1030179" s="287"/>
      <c r="Q1030179" s="286"/>
      <c r="R1030179" s="288"/>
      <c r="S1030179" s="44"/>
      <c r="T1030179" s="44"/>
      <c r="U1030179" s="289"/>
      <c r="V1030179" s="44"/>
      <c r="W1030179" s="290"/>
      <c r="X1030179" s="44"/>
      <c r="Y1030179" s="291"/>
      <c r="Z1030179" s="291"/>
      <c r="AA1030179" s="296"/>
      <c r="AB1030179" s="293"/>
      <c r="AC1030179" s="293"/>
      <c r="AD1030179" s="293"/>
      <c r="AF1030179" s="285"/>
      <c r="AH1030179" s="44"/>
      <c r="AI1030179" s="44"/>
      <c r="AJ1030179" s="295"/>
      <c r="AK1030179" s="295"/>
      <c r="AL1030179" s="295"/>
      <c r="AM1030179" s="295"/>
      <c r="AN1030179" s="295"/>
      <c r="AO1030179" s="44"/>
    </row>
    <row r="1030180" spans="1:41" s="294" customFormat="1" ht="15" customHeight="1">
      <c r="A1030180" s="44"/>
      <c r="B1030180" s="44"/>
      <c r="C1030180" s="44"/>
      <c r="D1030180" s="44"/>
      <c r="E1030180" s="44"/>
      <c r="F1030180" s="44"/>
      <c r="G1030180" s="44"/>
      <c r="H1030180" s="284"/>
      <c r="I1030180" s="44"/>
      <c r="J1030180" s="285"/>
      <c r="K1030180" s="285"/>
      <c r="L1030180" s="44"/>
      <c r="M1030180" s="44"/>
      <c r="N1030180" s="44"/>
      <c r="O1030180" s="286"/>
      <c r="P1030180" s="287"/>
      <c r="Q1030180" s="286"/>
      <c r="R1030180" s="288"/>
      <c r="S1030180" s="44"/>
      <c r="T1030180" s="44"/>
      <c r="U1030180" s="289"/>
      <c r="V1030180" s="44"/>
      <c r="W1030180" s="290"/>
      <c r="X1030180" s="44"/>
      <c r="Y1030180" s="291"/>
      <c r="Z1030180" s="291"/>
      <c r="AA1030180" s="296"/>
      <c r="AB1030180" s="293"/>
      <c r="AC1030180" s="293"/>
      <c r="AD1030180" s="293"/>
      <c r="AF1030180" s="285"/>
      <c r="AH1030180" s="44"/>
      <c r="AI1030180" s="44"/>
      <c r="AJ1030180" s="295"/>
      <c r="AK1030180" s="295"/>
      <c r="AL1030180" s="295"/>
      <c r="AM1030180" s="295"/>
      <c r="AN1030180" s="295"/>
      <c r="AO1030180" s="44"/>
    </row>
    <row r="1030181" spans="1:41" s="294" customFormat="1" ht="15" customHeight="1">
      <c r="A1030181" s="44"/>
      <c r="B1030181" s="44"/>
      <c r="C1030181" s="44"/>
      <c r="D1030181" s="44"/>
      <c r="E1030181" s="44"/>
      <c r="F1030181" s="44"/>
      <c r="G1030181" s="44"/>
      <c r="H1030181" s="284"/>
      <c r="I1030181" s="44"/>
      <c r="J1030181" s="285"/>
      <c r="K1030181" s="285"/>
      <c r="L1030181" s="44"/>
      <c r="M1030181" s="44"/>
      <c r="N1030181" s="44"/>
      <c r="O1030181" s="286"/>
      <c r="P1030181" s="287"/>
      <c r="Q1030181" s="286"/>
      <c r="R1030181" s="288"/>
      <c r="S1030181" s="44"/>
      <c r="T1030181" s="44"/>
      <c r="U1030181" s="289"/>
      <c r="V1030181" s="44"/>
      <c r="W1030181" s="290"/>
      <c r="X1030181" s="44"/>
      <c r="Y1030181" s="291"/>
      <c r="Z1030181" s="291"/>
      <c r="AA1030181" s="296"/>
      <c r="AB1030181" s="293"/>
      <c r="AC1030181" s="293"/>
      <c r="AD1030181" s="293"/>
      <c r="AF1030181" s="285"/>
      <c r="AH1030181" s="44"/>
      <c r="AI1030181" s="44"/>
      <c r="AJ1030181" s="295"/>
      <c r="AK1030181" s="295"/>
      <c r="AL1030181" s="295"/>
      <c r="AM1030181" s="295"/>
      <c r="AN1030181" s="295"/>
      <c r="AO1030181" s="44"/>
    </row>
    <row r="1030182" spans="1:41" s="294" customFormat="1" ht="15" customHeight="1">
      <c r="A1030182" s="44"/>
      <c r="B1030182" s="44"/>
      <c r="C1030182" s="44"/>
      <c r="D1030182" s="44"/>
      <c r="E1030182" s="44"/>
      <c r="F1030182" s="44"/>
      <c r="G1030182" s="44"/>
      <c r="H1030182" s="284"/>
      <c r="I1030182" s="44"/>
      <c r="J1030182" s="285"/>
      <c r="K1030182" s="285"/>
      <c r="L1030182" s="44"/>
      <c r="M1030182" s="44"/>
      <c r="N1030182" s="44"/>
      <c r="O1030182" s="286"/>
      <c r="P1030182" s="287"/>
      <c r="Q1030182" s="286"/>
      <c r="R1030182" s="288"/>
      <c r="S1030182" s="44"/>
      <c r="T1030182" s="44"/>
      <c r="U1030182" s="289"/>
      <c r="V1030182" s="44"/>
      <c r="W1030182" s="290"/>
      <c r="X1030182" s="44"/>
      <c r="Y1030182" s="291"/>
      <c r="Z1030182" s="291"/>
      <c r="AA1030182" s="296"/>
      <c r="AB1030182" s="293"/>
      <c r="AC1030182" s="293"/>
      <c r="AD1030182" s="293"/>
      <c r="AF1030182" s="285"/>
      <c r="AH1030182" s="44"/>
      <c r="AI1030182" s="44"/>
      <c r="AJ1030182" s="295"/>
      <c r="AK1030182" s="295"/>
      <c r="AL1030182" s="295"/>
      <c r="AM1030182" s="295"/>
      <c r="AN1030182" s="295"/>
      <c r="AO1030182" s="44"/>
    </row>
  </sheetData>
  <autoFilter ref="A1:AS2996" xr:uid="{16E34D84-528E-4358-B01E-CD8A56D5F21C}"/>
  <phoneticPr fontId="3" type="noConversion"/>
  <conditionalFormatting sqref="A70 E70:G70 I70:J70 L70">
    <cfRule type="expression" dxfId="757" priority="2079">
      <formula>(#REF!&lt;&gt;"")*(A$1&lt;&gt;"")</formula>
    </cfRule>
  </conditionalFormatting>
  <conditionalFormatting sqref="A94 E94:G94 L94">
    <cfRule type="expression" dxfId="756" priority="2065">
      <formula>(#REF!&lt;&gt;"")*(A$1&lt;&gt;"")</formula>
    </cfRule>
  </conditionalFormatting>
  <conditionalFormatting sqref="A214:A220 E214:F220 J214:J220 L215 N215">
    <cfRule type="expression" dxfId="755" priority="2028">
      <formula>(#REF!&lt;&gt;"")*(#REF!&lt;&gt;"")</formula>
    </cfRule>
  </conditionalFormatting>
  <conditionalFormatting sqref="A743:A744 E743:F744 P743:P744">
    <cfRule type="expression" dxfId="754" priority="1968">
      <formula>(#REF!&lt;&gt;"")*(#REF!&lt;&gt;"")</formula>
    </cfRule>
  </conditionalFormatting>
  <conditionalFormatting sqref="A807:A823 C807:C823 E821:G823 I821:J823 L821:L823">
    <cfRule type="expression" dxfId="753" priority="1903">
      <formula>(#REF!&lt;&gt;"")*(A$1&lt;&gt;"")</formula>
    </cfRule>
  </conditionalFormatting>
  <conditionalFormatting sqref="A853 E853:G853 I853:J853 N853:O853">
    <cfRule type="expression" dxfId="752" priority="719">
      <formula>(#REF!&lt;&gt;"")*(A$1&lt;&gt;"")</formula>
    </cfRule>
  </conditionalFormatting>
  <conditionalFormatting sqref="A872:A879 E872:G879 I872:J879">
    <cfRule type="expression" dxfId="751" priority="116">
      <formula>(#REF!&lt;&gt;"")*(A$1&lt;&gt;"")</formula>
    </cfRule>
  </conditionalFormatting>
  <conditionalFormatting sqref="A1039:A1077 C1041:C1077 E1064:G1076 I1064:J1076 N1075:P1076">
    <cfRule type="expression" dxfId="750" priority="1537">
      <formula>(#REF!&lt;&gt;"")*(#REF!&lt;&gt;"")</formula>
    </cfRule>
  </conditionalFormatting>
  <conditionalFormatting sqref="A1109:A1110 E1109:F1110 J1109:J1110 L1109:M1110">
    <cfRule type="expression" dxfId="749" priority="1717">
      <formula>(#REF!&lt;&gt;"")*(#REF!&lt;&gt;"")</formula>
    </cfRule>
  </conditionalFormatting>
  <conditionalFormatting sqref="A1173:A1175 C1173:C1175 L1174:P1174 I1311:J1314 H1516 H1685">
    <cfRule type="expression" dxfId="748" priority="1965">
      <formula>(#REF!&lt;&gt;"")*(A$1&lt;&gt;"")</formula>
    </cfRule>
  </conditionalFormatting>
  <conditionalFormatting sqref="A1179:A1181 E1179:G1181 I1179:J1181 L1179:L1181">
    <cfRule type="expression" dxfId="747" priority="1714">
      <formula>(#REF!&lt;&gt;"")*(A$1&lt;&gt;"")</formula>
    </cfRule>
  </conditionalFormatting>
  <conditionalFormatting sqref="A1196">
    <cfRule type="expression" dxfId="746" priority="1715">
      <formula>(#REF!&lt;&gt;"")*(A$1&lt;&gt;"")</formula>
    </cfRule>
  </conditionalFormatting>
  <conditionalFormatting sqref="A1212:A1232">
    <cfRule type="expression" dxfId="745" priority="154">
      <formula>(#REF!&lt;&gt;"")*(#REF!&lt;&gt;"")</formula>
    </cfRule>
  </conditionalFormatting>
  <conditionalFormatting sqref="A1254:A1258">
    <cfRule type="expression" dxfId="744" priority="1661">
      <formula>($A1254&lt;&gt;"")*(#REF!&lt;&gt;"")</formula>
    </cfRule>
  </conditionalFormatting>
  <conditionalFormatting sqref="A1308 E1308:F1308 J1308 L1308:N1308 P1308:P1309 L1309">
    <cfRule type="expression" dxfId="743" priority="1512">
      <formula>(#REF!&lt;&gt;"")*(#REF!&lt;&gt;"")</formula>
    </cfRule>
  </conditionalFormatting>
  <conditionalFormatting sqref="A1310:A1314 C1310:C1314">
    <cfRule type="expression" dxfId="742" priority="1509">
      <formula>(#REF!&lt;&gt;"")*(A$1&lt;&gt;"")</formula>
    </cfRule>
  </conditionalFormatting>
  <conditionalFormatting sqref="A1335 E1335:F1335 J1335 L1335:N1335 P1335:P1336">
    <cfRule type="expression" dxfId="741" priority="1507">
      <formula>(#REF!&lt;&gt;"")*(#REF!&lt;&gt;"")</formula>
    </cfRule>
  </conditionalFormatting>
  <conditionalFormatting sqref="A1368:A1375 E1368:G1375 I1368:J1375 P1370:P1371">
    <cfRule type="expression" dxfId="740" priority="1479">
      <formula>(#REF!&lt;&gt;"")*(#REF!&lt;&gt;"")</formula>
    </cfRule>
  </conditionalFormatting>
  <conditionalFormatting sqref="A1393:A1395 C1393:C1395 E1393:G1395 I1393:J1395 L1393:N1395">
    <cfRule type="expression" dxfId="739" priority="1487">
      <formula>($A1393&lt;&gt;"")*(#REF!&lt;&gt;"")</formula>
    </cfRule>
  </conditionalFormatting>
  <conditionalFormatting sqref="A1396:A1399 C1396:C1399 E1396:G1399 I1396:J1399">
    <cfRule type="expression" dxfId="738" priority="1464">
      <formula>(#REF!&lt;&gt;"")*(A$1&lt;&gt;"")</formula>
    </cfRule>
  </conditionalFormatting>
  <conditionalFormatting sqref="A1476 E1476:G1476 I1476:J1476 N1476:O1476">
    <cfRule type="expression" dxfId="737" priority="1425">
      <formula>(#REF!&lt;&gt;"")*(A$1&lt;&gt;"")</formula>
    </cfRule>
  </conditionalFormatting>
  <conditionalFormatting sqref="A1653:A1655 C1653:C1655 E1653:J1655 L1653:Q1655 N1680">
    <cfRule type="expression" dxfId="736" priority="1391">
      <formula>(#REF!&lt;&gt;"")*(#REF!&lt;&gt;"")</formula>
    </cfRule>
  </conditionalFormatting>
  <conditionalFormatting sqref="A1666:A1670 C1666:C1670 E1670:H1670 J1670">
    <cfRule type="expression" dxfId="735" priority="1334">
      <formula>(#REF!&lt;&gt;"")*(#REF!&lt;&gt;"")</formula>
    </cfRule>
  </conditionalFormatting>
  <conditionalFormatting sqref="A1676 E1676:I1676 L1676:Q1676">
    <cfRule type="expression" dxfId="734" priority="1350">
      <formula>(#REF!&lt;&gt;"")*(#REF!&lt;&gt;"")</formula>
    </cfRule>
  </conditionalFormatting>
  <conditionalFormatting sqref="A1684 C1684 E1684:J1684 L1684:P1684">
    <cfRule type="expression" dxfId="733" priority="1386">
      <formula>(#REF!&lt;&gt;"")*(A$1&lt;&gt;"")</formula>
    </cfRule>
  </conditionalFormatting>
  <conditionalFormatting sqref="A1687">
    <cfRule type="expression" dxfId="732" priority="1346">
      <formula>(#REF!&lt;&gt;"")*(#REF!&lt;&gt;"")</formula>
    </cfRule>
  </conditionalFormatting>
  <conditionalFormatting sqref="A1705:A1707 C1705:C1707 E1705:G1707 I1705:J1707">
    <cfRule type="expression" dxfId="731" priority="528">
      <formula>(#REF!&lt;&gt;"")*(#REF!&lt;&gt;"")</formula>
    </cfRule>
  </conditionalFormatting>
  <conditionalFormatting sqref="A1762:A1764">
    <cfRule type="expression" dxfId="730" priority="1236">
      <formula>(#REF!&lt;&gt;"")*(A$1&lt;&gt;"")</formula>
    </cfRule>
  </conditionalFormatting>
  <conditionalFormatting sqref="A1870:A1871 E1870:E1871 G1870:G1871 L1870:P1871">
    <cfRule type="expression" dxfId="729" priority="1226">
      <formula>(#REF!&lt;&gt;"")*(A$1&lt;&gt;"")</formula>
    </cfRule>
  </conditionalFormatting>
  <conditionalFormatting sqref="A2005:A2007 L2005:L2007">
    <cfRule type="expression" dxfId="728" priority="1086">
      <formula>(#REF!&lt;&gt;"")*(#REF!&lt;&gt;"")</formula>
    </cfRule>
  </conditionalFormatting>
  <conditionalFormatting sqref="A2009:A2011 L2009:L2014">
    <cfRule type="expression" dxfId="727" priority="974">
      <formula>(#REF!&lt;&gt;"")*(#REF!&lt;&gt;"")</formula>
    </cfRule>
  </conditionalFormatting>
  <conditionalFormatting sqref="A2013:A2017 C2013:C2017 E2013:I2017 L2013:N2017 P2013:P2017">
    <cfRule type="expression" dxfId="726" priority="1179">
      <formula>(#REF!&lt;&gt;"")*(#REF!&lt;&gt;"")</formula>
    </cfRule>
  </conditionalFormatting>
  <conditionalFormatting sqref="A2028:A2038 C2028:C2038 E2029:I2038">
    <cfRule type="expression" dxfId="725" priority="966">
      <formula>(#REF!&lt;&gt;"")*(#REF!&lt;&gt;"")</formula>
    </cfRule>
  </conditionalFormatting>
  <conditionalFormatting sqref="A2040:A2045 C2040:C2045 E2041:G2045 L2042:P2045">
    <cfRule type="expression" dxfId="724" priority="1191">
      <formula>(#REF!&lt;&gt;"")*(#REF!&lt;&gt;"")</formula>
    </cfRule>
  </conditionalFormatting>
  <conditionalFormatting sqref="A2066:A2070 E2066:G2070 I2066:I2070 C2068:C2070">
    <cfRule type="expression" dxfId="723" priority="417">
      <formula>(#REF!&lt;&gt;"")*(#REF!&lt;&gt;"")</formula>
    </cfRule>
  </conditionalFormatting>
  <conditionalFormatting sqref="A2512:A2572 C2512:C2572">
    <cfRule type="expression" dxfId="722" priority="919">
      <formula>(#REF!&lt;&gt;"")*(#REF!&lt;&gt;"")</formula>
    </cfRule>
  </conditionalFormatting>
  <conditionalFormatting sqref="A2575:A2577 C2575:C2577">
    <cfRule type="expression" dxfId="721" priority="895">
      <formula>(#REF!&lt;&gt;"")*(#REF!&lt;&gt;"")</formula>
    </cfRule>
  </conditionalFormatting>
  <conditionalFormatting sqref="A2598:A2601 E2598:G2601 L2598:L2601">
    <cfRule type="expression" dxfId="720" priority="875">
      <formula>(#REF!&lt;&gt;"")*(A$1&lt;&gt;"")</formula>
    </cfRule>
  </conditionalFormatting>
  <conditionalFormatting sqref="A2636 C2636">
    <cfRule type="expression" dxfId="719" priority="742">
      <formula>(#REF!&lt;&gt;"")*(#REF!&lt;&gt;"")</formula>
    </cfRule>
  </conditionalFormatting>
  <conditionalFormatting sqref="A2827 C2827 E2827:H2827 J2827 L2827:Q2827">
    <cfRule type="expression" dxfId="718" priority="307">
      <formula>(#REF!&lt;&gt;"")*(#REF!&lt;&gt;"")</formula>
    </cfRule>
  </conditionalFormatting>
  <conditionalFormatting sqref="A2829 J2829 L2829">
    <cfRule type="expression" dxfId="717" priority="305">
      <formula>(#REF!&lt;&gt;"")*(A$1&lt;&gt;"")</formula>
    </cfRule>
  </conditionalFormatting>
  <conditionalFormatting sqref="A2832 C2832 E2832:G2832 I2832:J2832">
    <cfRule type="expression" dxfId="716" priority="300">
      <formula>(#REF!&lt;&gt;"")*(#REF!&lt;&gt;"")</formula>
    </cfRule>
  </conditionalFormatting>
  <conditionalFormatting sqref="A2887:A2895 C2887:C2895">
    <cfRule type="expression" dxfId="715" priority="245">
      <formula>(#REF!&lt;&gt;"")*(#REF!&lt;&gt;"")</formula>
    </cfRule>
  </conditionalFormatting>
  <conditionalFormatting sqref="A2897 C2897">
    <cfRule type="expression" dxfId="714" priority="276">
      <formula>(#REF!&lt;&gt;"")*(#REF!&lt;&gt;"")</formula>
    </cfRule>
  </conditionalFormatting>
  <conditionalFormatting sqref="A2905 C2905">
    <cfRule type="expression" dxfId="713" priority="266">
      <formula>(#REF!&lt;&gt;"")*(#REF!&lt;&gt;"")</formula>
    </cfRule>
  </conditionalFormatting>
  <conditionalFormatting sqref="A2917 C2917">
    <cfRule type="expression" dxfId="712" priority="239">
      <formula>(#REF!&lt;&gt;"")*(#REF!&lt;&gt;"")</formula>
    </cfRule>
  </conditionalFormatting>
  <conditionalFormatting sqref="A2919 C2919">
    <cfRule type="expression" dxfId="711" priority="196">
      <formula>(#REF!&lt;&gt;"")*(#REF!&lt;&gt;"")</formula>
    </cfRule>
  </conditionalFormatting>
  <conditionalFormatting sqref="A2951:A2953 C2951:C2953 E2951:G2953 I2951:J2953">
    <cfRule type="expression" dxfId="710" priority="69">
      <formula>(#REF!&lt;&gt;"")*(#REF!&lt;&gt;"")</formula>
    </cfRule>
  </conditionalFormatting>
  <conditionalFormatting sqref="A2954:A2956 C2954:C2956 E2954:G2956 I2954:J2956">
    <cfRule type="expression" dxfId="709" priority="55">
      <formula>(#REF!&lt;&gt;"")*(A$1&lt;&gt;"")</formula>
    </cfRule>
  </conditionalFormatting>
  <conditionalFormatting sqref="A2982:A2983 C2982:C2983 E2982:I2983">
    <cfRule type="expression" dxfId="708" priority="31">
      <formula>(#REF!&lt;&gt;"")*(#REF!&lt;&gt;"")</formula>
    </cfRule>
  </conditionalFormatting>
  <conditionalFormatting sqref="A2990 C2990">
    <cfRule type="expression" dxfId="707" priority="36">
      <formula>(#REF!&lt;&gt;"")*(#REF!&lt;&gt;"")</formula>
    </cfRule>
  </conditionalFormatting>
  <conditionalFormatting sqref="C1212:C1232">
    <cfRule type="expression" dxfId="706" priority="158">
      <formula>(#REF!&lt;&gt;"")*(#REF!&lt;&gt;"")</formula>
    </cfRule>
  </conditionalFormatting>
  <conditionalFormatting sqref="C1676">
    <cfRule type="expression" dxfId="705" priority="1352">
      <formula>(#REF!&lt;&gt;"")*(#REF!&lt;&gt;"")</formula>
    </cfRule>
  </conditionalFormatting>
  <conditionalFormatting sqref="C2005:C2007 E2005:I2007">
    <cfRule type="expression" dxfId="704" priority="1088">
      <formula>(#REF!&lt;&gt;"")*(#REF!&lt;&gt;"")</formula>
    </cfRule>
  </conditionalFormatting>
  <conditionalFormatting sqref="C2009:C2011 E2009:I2011">
    <cfRule type="expression" dxfId="703" priority="976">
      <formula>(#REF!&lt;&gt;"")*(#REF!&lt;&gt;"")</formula>
    </cfRule>
  </conditionalFormatting>
  <conditionalFormatting sqref="C2812:C2815 I2812:J2816 L2812:N2816">
    <cfRule type="expression" dxfId="702" priority="325">
      <formula>($A2812&lt;&gt;"")*(#REF!&lt;&gt;"")</formula>
    </cfRule>
  </conditionalFormatting>
  <conditionalFormatting sqref="E1254:E1258 G1254:G1258 I1254:J1258 L1257:Q1258">
    <cfRule type="expression" dxfId="701" priority="1669">
      <formula>($A1254&lt;&gt;"")*(#REF!&lt;&gt;"")</formula>
    </cfRule>
  </conditionalFormatting>
  <conditionalFormatting sqref="E1370">
    <cfRule type="expression" dxfId="700" priority="1500">
      <formula>(#REF!&lt;&gt;"")*(#REF!&lt;&gt;"")</formula>
    </cfRule>
  </conditionalFormatting>
  <conditionalFormatting sqref="E2890">
    <cfRule type="expression" dxfId="699" priority="287">
      <formula>(#REF!&lt;&gt;"")*(#REF!&lt;&gt;"")</formula>
    </cfRule>
  </conditionalFormatting>
  <conditionalFormatting sqref="E1400:F1408">
    <cfRule type="expression" dxfId="698" priority="1446">
      <formula>(#REF!&lt;&gt;"")*(E$1&lt;&gt;"")</formula>
    </cfRule>
  </conditionalFormatting>
  <conditionalFormatting sqref="E1541:F1541 M1541">
    <cfRule type="expression" dxfId="697" priority="1427">
      <formula>(#REF!&lt;&gt;"")*(E$1&lt;&gt;"")</formula>
    </cfRule>
  </conditionalFormatting>
  <conditionalFormatting sqref="E1039:G1061">
    <cfRule type="expression" dxfId="696" priority="1566">
      <formula>(#REF!&lt;&gt;"")*(#REF!&lt;&gt;"")</formula>
    </cfRule>
  </conditionalFormatting>
  <conditionalFormatting sqref="E1173:G1175">
    <cfRule type="expression" dxfId="695" priority="1707">
      <formula>(#REF!&lt;&gt;"")*(E$1&lt;&gt;"")</formula>
    </cfRule>
  </conditionalFormatting>
  <conditionalFormatting sqref="E1196:G1196 J1196 L1196">
    <cfRule type="expression" dxfId="694" priority="1700">
      <formula>(#REF!&lt;&gt;"")*(E$1&lt;&gt;"")</formula>
    </cfRule>
  </conditionalFormatting>
  <conditionalFormatting sqref="E1212:G1231">
    <cfRule type="expression" dxfId="693" priority="155">
      <formula>(#REF!&lt;&gt;"")*(#REF!&lt;&gt;"")</formula>
    </cfRule>
  </conditionalFormatting>
  <conditionalFormatting sqref="E1687:G1687">
    <cfRule type="expression" dxfId="692" priority="1345">
      <formula>(#REF!&lt;&gt;"")*(#REF!&lt;&gt;"")</formula>
    </cfRule>
  </conditionalFormatting>
  <conditionalFormatting sqref="E1762:G1764">
    <cfRule type="expression" dxfId="691" priority="1260">
      <formula>(#REF!&lt;&gt;"")*(E$1&lt;&gt;"")</formula>
    </cfRule>
  </conditionalFormatting>
  <conditionalFormatting sqref="E2028:G2028 I2028 L2028:Q2028 E2040:I2040 L2040:Q2042 I2041:I2045 O2046:P2046">
    <cfRule type="expression" dxfId="690" priority="1198">
      <formula>(#REF!&lt;&gt;"")*(#REF!&lt;&gt;"")</formula>
    </cfRule>
  </conditionalFormatting>
  <conditionalFormatting sqref="E2810:G2810 I2810:J2810 L2810:Q2810">
    <cfRule type="expression" dxfId="689" priority="333">
      <formula>(#REF!&lt;&gt;"")*(#REF!&lt;&gt;"")</formula>
    </cfRule>
  </conditionalFormatting>
  <conditionalFormatting sqref="E1062:H1062 J1062 L1062:P1062">
    <cfRule type="expression" dxfId="688" priority="1781">
      <formula>(#REF!&lt;&gt;"")*(#REF!&lt;&gt;"")</formula>
    </cfRule>
  </conditionalFormatting>
  <conditionalFormatting sqref="E1519:H1520 J1519:J1520 A1519:A1521 C1519:C1521 L1519:Q1521">
    <cfRule type="expression" dxfId="687" priority="1419">
      <formula>(#REF!&lt;&gt;"")*(#REF!&lt;&gt;"")</formula>
    </cfRule>
  </conditionalFormatting>
  <conditionalFormatting sqref="E1666:H1668">
    <cfRule type="expression" dxfId="686" priority="1360">
      <formula>(#REF!&lt;&gt;"")*(#REF!&lt;&gt;"")</formula>
    </cfRule>
  </conditionalFormatting>
  <conditionalFormatting sqref="E2829:H2829 N2829:P2829">
    <cfRule type="expression" dxfId="685" priority="304">
      <formula>(#REF!&lt;&gt;"")*(E$1&lt;&gt;"")</formula>
    </cfRule>
  </conditionalFormatting>
  <conditionalFormatting sqref="E807:J820 L813:P813">
    <cfRule type="expression" dxfId="684" priority="1934">
      <formula>(#REF!&lt;&gt;"")*(E$1&lt;&gt;"")</formula>
    </cfRule>
  </conditionalFormatting>
  <conditionalFormatting sqref="E1077:J1077">
    <cfRule type="expression" dxfId="683" priority="1775">
      <formula>(#REF!&lt;&gt;"")*(#REF!&lt;&gt;"")</formula>
    </cfRule>
  </conditionalFormatting>
  <conditionalFormatting sqref="E1519:J1521">
    <cfRule type="expression" dxfId="682" priority="1431">
      <formula>(#REF!&lt;&gt;"")*(#REF!&lt;&gt;"")</formula>
    </cfRule>
  </conditionalFormatting>
  <conditionalFormatting sqref="E1666:J1670">
    <cfRule type="expression" dxfId="681" priority="1336">
      <formula>(#REF!&lt;&gt;"")*(#REF!&lt;&gt;"")</formula>
    </cfRule>
  </conditionalFormatting>
  <conditionalFormatting sqref="E2512:Q2512 I2513:Q2513 E2513:H2518 I2514:P2514 I2515:Q2515 I2516:P2516 I2517:Q2518 E2557:P2557 E2558:Q2569">
    <cfRule type="expression" dxfId="680" priority="929">
      <formula>(#REF!&lt;&gt;"")*(#REF!&lt;&gt;"")</formula>
    </cfRule>
  </conditionalFormatting>
  <conditionalFormatting sqref="E2519:Q2556">
    <cfRule type="expression" dxfId="679" priority="474">
      <formula>(#REF!&lt;&gt;"")*(#REF!&lt;&gt;"")</formula>
    </cfRule>
  </conditionalFormatting>
  <conditionalFormatting sqref="E2990:Q2990">
    <cfRule type="expression" dxfId="678" priority="14">
      <formula>(#REF!&lt;&gt;"")*(#REF!&lt;&gt;"")</formula>
    </cfRule>
  </conditionalFormatting>
  <conditionalFormatting sqref="F1232:F1235">
    <cfRule type="expression" dxfId="677" priority="749">
      <formula>(#REF!&lt;&gt;"")*(#REF!&lt;&gt;"")</formula>
    </cfRule>
  </conditionalFormatting>
  <conditionalFormatting sqref="F1238:F1258">
    <cfRule type="expression" dxfId="676" priority="745">
      <formula>(#REF!&lt;&gt;"")*(#REF!&lt;&gt;"")</formula>
    </cfRule>
  </conditionalFormatting>
  <conditionalFormatting sqref="F2537">
    <cfRule type="expression" dxfId="675" priority="663">
      <formula>(#REF!&lt;&gt;"")*(#REF!&lt;&gt;"")</formula>
    </cfRule>
  </conditionalFormatting>
  <conditionalFormatting sqref="F2570:F2572">
    <cfRule type="expression" dxfId="674" priority="928">
      <formula>(#REF!&lt;&gt;"")*(G$1&lt;&gt;"")</formula>
    </cfRule>
  </conditionalFormatting>
  <conditionalFormatting sqref="F2575:F2577">
    <cfRule type="expression" dxfId="673" priority="894">
      <formula>(#REF!&lt;&gt;"")*(G$1&lt;&gt;"")</formula>
    </cfRule>
  </conditionalFormatting>
  <conditionalFormatting sqref="F2636:F2643">
    <cfRule type="expression" dxfId="672" priority="435">
      <formula>(#REF!&lt;&gt;"")*(G$1&lt;&gt;"")</formula>
    </cfRule>
  </conditionalFormatting>
  <conditionalFormatting sqref="F2740">
    <cfRule type="expression" dxfId="671" priority="197">
      <formula>(#REF!&lt;&gt;"")*(G$1&lt;&gt;"")</formula>
    </cfRule>
  </conditionalFormatting>
  <conditionalFormatting sqref="F2806:F2807">
    <cfRule type="expression" dxfId="670" priority="268">
      <formula>(#REF!&lt;&gt;"")*(#REF!&lt;&gt;"")</formula>
    </cfRule>
  </conditionalFormatting>
  <conditionalFormatting sqref="F2887:F2895 M2887:M2895 J2893:K2895">
    <cfRule type="expression" dxfId="669" priority="243">
      <formula>(#REF!&lt;&gt;"")*(G$1&lt;&gt;"")</formula>
    </cfRule>
  </conditionalFormatting>
  <conditionalFormatting sqref="F2897 K2897">
    <cfRule type="expression" dxfId="668" priority="274">
      <formula>(#REF!&lt;&gt;"")*(G$1&lt;&gt;"")</formula>
    </cfRule>
  </conditionalFormatting>
  <conditionalFormatting sqref="F2905 J2905:K2905 M2905">
    <cfRule type="expression" dxfId="667" priority="264">
      <formula>(#REF!&lt;&gt;"")*(G$1&lt;&gt;"")</formula>
    </cfRule>
  </conditionalFormatting>
  <conditionalFormatting sqref="F2917">
    <cfRule type="expression" dxfId="666" priority="237">
      <formula>(#REF!&lt;&gt;"")*(G$1&lt;&gt;"")</formula>
    </cfRule>
  </conditionalFormatting>
  <conditionalFormatting sqref="F2919 J2919:K2919 M2919 O2919">
    <cfRule type="expression" dxfId="665" priority="194">
      <formula>(#REF!&lt;&gt;"")*(G$1&lt;&gt;"")</formula>
    </cfRule>
  </conditionalFormatting>
  <conditionalFormatting sqref="F2994">
    <cfRule type="expression" dxfId="664" priority="12">
      <formula>(#REF!&lt;&gt;"")*(G$1&lt;&gt;"")</formula>
    </cfRule>
  </conditionalFormatting>
  <conditionalFormatting sqref="G1056:G1061">
    <cfRule type="expression" dxfId="663" priority="1567">
      <formula>(#REF!&lt;&gt;"")*(#REF!&lt;&gt;"")</formula>
    </cfRule>
  </conditionalFormatting>
  <conditionalFormatting sqref="H85:H86 L807:Q812 L814:Q820 H817 L1173:Q1173 L1175:Q1175 L1310:N1314 P1310:Q1314 L1396:N1399 P1396:Q1399">
    <cfRule type="expression" dxfId="662" priority="2073">
      <formula>(#REF!&lt;&gt;"")*(H$1&lt;&gt;"")</formula>
    </cfRule>
  </conditionalFormatting>
  <conditionalFormatting sqref="H94">
    <cfRule type="expression" dxfId="661" priority="2064">
      <formula>(#REF!&lt;&gt;"")*(H$1&lt;&gt;"")</formula>
    </cfRule>
  </conditionalFormatting>
  <conditionalFormatting sqref="H747:H748">
    <cfRule type="expression" dxfId="660" priority="1970">
      <formula>(#REF!&lt;&gt;"")*(#REF!&lt;&gt;"")</formula>
    </cfRule>
  </conditionalFormatting>
  <conditionalFormatting sqref="H821:H882">
    <cfRule type="expression" dxfId="659" priority="117">
      <formula>(#REF!&lt;&gt;"")*(H$1&lt;&gt;"")</formula>
    </cfRule>
  </conditionalFormatting>
  <conditionalFormatting sqref="H905">
    <cfRule type="expression" dxfId="658" priority="1793">
      <formula>(#REF!&lt;&gt;"")*(H$1&lt;&gt;"")</formula>
    </cfRule>
  </conditionalFormatting>
  <conditionalFormatting sqref="H964:H966">
    <cfRule type="expression" dxfId="657" priority="447">
      <formula>(#REF!&lt;&gt;"")*(H$1&lt;&gt;"")</formula>
    </cfRule>
  </conditionalFormatting>
  <conditionalFormatting sqref="H1059:H1062">
    <cfRule type="expression" dxfId="656" priority="1560">
      <formula>(#REF!&lt;&gt;"")*(#REF!&lt;&gt;"")</formula>
    </cfRule>
  </conditionalFormatting>
  <conditionalFormatting sqref="H1064:H1077">
    <cfRule type="expression" dxfId="655" priority="1538">
      <formula>(#REF!&lt;&gt;"")*(#REF!&lt;&gt;"")</formula>
    </cfRule>
  </conditionalFormatting>
  <conditionalFormatting sqref="H1089">
    <cfRule type="expression" dxfId="654" priority="1524">
      <formula>(#REF!&lt;&gt;"")*(H$1&lt;&gt;"")</formula>
    </cfRule>
  </conditionalFormatting>
  <conditionalFormatting sqref="H1470:H1512">
    <cfRule type="expression" dxfId="653" priority="1268">
      <formula>(#REF!&lt;&gt;"")*(H$1&lt;&gt;"")</formula>
    </cfRule>
  </conditionalFormatting>
  <conditionalFormatting sqref="H1530">
    <cfRule type="expression" dxfId="652" priority="1308">
      <formula>(#REF!&lt;&gt;"")*(H$1&lt;&gt;"")</formula>
    </cfRule>
  </conditionalFormatting>
  <conditionalFormatting sqref="H1994:H1996">
    <cfRule type="expression" dxfId="651" priority="1222">
      <formula>(#REF!&lt;&gt;"")*(H$1&lt;&gt;"")</formula>
    </cfRule>
  </conditionalFormatting>
  <conditionalFormatting sqref="H2012">
    <cfRule type="expression" dxfId="650" priority="1092">
      <formula>(#REF!&lt;&gt;"")*(H$1&lt;&gt;"")</formula>
    </cfRule>
  </conditionalFormatting>
  <conditionalFormatting sqref="H2039">
    <cfRule type="expression" dxfId="649" priority="1089">
      <formula>(#REF!&lt;&gt;"")*(H$1&lt;&gt;"")</formula>
    </cfRule>
  </conditionalFormatting>
  <conditionalFormatting sqref="H2041:H2076">
    <cfRule type="expression" dxfId="648" priority="190">
      <formula>(#REF!&lt;&gt;"")*(#REF!&lt;&gt;"")</formula>
    </cfRule>
  </conditionalFormatting>
  <conditionalFormatting sqref="H2080:H2102">
    <cfRule type="expression" dxfId="647" priority="388">
      <formula>(#REF!&lt;&gt;"")*(#REF!&lt;&gt;"")</formula>
    </cfRule>
  </conditionalFormatting>
  <conditionalFormatting sqref="H2612">
    <cfRule type="expression" dxfId="646" priority="870">
      <formula>(#REF!&lt;&gt;"")*(H$1&lt;&gt;"")</formula>
    </cfRule>
  </conditionalFormatting>
  <conditionalFormatting sqref="H2613:H2629">
    <cfRule type="expression" dxfId="645" priority="564">
      <formula>(#REF!&lt;&gt;"")*(#REF!&lt;&gt;"")</formula>
    </cfRule>
  </conditionalFormatting>
  <conditionalFormatting sqref="H2678:H2689">
    <cfRule type="expression" dxfId="644" priority="549">
      <formula>(#REF!&lt;&gt;"")*(#REF!&lt;&gt;"")</formula>
    </cfRule>
  </conditionalFormatting>
  <conditionalFormatting sqref="H2810:H2816 L2811">
    <cfRule type="expression" dxfId="643" priority="332">
      <formula>(#REF!&lt;&gt;"")*(#REF!&lt;&gt;"")</formula>
    </cfRule>
  </conditionalFormatting>
  <conditionalFormatting sqref="H2835:H2838">
    <cfRule type="expression" dxfId="642" priority="341">
      <formula>(#REF!&lt;&gt;"")*(#REF!&lt;&gt;"")</formula>
    </cfRule>
  </conditionalFormatting>
  <conditionalFormatting sqref="H2840:H2843">
    <cfRule type="expression" dxfId="641" priority="340">
      <formula>(#REF!&lt;&gt;"")*(#REF!&lt;&gt;"")</formula>
    </cfRule>
  </conditionalFormatting>
  <conditionalFormatting sqref="H2978">
    <cfRule type="expression" dxfId="640" priority="40">
      <formula>(#REF!&lt;&gt;"")*(#REF!&lt;&gt;"")</formula>
    </cfRule>
  </conditionalFormatting>
  <conditionalFormatting sqref="H2992">
    <cfRule type="expression" dxfId="639" priority="13">
      <formula>(#REF!&lt;&gt;"")*(#REF!&lt;&gt;"")</formula>
    </cfRule>
  </conditionalFormatting>
  <conditionalFormatting sqref="H2537:I2537">
    <cfRule type="expression" dxfId="638" priority="661">
      <formula>(#REF!&lt;&gt;"")*(#REF!&lt;&gt;"")</formula>
    </cfRule>
  </conditionalFormatting>
  <conditionalFormatting sqref="I3:I68">
    <cfRule type="expression" dxfId="637" priority="476">
      <formula>(#REF!&lt;&gt;"")*(I$1&lt;&gt;"")</formula>
    </cfRule>
  </conditionalFormatting>
  <conditionalFormatting sqref="I73">
    <cfRule type="expression" dxfId="636" priority="2075">
      <formula>(#REF!&lt;&gt;"")*(I$1&lt;&gt;"")</formula>
    </cfRule>
  </conditionalFormatting>
  <conditionalFormatting sqref="I96:I99">
    <cfRule type="expression" dxfId="635" priority="2053">
      <formula>(#REF!&lt;&gt;"")*(I$1&lt;&gt;"")</formula>
    </cfRule>
  </conditionalFormatting>
  <conditionalFormatting sqref="I103">
    <cfRule type="expression" dxfId="634" priority="2055">
      <formula>(#REF!&lt;&gt;"")*(I$1&lt;&gt;"")</formula>
    </cfRule>
  </conditionalFormatting>
  <conditionalFormatting sqref="I349:I351 N443 A843 E843:G843 I843 L843 I1299:I1307 A1319:A1324 E1319:G1324 I1319:J1324 L1319:L1324 N1319:N1324 A1685 E1685:G1685 L1685 N1762:N1764 A1809 E1809:G1809 I1809">
    <cfRule type="expression" dxfId="633" priority="2012">
      <formula>(#REF!&lt;&gt;"")*(A$1&lt;&gt;"")</formula>
    </cfRule>
  </conditionalFormatting>
  <conditionalFormatting sqref="I504:I527">
    <cfRule type="expression" dxfId="632" priority="1916">
      <formula>(#REF!&lt;&gt;"")*(I$1&lt;&gt;"")</formula>
    </cfRule>
  </conditionalFormatting>
  <conditionalFormatting sqref="I586">
    <cfRule type="expression" dxfId="631" priority="1979">
      <formula>(#REF!&lt;&gt;"")*(I$1&lt;&gt;"")</formula>
    </cfRule>
  </conditionalFormatting>
  <conditionalFormatting sqref="I632:I662">
    <cfRule type="expression" dxfId="630" priority="391">
      <formula>(#REF!&lt;&gt;"")*(I$1&lt;&gt;"")</formula>
    </cfRule>
  </conditionalFormatting>
  <conditionalFormatting sqref="I749:I806">
    <cfRule type="expression" dxfId="629" priority="128">
      <formula>(#REF!&lt;&gt;"")*(I$1&lt;&gt;"")</formula>
    </cfRule>
  </conditionalFormatting>
  <conditionalFormatting sqref="I915:I929">
    <cfRule type="expression" dxfId="628" priority="123">
      <formula>(#REF!&lt;&gt;"")*(I$1&lt;&gt;"")</formula>
    </cfRule>
  </conditionalFormatting>
  <conditionalFormatting sqref="I1153:I1157">
    <cfRule type="expression" dxfId="627" priority="1698">
      <formula>(#REF!&lt;&gt;"")*(I$1&lt;&gt;"")</formula>
    </cfRule>
  </conditionalFormatting>
  <conditionalFormatting sqref="I1171:I1172">
    <cfRule type="expression" dxfId="626" priority="404">
      <formula>(#REF!&lt;&gt;"")*(I$1&lt;&gt;"")</formula>
    </cfRule>
  </conditionalFormatting>
  <conditionalFormatting sqref="I1244:I1246">
    <cfRule type="expression" dxfId="625" priority="1659">
      <formula>(#REF!&lt;&gt;"")*(#REF!&lt;&gt;"")</formula>
    </cfRule>
  </conditionalFormatting>
  <conditionalFormatting sqref="I1249:I1251">
    <cfRule type="expression" dxfId="624" priority="1648">
      <formula>(#REF!&lt;&gt;"")*(#REF!&lt;&gt;"")</formula>
    </cfRule>
  </conditionalFormatting>
  <conditionalFormatting sqref="I1277:I1278 A1316 E1316:G1316 I1316:J1316 L1316 N1316 P1316 I1338:I1339">
    <cfRule type="expression" dxfId="623" priority="1514">
      <formula>(#REF!&lt;&gt;"")*(A$1&lt;&gt;"")</formula>
    </cfRule>
  </conditionalFormatting>
  <conditionalFormatting sqref="I1386:I1387">
    <cfRule type="expression" dxfId="622" priority="1475">
      <formula>(#REF!&lt;&gt;"")*(#REF!&lt;&gt;"")</formula>
    </cfRule>
  </conditionalFormatting>
  <conditionalFormatting sqref="I1454:I1456">
    <cfRule type="expression" dxfId="621" priority="1429">
      <formula>(#REF!&lt;&gt;"")*(I$1&lt;&gt;"")</formula>
    </cfRule>
  </conditionalFormatting>
  <conditionalFormatting sqref="I1504:I1511">
    <cfRule type="expression" dxfId="620" priority="1270">
      <formula>(#REF!&lt;&gt;"")*(I$1&lt;&gt;"")</formula>
    </cfRule>
  </conditionalFormatting>
  <conditionalFormatting sqref="I1532:I1539">
    <cfRule type="expression" dxfId="619" priority="1408">
      <formula>(#REF!&lt;&gt;"")*(I$1&lt;&gt;"")</formula>
    </cfRule>
  </conditionalFormatting>
  <conditionalFormatting sqref="I1550:I1551">
    <cfRule type="expression" dxfId="618" priority="1404">
      <formula>(#REF!&lt;&gt;"")*(I$1&lt;&gt;"")</formula>
    </cfRule>
  </conditionalFormatting>
  <conditionalFormatting sqref="I1556">
    <cfRule type="expression" dxfId="617" priority="1325">
      <formula>(#REF!&lt;&gt;"")*(I$1&lt;&gt;"")</formula>
    </cfRule>
  </conditionalFormatting>
  <conditionalFormatting sqref="I1634:I1641">
    <cfRule type="expression" dxfId="616" priority="1322">
      <formula>(#REF!&lt;&gt;"")*(I$1&lt;&gt;"")</formula>
    </cfRule>
  </conditionalFormatting>
  <conditionalFormatting sqref="I1695">
    <cfRule type="expression" dxfId="615" priority="1327">
      <formula>(#REF!&lt;&gt;"")*(I$1&lt;&gt;"")</formula>
    </cfRule>
  </conditionalFormatting>
  <conditionalFormatting sqref="I1701">
    <cfRule type="expression" dxfId="614" priority="1266">
      <formula>(#REF!&lt;&gt;"")*(I$1&lt;&gt;"")</formula>
    </cfRule>
  </conditionalFormatting>
  <conditionalFormatting sqref="I1709:I1710 P1709:P1710">
    <cfRule type="expression" dxfId="613" priority="1100">
      <formula>(#REF!&lt;&gt;"")*(#REF!&lt;&gt;"")</formula>
    </cfRule>
  </conditionalFormatting>
  <conditionalFormatting sqref="I1772">
    <cfRule type="expression" dxfId="612" priority="1259">
      <formula>(#REF!&lt;&gt;"")*(I$1&lt;&gt;"")</formula>
    </cfRule>
  </conditionalFormatting>
  <conditionalFormatting sqref="I1793:I1795">
    <cfRule type="expression" dxfId="611" priority="1239">
      <formula>(#REF!&lt;&gt;"")*(I$1&lt;&gt;"")</formula>
    </cfRule>
  </conditionalFormatting>
  <conditionalFormatting sqref="I1797:I1804 L1797:L1804">
    <cfRule type="expression" dxfId="610" priority="539">
      <formula>(#REF!&lt;&gt;"")*(I$1&lt;&gt;"")</formula>
    </cfRule>
  </conditionalFormatting>
  <conditionalFormatting sqref="I1973:I1985">
    <cfRule type="expression" dxfId="609" priority="1224">
      <formula>(#REF!&lt;&gt;"")*(I$1&lt;&gt;"")</formula>
    </cfRule>
  </conditionalFormatting>
  <conditionalFormatting sqref="I1987">
    <cfRule type="expression" dxfId="608" priority="1099">
      <formula>(#REF!&lt;&gt;"")*(I$1&lt;&gt;"")</formula>
    </cfRule>
  </conditionalFormatting>
  <conditionalFormatting sqref="I2047:I2054">
    <cfRule type="expression" dxfId="607" priority="189">
      <formula>(#REF!&lt;&gt;"")*(#REF!&lt;&gt;"")</formula>
    </cfRule>
  </conditionalFormatting>
  <conditionalFormatting sqref="I2100:I2103">
    <cfRule type="expression" dxfId="606" priority="389">
      <formula>(#REF!&lt;&gt;"")*(I$1&lt;&gt;"")</formula>
    </cfRule>
  </conditionalFormatting>
  <conditionalFormatting sqref="I2106:I2117">
    <cfRule type="expression" dxfId="605" priority="1155">
      <formula>(#REF!&lt;&gt;"")*(I$1&lt;&gt;"")</formula>
    </cfRule>
  </conditionalFormatting>
  <conditionalFormatting sqref="I2243:I2248">
    <cfRule type="expression" dxfId="604" priority="707">
      <formula>(#REF!&lt;&gt;"")*(I$1&lt;&gt;"")</formula>
    </cfRule>
  </conditionalFormatting>
  <conditionalFormatting sqref="I2282:I2285">
    <cfRule type="expression" dxfId="603" priority="933">
      <formula>(#REF!&lt;&gt;"")*(I$1&lt;&gt;"")</formula>
    </cfRule>
  </conditionalFormatting>
  <conditionalFormatting sqref="I2299:I2511">
    <cfRule type="expression" dxfId="602" priority="131">
      <formula>(#REF!&lt;&gt;"")*(I$1&lt;&gt;"")</formula>
    </cfRule>
  </conditionalFormatting>
  <conditionalFormatting sqref="I2582:I2584">
    <cfRule type="expression" dxfId="601" priority="878">
      <formula>(#REF!&lt;&gt;"")*(I$1&lt;&gt;"")</formula>
    </cfRule>
  </conditionalFormatting>
  <conditionalFormatting sqref="I2586:I2588">
    <cfRule type="expression" dxfId="600" priority="420">
      <formula>(#REF!&lt;&gt;"")*(I$1&lt;&gt;"")</formula>
    </cfRule>
  </conditionalFormatting>
  <conditionalFormatting sqref="I2591">
    <cfRule type="expression" dxfId="599" priority="889">
      <formula>(#REF!&lt;&gt;"")*(I$1&lt;&gt;"")</formula>
    </cfRule>
  </conditionalFormatting>
  <conditionalFormatting sqref="I2611:I2612">
    <cfRule type="expression" dxfId="598" priority="869">
      <formula>(#REF!&lt;&gt;"")*(I$1&lt;&gt;"")</formula>
    </cfRule>
  </conditionalFormatting>
  <conditionalFormatting sqref="I2613">
    <cfRule type="expression" dxfId="597" priority="866">
      <formula>(#REF!&lt;&gt;"")*(#REF!&lt;&gt;"")</formula>
    </cfRule>
  </conditionalFormatting>
  <conditionalFormatting sqref="I2629">
    <cfRule type="expression" dxfId="596" priority="566">
      <formula>(#REF!&lt;&gt;"")*(I$1&lt;&gt;"")</formula>
    </cfRule>
  </conditionalFormatting>
  <conditionalFormatting sqref="I2641:I2642">
    <cfRule type="expression" dxfId="595" priority="433">
      <formula>(#REF!&lt;&gt;"")*(J$1&lt;&gt;"")</formula>
    </cfRule>
  </conditionalFormatting>
  <conditionalFormatting sqref="I2647:I2648">
    <cfRule type="expression" dxfId="594" priority="732">
      <formula>(#REF!&lt;&gt;"")*(I$1&lt;&gt;"")</formula>
    </cfRule>
  </conditionalFormatting>
  <conditionalFormatting sqref="I2662:I2663">
    <cfRule type="expression" dxfId="593" priority="531">
      <formula>(#REF!&lt;&gt;"")*(I$1&lt;&gt;"")</formula>
    </cfRule>
  </conditionalFormatting>
  <conditionalFormatting sqref="I2714:I2731">
    <cfRule type="expression" dxfId="592" priority="94">
      <formula>(#REF!&lt;&gt;"")*(I$1&lt;&gt;"")</formula>
    </cfRule>
  </conditionalFormatting>
  <conditionalFormatting sqref="I2741:I2753">
    <cfRule type="expression" dxfId="591" priority="253">
      <formula>(#REF!&lt;&gt;"")*(I$1&lt;&gt;"")</formula>
    </cfRule>
  </conditionalFormatting>
  <conditionalFormatting sqref="I2789:I2790 I2859 I2877">
    <cfRule type="expression" dxfId="590" priority="338">
      <formula>(#REF!&lt;&gt;"")*(I$1&lt;&gt;"")</formula>
    </cfRule>
  </conditionalFormatting>
  <conditionalFormatting sqref="I2795:I2799">
    <cfRule type="expression" dxfId="589" priority="269">
      <formula>(#REF!&lt;&gt;"")*(I$1&lt;&gt;"")</formula>
    </cfRule>
  </conditionalFormatting>
  <conditionalFormatting sqref="I2914">
    <cfRule type="expression" dxfId="588" priority="251">
      <formula>(#REF!&lt;&gt;"")*(I$1&lt;&gt;"")</formula>
    </cfRule>
  </conditionalFormatting>
  <conditionalFormatting sqref="I2916">
    <cfRule type="expression" dxfId="587" priority="249">
      <formula>(#REF!&lt;&gt;"")*(I$1&lt;&gt;"")</formula>
    </cfRule>
  </conditionalFormatting>
  <conditionalFormatting sqref="I2939:I2941">
    <cfRule type="expression" dxfId="586" priority="83">
      <formula>(#REF!&lt;&gt;"")*(I$1&lt;&gt;"")</formula>
    </cfRule>
  </conditionalFormatting>
  <conditionalFormatting sqref="I2948:I2950">
    <cfRule type="expression" dxfId="585" priority="70">
      <formula>(#REF!&lt;&gt;"")*(I$1&lt;&gt;"")</formula>
    </cfRule>
  </conditionalFormatting>
  <conditionalFormatting sqref="I2957:I2967">
    <cfRule type="expression" dxfId="584" priority="48">
      <formula>(#REF!&lt;&gt;"")*(I$1&lt;&gt;"")</formula>
    </cfRule>
  </conditionalFormatting>
  <conditionalFormatting sqref="I2972">
    <cfRule type="expression" dxfId="583" priority="47">
      <formula>(#REF!&lt;&gt;"")*(I$1&lt;&gt;"")</formula>
    </cfRule>
  </conditionalFormatting>
  <conditionalFormatting sqref="I2975:I2978">
    <cfRule type="expression" dxfId="582" priority="41">
      <formula>(#REF!&lt;&gt;"")*(I$1&lt;&gt;"")</formula>
    </cfRule>
  </conditionalFormatting>
  <conditionalFormatting sqref="I2985:I2989">
    <cfRule type="expression" dxfId="581" priority="16">
      <formula>(#REF!&lt;&gt;"")*(I$1&lt;&gt;"")</formula>
    </cfRule>
  </conditionalFormatting>
  <conditionalFormatting sqref="I94:J94 N94:O94">
    <cfRule type="expression" dxfId="580" priority="2061">
      <formula>(#REF!&lt;&gt;"")*(I$1&lt;&gt;"")</formula>
    </cfRule>
  </conditionalFormatting>
  <conditionalFormatting sqref="I1039:J1058">
    <cfRule type="expression" dxfId="579" priority="1581">
      <formula>(#REF!&lt;&gt;"")*(#REF!&lt;&gt;"")</formula>
    </cfRule>
  </conditionalFormatting>
  <conditionalFormatting sqref="I1173:J1175">
    <cfRule type="expression" dxfId="578" priority="1708">
      <formula>(#REF!&lt;&gt;"")*(I$1&lt;&gt;"")</formula>
    </cfRule>
  </conditionalFormatting>
  <conditionalFormatting sqref="I1212:J1232">
    <cfRule type="expression" dxfId="577" priority="159">
      <formula>(#REF!&lt;&gt;"")*(#REF!&lt;&gt;"")</formula>
    </cfRule>
  </conditionalFormatting>
  <conditionalFormatting sqref="I1685:J1685 N1685:O1685">
    <cfRule type="expression" dxfId="576" priority="1348">
      <formula>(#REF!&lt;&gt;"")*(I$1&lt;&gt;"")</formula>
    </cfRule>
  </conditionalFormatting>
  <conditionalFormatting sqref="I1687:J1687">
    <cfRule type="expression" dxfId="575" priority="1340">
      <formula>(#REF!&lt;&gt;"")*(#REF!&lt;&gt;"")</formula>
    </cfRule>
  </conditionalFormatting>
  <conditionalFormatting sqref="I1762:J1764">
    <cfRule type="expression" dxfId="574" priority="1237">
      <formula>(#REF!&lt;&gt;"")*(I$1&lt;&gt;"")</formula>
    </cfRule>
  </conditionalFormatting>
  <conditionalFormatting sqref="I2598:J2601">
    <cfRule type="expression" dxfId="573" priority="625">
      <formula>(#REF!&lt;&gt;"")*(I$1&lt;&gt;"")</formula>
    </cfRule>
  </conditionalFormatting>
  <conditionalFormatting sqref="I2570:K2572 O2571:O2572">
    <cfRule type="expression" dxfId="572" priority="921">
      <formula>(#REF!&lt;&gt;"")*(J$1&lt;&gt;"")</formula>
    </cfRule>
  </conditionalFormatting>
  <conditionalFormatting sqref="I2575:K2577 O2576:O2577">
    <cfRule type="expression" dxfId="571" priority="897">
      <formula>(#REF!&lt;&gt;"")*(J$1&lt;&gt;"")</formula>
    </cfRule>
  </conditionalFormatting>
  <conditionalFormatting sqref="I2636:K2636">
    <cfRule type="expression" dxfId="570" priority="740">
      <formula>(#REF!&lt;&gt;"")*(J$1&lt;&gt;"")</formula>
    </cfRule>
  </conditionalFormatting>
  <conditionalFormatting sqref="I2887:K2887">
    <cfRule type="expression" dxfId="569" priority="295">
      <formula>(#REF!&lt;&gt;"")*(J$1&lt;&gt;"")</formula>
    </cfRule>
  </conditionalFormatting>
  <conditionalFormatting sqref="I2994:K2994">
    <cfRule type="expression" dxfId="568" priority="5">
      <formula>(#REF!&lt;&gt;"")*(J$1&lt;&gt;"")</formula>
    </cfRule>
  </conditionalFormatting>
  <conditionalFormatting sqref="J70">
    <cfRule type="expression" dxfId="567" priority="2078">
      <formula>(#REF!&lt;&gt;"")*(#REF!&lt;&gt;"")</formula>
    </cfRule>
  </conditionalFormatting>
  <conditionalFormatting sqref="J85:J86">
    <cfRule type="expression" dxfId="566" priority="2071">
      <formula>(#REF!&lt;&gt;"")*(#REF!&lt;&gt;"")</formula>
    </cfRule>
    <cfRule type="expression" dxfId="565" priority="2072">
      <formula>(#REF!&lt;&gt;"")*(J$1&lt;&gt;"")</formula>
    </cfRule>
  </conditionalFormatting>
  <conditionalFormatting sqref="J150:J151">
    <cfRule type="uniqueValues" dxfId="564" priority="2015"/>
  </conditionalFormatting>
  <conditionalFormatting sqref="J817 L817">
    <cfRule type="expression" dxfId="563" priority="2093">
      <formula>(#REF!&lt;&gt;"")*(#REF!&lt;&gt;"")</formula>
    </cfRule>
  </conditionalFormatting>
  <conditionalFormatting sqref="J832:J839">
    <cfRule type="expression" dxfId="562" priority="1834">
      <formula>(#REF!&lt;&gt;"")*(#REF!&lt;&gt;"")</formula>
    </cfRule>
  </conditionalFormatting>
  <conditionalFormatting sqref="J853 P853">
    <cfRule type="expression" dxfId="561" priority="720">
      <formula>(#REF!&lt;&gt;"")*(#REF!&lt;&gt;"")</formula>
    </cfRule>
  </conditionalFormatting>
  <conditionalFormatting sqref="J872:J879">
    <cfRule type="expression" dxfId="560" priority="115">
      <formula>(#REF!&lt;&gt;"")*(#REF!&lt;&gt;"")</formula>
    </cfRule>
  </conditionalFormatting>
  <conditionalFormatting sqref="J1041:J1044 O1041:Q1044">
    <cfRule type="expression" dxfId="559" priority="1635">
      <formula>(#REF!&lt;&gt;"")*(#REF!&lt;&gt;"")</formula>
    </cfRule>
  </conditionalFormatting>
  <conditionalFormatting sqref="J1046">
    <cfRule type="expression" dxfId="558" priority="1600">
      <formula>(#REF!&lt;&gt;"")*(#REF!&lt;&gt;"")</formula>
    </cfRule>
  </conditionalFormatting>
  <conditionalFormatting sqref="J1070:J1071">
    <cfRule type="expression" dxfId="557" priority="1591">
      <formula>(#REF!&lt;&gt;"")*(#REF!&lt;&gt;"")</formula>
    </cfRule>
  </conditionalFormatting>
  <conditionalFormatting sqref="J1176:J1177">
    <cfRule type="expression" dxfId="556" priority="1702">
      <formula>(#REF!&lt;&gt;"")*(#REF!&lt;&gt;"")</formula>
    </cfRule>
  </conditionalFormatting>
  <conditionalFormatting sqref="J1179:J1181">
    <cfRule type="expression" dxfId="555" priority="1709">
      <formula>(#REF!&lt;&gt;"")*(#REF!&lt;&gt;"")</formula>
    </cfRule>
  </conditionalFormatting>
  <conditionalFormatting sqref="J1212:J1218">
    <cfRule type="expression" dxfId="554" priority="1616">
      <formula>(#REF!&lt;&gt;"")*(#REF!&lt;&gt;"")</formula>
    </cfRule>
  </conditionalFormatting>
  <conditionalFormatting sqref="J1256 L1256:O1256">
    <cfRule type="expression" dxfId="553" priority="1668">
      <formula>($A1256&lt;&gt;"")*(#REF!&lt;&gt;"")</formula>
    </cfRule>
  </conditionalFormatting>
  <conditionalFormatting sqref="J1310 E1310:G1314">
    <cfRule type="expression" dxfId="552" priority="1510">
      <formula>(#REF!&lt;&gt;"")*(E$1&lt;&gt;"")</formula>
    </cfRule>
  </conditionalFormatting>
  <conditionalFormatting sqref="J1316">
    <cfRule type="expression" dxfId="551" priority="1517">
      <formula>(#REF!&lt;&gt;"")*(#REF!&lt;&gt;"")</formula>
    </cfRule>
  </conditionalFormatting>
  <conditionalFormatting sqref="J1476 P1476:P1485">
    <cfRule type="expression" dxfId="550" priority="1423">
      <formula>(#REF!&lt;&gt;"")*(#REF!&lt;&gt;"")</formula>
    </cfRule>
  </conditionalFormatting>
  <conditionalFormatting sqref="J1666:J1668">
    <cfRule type="expression" dxfId="549" priority="1361">
      <formula>(#REF!&lt;&gt;"")*(#REF!&lt;&gt;"")</formula>
    </cfRule>
  </conditionalFormatting>
  <conditionalFormatting sqref="J1685 L1685 L1687:N1687">
    <cfRule type="expression" dxfId="548" priority="1347">
      <formula>(#REF!&lt;&gt;"")*(#REF!&lt;&gt;"")</formula>
    </cfRule>
  </conditionalFormatting>
  <conditionalFormatting sqref="J1769">
    <cfRule type="duplicateValues" dxfId="547" priority="1244"/>
  </conditionalFormatting>
  <conditionalFormatting sqref="J1783">
    <cfRule type="duplicateValues" dxfId="546" priority="654"/>
  </conditionalFormatting>
  <conditionalFormatting sqref="J2602:J2603">
    <cfRule type="uniqueValues" dxfId="545" priority="873"/>
  </conditionalFormatting>
  <conditionalFormatting sqref="J2812:J2814 A2812:A2816 E2812:G2816">
    <cfRule type="expression" dxfId="544" priority="324">
      <formula>($A2812&lt;&gt;"")*(#REF!&lt;&gt;"")</formula>
    </cfRule>
  </conditionalFormatting>
  <conditionalFormatting sqref="J2816">
    <cfRule type="expression" dxfId="543" priority="312">
      <formula>(#REF!&lt;&gt;"")*(#REF!&lt;&gt;"")</formula>
    </cfRule>
  </conditionalFormatting>
  <conditionalFormatting sqref="J2637:K2643">
    <cfRule type="expression" dxfId="542" priority="428">
      <formula>(#REF!&lt;&gt;"")*(K$1&lt;&gt;"")</formula>
    </cfRule>
  </conditionalFormatting>
  <conditionalFormatting sqref="J2740:K2740 M2740">
    <cfRule type="expression" dxfId="541" priority="345">
      <formula>(#REF!&lt;&gt;"")*(K$1&lt;&gt;"")</formula>
    </cfRule>
  </conditionalFormatting>
  <conditionalFormatting sqref="K643:K644 K646:K647">
    <cfRule type="expression" dxfId="540" priority="2100">
      <formula>(#REF!&lt;&gt;"")*(L$1&lt;&gt;"")</formula>
    </cfRule>
  </conditionalFormatting>
  <conditionalFormatting sqref="K1627:K1645">
    <cfRule type="expression" dxfId="539" priority="410">
      <formula>(#REF!&lt;&gt;"")*(L$1&lt;&gt;"")</formula>
    </cfRule>
  </conditionalFormatting>
  <conditionalFormatting sqref="K1923:K1926">
    <cfRule type="expression" dxfId="538" priority="467">
      <formula>(#REF!&lt;&gt;"")*(L$1&lt;&gt;"")</formula>
    </cfRule>
  </conditionalFormatting>
  <conditionalFormatting sqref="L3:L57">
    <cfRule type="expression" dxfId="537" priority="477">
      <formula>(#REF!&lt;&gt;"")*(#REF!&lt;&gt;"")</formula>
    </cfRule>
  </conditionalFormatting>
  <conditionalFormatting sqref="L62:L68">
    <cfRule type="expression" dxfId="536" priority="2081">
      <formula>(#REF!&lt;&gt;"")*(#REF!&lt;&gt;"")</formula>
    </cfRule>
  </conditionalFormatting>
  <conditionalFormatting sqref="L70:L71 P71">
    <cfRule type="expression" dxfId="535" priority="2077">
      <formula>(#REF!&lt;&gt;"")*(#REF!&lt;&gt;"")</formula>
    </cfRule>
  </conditionalFormatting>
  <conditionalFormatting sqref="L73">
    <cfRule type="expression" dxfId="534" priority="2076">
      <formula>(#REF!&lt;&gt;"")*(#REF!&lt;&gt;"")</formula>
    </cfRule>
  </conditionalFormatting>
  <conditionalFormatting sqref="L85:L86">
    <cfRule type="expression" dxfId="533" priority="2069">
      <formula>(#REF!&lt;&gt;"")*(#REF!&lt;&gt;"")</formula>
    </cfRule>
  </conditionalFormatting>
  <conditionalFormatting sqref="L88 P88">
    <cfRule type="expression" dxfId="532" priority="2068">
      <formula>(#REF!&lt;&gt;"")*(#REF!&lt;&gt;"")</formula>
    </cfRule>
  </conditionalFormatting>
  <conditionalFormatting sqref="L93">
    <cfRule type="expression" dxfId="531" priority="2066">
      <formula>(#REF!&lt;&gt;"")*(#REF!&lt;&gt;"")</formula>
    </cfRule>
  </conditionalFormatting>
  <conditionalFormatting sqref="L96:L99">
    <cfRule type="expression" dxfId="530" priority="2054">
      <formula>(#REF!&lt;&gt;"")*(#REF!&lt;&gt;"")</formula>
    </cfRule>
  </conditionalFormatting>
  <conditionalFormatting sqref="L103">
    <cfRule type="expression" dxfId="529" priority="2056">
      <formula>(#REF!&lt;&gt;"")*(#REF!&lt;&gt;"")</formula>
    </cfRule>
  </conditionalFormatting>
  <conditionalFormatting sqref="L106:L129">
    <cfRule type="expression" dxfId="528" priority="2016">
      <formula>(#REF!&lt;&gt;"")*(#REF!&lt;&gt;"")</formula>
    </cfRule>
  </conditionalFormatting>
  <conditionalFormatting sqref="L133:L147 P133:P147">
    <cfRule type="expression" dxfId="527" priority="2017">
      <formula>(#REF!&lt;&gt;"")*(#REF!&lt;&gt;"")</formula>
    </cfRule>
  </conditionalFormatting>
  <conditionalFormatting sqref="L504:L506">
    <cfRule type="expression" dxfId="526" priority="1919">
      <formula>(#REF!&lt;&gt;"")*(#REF!&lt;&gt;"")</formula>
    </cfRule>
  </conditionalFormatting>
  <conditionalFormatting sqref="L509:L522">
    <cfRule type="expression" dxfId="525" priority="1917">
      <formula>(#REF!&lt;&gt;"")*(#REF!&lt;&gt;"")</formula>
    </cfRule>
  </conditionalFormatting>
  <conditionalFormatting sqref="L524:L527 L1078:L1080 O1079:P1080">
    <cfRule type="expression" dxfId="524" priority="2051">
      <formula>(#REF!&lt;&gt;"")*(#REF!&lt;&gt;"")</formula>
    </cfRule>
  </conditionalFormatting>
  <conditionalFormatting sqref="L675">
    <cfRule type="expression" dxfId="523" priority="1950">
      <formula>(#REF!&lt;&gt;"")*(#REF!&lt;&gt;"")</formula>
    </cfRule>
  </conditionalFormatting>
  <conditionalFormatting sqref="L745:L806">
    <cfRule type="expression" dxfId="522" priority="127">
      <formula>(#REF!&lt;&gt;"")*(#REF!&lt;&gt;"")</formula>
    </cfRule>
  </conditionalFormatting>
  <conditionalFormatting sqref="L824:L880">
    <cfRule type="expression" dxfId="521" priority="113">
      <formula>(#REF!&lt;&gt;"")*(#REF!&lt;&gt;"")</formula>
    </cfRule>
  </conditionalFormatting>
  <conditionalFormatting sqref="L838:L841 I840:I841">
    <cfRule type="expression" dxfId="520" priority="1933">
      <formula>(#REF!&lt;&gt;"")*(I$1&lt;&gt;"")</formula>
    </cfRule>
  </conditionalFormatting>
  <conditionalFormatting sqref="L872:L878">
    <cfRule type="expression" dxfId="519" priority="114">
      <formula>(#REF!&lt;&gt;"")*(L$1&lt;&gt;"")</formula>
    </cfRule>
  </conditionalFormatting>
  <conditionalFormatting sqref="L894">
    <cfRule type="expression" dxfId="518" priority="1819">
      <formula>(#REF!&lt;&gt;"")*(#REF!&lt;&gt;"")</formula>
    </cfRule>
  </conditionalFormatting>
  <conditionalFormatting sqref="L896:L1032">
    <cfRule type="expression" dxfId="517" priority="88">
      <formula>(#REF!&lt;&gt;"")*(#REF!&lt;&gt;"")</formula>
    </cfRule>
  </conditionalFormatting>
  <conditionalFormatting sqref="L1046:L1047">
    <cfRule type="expression" dxfId="516" priority="1597">
      <formula>(#REF!&lt;&gt;"")*(#REF!&lt;&gt;"")</formula>
    </cfRule>
  </conditionalFormatting>
  <conditionalFormatting sqref="L1051:L1056">
    <cfRule type="expression" dxfId="515" priority="1731">
      <formula>(#REF!&lt;&gt;"")*(#REF!&lt;&gt;"")</formula>
    </cfRule>
  </conditionalFormatting>
  <conditionalFormatting sqref="L1081:L1088">
    <cfRule type="expression" dxfId="514" priority="1722">
      <formula>($A1081&lt;&gt;"")*(#REF!&lt;&gt;"")</formula>
    </cfRule>
  </conditionalFormatting>
  <conditionalFormatting sqref="L1089">
    <cfRule type="expression" dxfId="513" priority="1525">
      <formula>(#REF!&lt;&gt;"")*(#REF!&lt;&gt;"")</formula>
    </cfRule>
  </conditionalFormatting>
  <conditionalFormatting sqref="L1090:L1098">
    <cfRule type="expression" dxfId="512" priority="1521">
      <formula>($A1090&lt;&gt;"")*(#REF!&lt;&gt;"")</formula>
    </cfRule>
  </conditionalFormatting>
  <conditionalFormatting sqref="L1142 P1142">
    <cfRule type="expression" dxfId="511" priority="1697">
      <formula>(#REF!&lt;&gt;"")*(#REF!&lt;&gt;"")</formula>
    </cfRule>
  </conditionalFormatting>
  <conditionalFormatting sqref="L1171:L1172">
    <cfRule type="expression" dxfId="510" priority="405">
      <formula>(#REF!&lt;&gt;"")*(#REF!&lt;&gt;"")</formula>
    </cfRule>
  </conditionalFormatting>
  <conditionalFormatting sqref="L1176:L1181">
    <cfRule type="expression" dxfId="509" priority="1703">
      <formula>(#REF!&lt;&gt;"")*(#REF!&lt;&gt;"")</formula>
    </cfRule>
  </conditionalFormatting>
  <conditionalFormatting sqref="L1188">
    <cfRule type="expression" dxfId="508" priority="147">
      <formula>(#REF!&lt;&gt;"")*(#REF!&lt;&gt;"")</formula>
    </cfRule>
  </conditionalFormatting>
  <conditionalFormatting sqref="L1220:L1225 J1221:J1225">
    <cfRule type="expression" dxfId="507" priority="157">
      <formula>(#REF!&lt;&gt;"")*(#REF!&lt;&gt;"")</formula>
    </cfRule>
  </conditionalFormatting>
  <conditionalFormatting sqref="L1233:L1253">
    <cfRule type="expression" dxfId="506" priority="746">
      <formula>(#REF!&lt;&gt;"")*(#REF!&lt;&gt;"")</formula>
    </cfRule>
  </conditionalFormatting>
  <conditionalFormatting sqref="L1259:L1262 P1259:P1262">
    <cfRule type="expression" dxfId="505" priority="1433">
      <formula>(#REF!&lt;&gt;"")*(#REF!&lt;&gt;"")</formula>
    </cfRule>
  </conditionalFormatting>
  <conditionalFormatting sqref="L1277:L1278">
    <cfRule type="expression" dxfId="504" priority="1516">
      <formula>(#REF!&lt;&gt;"")*(#REF!&lt;&gt;"")</formula>
    </cfRule>
  </conditionalFormatting>
  <conditionalFormatting sqref="L1343:L1367">
    <cfRule type="expression" dxfId="503" priority="1513">
      <formula>(#REF!&lt;&gt;"")*(#REF!&lt;&gt;"")</formula>
    </cfRule>
  </conditionalFormatting>
  <conditionalFormatting sqref="L1375:L1392">
    <cfRule type="expression" dxfId="502" priority="1437">
      <formula>(#REF!&lt;&gt;"")*(#REF!&lt;&gt;"")</formula>
    </cfRule>
  </conditionalFormatting>
  <conditionalFormatting sqref="L1400:L1434">
    <cfRule type="expression" dxfId="501" priority="362">
      <formula>(#REF!&lt;&gt;"")*(#REF!&lt;&gt;"")</formula>
    </cfRule>
  </conditionalFormatting>
  <conditionalFormatting sqref="L1470:L1477">
    <cfRule type="expression" dxfId="500" priority="1312">
      <formula>(#REF!&lt;&gt;"")*(#REF!&lt;&gt;"")</formula>
    </cfRule>
  </conditionalFormatting>
  <conditionalFormatting sqref="L1476:L1477">
    <cfRule type="expression" dxfId="499" priority="1313">
      <formula>(#REF!&lt;&gt;"")*(L$1&lt;&gt;"")</formula>
    </cfRule>
  </conditionalFormatting>
  <conditionalFormatting sqref="L1513:L1520">
    <cfRule type="expression" dxfId="498" priority="1324">
      <formula>(#REF!&lt;&gt;"")*(#REF!&lt;&gt;"")</formula>
    </cfRule>
  </conditionalFormatting>
  <conditionalFormatting sqref="L1522:L1529 O1525:Q1529">
    <cfRule type="expression" dxfId="497" priority="1294">
      <formula>($A1522&lt;&gt;"")*(#REF!&lt;&gt;"")</formula>
    </cfRule>
  </conditionalFormatting>
  <conditionalFormatting sqref="L1530">
    <cfRule type="expression" dxfId="496" priority="1309">
      <formula>(#REF!&lt;&gt;"")*(#REF!&lt;&gt;"")</formula>
    </cfRule>
  </conditionalFormatting>
  <conditionalFormatting sqref="L1541:L1547">
    <cfRule type="expression" dxfId="495" priority="1396">
      <formula>(#REF!&lt;&gt;"")*(#REF!&lt;&gt;"")</formula>
    </cfRule>
  </conditionalFormatting>
  <conditionalFormatting sqref="L1552">
    <cfRule type="expression" dxfId="494" priority="1403">
      <formula>(#REF!&lt;&gt;"")*(#REF!&lt;&gt;"")</formula>
    </cfRule>
  </conditionalFormatting>
  <conditionalFormatting sqref="L1628 P1628">
    <cfRule type="expression" dxfId="493" priority="1314">
      <formula>(#REF!&lt;&gt;"")*(#REF!&lt;&gt;"")</formula>
    </cfRule>
  </conditionalFormatting>
  <conditionalFormatting sqref="L1649:L1651 L1656:L1657 O1657:P1657">
    <cfRule type="expression" dxfId="492" priority="1392">
      <formula>(#REF!&lt;&gt;"")*(#REF!&lt;&gt;"")</formula>
    </cfRule>
  </conditionalFormatting>
  <conditionalFormatting sqref="L1658:L1664 O1660:P1664">
    <cfRule type="expression" dxfId="491" priority="1283">
      <formula>($A1658&lt;&gt;"")*(#REF!&lt;&gt;"")</formula>
    </cfRule>
  </conditionalFormatting>
  <conditionalFormatting sqref="L1665:L1668">
    <cfRule type="expression" dxfId="490" priority="1359">
      <formula>(#REF!&lt;&gt;"")*(#REF!&lt;&gt;"")</formula>
    </cfRule>
  </conditionalFormatting>
  <conditionalFormatting sqref="L1670:L1674">
    <cfRule type="expression" dxfId="489" priority="1333">
      <formula>(#REF!&lt;&gt;"")*(#REF!&lt;&gt;"")</formula>
    </cfRule>
  </conditionalFormatting>
  <conditionalFormatting sqref="L1687:L1691">
    <cfRule type="expression" dxfId="488" priority="1326">
      <formula>(#REF!&lt;&gt;"")*(#REF!&lt;&gt;"")</formula>
    </cfRule>
  </conditionalFormatting>
  <conditionalFormatting sqref="L1695:L1700">
    <cfRule type="expression" dxfId="487" priority="1234">
      <formula>(#REF!&lt;&gt;"")*(#REF!&lt;&gt;"")</formula>
    </cfRule>
  </conditionalFormatting>
  <conditionalFormatting sqref="L1703:L1711">
    <cfRule type="expression" dxfId="486" priority="527">
      <formula>(#REF!&lt;&gt;"")*(#REF!&lt;&gt;"")</formula>
    </cfRule>
  </conditionalFormatting>
  <conditionalFormatting sqref="L1762:L1793">
    <cfRule type="expression" dxfId="485" priority="655">
      <formula>(#REF!&lt;&gt;"")*(L$1&lt;&gt;"")</formula>
    </cfRule>
  </conditionalFormatting>
  <conditionalFormatting sqref="L1795">
    <cfRule type="expression" dxfId="484" priority="1240">
      <formula>(#REF!&lt;&gt;"")*(L$1&lt;&gt;"")</formula>
    </cfRule>
  </conditionalFormatting>
  <conditionalFormatting sqref="L1796">
    <cfRule type="expression" dxfId="483" priority="1267">
      <formula>(#REF!&lt;&gt;"")*(#REF!&lt;&gt;"")</formula>
    </cfRule>
  </conditionalFormatting>
  <conditionalFormatting sqref="L1807:L1809">
    <cfRule type="expression" dxfId="482" priority="1261">
      <formula>(#REF!&lt;&gt;"")*(L$1&lt;&gt;"")</formula>
    </cfRule>
  </conditionalFormatting>
  <conditionalFormatting sqref="L1820:L1836 P1820:P1836">
    <cfRule type="expression" dxfId="481" priority="394">
      <formula>(#REF!&lt;&gt;"")*(#REF!&lt;&gt;"")</formula>
    </cfRule>
  </conditionalFormatting>
  <conditionalFormatting sqref="L1950 P1950">
    <cfRule type="expression" dxfId="480" priority="1230">
      <formula>(#REF!&lt;&gt;"")*(#REF!&lt;&gt;"")</formula>
    </cfRule>
  </conditionalFormatting>
  <conditionalFormatting sqref="L1952:L1956 P1952:P1956 L2064">
    <cfRule type="expression" dxfId="479" priority="1231">
      <formula>(#REF!&lt;&gt;"")*(#REF!&lt;&gt;"")</formula>
    </cfRule>
  </conditionalFormatting>
  <conditionalFormatting sqref="L1994:L1996">
    <cfRule type="expression" dxfId="478" priority="1223">
      <formula>(#REF!&lt;&gt;"")*(#REF!&lt;&gt;"")</formula>
    </cfRule>
  </conditionalFormatting>
  <conditionalFormatting sqref="L2003">
    <cfRule type="expression" dxfId="477" priority="1213">
      <formula>(#REF!&lt;&gt;"")*(#REF!&lt;&gt;"")</formula>
    </cfRule>
  </conditionalFormatting>
  <conditionalFormatting sqref="L2019:L2026 P2020:P2026">
    <cfRule type="expression" dxfId="476" priority="1134">
      <formula>(#REF!&lt;&gt;"")*(#REF!&lt;&gt;"")</formula>
    </cfRule>
  </conditionalFormatting>
  <conditionalFormatting sqref="L2029:L2039">
    <cfRule type="expression" dxfId="475" priority="967">
      <formula>(#REF!&lt;&gt;"")*(#REF!&lt;&gt;"")</formula>
    </cfRule>
  </conditionalFormatting>
  <conditionalFormatting sqref="L2046:L2061">
    <cfRule type="expression" dxfId="474" priority="191">
      <formula>(#REF!&lt;&gt;"")*(#REF!&lt;&gt;"")</formula>
    </cfRule>
  </conditionalFormatting>
  <conditionalFormatting sqref="L2066:L2073">
    <cfRule type="expression" dxfId="473" priority="418">
      <formula>(#REF!&lt;&gt;"")*(#REF!&lt;&gt;"")</formula>
    </cfRule>
  </conditionalFormatting>
  <conditionalFormatting sqref="L2092:L2094">
    <cfRule type="expression" dxfId="472" priority="1158">
      <formula>(#REF!&lt;&gt;"")*(#REF!&lt;&gt;"")</formula>
    </cfRule>
  </conditionalFormatting>
  <conditionalFormatting sqref="L2097:L2099">
    <cfRule type="expression" dxfId="471" priority="959">
      <formula>(#REF!&lt;&gt;"")*(#REF!&lt;&gt;"")</formula>
    </cfRule>
  </conditionalFormatting>
  <conditionalFormatting sqref="L2100:L2106">
    <cfRule type="expression" dxfId="470" priority="390">
      <formula>(#REF!&lt;&gt;"")*(L$1&lt;&gt;"")</formula>
    </cfRule>
  </conditionalFormatting>
  <conditionalFormatting sqref="L2114:L2117">
    <cfRule type="expression" dxfId="469" priority="1154">
      <formula>(#REF!&lt;&gt;"")*(#REF!&lt;&gt;"")</formula>
    </cfRule>
  </conditionalFormatting>
  <conditionalFormatting sqref="L2121:L2123">
    <cfRule type="expression" dxfId="468" priority="1151">
      <formula>(#REF!&lt;&gt;"")*(#REF!&lt;&gt;"")</formula>
    </cfRule>
  </conditionalFormatting>
  <conditionalFormatting sqref="L2172:L2186">
    <cfRule type="expression" dxfId="467" priority="726">
      <formula>(#REF!&lt;&gt;"")*(#REF!&lt;&gt;"")</formula>
    </cfRule>
  </conditionalFormatting>
  <conditionalFormatting sqref="L2225:L2226">
    <cfRule type="expression" dxfId="466" priority="1129">
      <formula>(#REF!&lt;&gt;"")*(#REF!&lt;&gt;"")</formula>
    </cfRule>
  </conditionalFormatting>
  <conditionalFormatting sqref="L2243:L2248">
    <cfRule type="expression" dxfId="465" priority="708">
      <formula>(#REF!&lt;&gt;"")*(#REF!&lt;&gt;"")</formula>
    </cfRule>
  </conditionalFormatting>
  <conditionalFormatting sqref="L2282:L2285">
    <cfRule type="expression" dxfId="464" priority="934">
      <formula>(#REF!&lt;&gt;"")*(#REF!&lt;&gt;"")</formula>
    </cfRule>
  </conditionalFormatting>
  <conditionalFormatting sqref="L2299:L2511">
    <cfRule type="expression" dxfId="463" priority="132">
      <formula>(#REF!&lt;&gt;"")*(#REF!&lt;&gt;"")</formula>
    </cfRule>
  </conditionalFormatting>
  <conditionalFormatting sqref="L2582:L2584">
    <cfRule type="expression" dxfId="462" priority="879">
      <formula>(#REF!&lt;&gt;"")*(#REF!&lt;&gt;"")</formula>
    </cfRule>
  </conditionalFormatting>
  <conditionalFormatting sqref="L2586:L2588">
    <cfRule type="expression" dxfId="461" priority="421">
      <formula>(#REF!&lt;&gt;"")*(#REF!&lt;&gt;"")</formula>
    </cfRule>
  </conditionalFormatting>
  <conditionalFormatting sqref="L2590 P2590">
    <cfRule type="expression" dxfId="460" priority="890">
      <formula>(#REF!&lt;&gt;"")*(#REF!&lt;&gt;"")</formula>
    </cfRule>
  </conditionalFormatting>
  <conditionalFormatting sqref="L2593 Q2594:Q2601">
    <cfRule type="expression" dxfId="459" priority="887">
      <formula>($A2593&lt;&gt;"")*(#REF!&lt;&gt;"")</formula>
    </cfRule>
  </conditionalFormatting>
  <conditionalFormatting sqref="L2594:L2595">
    <cfRule type="expression" dxfId="458" priority="885">
      <formula>(#REF!&lt;&gt;"")*(#REF!&lt;&gt;"")</formula>
    </cfRule>
  </conditionalFormatting>
  <conditionalFormatting sqref="L2605">
    <cfRule type="expression" dxfId="457" priority="872">
      <formula>($A2605&lt;&gt;"")*(#REF!&lt;&gt;"")</formula>
    </cfRule>
  </conditionalFormatting>
  <conditionalFormatting sqref="L2613">
    <cfRule type="expression" dxfId="456" priority="868">
      <formula>(#REF!&lt;&gt;"")*(#REF!&lt;&gt;"")</formula>
    </cfRule>
  </conditionalFormatting>
  <conditionalFormatting sqref="L2629">
    <cfRule type="expression" dxfId="455" priority="567">
      <formula>(#REF!&lt;&gt;"")*(#REF!&lt;&gt;"")</formula>
    </cfRule>
  </conditionalFormatting>
  <conditionalFormatting sqref="L2633:L2635">
    <cfRule type="expression" dxfId="454" priority="744">
      <formula>(#REF!&lt;&gt;"")*(#REF!&lt;&gt;"")</formula>
    </cfRule>
  </conditionalFormatting>
  <conditionalFormatting sqref="L2647:L2651">
    <cfRule type="expression" dxfId="453" priority="733">
      <formula>(#REF!&lt;&gt;"")*(#REF!&lt;&gt;"")</formula>
    </cfRule>
  </conditionalFormatting>
  <conditionalFormatting sqref="L2655:L2663">
    <cfRule type="expression" dxfId="452" priority="532">
      <formula>(#REF!&lt;&gt;"")*(#REF!&lt;&gt;"")</formula>
    </cfRule>
  </conditionalFormatting>
  <conditionalFormatting sqref="L2673:L2675">
    <cfRule type="expression" dxfId="451" priority="629">
      <formula>(#REF!&lt;&gt;"")*(#REF!&lt;&gt;"")</formula>
    </cfRule>
  </conditionalFormatting>
  <conditionalFormatting sqref="L2715:L2731">
    <cfRule type="expression" dxfId="450" priority="95">
      <formula>(#REF!&lt;&gt;"")*(#REF!&lt;&gt;"")</formula>
    </cfRule>
  </conditionalFormatting>
  <conditionalFormatting sqref="L2737:L2739">
    <cfRule type="expression" dxfId="449" priority="361">
      <formula>(#REF!&lt;&gt;"")*(#REF!&lt;&gt;"")</formula>
    </cfRule>
  </conditionalFormatting>
  <conditionalFormatting sqref="L2741:L2753">
    <cfRule type="expression" dxfId="448" priority="254">
      <formula>(#REF!&lt;&gt;"")*(#REF!&lt;&gt;"")</formula>
    </cfRule>
  </conditionalFormatting>
  <conditionalFormatting sqref="L2800 L2809 A2810 C2810 H2891:H2893">
    <cfRule type="expression" dxfId="447" priority="339">
      <formula>(#REF!&lt;&gt;"")*(#REF!&lt;&gt;"")</formula>
    </cfRule>
  </conditionalFormatting>
  <conditionalFormatting sqref="L2803:L2804">
    <cfRule type="expression" dxfId="446" priority="336">
      <formula>(#REF!&lt;&gt;"")*(#REF!&lt;&gt;"")</formula>
    </cfRule>
  </conditionalFormatting>
  <conditionalFormatting sqref="L2816">
    <cfRule type="expression" dxfId="445" priority="334">
      <formula>($A2816&lt;&gt;"")*(#REF!&lt;&gt;"")</formula>
    </cfRule>
  </conditionalFormatting>
  <conditionalFormatting sqref="L2827:L2828">
    <cfRule type="expression" dxfId="444" priority="303">
      <formula>(#REF!&lt;&gt;"")*(#REF!&lt;&gt;"")</formula>
    </cfRule>
  </conditionalFormatting>
  <conditionalFormatting sqref="L2830:L2832">
    <cfRule type="expression" dxfId="443" priority="299">
      <formula>(#REF!&lt;&gt;"")*(#REF!&lt;&gt;"")</formula>
    </cfRule>
  </conditionalFormatting>
  <conditionalFormatting sqref="L2853:L2886">
    <cfRule type="expression" dxfId="442" priority="2105">
      <formula>(#REF!&lt;&gt;"")*(#REF!&lt;&gt;"")</formula>
    </cfRule>
  </conditionalFormatting>
  <conditionalFormatting sqref="L2904">
    <cfRule type="expression" dxfId="441" priority="267">
      <formula>(#REF!&lt;&gt;"")*(#REF!&lt;&gt;"")</formula>
    </cfRule>
  </conditionalFormatting>
  <conditionalFormatting sqref="L2907">
    <cfRule type="expression" dxfId="440" priority="260">
      <formula>(#REF!&lt;&gt;"")*(#REF!&lt;&gt;"")</formula>
    </cfRule>
  </conditionalFormatting>
  <conditionalFormatting sqref="L2909">
    <cfRule type="expression" dxfId="439" priority="259">
      <formula>(#REF!&lt;&gt;"")*(#REF!&lt;&gt;"")</formula>
    </cfRule>
  </conditionalFormatting>
  <conditionalFormatting sqref="L2913:L2914">
    <cfRule type="expression" dxfId="438" priority="250">
      <formula>(#REF!&lt;&gt;"")*(#REF!&lt;&gt;"")</formula>
    </cfRule>
  </conditionalFormatting>
  <conditionalFormatting sqref="L2916">
    <cfRule type="expression" dxfId="437" priority="248">
      <formula>(#REF!&lt;&gt;"")*(#REF!&lt;&gt;"")</formula>
    </cfRule>
  </conditionalFormatting>
  <conditionalFormatting sqref="L2939:L2947">
    <cfRule type="expression" dxfId="436" priority="72">
      <formula>(#REF!&lt;&gt;"")*(#REF!&lt;&gt;"")</formula>
    </cfRule>
  </conditionalFormatting>
  <conditionalFormatting sqref="L2960:L2967">
    <cfRule type="expression" dxfId="435" priority="49">
      <formula>(#REF!&lt;&gt;"")*(#REF!&lt;&gt;"")</formula>
    </cfRule>
  </conditionalFormatting>
  <conditionalFormatting sqref="L2972:L2973">
    <cfRule type="expression" dxfId="434" priority="45">
      <formula>(#REF!&lt;&gt;"")*(#REF!&lt;&gt;"")</formula>
    </cfRule>
  </conditionalFormatting>
  <conditionalFormatting sqref="L2979:L2980 P2980">
    <cfRule type="expression" dxfId="433" priority="38">
      <formula>(#REF!&lt;&gt;"")*(#REF!&lt;&gt;"")</formula>
    </cfRule>
  </conditionalFormatting>
  <conditionalFormatting sqref="L2985:L2989">
    <cfRule type="expression" dxfId="432" priority="17">
      <formula>(#REF!&lt;&gt;"")*(#REF!&lt;&gt;"")</formula>
    </cfRule>
  </conditionalFormatting>
  <conditionalFormatting sqref="L2995">
    <cfRule type="expression" dxfId="431" priority="4">
      <formula>(#REF!&lt;&gt;"")*(#REF!&lt;&gt;"")</formula>
    </cfRule>
  </conditionalFormatting>
  <conditionalFormatting sqref="L1073:M1076">
    <cfRule type="expression" dxfId="430" priority="1534">
      <formula>(#REF!&lt;&gt;"")*(#REF!&lt;&gt;"")</formula>
    </cfRule>
  </conditionalFormatting>
  <conditionalFormatting sqref="L214:N214 P214 L219 N219 L220:N220 M221:N221 L441 P441 P487:P493">
    <cfRule type="expression" dxfId="429" priority="2048">
      <formula>(#REF!&lt;&gt;"")*(#REF!&lt;&gt;"")</formula>
    </cfRule>
  </conditionalFormatting>
  <conditionalFormatting sqref="L216:N218 P216:P221 L498 P498 L1299:L1307 P1343 P1392:Q1392 L1606:L1612">
    <cfRule type="expression" dxfId="428" priority="2049">
      <formula>(#REF!&lt;&gt;"")*(#REF!&lt;&gt;"")</formula>
    </cfRule>
  </conditionalFormatting>
  <conditionalFormatting sqref="L743:N744">
    <cfRule type="expression" dxfId="427" priority="1966">
      <formula>(#REF!&lt;&gt;"")*(#REF!&lt;&gt;"")</formula>
    </cfRule>
  </conditionalFormatting>
  <conditionalFormatting sqref="L1039:N1039 N1040 M1049:P1050">
    <cfRule type="expression" dxfId="426" priority="1786">
      <formula>(#REF!&lt;&gt;"")*(#REF!&lt;&gt;"")</formula>
    </cfRule>
  </conditionalFormatting>
  <conditionalFormatting sqref="L1041:N1041 L1043:N1043">
    <cfRule type="expression" dxfId="425" priority="1779">
      <formula>(#REF!&lt;&gt;"")*(#REF!&lt;&gt;"")</formula>
    </cfRule>
  </conditionalFormatting>
  <conditionalFormatting sqref="L1048:N1052">
    <cfRule type="expression" dxfId="424" priority="1728">
      <formula>(#REF!&lt;&gt;"")*(#REF!&lt;&gt;"")</formula>
    </cfRule>
  </conditionalFormatting>
  <conditionalFormatting sqref="L1057:N1067 E1059:J1063">
    <cfRule type="expression" dxfId="423" priority="1570">
      <formula>(#REF!&lt;&gt;"")*(#REF!&lt;&gt;"")</formula>
    </cfRule>
  </conditionalFormatting>
  <conditionalFormatting sqref="L1216:N1218">
    <cfRule type="expression" dxfId="422" priority="1622">
      <formula>(#REF!&lt;&gt;"")*(#REF!&lt;&gt;"")</formula>
    </cfRule>
  </conditionalFormatting>
  <conditionalFormatting sqref="L1227:N1230">
    <cfRule type="expression" dxfId="421" priority="163">
      <formula>(#REF!&lt;&gt;"")*(#REF!&lt;&gt;"")</formula>
    </cfRule>
  </conditionalFormatting>
  <conditionalFormatting sqref="L1368:N1375">
    <cfRule type="expression" dxfId="420" priority="1477">
      <formula>(#REF!&lt;&gt;"")*(#REF!&lt;&gt;"")</formula>
    </cfRule>
  </conditionalFormatting>
  <conditionalFormatting sqref="L2066:N2066">
    <cfRule type="expression" dxfId="419" priority="1167">
      <formula>(#REF!&lt;&gt;"")*(#REF!&lt;&gt;"")</formula>
    </cfRule>
  </conditionalFormatting>
  <conditionalFormatting sqref="L1067:P1067">
    <cfRule type="expression" dxfId="418" priority="1758">
      <formula>(#REF!&lt;&gt;"")*(#REF!&lt;&gt;"")</formula>
    </cfRule>
  </conditionalFormatting>
  <conditionalFormatting sqref="L1221:P1221">
    <cfRule type="expression" dxfId="417" priority="1685">
      <formula>(#REF!&lt;&gt;"")*(#REF!&lt;&gt;"")</formula>
    </cfRule>
  </conditionalFormatting>
  <conditionalFormatting sqref="L1223:P1224">
    <cfRule type="expression" dxfId="416" priority="459">
      <formula>(#REF!&lt;&gt;"")*(#REF!&lt;&gt;"")</formula>
    </cfRule>
  </conditionalFormatting>
  <conditionalFormatting sqref="L2005:P2005">
    <cfRule type="expression" dxfId="415" priority="1199">
      <formula>(#REF!&lt;&gt;"")*(#REF!&lt;&gt;"")</formula>
    </cfRule>
  </conditionalFormatting>
  <conditionalFormatting sqref="L2029:P2029">
    <cfRule type="expression" dxfId="414" priority="1072">
      <formula>(#REF!&lt;&gt;"")*(#REF!&lt;&gt;"")</formula>
    </cfRule>
  </conditionalFormatting>
  <conditionalFormatting sqref="L1045:Q1045 P1048:Q1050 M1053:P1055 O1233:O1234 P1685 P2114:P2117 P2121:P2123 L2251:L2253">
    <cfRule type="expression" dxfId="413" priority="2050">
      <formula>(#REF!&lt;&gt;"")*(#REF!&lt;&gt;"")</formula>
    </cfRule>
  </conditionalFormatting>
  <conditionalFormatting sqref="L1068:Q1072">
    <cfRule type="expression" dxfId="412" priority="1588">
      <formula>(#REF!&lt;&gt;"")*(#REF!&lt;&gt;"")</formula>
    </cfRule>
  </conditionalFormatting>
  <conditionalFormatting sqref="L1077:Q1077">
    <cfRule type="expression" dxfId="411" priority="1784">
      <formula>(#REF!&lt;&gt;"")*(#REF!&lt;&gt;"")</formula>
    </cfRule>
  </conditionalFormatting>
  <conditionalFormatting sqref="L1212:Q1219">
    <cfRule type="expression" dxfId="410" priority="1613">
      <formula>(#REF!&lt;&gt;"")*(#REF!&lt;&gt;"")</formula>
    </cfRule>
  </conditionalFormatting>
  <conditionalFormatting sqref="L1226:Q1226">
    <cfRule type="expression" dxfId="409" priority="452">
      <formula>(#REF!&lt;&gt;"")*(#REF!&lt;&gt;"")</formula>
    </cfRule>
  </conditionalFormatting>
  <conditionalFormatting sqref="L1231:Q1232">
    <cfRule type="expression" dxfId="408" priority="1610">
      <formula>(#REF!&lt;&gt;"")*(#REF!&lt;&gt;"")</formula>
    </cfRule>
  </conditionalFormatting>
  <conditionalFormatting sqref="L1666:Q1669">
    <cfRule type="expression" dxfId="407" priority="1358">
      <formula>(#REF!&lt;&gt;"")*(#REF!&lt;&gt;"")</formula>
    </cfRule>
  </conditionalFormatting>
  <conditionalFormatting sqref="L2015:Q2015">
    <cfRule type="expression" dxfId="406" priority="1206">
      <formula>(#REF!&lt;&gt;"")*(#REF!&lt;&gt;"")</formula>
    </cfRule>
  </conditionalFormatting>
  <conditionalFormatting sqref="L2812:Q2814">
    <cfRule type="expression" dxfId="405" priority="318">
      <formula>($A2812&lt;&gt;"")*(#REF!&lt;&gt;"")</formula>
    </cfRule>
  </conditionalFormatting>
  <conditionalFormatting sqref="L2951:Q2953">
    <cfRule type="expression" dxfId="404" priority="59">
      <formula>(#REF!&lt;&gt;"")*(#REF!&lt;&gt;"")</formula>
    </cfRule>
  </conditionalFormatting>
  <conditionalFormatting sqref="L2954:Q2956">
    <cfRule type="expression" dxfId="403" priority="54">
      <formula>(#REF!&lt;&gt;"")*(L$1&lt;&gt;"")</formula>
    </cfRule>
  </conditionalFormatting>
  <conditionalFormatting sqref="L2982:Q2983">
    <cfRule type="expression" dxfId="402" priority="29">
      <formula>(#REF!&lt;&gt;"")*(#REF!&lt;&gt;"")</formula>
    </cfRule>
  </conditionalFormatting>
  <conditionalFormatting sqref="M821:M822">
    <cfRule type="expression" dxfId="401" priority="1910">
      <formula>(#REF!&lt;&gt;"")*(M$1&lt;&gt;"")</formula>
    </cfRule>
  </conditionalFormatting>
  <conditionalFormatting sqref="M1046:M1048">
    <cfRule type="expression" dxfId="400" priority="1592">
      <formula>(#REF!&lt;&gt;"")*(#REF!&lt;&gt;"")</formula>
    </cfRule>
  </conditionalFormatting>
  <conditionalFormatting sqref="M1923:M1929">
    <cfRule type="expression" dxfId="399" priority="466">
      <formula>(#REF!&lt;&gt;"")*(N$1&lt;&gt;"")</formula>
    </cfRule>
  </conditionalFormatting>
  <conditionalFormatting sqref="M2570:M2572">
    <cfRule type="expression" dxfId="398" priority="915">
      <formula>(#REF!&lt;&gt;"")*(N$1&lt;&gt;"")</formula>
    </cfRule>
  </conditionalFormatting>
  <conditionalFormatting sqref="M2575:M2577">
    <cfRule type="expression" dxfId="397" priority="893">
      <formula>(#REF!&lt;&gt;"")*(N$1&lt;&gt;"")</formula>
    </cfRule>
  </conditionalFormatting>
  <conditionalFormatting sqref="M2636:M2643">
    <cfRule type="expression" dxfId="396" priority="434">
      <formula>(#REF!&lt;&gt;"")*(N$1&lt;&gt;"")</formula>
    </cfRule>
  </conditionalFormatting>
  <conditionalFormatting sqref="M2897">
    <cfRule type="expression" dxfId="395" priority="270">
      <formula>(#REF!&lt;&gt;"")*(N$1&lt;&gt;"")</formula>
    </cfRule>
  </conditionalFormatting>
  <conditionalFormatting sqref="M2917">
    <cfRule type="expression" dxfId="394" priority="233">
      <formula>(#REF!&lt;&gt;"")*(N$1&lt;&gt;"")</formula>
    </cfRule>
  </conditionalFormatting>
  <conditionalFormatting sqref="M2994">
    <cfRule type="expression" dxfId="393" priority="11">
      <formula>(#REF!&lt;&gt;"")*(N$1&lt;&gt;"")</formula>
    </cfRule>
  </conditionalFormatting>
  <conditionalFormatting sqref="M1042:N1042">
    <cfRule type="expression" dxfId="392" priority="1637">
      <formula>(#REF!&lt;&gt;"")*(#REF!&lt;&gt;"")</formula>
    </cfRule>
  </conditionalFormatting>
  <conditionalFormatting sqref="M1044:N1044">
    <cfRule type="expression" dxfId="391" priority="1606">
      <formula>(#REF!&lt;&gt;"")*(#REF!&lt;&gt;"")</formula>
    </cfRule>
  </conditionalFormatting>
  <conditionalFormatting sqref="M1056:N1056">
    <cfRule type="expression" dxfId="390" priority="1785">
      <formula>(#REF!&lt;&gt;"")*(#REF!&lt;&gt;"")</formula>
    </cfRule>
  </conditionalFormatting>
  <conditionalFormatting sqref="M1375:N1375 P1375:Q1375 Q1381">
    <cfRule type="expression" dxfId="389" priority="1505">
      <formula>(#REF!&lt;&gt;"")*(#REF!&lt;&gt;"")</formula>
    </cfRule>
  </conditionalFormatting>
  <conditionalFormatting sqref="M1643:N1647">
    <cfRule type="expression" dxfId="388" priority="407">
      <formula>(#REF!&lt;&gt;"")*(#REF!&lt;&gt;"")</formula>
    </cfRule>
  </conditionalFormatting>
  <conditionalFormatting sqref="M1666:N1668">
    <cfRule type="expression" dxfId="387" priority="1355">
      <formula>(#REF!&lt;&gt;"")*(#REF!&lt;&gt;"")</formula>
    </cfRule>
  </conditionalFormatting>
  <conditionalFormatting sqref="M1056:O1059">
    <cfRule type="expression" dxfId="386" priority="1562">
      <formula>(#REF!&lt;&gt;"")*(#REF!&lt;&gt;"")</formula>
    </cfRule>
  </conditionalFormatting>
  <conditionalFormatting sqref="M2030:O2038">
    <cfRule type="expression" dxfId="385" priority="961">
      <formula>(#REF!&lt;&gt;"")*(#REF!&lt;&gt;"")</formula>
    </cfRule>
  </conditionalFormatting>
  <conditionalFormatting sqref="M1060:P1061 O1063:O1067">
    <cfRule type="expression" dxfId="384" priority="1778">
      <formula>(#REF!&lt;&gt;"")*(#REF!&lt;&gt;"")</formula>
    </cfRule>
  </conditionalFormatting>
  <conditionalFormatting sqref="M1222:P1222">
    <cfRule type="expression" dxfId="383" priority="150">
      <formula>(#REF!&lt;&gt;"")*(#REF!&lt;&gt;"")</formula>
    </cfRule>
  </conditionalFormatting>
  <conditionalFormatting sqref="M1225:P1225">
    <cfRule type="expression" dxfId="382" priority="1550">
      <formula>(#REF!&lt;&gt;"")*(#REF!&lt;&gt;"")</formula>
    </cfRule>
  </conditionalFormatting>
  <conditionalFormatting sqref="M1705:P1707">
    <cfRule type="expression" dxfId="381" priority="525">
      <formula>(#REF!&lt;&gt;"")*(#REF!&lt;&gt;"")</formula>
    </cfRule>
  </conditionalFormatting>
  <conditionalFormatting sqref="M2006:P2007">
    <cfRule type="expression" dxfId="380" priority="1083">
      <formula>(#REF!&lt;&gt;"")*(#REF!&lt;&gt;"")</formula>
    </cfRule>
  </conditionalFormatting>
  <conditionalFormatting sqref="M2009:P2011">
    <cfRule type="expression" dxfId="379" priority="971">
      <formula>(#REF!&lt;&gt;"")*(#REF!&lt;&gt;"")</formula>
    </cfRule>
  </conditionalFormatting>
  <conditionalFormatting sqref="M2832:P2832">
    <cfRule type="expression" dxfId="378" priority="297">
      <formula>(#REF!&lt;&gt;"")*(#REF!&lt;&gt;"")</formula>
    </cfRule>
  </conditionalFormatting>
  <conditionalFormatting sqref="M1220:Q1220">
    <cfRule type="expression" dxfId="377" priority="1608">
      <formula>(#REF!&lt;&gt;"")*(#REF!&lt;&gt;"")</formula>
    </cfRule>
  </conditionalFormatting>
  <conditionalFormatting sqref="M1670:Q1670">
    <cfRule type="expression" dxfId="376" priority="1331">
      <formula>(#REF!&lt;&gt;"")*(#REF!&lt;&gt;"")</formula>
    </cfRule>
  </conditionalFormatting>
  <conditionalFormatting sqref="M2013:Q2014 E2013:H2015">
    <cfRule type="expression" dxfId="375" priority="1205">
      <formula>(#REF!&lt;&gt;"")*(#REF!&lt;&gt;"")</formula>
    </cfRule>
  </conditionalFormatting>
  <conditionalFormatting sqref="M2016:Q2016">
    <cfRule type="expression" dxfId="374" priority="1177">
      <formula>(#REF!&lt;&gt;"")*(#REF!&lt;&gt;"")</formula>
    </cfRule>
  </conditionalFormatting>
  <conditionalFormatting sqref="M2068:Q2070">
    <cfRule type="expression" dxfId="373" priority="415">
      <formula>(#REF!&lt;&gt;"")*(#REF!&lt;&gt;"")</formula>
    </cfRule>
  </conditionalFormatting>
  <conditionalFormatting sqref="N459:N460">
    <cfRule type="expression" dxfId="372" priority="1914">
      <formula>(#REF!&lt;&gt;"")*(N$1&lt;&gt;"")</formula>
    </cfRule>
  </conditionalFormatting>
  <conditionalFormatting sqref="N747">
    <cfRule type="expression" dxfId="371" priority="1972">
      <formula>(#REF!&lt;&gt;"")*(N$1&lt;&gt;"")</formula>
    </cfRule>
  </conditionalFormatting>
  <conditionalFormatting sqref="N1197">
    <cfRule type="expression" dxfId="370" priority="1699">
      <formula>(#REF!&lt;&gt;"")*(N$1&lt;&gt;"")</formula>
    </cfRule>
  </conditionalFormatting>
  <conditionalFormatting sqref="N1238:N1239 N1241:N1243 N1248">
    <cfRule type="expression" dxfId="369" priority="1692">
      <formula>(#REF!&lt;&gt;"")*(#REF!&lt;&gt;"")</formula>
    </cfRule>
  </conditionalFormatting>
  <conditionalFormatting sqref="N1245:N1246">
    <cfRule type="expression" dxfId="368" priority="1658">
      <formula>(#REF!&lt;&gt;"")*(#REF!&lt;&gt;"")</formula>
    </cfRule>
  </conditionalFormatting>
  <conditionalFormatting sqref="N1378 N1382 N1384">
    <cfRule type="expression" dxfId="367" priority="1502">
      <formula>(#REF!&lt;&gt;"")*(#REF!&lt;&gt;"")</formula>
    </cfRule>
  </conditionalFormatting>
  <conditionalFormatting sqref="N183:O184">
    <cfRule type="expression" dxfId="366" priority="2045">
      <formula>(#REF!&lt;&gt;"")*(N$1&lt;&gt;"")</formula>
    </cfRule>
  </conditionalFormatting>
  <conditionalFormatting sqref="N197:O197">
    <cfRule type="expression" dxfId="365" priority="93">
      <formula>(#REF!&lt;&gt;"")*(N$1&lt;&gt;"")</formula>
    </cfRule>
  </conditionalFormatting>
  <conditionalFormatting sqref="N382:O382">
    <cfRule type="expression" dxfId="364" priority="1990">
      <formula>(#REF!&lt;&gt;"")*(N$1&lt;&gt;"")</formula>
    </cfRule>
  </conditionalFormatting>
  <conditionalFormatting sqref="N384:O384">
    <cfRule type="expression" dxfId="363" priority="1865">
      <formula>(#REF!&lt;&gt;"")*(N$1&lt;&gt;"")</formula>
    </cfRule>
  </conditionalFormatting>
  <conditionalFormatting sqref="N832:O838 I832:J839 A832:A841 E832:G841">
    <cfRule type="expression" dxfId="362" priority="1833">
      <formula>(#REF!&lt;&gt;"")*(A$1&lt;&gt;"")</formula>
    </cfRule>
  </conditionalFormatting>
  <conditionalFormatting sqref="N872:O872">
    <cfRule type="expression" dxfId="361" priority="1935">
      <formula>(#REF!&lt;&gt;"")*(N$1&lt;&gt;"")</formula>
    </cfRule>
  </conditionalFormatting>
  <conditionalFormatting sqref="N879:O879">
    <cfRule type="expression" dxfId="360" priority="714">
      <formula>(#REF!&lt;&gt;"")*(N$1&lt;&gt;"")</formula>
    </cfRule>
  </conditionalFormatting>
  <conditionalFormatting sqref="N1228:O1228 Q1228">
    <cfRule type="expression" dxfId="359" priority="182">
      <formula>(#REF!&lt;&gt;"")*(#REF!&lt;&gt;"")</formula>
    </cfRule>
  </conditionalFormatting>
  <conditionalFormatting sqref="N1809:O1809 I2075 L2109:L2110">
    <cfRule type="expression" dxfId="358" priority="1228">
      <formula>(#REF!&lt;&gt;"")*(I$1&lt;&gt;"")</formula>
    </cfRule>
  </conditionalFormatting>
  <conditionalFormatting sqref="N2598:O2601">
    <cfRule type="expression" dxfId="357" priority="622">
      <formula>(#REF!&lt;&gt;"")*(N$1&lt;&gt;"")</formula>
    </cfRule>
  </conditionalFormatting>
  <conditionalFormatting sqref="N1048:P1048">
    <cfRule type="expression" dxfId="356" priority="1777">
      <formula>(#REF!&lt;&gt;"")*(#REF!&lt;&gt;"")</formula>
    </cfRule>
  </conditionalFormatting>
  <conditionalFormatting sqref="N1176:P1176 A1176:A1177 E1176:G1177 I1176:J1177 L1176:L1177">
    <cfRule type="expression" dxfId="355" priority="1704">
      <formula>(#REF!&lt;&gt;"")*(A$1&lt;&gt;"")</formula>
    </cfRule>
  </conditionalFormatting>
  <conditionalFormatting sqref="N1196:P1196">
    <cfRule type="expression" dxfId="354" priority="1701">
      <formula>(#REF!&lt;&gt;"")*(N$1&lt;&gt;"")</formula>
    </cfRule>
  </conditionalFormatting>
  <conditionalFormatting sqref="N70:Q70 N817:Q817 Q838 N839:Q841 N843:Q843 N1177:Q1177 N1179:Q1181">
    <cfRule type="expression" dxfId="353" priority="2106">
      <formula>(#REF!&lt;&gt;"")*(N$1&lt;&gt;"")</formula>
    </cfRule>
  </conditionalFormatting>
  <conditionalFormatting sqref="N821:Q823">
    <cfRule type="expression" dxfId="352" priority="1901">
      <formula>(#REF!&lt;&gt;"")*(N$1&lt;&gt;"")</formula>
    </cfRule>
  </conditionalFormatting>
  <conditionalFormatting sqref="N1046:Q1047">
    <cfRule type="expression" dxfId="351" priority="1596">
      <formula>(#REF!&lt;&gt;"")*(#REF!&lt;&gt;"")</formula>
    </cfRule>
  </conditionalFormatting>
  <conditionalFormatting sqref="N1073:Q1074">
    <cfRule type="expression" dxfId="350" priority="1547">
      <formula>(#REF!&lt;&gt;"")*(#REF!&lt;&gt;"")</formula>
    </cfRule>
  </conditionalFormatting>
  <conditionalFormatting sqref="N1227:Q1227">
    <cfRule type="expression" dxfId="349" priority="400">
      <formula>(#REF!&lt;&gt;"")*(#REF!&lt;&gt;"")</formula>
    </cfRule>
  </conditionalFormatting>
  <conditionalFormatting sqref="N1229:Q1230">
    <cfRule type="expression" dxfId="348" priority="173">
      <formula>(#REF!&lt;&gt;"")*(#REF!&lt;&gt;"")</formula>
    </cfRule>
  </conditionalFormatting>
  <conditionalFormatting sqref="O170:O171">
    <cfRule type="expression" dxfId="347" priority="2018">
      <formula>(#REF!&lt;&gt;"")*(O$1&lt;&gt;"")</formula>
    </cfRule>
  </conditionalFormatting>
  <conditionalFormatting sqref="O187">
    <cfRule type="expression" dxfId="346" priority="2046">
      <formula>(#REF!&lt;&gt;"")*(O$1&lt;&gt;"")</formula>
    </cfRule>
  </conditionalFormatting>
  <conditionalFormatting sqref="O261:O262">
    <cfRule type="expression" dxfId="345" priority="363">
      <formula>(#REF!&lt;&gt;"")*(#REF!&lt;&gt;"")</formula>
    </cfRule>
  </conditionalFormatting>
  <conditionalFormatting sqref="O1081 O1090 Q1090 L1254:Q1255 C1254:C1258">
    <cfRule type="expression" dxfId="344" priority="1754">
      <formula>($A1081&lt;&gt;"")*(#REF!&lt;&gt;"")</formula>
    </cfRule>
  </conditionalFormatting>
  <conditionalFormatting sqref="O1081 O1254:P1255">
    <cfRule type="expression" dxfId="343" priority="1755">
      <formula>($A1081&lt;&gt;"")*(#REF!&lt;&gt;"")</formula>
    </cfRule>
  </conditionalFormatting>
  <conditionalFormatting sqref="O1256 O1257:P1258">
    <cfRule type="expression" dxfId="342" priority="1670">
      <formula>($A1256&lt;&gt;"")*(#REF!&lt;&gt;"")</formula>
    </cfRule>
  </conditionalFormatting>
  <conditionalFormatting sqref="O1522:O1524">
    <cfRule type="expression" dxfId="341" priority="1305">
      <formula>($A1522&lt;&gt;"")*(#REF!&lt;&gt;"")</formula>
    </cfRule>
    <cfRule type="expression" dxfId="340" priority="1307">
      <formula>($A1522&lt;&gt;"")*(#REF!&lt;&gt;"")</formula>
    </cfRule>
  </conditionalFormatting>
  <conditionalFormatting sqref="O1531:O1558">
    <cfRule type="expression" dxfId="339" priority="1320">
      <formula>($A1531&lt;&gt;"")*(#REF!&lt;&gt;"")</formula>
    </cfRule>
    <cfRule type="expression" dxfId="338" priority="1321">
      <formula>($A1531&lt;&gt;"")*(#REF!&lt;&gt;"")</formula>
    </cfRule>
  </conditionalFormatting>
  <conditionalFormatting sqref="O1659 A1675 C1675 E1675:J1675 L1675:Q1675 J1676">
    <cfRule type="expression" dxfId="337" priority="1378">
      <formula>($A1659&lt;&gt;"")*(#REF!&lt;&gt;"")</formula>
    </cfRule>
  </conditionalFormatting>
  <conditionalFormatting sqref="O1793:O1795">
    <cfRule type="expression" dxfId="336" priority="1238">
      <formula>(#REF!&lt;&gt;"")*(#REF!&lt;&gt;"")</formula>
    </cfRule>
  </conditionalFormatting>
  <conditionalFormatting sqref="O1797:O1804">
    <cfRule type="expression" dxfId="335" priority="540">
      <formula>(#REF!&lt;&gt;"")*(#REF!&lt;&gt;"")</formula>
    </cfRule>
  </conditionalFormatting>
  <conditionalFormatting sqref="O2002">
    <cfRule type="expression" dxfId="334" priority="1220">
      <formula>(#REF!&lt;&gt;"")*(#REF!&lt;&gt;"")</formula>
    </cfRule>
  </conditionalFormatting>
  <conditionalFormatting sqref="O2537">
    <cfRule type="expression" dxfId="333" priority="659">
      <formula>(#REF!&lt;&gt;"")*(#REF!&lt;&gt;"")</formula>
    </cfRule>
    <cfRule type="expression" dxfId="332" priority="660">
      <formula>(#REF!&lt;&gt;"")*(#REF!&lt;&gt;"")</formula>
    </cfRule>
  </conditionalFormatting>
  <conditionalFormatting sqref="O2570">
    <cfRule type="expression" dxfId="331" priority="917">
      <formula>(#REF!&lt;&gt;"")*(#REF!&lt;&gt;"")</formula>
    </cfRule>
    <cfRule type="expression" dxfId="330" priority="918">
      <formula>(#REF!&lt;&gt;"")*(#REF!&lt;&gt;"")</formula>
    </cfRule>
  </conditionalFormatting>
  <conditionalFormatting sqref="O2575">
    <cfRule type="expression" dxfId="329" priority="901">
      <formula>(#REF!&lt;&gt;"")*(#REF!&lt;&gt;"")</formula>
    </cfRule>
    <cfRule type="expression" dxfId="328" priority="902">
      <formula>(#REF!&lt;&gt;"")*(#REF!&lt;&gt;"")</formula>
    </cfRule>
  </conditionalFormatting>
  <conditionalFormatting sqref="O2636">
    <cfRule type="expression" dxfId="327" priority="737">
      <formula>(#REF!&lt;&gt;"")*(#REF!&lt;&gt;"")</formula>
    </cfRule>
    <cfRule type="expression" dxfId="326" priority="738">
      <formula>(#REF!&lt;&gt;"")*(#REF!&lt;&gt;"")</formula>
    </cfRule>
  </conditionalFormatting>
  <conditionalFormatting sqref="O2641:O2642">
    <cfRule type="expression" dxfId="325" priority="429">
      <formula>(#REF!&lt;&gt;"")*(#REF!&lt;&gt;"")</formula>
    </cfRule>
    <cfRule type="expression" dxfId="324" priority="430">
      <formula>(#REF!&lt;&gt;"")*(#REF!&lt;&gt;"")</formula>
    </cfRule>
  </conditionalFormatting>
  <conditionalFormatting sqref="O2815:O2816">
    <cfRule type="expression" dxfId="323" priority="311">
      <formula>($A2815&lt;&gt;"")*(#REF!&lt;&gt;"")</formula>
    </cfRule>
  </conditionalFormatting>
  <conditionalFormatting sqref="O2887:O2889 J2888:K2891">
    <cfRule type="expression" dxfId="322" priority="256">
      <formula>(#REF!&lt;&gt;"")*(K$1&lt;&gt;"")</formula>
    </cfRule>
  </conditionalFormatting>
  <conditionalFormatting sqref="O2890">
    <cfRule type="expression" dxfId="321" priority="285">
      <formula>(#REF!&lt;&gt;"")*(#REF!&lt;&gt;"")</formula>
    </cfRule>
    <cfRule type="expression" dxfId="320" priority="286">
      <formula>(#REF!&lt;&gt;"")*(#REF!&lt;&gt;"")</formula>
    </cfRule>
  </conditionalFormatting>
  <conditionalFormatting sqref="O2891:O2893 K2892">
    <cfRule type="expression" dxfId="319" priority="280">
      <formula>(#REF!&lt;&gt;"")*(L$1&lt;&gt;"")</formula>
    </cfRule>
  </conditionalFormatting>
  <conditionalFormatting sqref="O2894:O2895">
    <cfRule type="expression" dxfId="318" priority="240">
      <formula>(#REF!&lt;&gt;"")*(#REF!&lt;&gt;"")</formula>
    </cfRule>
    <cfRule type="expression" dxfId="317" priority="241">
      <formula>(#REF!&lt;&gt;"")*(#REF!&lt;&gt;"")</formula>
    </cfRule>
  </conditionalFormatting>
  <conditionalFormatting sqref="O2897">
    <cfRule type="expression" dxfId="316" priority="271">
      <formula>(#REF!&lt;&gt;"")*(#REF!&lt;&gt;"")</formula>
    </cfRule>
    <cfRule type="expression" dxfId="315" priority="272">
      <formula>(#REF!&lt;&gt;"")*(#REF!&lt;&gt;"")</formula>
    </cfRule>
  </conditionalFormatting>
  <conditionalFormatting sqref="O2905">
    <cfRule type="expression" dxfId="314" priority="261">
      <formula>(#REF!&lt;&gt;"")*(#REF!&lt;&gt;"")</formula>
    </cfRule>
    <cfRule type="expression" dxfId="313" priority="262">
      <formula>(#REF!&lt;&gt;"")*(#REF!&lt;&gt;"")</formula>
    </cfRule>
  </conditionalFormatting>
  <conditionalFormatting sqref="O2912">
    <cfRule type="expression" dxfId="312" priority="247">
      <formula>(#REF!&lt;&gt;"")*(P$1&lt;&gt;"")</formula>
    </cfRule>
  </conditionalFormatting>
  <conditionalFormatting sqref="O2917">
    <cfRule type="expression" dxfId="311" priority="234">
      <formula>(#REF!&lt;&gt;"")*(#REF!&lt;&gt;"")</formula>
    </cfRule>
    <cfRule type="expression" dxfId="310" priority="235">
      <formula>(#REF!&lt;&gt;"")*(#REF!&lt;&gt;"")</formula>
    </cfRule>
  </conditionalFormatting>
  <conditionalFormatting sqref="O2994">
    <cfRule type="expression" dxfId="309" priority="6">
      <formula>(#REF!&lt;&gt;"")*(#REF!&lt;&gt;"")</formula>
    </cfRule>
    <cfRule type="expression" dxfId="308" priority="7">
      <formula>(#REF!&lt;&gt;"")*(#REF!&lt;&gt;"")</formula>
    </cfRule>
  </conditionalFormatting>
  <conditionalFormatting sqref="O188:P190 A817 E817:G817 I817:J817 L817">
    <cfRule type="expression" dxfId="307" priority="2097">
      <formula>(#REF!&lt;&gt;"")*(A$1&lt;&gt;"")</formula>
    </cfRule>
  </conditionalFormatting>
  <conditionalFormatting sqref="O191:P195">
    <cfRule type="expression" dxfId="306" priority="192">
      <formula>(#REF!&lt;&gt;"")*(#REF!&lt;&gt;"")</formula>
    </cfRule>
  </conditionalFormatting>
  <conditionalFormatting sqref="O198:P221">
    <cfRule type="expression" dxfId="305" priority="2020">
      <formula>(#REF!&lt;&gt;"")*(#REF!&lt;&gt;"")</formula>
    </cfRule>
  </conditionalFormatting>
  <conditionalFormatting sqref="O258:P260">
    <cfRule type="expression" dxfId="304" priority="473">
      <formula>(#REF!&lt;&gt;"")*(#REF!&lt;&gt;"")</formula>
    </cfRule>
  </conditionalFormatting>
  <conditionalFormatting sqref="O263:P266">
    <cfRule type="expression" dxfId="303" priority="120">
      <formula>(#REF!&lt;&gt;"")*(#REF!&lt;&gt;"")</formula>
    </cfRule>
  </conditionalFormatting>
  <conditionalFormatting sqref="O274:P285">
    <cfRule type="expression" dxfId="302" priority="1941">
      <formula>(#REF!&lt;&gt;"")*(#REF!&lt;&gt;"")</formula>
    </cfRule>
  </conditionalFormatting>
  <conditionalFormatting sqref="O349:P351 I1078 P1078 O1079:P1080 P1081 O1519:P1521 P1809">
    <cfRule type="expression" dxfId="301" priority="2047">
      <formula>(#REF!&lt;&gt;"")*(#REF!&lt;&gt;"")</formula>
    </cfRule>
  </conditionalFormatting>
  <conditionalFormatting sqref="O372:P372">
    <cfRule type="expression" dxfId="300" priority="1993">
      <formula>(#REF!&lt;&gt;"")*(#REF!&lt;&gt;"")</formula>
    </cfRule>
  </conditionalFormatting>
  <conditionalFormatting sqref="O381:P381">
    <cfRule type="expression" dxfId="299" priority="1991">
      <formula>(#REF!&lt;&gt;"")*(#REF!&lt;&gt;"")</formula>
    </cfRule>
  </conditionalFormatting>
  <conditionalFormatting sqref="O383:P383">
    <cfRule type="expression" dxfId="298" priority="1866">
      <formula>(#REF!&lt;&gt;"")*(#REF!&lt;&gt;"")</formula>
    </cfRule>
  </conditionalFormatting>
  <conditionalFormatting sqref="O441:P442">
    <cfRule type="expression" dxfId="297" priority="1988">
      <formula>(#REF!&lt;&gt;"")*(#REF!&lt;&gt;"")</formula>
    </cfRule>
  </conditionalFormatting>
  <conditionalFormatting sqref="O573:P588">
    <cfRule type="expression" dxfId="296" priority="1912">
      <formula>(#REF!&lt;&gt;"")*(#REF!&lt;&gt;"")</formula>
    </cfRule>
  </conditionalFormatting>
  <conditionalFormatting sqref="O590:P602">
    <cfRule type="expression" dxfId="295" priority="1984">
      <formula>(#REF!&lt;&gt;"")*(#REF!&lt;&gt;"")</formula>
    </cfRule>
  </conditionalFormatting>
  <conditionalFormatting sqref="O604:P604">
    <cfRule type="expression" dxfId="294" priority="1983">
      <formula>(#REF!&lt;&gt;"")*(#REF!&lt;&gt;"")</formula>
    </cfRule>
  </conditionalFormatting>
  <conditionalFormatting sqref="O743:P744">
    <cfRule type="expression" dxfId="293" priority="1967">
      <formula>(#REF!&lt;&gt;"")*(#REF!&lt;&gt;"")</formula>
    </cfRule>
  </conditionalFormatting>
  <conditionalFormatting sqref="O1039:P1077">
    <cfRule type="expression" dxfId="292" priority="1536">
      <formula>(#REF!&lt;&gt;"")*(#REF!&lt;&gt;"")</formula>
    </cfRule>
  </conditionalFormatting>
  <conditionalFormatting sqref="O1051:P1052">
    <cfRule type="expression" dxfId="291" priority="1730">
      <formula>(#REF!&lt;&gt;"")*(#REF!&lt;&gt;"")</formula>
    </cfRule>
  </conditionalFormatting>
  <conditionalFormatting sqref="O1082:P1088">
    <cfRule type="expression" dxfId="290" priority="1721">
      <formula>($A1082&lt;&gt;"")*(#REF!&lt;&gt;"")</formula>
    </cfRule>
  </conditionalFormatting>
  <conditionalFormatting sqref="O1090:P1098">
    <cfRule type="expression" dxfId="289" priority="1523">
      <formula>($A1090&lt;&gt;"")*(#REF!&lt;&gt;"")</formula>
    </cfRule>
  </conditionalFormatting>
  <conditionalFormatting sqref="O1109:P1110">
    <cfRule type="expression" dxfId="288" priority="1716">
      <formula>(#REF!&lt;&gt;"")*(#REF!&lt;&gt;"")</formula>
    </cfRule>
  </conditionalFormatting>
  <conditionalFormatting sqref="O1116:P1117">
    <cfRule type="expression" dxfId="287" priority="1713">
      <formula>(#REF!&lt;&gt;"")*(#REF!&lt;&gt;"")</formula>
    </cfRule>
  </conditionalFormatting>
  <conditionalFormatting sqref="O1212:P1235">
    <cfRule type="expression" dxfId="286" priority="160">
      <formula>(#REF!&lt;&gt;"")*(#REF!&lt;&gt;"")</formula>
    </cfRule>
  </conditionalFormatting>
  <conditionalFormatting sqref="O1235:P1235">
    <cfRule type="expression" dxfId="285" priority="1672">
      <formula>(#REF!&lt;&gt;"")*(#REF!&lt;&gt;"")</formula>
    </cfRule>
  </conditionalFormatting>
  <conditionalFormatting sqref="O1454:P1456 O1462:P1462">
    <cfRule type="expression" dxfId="284" priority="1430">
      <formula>(#REF!&lt;&gt;"")*(#REF!&lt;&gt;"")</formula>
    </cfRule>
  </conditionalFormatting>
  <conditionalFormatting sqref="O1525:P1529">
    <cfRule type="expression" dxfId="283" priority="1295">
      <formula>($A1525&lt;&gt;"")*(#REF!&lt;&gt;"")</formula>
    </cfRule>
  </conditionalFormatting>
  <conditionalFormatting sqref="O1624:P1624 I1656 P1656 O1657:P1657">
    <cfRule type="expression" dxfId="282" priority="1389">
      <formula>(#REF!&lt;&gt;"")*(#REF!&lt;&gt;"")</formula>
    </cfRule>
  </conditionalFormatting>
  <conditionalFormatting sqref="O1627:P1627">
    <cfRule type="expression" dxfId="281" priority="1387">
      <formula>(#REF!&lt;&gt;"")*(#REF!&lt;&gt;"")</formula>
    </cfRule>
  </conditionalFormatting>
  <conditionalFormatting sqref="O1643:P1647">
    <cfRule type="expression" dxfId="280" priority="408">
      <formula>(#REF!&lt;&gt;"")*(#REF!&lt;&gt;"")</formula>
    </cfRule>
  </conditionalFormatting>
  <conditionalFormatting sqref="O1658:P1658">
    <cfRule type="expression" dxfId="279" priority="1337">
      <formula>($A1658&lt;&gt;"")*(#REF!&lt;&gt;"")</formula>
    </cfRule>
  </conditionalFormatting>
  <conditionalFormatting sqref="O1658:P1664 I1660:I1664">
    <cfRule type="expression" dxfId="278" priority="1284">
      <formula>($A1658&lt;&gt;"")*(#REF!&lt;&gt;"")</formula>
    </cfRule>
  </conditionalFormatting>
  <conditionalFormatting sqref="O1666:P1670">
    <cfRule type="expression" dxfId="277" priority="1335">
      <formula>(#REF!&lt;&gt;"")*(#REF!&lt;&gt;"")</formula>
    </cfRule>
  </conditionalFormatting>
  <conditionalFormatting sqref="O1675:P1675">
    <cfRule type="expression" dxfId="276" priority="1379">
      <formula>($A1675&lt;&gt;"")*(#REF!&lt;&gt;"")</formula>
    </cfRule>
  </conditionalFormatting>
  <conditionalFormatting sqref="O1676:P1676">
    <cfRule type="expression" dxfId="275" priority="1351">
      <formula>(#REF!&lt;&gt;"")*(#REF!&lt;&gt;"")</formula>
    </cfRule>
  </conditionalFormatting>
  <conditionalFormatting sqref="O1687:P1687">
    <cfRule type="expression" dxfId="274" priority="1342">
      <formula>(#REF!&lt;&gt;"")*(#REF!&lt;&gt;"")</formula>
    </cfRule>
  </conditionalFormatting>
  <conditionalFormatting sqref="O1705:P1707">
    <cfRule type="expression" dxfId="273" priority="529">
      <formula>(#REF!&lt;&gt;"")*(#REF!&lt;&gt;"")</formula>
    </cfRule>
  </conditionalFormatting>
  <conditionalFormatting sqref="O1864:P1869">
    <cfRule type="expression" dxfId="272" priority="1227">
      <formula>(#REF!&lt;&gt;"")*(#REF!&lt;&gt;"")</formula>
    </cfRule>
  </conditionalFormatting>
  <conditionalFormatting sqref="O1894:P1896">
    <cfRule type="expression" dxfId="271" priority="1152">
      <formula>(#REF!&lt;&gt;"")*(#REF!&lt;&gt;"")</formula>
    </cfRule>
  </conditionalFormatting>
  <conditionalFormatting sqref="O1901:P1901">
    <cfRule type="expression" dxfId="270" priority="1214">
      <formula>(#REF!&lt;&gt;"")*(#REF!&lt;&gt;"")</formula>
    </cfRule>
  </conditionalFormatting>
  <conditionalFormatting sqref="O2005:P2007">
    <cfRule type="expression" dxfId="269" priority="1087">
      <formula>(#REF!&lt;&gt;"")*(#REF!&lt;&gt;"")</formula>
    </cfRule>
  </conditionalFormatting>
  <conditionalFormatting sqref="O2009:P2011">
    <cfRule type="expression" dxfId="268" priority="975">
      <formula>(#REF!&lt;&gt;"")*(#REF!&lt;&gt;"")</formula>
    </cfRule>
  </conditionalFormatting>
  <conditionalFormatting sqref="O2013:P2017">
    <cfRule type="expression" dxfId="267" priority="1178">
      <formula>(#REF!&lt;&gt;"")*(#REF!&lt;&gt;"")</formula>
    </cfRule>
  </conditionalFormatting>
  <conditionalFormatting sqref="O2028:P2038">
    <cfRule type="expression" dxfId="266" priority="964">
      <formula>(#REF!&lt;&gt;"")*(#REF!&lt;&gt;"")</formula>
    </cfRule>
  </conditionalFormatting>
  <conditionalFormatting sqref="O2040:P2046">
    <cfRule type="expression" dxfId="265" priority="1197">
      <formula>(#REF!&lt;&gt;"")*(#REF!&lt;&gt;"")</formula>
    </cfRule>
  </conditionalFormatting>
  <conditionalFormatting sqref="O2066:P2070">
    <cfRule type="expression" dxfId="264" priority="416">
      <formula>(#REF!&lt;&gt;"")*(#REF!&lt;&gt;"")</formula>
    </cfRule>
  </conditionalFormatting>
  <conditionalFormatting sqref="O2076:P2076">
    <cfRule type="expression" dxfId="263" priority="1163">
      <formula>(#REF!&lt;&gt;"")*(#REF!&lt;&gt;"")</formula>
    </cfRule>
    <cfRule type="expression" dxfId="262" priority="1229">
      <formula>(#REF!&lt;&gt;"")*(#REF!&lt;&gt;"")</formula>
    </cfRule>
  </conditionalFormatting>
  <conditionalFormatting sqref="O2167:P2171">
    <cfRule type="expression" dxfId="261" priority="91">
      <formula>(#REF!&lt;&gt;"")*(#REF!&lt;&gt;"")</formula>
    </cfRule>
  </conditionalFormatting>
  <conditionalFormatting sqref="O2227:P2228">
    <cfRule type="expression" dxfId="260" priority="1126">
      <formula>(#REF!&lt;&gt;"")*(#REF!&lt;&gt;"")</formula>
    </cfRule>
  </conditionalFormatting>
  <conditionalFormatting sqref="O2512:P2569">
    <cfRule type="expression" dxfId="259" priority="930">
      <formula>(#REF!&lt;&gt;"")*(#REF!&lt;&gt;"")</formula>
    </cfRule>
  </conditionalFormatting>
  <conditionalFormatting sqref="O2769:P2769">
    <cfRule type="expression" dxfId="258" priority="335">
      <formula>(#REF!&lt;&gt;"")*(#REF!&lt;&gt;"")</formula>
    </cfRule>
  </conditionalFormatting>
  <conditionalFormatting sqref="O2810:P2811">
    <cfRule type="expression" dxfId="257" priority="329">
      <formula>(#REF!&lt;&gt;"")*(#REF!&lt;&gt;"")</formula>
    </cfRule>
  </conditionalFormatting>
  <conditionalFormatting sqref="O2812:P2814 O2815 O2816:P2816">
    <cfRule type="expression" dxfId="256" priority="327">
      <formula>($A2812&lt;&gt;"")*(#REF!&lt;&gt;"")</formula>
    </cfRule>
  </conditionalFormatting>
  <conditionalFormatting sqref="O2827:P2827">
    <cfRule type="expression" dxfId="255" priority="337">
      <formula>(#REF!&lt;&gt;"")*(#REF!&lt;&gt;"")</formula>
    </cfRule>
  </conditionalFormatting>
  <conditionalFormatting sqref="O2832:P2832">
    <cfRule type="expression" dxfId="254" priority="301">
      <formula>(#REF!&lt;&gt;"")*(#REF!&lt;&gt;"")</formula>
    </cfRule>
  </conditionalFormatting>
  <conditionalFormatting sqref="O2951:P2953">
    <cfRule type="expression" dxfId="253" priority="65">
      <formula>(#REF!&lt;&gt;"")*(#REF!&lt;&gt;"")</formula>
    </cfRule>
  </conditionalFormatting>
  <conditionalFormatting sqref="O2981:P2983">
    <cfRule type="expression" dxfId="252" priority="30">
      <formula>(#REF!&lt;&gt;"")*(#REF!&lt;&gt;"")</formula>
    </cfRule>
  </conditionalFormatting>
  <conditionalFormatting sqref="O2990:P2990">
    <cfRule type="expression" dxfId="251" priority="15">
      <formula>(#REF!&lt;&gt;"")*(#REF!&lt;&gt;"")</formula>
    </cfRule>
  </conditionalFormatting>
  <conditionalFormatting sqref="O1082:Q1088">
    <cfRule type="expression" dxfId="250" priority="1719">
      <formula>($A1082&lt;&gt;"")*(#REF!&lt;&gt;"")</formula>
    </cfRule>
  </conditionalFormatting>
  <conditionalFormatting sqref="O1091:Q1098">
    <cfRule type="expression" dxfId="249" priority="1520">
      <formula>($A1091&lt;&gt;"")*(#REF!&lt;&gt;"")</formula>
    </cfRule>
  </conditionalFormatting>
  <conditionalFormatting sqref="O2017:Q2017">
    <cfRule type="expression" dxfId="248" priority="1210">
      <formula>(#REF!&lt;&gt;"")*(#REF!&lt;&gt;"")</formula>
    </cfRule>
  </conditionalFormatting>
  <conditionalFormatting sqref="O2811:Q2811">
    <cfRule type="expression" dxfId="247" priority="328">
      <formula>(#REF!&lt;&gt;"")*(#REF!&lt;&gt;"")</formula>
    </cfRule>
  </conditionalFormatting>
  <conditionalFormatting sqref="P77 O254:P256 O1653:P1655 AA2570:AE2572 AA2575:AE2577">
    <cfRule type="expression" dxfId="246" priority="2074">
      <formula>(#REF!&lt;&gt;"")*(#REF!&lt;&gt;"")</formula>
    </cfRule>
  </conditionalFormatting>
  <conditionalFormatting sqref="P93:P94">
    <cfRule type="expression" dxfId="245" priority="2062">
      <formula>(#REF!&lt;&gt;"")*(#REF!&lt;&gt;"")</formula>
    </cfRule>
  </conditionalFormatting>
  <conditionalFormatting sqref="P94">
    <cfRule type="expression" dxfId="244" priority="2063">
      <formula>(#REF!&lt;&gt;"")*(#REF!&lt;&gt;"")</formula>
    </cfRule>
  </conditionalFormatting>
  <conditionalFormatting sqref="P187">
    <cfRule type="expression" dxfId="243" priority="2043">
      <formula>(#REF!&lt;&gt;"")*(#REF!&lt;&gt;"")</formula>
    </cfRule>
  </conditionalFormatting>
  <conditionalFormatting sqref="P196">
    <cfRule type="expression" dxfId="242" priority="2036">
      <formula>(#REF!&lt;&gt;"")*(#REF!&lt;&gt;"")</formula>
    </cfRule>
  </conditionalFormatting>
  <conditionalFormatting sqref="P347:P348">
    <cfRule type="expression" dxfId="241" priority="448">
      <formula>(#REF!&lt;&gt;"")*(#REF!&lt;&gt;"")</formula>
    </cfRule>
  </conditionalFormatting>
  <conditionalFormatting sqref="P747:P748">
    <cfRule type="expression" dxfId="240" priority="1969">
      <formula>(#REF!&lt;&gt;"")*(#REF!&lt;&gt;"")</formula>
    </cfRule>
  </conditionalFormatting>
  <conditionalFormatting sqref="P824:P838">
    <cfRule type="expression" dxfId="239" priority="470">
      <formula>(#REF!&lt;&gt;"")*(#REF!&lt;&gt;"")</formula>
    </cfRule>
  </conditionalFormatting>
  <conditionalFormatting sqref="P872:P873">
    <cfRule type="expression" dxfId="238" priority="1886">
      <formula>(#REF!&lt;&gt;"")*(#REF!&lt;&gt;"")</formula>
    </cfRule>
    <cfRule type="expression" dxfId="237" priority="1887">
      <formula>(#REF!&lt;&gt;"")*(#REF!&lt;&gt;"")</formula>
    </cfRule>
  </conditionalFormatting>
  <conditionalFormatting sqref="P879">
    <cfRule type="expression" dxfId="236" priority="715">
      <formula>(#REF!&lt;&gt;"")*(#REF!&lt;&gt;"")</formula>
    </cfRule>
  </conditionalFormatting>
  <conditionalFormatting sqref="P881:P893">
    <cfRule type="expression" dxfId="235" priority="1799">
      <formula>(#REF!&lt;&gt;"")*(#REF!&lt;&gt;"")</formula>
    </cfRule>
  </conditionalFormatting>
  <conditionalFormatting sqref="P881:P894">
    <cfRule type="expression" dxfId="234" priority="1800">
      <formula>(#REF!&lt;&gt;"")*(#REF!&lt;&gt;"")</formula>
    </cfRule>
  </conditionalFormatting>
  <conditionalFormatting sqref="P1039:P1044 L1040:L1044">
    <cfRule type="expression" dxfId="233" priority="1632">
      <formula>(#REF!&lt;&gt;"")*(#REF!&lt;&gt;"")</formula>
    </cfRule>
  </conditionalFormatting>
  <conditionalFormatting sqref="P1056:P1067">
    <cfRule type="expression" dxfId="232" priority="1568">
      <formula>(#REF!&lt;&gt;"")*(#REF!&lt;&gt;"")</formula>
    </cfRule>
  </conditionalFormatting>
  <conditionalFormatting sqref="P1077:P1078">
    <cfRule type="expression" dxfId="231" priority="1757">
      <formula>(#REF!&lt;&gt;"")*(#REF!&lt;&gt;"")</formula>
    </cfRule>
  </conditionalFormatting>
  <conditionalFormatting sqref="P1081">
    <cfRule type="expression" dxfId="230" priority="1750">
      <formula>(#REF!&lt;&gt;"")*(#REF!&lt;&gt;"")</formula>
    </cfRule>
  </conditionalFormatting>
  <conditionalFormatting sqref="P1090:P1094">
    <cfRule type="expression" dxfId="229" priority="1522">
      <formula>($A1090&lt;&gt;"")*(#REF!&lt;&gt;"")</formula>
    </cfRule>
  </conditionalFormatting>
  <conditionalFormatting sqref="P1109:P1110 E1232 G1232">
    <cfRule type="expression" dxfId="228" priority="1718">
      <formula>(#REF!&lt;&gt;"")*(#REF!&lt;&gt;"")</formula>
    </cfRule>
  </conditionalFormatting>
  <conditionalFormatting sqref="P1212:P1218">
    <cfRule type="expression" dxfId="227" priority="1618">
      <formula>(#REF!&lt;&gt;"")*(#REF!&lt;&gt;"")</formula>
    </cfRule>
  </conditionalFormatting>
  <conditionalFormatting sqref="P1221:P1231">
    <cfRule type="expression" dxfId="226" priority="156">
      <formula>(#REF!&lt;&gt;"")*(#REF!&lt;&gt;"")</formula>
    </cfRule>
  </conditionalFormatting>
  <conditionalFormatting sqref="P1233:P1235">
    <cfRule type="expression" dxfId="225" priority="1671">
      <formula>(#REF!&lt;&gt;"")*(#REF!&lt;&gt;"")</formula>
    </cfRule>
  </conditionalFormatting>
  <conditionalFormatting sqref="P1240:P1252">
    <cfRule type="expression" dxfId="224" priority="747">
      <formula>(#REF!&lt;&gt;"")*(#REF!&lt;&gt;"")</formula>
    </cfRule>
  </conditionalFormatting>
  <conditionalFormatting sqref="P1249:P1252">
    <cfRule type="expression" dxfId="223" priority="1645">
      <formula>(#REF!&lt;&gt;"")*(#REF!&lt;&gt;"")</formula>
    </cfRule>
  </conditionalFormatting>
  <conditionalFormatting sqref="P1254">
    <cfRule type="expression" dxfId="222" priority="1667">
      <formula>($A1254&lt;&gt;"")*(#REF!&lt;&gt;"")</formula>
    </cfRule>
  </conditionalFormatting>
  <conditionalFormatting sqref="P1256">
    <cfRule type="expression" dxfId="221" priority="1665">
      <formula>(#REF!&lt;&gt;"")*(#REF!&lt;&gt;"")</formula>
    </cfRule>
  </conditionalFormatting>
  <conditionalFormatting sqref="P1308">
    <cfRule type="expression" dxfId="220" priority="1511">
      <formula>(#REF!&lt;&gt;"")*(#REF!&lt;&gt;"")</formula>
    </cfRule>
  </conditionalFormatting>
  <conditionalFormatting sqref="P1315 L1315:L1318">
    <cfRule type="expression" dxfId="219" priority="1508">
      <formula>(#REF!&lt;&gt;"")*(#REF!&lt;&gt;"")</formula>
    </cfRule>
  </conditionalFormatting>
  <conditionalFormatting sqref="P1319:P1326 I1376:I1377">
    <cfRule type="expression" dxfId="218" priority="1515">
      <formula>(#REF!&lt;&gt;"")*(#REF!&lt;&gt;"")</formula>
    </cfRule>
  </conditionalFormatting>
  <conditionalFormatting sqref="P1325:P1326 M1336:N1336">
    <cfRule type="expression" dxfId="217" priority="1518">
      <formula>(#REF!&lt;&gt;"")*(#REF!&lt;&gt;"")</formula>
    </cfRule>
  </conditionalFormatting>
  <conditionalFormatting sqref="P1335:P1336">
    <cfRule type="expression" dxfId="216" priority="1506">
      <formula>(#REF!&lt;&gt;"")*(#REF!&lt;&gt;"")</formula>
    </cfRule>
  </conditionalFormatting>
  <conditionalFormatting sqref="P1368:P1379">
    <cfRule type="expression" dxfId="215" priority="1478">
      <formula>(#REF!&lt;&gt;"")*(#REF!&lt;&gt;"")</formula>
    </cfRule>
  </conditionalFormatting>
  <conditionalFormatting sqref="P1374:P1391">
    <cfRule type="expression" dxfId="214" priority="1435">
      <formula>(#REF!&lt;&gt;"")*(#REF!&lt;&gt;"")</formula>
    </cfRule>
  </conditionalFormatting>
  <conditionalFormatting sqref="P1381">
    <cfRule type="expression" dxfId="213" priority="1503">
      <formula>(#REF!&lt;&gt;"")*(#REF!&lt;&gt;"")</formula>
    </cfRule>
  </conditionalFormatting>
  <conditionalFormatting sqref="P1387:P1392">
    <cfRule type="expression" dxfId="212" priority="1436">
      <formula>(#REF!&lt;&gt;"")*(#REF!&lt;&gt;"")</formula>
    </cfRule>
  </conditionalFormatting>
  <conditionalFormatting sqref="P1393:P1395">
    <cfRule type="expression" dxfId="211" priority="1488">
      <formula>($A1393&lt;&gt;"")*(#REF!&lt;&gt;"")</formula>
    </cfRule>
  </conditionalFormatting>
  <conditionalFormatting sqref="P1400:P1408">
    <cfRule type="expression" dxfId="210" priority="1447">
      <formula>(#REF!&lt;&gt;"")*(#REF!&lt;&gt;"")</formula>
    </cfRule>
    <cfRule type="expression" dxfId="209" priority="1448">
      <formula>(#REF!&lt;&gt;"")*(#REF!&lt;&gt;"")</formula>
    </cfRule>
  </conditionalFormatting>
  <conditionalFormatting sqref="P1421:P1431">
    <cfRule type="expression" dxfId="208" priority="1393">
      <formula>(#REF!&lt;&gt;"")*(#REF!&lt;&gt;"")</formula>
    </cfRule>
  </conditionalFormatting>
  <conditionalFormatting sqref="P1476:P1485">
    <cfRule type="expression" dxfId="207" priority="1424">
      <formula>(#REF!&lt;&gt;"")*(#REF!&lt;&gt;"")</formula>
    </cfRule>
  </conditionalFormatting>
  <conditionalFormatting sqref="P1522:P1524">
    <cfRule type="expression" dxfId="206" priority="1302">
      <formula>(#REF!&lt;&gt;"")*(#REF!&lt;&gt;"")</formula>
    </cfRule>
    <cfRule type="expression" dxfId="205" priority="1304">
      <formula>(#REF!&lt;&gt;"")*(#REF!&lt;&gt;"")</formula>
    </cfRule>
  </conditionalFormatting>
  <conditionalFormatting sqref="P1541">
    <cfRule type="expression" dxfId="204" priority="1405">
      <formula>(#REF!&lt;&gt;"")*(#REF!&lt;&gt;"")</formula>
    </cfRule>
    <cfRule type="expression" dxfId="203" priority="1406">
      <formula>(#REF!&lt;&gt;"")*(#REF!&lt;&gt;"")</formula>
    </cfRule>
  </conditionalFormatting>
  <conditionalFormatting sqref="P1558">
    <cfRule type="expression" dxfId="202" priority="1317">
      <formula>(#REF!&lt;&gt;"")*(#REF!&lt;&gt;"")</formula>
    </cfRule>
    <cfRule type="expression" dxfId="201" priority="1319">
      <formula>(#REF!&lt;&gt;"")*(#REF!&lt;&gt;"")</formula>
    </cfRule>
  </conditionalFormatting>
  <conditionalFormatting sqref="P1642">
    <cfRule type="expression" dxfId="200" priority="1384">
      <formula>(#REF!&lt;&gt;"")*(#REF!&lt;&gt;"")</formula>
    </cfRule>
  </conditionalFormatting>
  <conditionalFormatting sqref="P1642:P1647">
    <cfRule type="expression" dxfId="199" priority="409">
      <formula>(#REF!&lt;&gt;"")*(#REF!&lt;&gt;"")</formula>
    </cfRule>
  </conditionalFormatting>
  <conditionalFormatting sqref="P1656:P1657">
    <cfRule type="expression" dxfId="198" priority="1380">
      <formula>(#REF!&lt;&gt;"")*(#REF!&lt;&gt;"")</formula>
    </cfRule>
  </conditionalFormatting>
  <conditionalFormatting sqref="P1658:P1659">
    <cfRule type="expression" dxfId="197" priority="1338">
      <formula>($A1658&lt;&gt;"")*(#REF!&lt;&gt;"")</formula>
    </cfRule>
  </conditionalFormatting>
  <conditionalFormatting sqref="P1674">
    <cfRule type="expression" dxfId="196" priority="1353">
      <formula>(#REF!&lt;&gt;"")*(#REF!&lt;&gt;"")</formula>
    </cfRule>
  </conditionalFormatting>
  <conditionalFormatting sqref="P1676:P1678 L1677:L1678">
    <cfRule type="expression" dxfId="195" priority="1329">
      <formula>(#REF!&lt;&gt;"")*(#REF!&lt;&gt;"")</formula>
    </cfRule>
  </conditionalFormatting>
  <conditionalFormatting sqref="P1685 O2223:P2224">
    <cfRule type="expression" dxfId="194" priority="2044">
      <formula>(#REF!&lt;&gt;"")*(#REF!&lt;&gt;"")</formula>
    </cfRule>
  </conditionalFormatting>
  <conditionalFormatting sqref="P1687">
    <cfRule type="expression" dxfId="193" priority="1349">
      <formula>(#REF!&lt;&gt;"")*(#REF!&lt;&gt;"")</formula>
    </cfRule>
  </conditionalFormatting>
  <conditionalFormatting sqref="P1700">
    <cfRule type="expression" dxfId="192" priority="1265">
      <formula>(#REF!&lt;&gt;"")*(#REF!&lt;&gt;"")</formula>
    </cfRule>
  </conditionalFormatting>
  <conditionalFormatting sqref="P1709:P1711">
    <cfRule type="expression" dxfId="191" priority="1101">
      <formula>(#REF!&lt;&gt;"")*(#REF!&lt;&gt;"")</formula>
    </cfRule>
  </conditionalFormatting>
  <conditionalFormatting sqref="P1809:P1818 L1810:L1818">
    <cfRule type="expression" dxfId="190" priority="1160">
      <formula>(#REF!&lt;&gt;"")*(#REF!&lt;&gt;"")</formula>
    </cfRule>
  </conditionalFormatting>
  <conditionalFormatting sqref="P1997:P2001">
    <cfRule type="expression" dxfId="189" priority="1217">
      <formula>(#REF!&lt;&gt;"")*(#REF!&lt;&gt;"")</formula>
    </cfRule>
  </conditionalFormatting>
  <conditionalFormatting sqref="P1997:P2002">
    <cfRule type="expression" dxfId="188" priority="1216">
      <formula>(#REF!&lt;&gt;"")*(#REF!&lt;&gt;"")</formula>
    </cfRule>
  </conditionalFormatting>
  <conditionalFormatting sqref="P2005:P2007">
    <cfRule type="expression" dxfId="187" priority="1085">
      <formula>(#REF!&lt;&gt;"")*(#REF!&lt;&gt;"")</formula>
    </cfRule>
  </conditionalFormatting>
  <conditionalFormatting sqref="P2047:P2056">
    <cfRule type="expression" dxfId="186" priority="188">
      <formula>(#REF!&lt;&gt;"")*(#REF!&lt;&gt;"")</formula>
    </cfRule>
  </conditionalFormatting>
  <conditionalFormatting sqref="P2055:P2056">
    <cfRule type="expression" dxfId="185" priority="1186">
      <formula>(#REF!&lt;&gt;"")*(#REF!&lt;&gt;"")</formula>
    </cfRule>
  </conditionalFormatting>
  <conditionalFormatting sqref="P2059:P2061">
    <cfRule type="expression" dxfId="184" priority="1147">
      <formula>(#REF!&lt;&gt;"")*(#REF!&lt;&gt;"")</formula>
    </cfRule>
  </conditionalFormatting>
  <conditionalFormatting sqref="P2066:P2067 M2067:N2067">
    <cfRule type="expression" dxfId="183" priority="1168">
      <formula>(#REF!&lt;&gt;"")*(#REF!&lt;&gt;"")</formula>
    </cfRule>
  </conditionalFormatting>
  <conditionalFormatting sqref="P2073 L2076">
    <cfRule type="expression" dxfId="182" priority="1164">
      <formula>(#REF!&lt;&gt;"")*(#REF!&lt;&gt;"")</formula>
    </cfRule>
  </conditionalFormatting>
  <conditionalFormatting sqref="P2095">
    <cfRule type="expression" dxfId="181" priority="1144">
      <formula>(#REF!&lt;&gt;"")*(#REF!&lt;&gt;"")</formula>
    </cfRule>
  </conditionalFormatting>
  <conditionalFormatting sqref="P2097">
    <cfRule type="expression" dxfId="180" priority="1145">
      <formula>(#REF!&lt;&gt;"")*(#REF!&lt;&gt;"")</formula>
    </cfRule>
  </conditionalFormatting>
  <conditionalFormatting sqref="P2157:P2159">
    <cfRule type="expression" dxfId="179" priority="543">
      <formula>(#REF!&lt;&gt;"")*(#REF!&lt;&gt;"")</formula>
    </cfRule>
  </conditionalFormatting>
  <conditionalFormatting sqref="P2172:P2187">
    <cfRule type="expression" dxfId="178" priority="727">
      <formula>(#REF!&lt;&gt;"")*(#REF!&lt;&gt;"")</formula>
    </cfRule>
  </conditionalFormatting>
  <conditionalFormatting sqref="P2201">
    <cfRule type="expression" dxfId="177" priority="1140">
      <formula>(#REF!&lt;&gt;"")*(#REF!&lt;&gt;"")</formula>
    </cfRule>
  </conditionalFormatting>
  <conditionalFormatting sqref="P2214:P2215">
    <cfRule type="expression" dxfId="176" priority="1973">
      <formula>(#REF!&lt;&gt;"")*(#REF!&lt;&gt;"")</formula>
    </cfRule>
  </conditionalFormatting>
  <conditionalFormatting sqref="P2217:P2218">
    <cfRule type="expression" dxfId="175" priority="1133">
      <formula>(#REF!&lt;&gt;"")*(#REF!&lt;&gt;"")</formula>
    </cfRule>
  </conditionalFormatting>
  <conditionalFormatting sqref="P2220:P2222">
    <cfRule type="expression" dxfId="174" priority="1121">
      <formula>(#REF!&lt;&gt;"")*(#REF!&lt;&gt;"")</formula>
    </cfRule>
  </conditionalFormatting>
  <conditionalFormatting sqref="P2225:P2226">
    <cfRule type="expression" dxfId="173" priority="1128">
      <formula>(#REF!&lt;&gt;"")*(#REF!&lt;&gt;"")</formula>
    </cfRule>
  </conditionalFormatting>
  <conditionalFormatting sqref="P2238:P2240">
    <cfRule type="expression" dxfId="172" priority="1122">
      <formula>(#REF!&lt;&gt;"")*(#REF!&lt;&gt;"")</formula>
    </cfRule>
  </conditionalFormatting>
  <conditionalFormatting sqref="P2252:P2253">
    <cfRule type="expression" dxfId="171" priority="935">
      <formula>(#REF!&lt;&gt;"")*(#REF!&lt;&gt;"")</formula>
    </cfRule>
  </conditionalFormatting>
  <conditionalFormatting sqref="P2570:P2572">
    <cfRule type="expression" dxfId="170" priority="920">
      <formula>(#REF!&lt;&gt;"")*(Q$1&lt;&gt;"")</formula>
    </cfRule>
  </conditionalFormatting>
  <conditionalFormatting sqref="P2575:P2577">
    <cfRule type="expression" dxfId="169" priority="896">
      <formula>(#REF!&lt;&gt;"")*(Q$1&lt;&gt;"")</formula>
    </cfRule>
  </conditionalFormatting>
  <conditionalFormatting sqref="P2593">
    <cfRule type="expression" dxfId="168" priority="888">
      <formula>($A2593&lt;&gt;"")*(#REF!&lt;&gt;"")</formula>
    </cfRule>
  </conditionalFormatting>
  <conditionalFormatting sqref="P2595">
    <cfRule type="expression" dxfId="167" priority="882">
      <formula>(#REF!&lt;&gt;"")*(#REF!&lt;&gt;"")</formula>
    </cfRule>
    <cfRule type="expression" dxfId="166" priority="883">
      <formula>(#REF!&lt;&gt;"")*(#REF!&lt;&gt;"")</formula>
    </cfRule>
  </conditionalFormatting>
  <conditionalFormatting sqref="P2598:P2601">
    <cfRule type="expression" dxfId="165" priority="874">
      <formula>(#REF!&lt;&gt;"")*(#REF!&lt;&gt;"")</formula>
    </cfRule>
  </conditionalFormatting>
  <conditionalFormatting sqref="P2613">
    <cfRule type="expression" dxfId="164" priority="865">
      <formula>(#REF!&lt;&gt;"")*(#REF!&lt;&gt;"")</formula>
    </cfRule>
  </conditionalFormatting>
  <conditionalFormatting sqref="P2636">
    <cfRule type="expression" dxfId="163" priority="739">
      <formula>(#REF!&lt;&gt;"")*(Q$1&lt;&gt;"")</formula>
    </cfRule>
  </conditionalFormatting>
  <conditionalFormatting sqref="P2641:P2642">
    <cfRule type="expression" dxfId="162" priority="431">
      <formula>(#REF!&lt;&gt;"")*(Q$1&lt;&gt;"")</formula>
    </cfRule>
  </conditionalFormatting>
  <conditionalFormatting sqref="P2644:P2646">
    <cfRule type="expression" dxfId="161" priority="734">
      <formula>(#REF!&lt;&gt;"")*(#REF!&lt;&gt;"")</formula>
    </cfRule>
  </conditionalFormatting>
  <conditionalFormatting sqref="P2649:P2651">
    <cfRule type="expression" dxfId="160" priority="730">
      <formula>(#REF!&lt;&gt;"")*(#REF!&lt;&gt;"")</formula>
    </cfRule>
  </conditionalFormatting>
  <conditionalFormatting sqref="P2673:P2675">
    <cfRule type="expression" dxfId="159" priority="628">
      <formula>(#REF!&lt;&gt;"")*(#REF!&lt;&gt;"")</formula>
    </cfRule>
  </conditionalFormatting>
  <conditionalFormatting sqref="P2815">
    <cfRule type="expression" dxfId="158" priority="314">
      <formula>(#REF!&lt;&gt;"")*(#REF!&lt;&gt;"")</formula>
    </cfRule>
    <cfRule type="expression" dxfId="157" priority="317">
      <formula>(#REF!&lt;&gt;"")*(#REF!&lt;&gt;"")</formula>
    </cfRule>
  </conditionalFormatting>
  <conditionalFormatting sqref="P2816">
    <cfRule type="expression" dxfId="156" priority="310">
      <formula>($A2816&lt;&gt;"")*(#REF!&lt;&gt;"")</formula>
    </cfRule>
  </conditionalFormatting>
  <conditionalFormatting sqref="P2830:P2832">
    <cfRule type="expression" dxfId="155" priority="302">
      <formula>(#REF!&lt;&gt;"")*(#REF!&lt;&gt;"")</formula>
    </cfRule>
  </conditionalFormatting>
  <conditionalFormatting sqref="P2887:P2895">
    <cfRule type="expression" dxfId="154" priority="242">
      <formula>(#REF!&lt;&gt;"")*(Q$1&lt;&gt;"")</formula>
    </cfRule>
  </conditionalFormatting>
  <conditionalFormatting sqref="P2897">
    <cfRule type="expression" dxfId="153" priority="273">
      <formula>(#REF!&lt;&gt;"")*(Q$1&lt;&gt;"")</formula>
    </cfRule>
  </conditionalFormatting>
  <conditionalFormatting sqref="P2905">
    <cfRule type="expression" dxfId="152" priority="263">
      <formula>(#REF!&lt;&gt;"")*(Q$1&lt;&gt;"")</formula>
    </cfRule>
  </conditionalFormatting>
  <conditionalFormatting sqref="P2906">
    <cfRule type="expression" dxfId="151" priority="252">
      <formula>(#REF!&lt;&gt;"")*(#REF!&lt;&gt;"")</formula>
    </cfRule>
  </conditionalFormatting>
  <conditionalFormatting sqref="P2917">
    <cfRule type="expression" dxfId="150" priority="236">
      <formula>(#REF!&lt;&gt;"")*(Q$1&lt;&gt;"")</formula>
    </cfRule>
  </conditionalFormatting>
  <conditionalFormatting sqref="P2919">
    <cfRule type="expression" dxfId="149" priority="193">
      <formula>(#REF!&lt;&gt;"")*(Q$1&lt;&gt;"")</formula>
    </cfRule>
  </conditionalFormatting>
  <conditionalFormatting sqref="P2944:P2947">
    <cfRule type="expression" dxfId="148" priority="73">
      <formula>(#REF!&lt;&gt;"")*(#REF!&lt;&gt;"")</formula>
    </cfRule>
  </conditionalFormatting>
  <conditionalFormatting sqref="P2994">
    <cfRule type="expression" dxfId="147" priority="8">
      <formula>(#REF!&lt;&gt;"")*(Q$1&lt;&gt;"")</formula>
    </cfRule>
  </conditionalFormatting>
  <conditionalFormatting sqref="P2995">
    <cfRule type="expression" dxfId="146" priority="3">
      <formula>(#REF!&lt;&gt;"")*(#REF!&lt;&gt;"")</formula>
    </cfRule>
  </conditionalFormatting>
  <conditionalFormatting sqref="P1256:Q1256">
    <cfRule type="expression" dxfId="145" priority="1662">
      <formula>(#REF!&lt;&gt;"")*(#REF!&lt;&gt;"")</formula>
    </cfRule>
  </conditionalFormatting>
  <conditionalFormatting sqref="P1368:Q1373 C1368:C1375 J1371">
    <cfRule type="expression" dxfId="144" priority="1480">
      <formula>(#REF!&lt;&gt;"")*(#REF!&lt;&gt;"")</formula>
    </cfRule>
  </conditionalFormatting>
  <conditionalFormatting sqref="P1393:Q1395">
    <cfRule type="expression" dxfId="143" priority="1481">
      <formula>($A1393&lt;&gt;"")*(#REF!&lt;&gt;"")</formula>
    </cfRule>
  </conditionalFormatting>
  <conditionalFormatting sqref="P2029:Q2038">
    <cfRule type="expression" dxfId="142" priority="960">
      <formula>(#REF!&lt;&gt;"")*(#REF!&lt;&gt;"")</formula>
    </cfRule>
  </conditionalFormatting>
  <conditionalFormatting sqref="P2056:Q2056">
    <cfRule type="expression" dxfId="141" priority="1187">
      <formula>(#REF!&lt;&gt;"")*(#REF!&lt;&gt;"")</formula>
    </cfRule>
  </conditionalFormatting>
  <conditionalFormatting sqref="P2593:Q2593">
    <cfRule type="expression" dxfId="140" priority="886">
      <formula>($A2593&lt;&gt;"")*(#REF!&lt;&gt;"")</formula>
    </cfRule>
  </conditionalFormatting>
  <conditionalFormatting sqref="Q1051:Q1066">
    <cfRule type="expression" dxfId="139" priority="1561">
      <formula>(#REF!&lt;&gt;"")*(#REF!&lt;&gt;"")</formula>
    </cfRule>
  </conditionalFormatting>
  <conditionalFormatting sqref="Q1080:Q1081">
    <cfRule type="expression" dxfId="138" priority="1751">
      <formula>(#REF!&lt;&gt;"")*(#REF!&lt;&gt;"")</formula>
    </cfRule>
  </conditionalFormatting>
  <conditionalFormatting sqref="Q1224:Q1225">
    <cfRule type="expression" dxfId="137" priority="1549">
      <formula>(#REF!&lt;&gt;"")*(#REF!&lt;&gt;"")</formula>
    </cfRule>
  </conditionalFormatting>
  <conditionalFormatting sqref="Q1252:Q1253">
    <cfRule type="expression" dxfId="136" priority="1675">
      <formula>(#REF!&lt;&gt;"")*(#REF!&lt;&gt;"")</formula>
    </cfRule>
  </conditionalFormatting>
  <conditionalFormatting sqref="Q1386">
    <cfRule type="expression" dxfId="135" priority="1501">
      <formula>(#REF!&lt;&gt;"")*(#REF!&lt;&gt;"")</formula>
    </cfRule>
  </conditionalFormatting>
  <conditionalFormatting sqref="Q1389:Q1391">
    <cfRule type="expression" dxfId="134" priority="1434">
      <formula>(#REF!&lt;&gt;"")*(#REF!&lt;&gt;"")</formula>
    </cfRule>
  </conditionalFormatting>
  <conditionalFormatting sqref="Q1659:Q1664">
    <cfRule type="expression" dxfId="133" priority="1282">
      <formula>($A1659&lt;&gt;"")*(#REF!&lt;&gt;"")</formula>
    </cfRule>
  </conditionalFormatting>
  <conditionalFormatting sqref="Q2492">
    <cfRule type="expression" dxfId="132" priority="475">
      <formula>(#REF!&lt;&gt;"")*(#REF!&lt;&gt;"")</formula>
    </cfRule>
  </conditionalFormatting>
  <conditionalFormatting sqref="Q2570:Q2571">
    <cfRule type="expression" dxfId="131" priority="916">
      <formula>(#REF!&lt;&gt;"")*(#REF!&lt;&gt;"")</formula>
    </cfRule>
  </conditionalFormatting>
  <conditionalFormatting sqref="Q2575:Q2577">
    <cfRule type="expression" dxfId="130" priority="898">
      <formula>(#REF!&lt;&gt;"")*(#REF!&lt;&gt;"")</formula>
    </cfRule>
  </conditionalFormatting>
  <conditionalFormatting sqref="Q2636">
    <cfRule type="expression" dxfId="129" priority="741">
      <formula>(#REF!&lt;&gt;"")*(#REF!&lt;&gt;"")</formula>
    </cfRule>
  </conditionalFormatting>
  <conditionalFormatting sqref="Q2641:Q2642">
    <cfRule type="expression" dxfId="128" priority="432">
      <formula>(#REF!&lt;&gt;"")*(#REF!&lt;&gt;"")</formula>
    </cfRule>
  </conditionalFormatting>
  <conditionalFormatting sqref="Q2887:Q2895">
    <cfRule type="expression" dxfId="127" priority="244">
      <formula>(#REF!&lt;&gt;"")*(#REF!&lt;&gt;"")</formula>
    </cfRule>
  </conditionalFormatting>
  <conditionalFormatting sqref="Q2897">
    <cfRule type="expression" dxfId="126" priority="275">
      <formula>(#REF!&lt;&gt;"")*(#REF!&lt;&gt;"")</formula>
    </cfRule>
  </conditionalFormatting>
  <conditionalFormatting sqref="Q2905">
    <cfRule type="expression" dxfId="125" priority="265">
      <formula>(#REF!&lt;&gt;"")*(#REF!&lt;&gt;"")</formula>
    </cfRule>
  </conditionalFormatting>
  <conditionalFormatting sqref="Q2912">
    <cfRule type="expression" dxfId="124" priority="246">
      <formula>(#REF!&lt;&gt;"")*(#REF!&lt;&gt;"")</formula>
    </cfRule>
  </conditionalFormatting>
  <conditionalFormatting sqref="Q2917">
    <cfRule type="expression" dxfId="123" priority="238">
      <formula>(#REF!&lt;&gt;"")*(#REF!&lt;&gt;"")</formula>
    </cfRule>
  </conditionalFormatting>
  <conditionalFormatting sqref="Q2919">
    <cfRule type="expression" dxfId="122" priority="195">
      <formula>(#REF!&lt;&gt;"")*(#REF!&lt;&gt;"")</formula>
    </cfRule>
  </conditionalFormatting>
  <conditionalFormatting sqref="Q2994">
    <cfRule type="expression" dxfId="121" priority="9">
      <formula>(#REF!&lt;&gt;"")*(#REF!&lt;&gt;"")</formula>
    </cfRule>
  </conditionalFormatting>
  <conditionalFormatting sqref="S817 AG2014:AH2015 AG2028:AH2028 AG2056:AH2056">
    <cfRule type="expression" dxfId="120" priority="852">
      <formula>(#REF!&lt;&gt;"")*(#REF!&lt;&gt;"")</formula>
    </cfRule>
  </conditionalFormatting>
  <conditionalFormatting sqref="S832:S841">
    <cfRule type="expression" dxfId="119" priority="834">
      <formula>(#REF!&lt;&gt;"")*(#REF!&lt;&gt;"")</formula>
    </cfRule>
  </conditionalFormatting>
  <conditionalFormatting sqref="S843 V843">
    <cfRule type="expression" dxfId="118" priority="850">
      <formula>(#REF!&lt;&gt;"")*(#REF!&lt;&gt;"")</formula>
    </cfRule>
  </conditionalFormatting>
  <conditionalFormatting sqref="S853">
    <cfRule type="expression" dxfId="117" priority="716">
      <formula>(#REF!&lt;&gt;"")*(#REF!&lt;&gt;"")</formula>
    </cfRule>
  </conditionalFormatting>
  <conditionalFormatting sqref="S879">
    <cfRule type="expression" dxfId="116" priority="711">
      <formula>(#REF!&lt;&gt;"")*(#REF!&lt;&gt;"")</formula>
    </cfRule>
  </conditionalFormatting>
  <conditionalFormatting sqref="S1039:S1077">
    <cfRule type="expression" dxfId="115" priority="819">
      <formula>(#REF!&lt;&gt;"")*(#REF!&lt;&gt;"")</formula>
    </cfRule>
  </conditionalFormatting>
  <conditionalFormatting sqref="S1109:S1110 V1109:V1110">
    <cfRule type="expression" dxfId="114" priority="828">
      <formula>(#REF!&lt;&gt;"")*(#REF!&lt;&gt;"")</formula>
    </cfRule>
  </conditionalFormatting>
  <conditionalFormatting sqref="S1165">
    <cfRule type="expression" dxfId="113" priority="547">
      <formula>(#REF!&lt;&gt;"")*(#REF!&lt;&gt;"")</formula>
    </cfRule>
  </conditionalFormatting>
  <conditionalFormatting sqref="S1168">
    <cfRule type="expression" dxfId="112" priority="548">
      <formula>(#REF!&lt;&gt;"")*(#REF!&lt;&gt;"")</formula>
    </cfRule>
  </conditionalFormatting>
  <conditionalFormatting sqref="S1176:S1177 V1176:V1177">
    <cfRule type="expression" dxfId="111" priority="825">
      <formula>(#REF!&lt;&gt;"")*(#REF!&lt;&gt;"")</formula>
    </cfRule>
  </conditionalFormatting>
  <conditionalFormatting sqref="S1179:S1181 V1179:V1181">
    <cfRule type="expression" dxfId="110" priority="827">
      <formula>(#REF!&lt;&gt;"")*(#REF!&lt;&gt;"")</formula>
    </cfRule>
  </conditionalFormatting>
  <conditionalFormatting sqref="S1187:S1188">
    <cfRule type="expression" dxfId="109" priority="538">
      <formula>(#REF!&lt;&gt;"")*(#REF!&lt;&gt;"")</formula>
    </cfRule>
  </conditionalFormatting>
  <conditionalFormatting sqref="S1212:S1232 U1221:U1230">
    <cfRule type="expression" dxfId="108" priority="153">
      <formula>(#REF!&lt;&gt;"")*(#REF!&lt;&gt;"")</formula>
    </cfRule>
  </conditionalFormatting>
  <conditionalFormatting sqref="S1254:S1255 U1254:U1255 AF1254:AF1255 S1257:S1258 U1257:U1258 AF1257:AF1258 S1393:S1395 AF1658:AF1666 S1675 U1675 AF1790:AF1792">
    <cfRule type="expression" dxfId="107" priority="831">
      <formula>($A1254&lt;&gt;"")*(#REF!&lt;&gt;"")</formula>
    </cfRule>
  </conditionalFormatting>
  <conditionalFormatting sqref="S1256 U1256">
    <cfRule type="expression" dxfId="106" priority="830">
      <formula>(#REF!&lt;&gt;"")*(#REF!&lt;&gt;"")</formula>
    </cfRule>
  </conditionalFormatting>
  <conditionalFormatting sqref="S1308 V1308">
    <cfRule type="expression" dxfId="105" priority="815">
      <formula>(#REF!&lt;&gt;"")*(#REF!&lt;&gt;"")</formula>
    </cfRule>
  </conditionalFormatting>
  <conditionalFormatting sqref="S1316 V1316">
    <cfRule type="expression" dxfId="104" priority="816">
      <formula>(#REF!&lt;&gt;"")*(#REF!&lt;&gt;"")</formula>
    </cfRule>
  </conditionalFormatting>
  <conditionalFormatting sqref="S1335:S1336 V1335:V1336">
    <cfRule type="expression" dxfId="103" priority="817">
      <formula>(#REF!&lt;&gt;"")*(#REF!&lt;&gt;"")</formula>
    </cfRule>
  </conditionalFormatting>
  <conditionalFormatting sqref="S1380">
    <cfRule type="expression" dxfId="102" priority="814">
      <formula>(#REF!&lt;&gt;"")*(#REF!&lt;&gt;"")</formula>
    </cfRule>
  </conditionalFormatting>
  <conditionalFormatting sqref="S1382">
    <cfRule type="expression" dxfId="101" priority="813">
      <formula>(#REF!&lt;&gt;"")*(#REF!&lt;&gt;"")</formula>
    </cfRule>
  </conditionalFormatting>
  <conditionalFormatting sqref="S1519:S1521">
    <cfRule type="expression" dxfId="100" priority="812">
      <formula>(#REF!&lt;&gt;"")*(#REF!&lt;&gt;"")</formula>
    </cfRule>
  </conditionalFormatting>
  <conditionalFormatting sqref="S1643 S1646:S1647 U1653:U1655 AF1654:AF1655">
    <cfRule type="expression" dxfId="99" priority="811">
      <formula>(#REF!&lt;&gt;"")*(#REF!&lt;&gt;"")</formula>
    </cfRule>
  </conditionalFormatting>
  <conditionalFormatting sqref="S1653:S1655">
    <cfRule type="expression" dxfId="98" priority="810">
      <formula>(#REF!&lt;&gt;"")*(#REF!&lt;&gt;"")</formula>
    </cfRule>
  </conditionalFormatting>
  <conditionalFormatting sqref="S1666:S1670">
    <cfRule type="expression" dxfId="97" priority="807">
      <formula>(#REF!&lt;&gt;"")*(#REF!&lt;&gt;"")</formula>
    </cfRule>
  </conditionalFormatting>
  <conditionalFormatting sqref="S1687 V1687">
    <cfRule type="expression" dxfId="96" priority="806">
      <formula>(#REF!&lt;&gt;"")*(#REF!&lt;&gt;"")</formula>
    </cfRule>
  </conditionalFormatting>
  <conditionalFormatting sqref="S1704">
    <cfRule type="expression" dxfId="95" priority="533">
      <formula>(#REF!&lt;&gt;"")*(#REF!&lt;&gt;"")</formula>
    </cfRule>
  </conditionalFormatting>
  <conditionalFormatting sqref="S2005:S2007">
    <cfRule type="expression" dxfId="94" priority="794">
      <formula>(#REF!&lt;&gt;"")*(#REF!&lt;&gt;"")</formula>
    </cfRule>
  </conditionalFormatting>
  <conditionalFormatting sqref="S2009:S2011">
    <cfRule type="expression" dxfId="93" priority="773">
      <formula>(#REF!&lt;&gt;"")*(#REF!&lt;&gt;"")</formula>
    </cfRule>
  </conditionalFormatting>
  <conditionalFormatting sqref="S2013:S2017">
    <cfRule type="expression" dxfId="92" priority="796">
      <formula>(#REF!&lt;&gt;"")*(#REF!&lt;&gt;"")</formula>
    </cfRule>
  </conditionalFormatting>
  <conditionalFormatting sqref="S2028:S2038">
    <cfRule type="expression" dxfId="91" priority="771">
      <formula>(#REF!&lt;&gt;"")*(#REF!&lt;&gt;"")</formula>
    </cfRule>
  </conditionalFormatting>
  <conditionalFormatting sqref="S2040:S2045">
    <cfRule type="expression" dxfId="90" priority="798">
      <formula>(#REF!&lt;&gt;"")*(#REF!&lt;&gt;"")</formula>
    </cfRule>
  </conditionalFormatting>
  <conditionalFormatting sqref="S2066:S2070">
    <cfRule type="expression" dxfId="89" priority="414">
      <formula>(#REF!&lt;&gt;"")*(#REF!&lt;&gt;"")</formula>
    </cfRule>
  </conditionalFormatting>
  <conditionalFormatting sqref="S2512:S2569 U2512:U2569 AG2512:AH2569">
    <cfRule type="expression" dxfId="88" priority="750">
      <formula>(#REF!&lt;&gt;"")*(#REF!&lt;&gt;"")</formula>
    </cfRule>
  </conditionalFormatting>
  <conditionalFormatting sqref="S2810 U2810 S2827 U2827">
    <cfRule type="expression" dxfId="87" priority="230">
      <formula>(#REF!&lt;&gt;"")*(#REF!&lt;&gt;"")</formula>
    </cfRule>
  </conditionalFormatting>
  <conditionalFormatting sqref="S2812:S2814">
    <cfRule type="expression" dxfId="86" priority="227">
      <formula>($A2812&lt;&gt;"")*(#REF!&lt;&gt;"")</formula>
    </cfRule>
  </conditionalFormatting>
  <conditionalFormatting sqref="S2815 U2815">
    <cfRule type="expression" dxfId="85" priority="228">
      <formula>(#REF!&lt;&gt;"")*(#REF!&lt;&gt;"")</formula>
    </cfRule>
  </conditionalFormatting>
  <conditionalFormatting sqref="S2983">
    <cfRule type="expression" dxfId="84" priority="2">
      <formula>(#REF!&lt;&gt;"")*(#REF!&lt;&gt;"")</formula>
    </cfRule>
  </conditionalFormatting>
  <conditionalFormatting sqref="S2990">
    <cfRule type="expression" dxfId="83" priority="1">
      <formula>(#REF!&lt;&gt;"")*(#REF!&lt;&gt;"")</formula>
    </cfRule>
  </conditionalFormatting>
  <conditionalFormatting sqref="S70:T70">
    <cfRule type="expression" dxfId="82" priority="863">
      <formula>(#REF!&lt;&gt;"")*(#REF!&lt;&gt;"")</formula>
    </cfRule>
  </conditionalFormatting>
  <conditionalFormatting sqref="S214:T218 V214:V221 U1039 U1041 U1043 U1212 U1214 U1216 U1218:U1219 U1232 S1239 U1239 S1241 U1241 S1368:S1375 U1519:U1520 S1676 U1676 U2005 U2017 W2017:X2017 U2028 U2040:U2045">
    <cfRule type="expression" dxfId="81" priority="861">
      <formula>(#REF!&lt;&gt;"")*(#REF!&lt;&gt;"")</formula>
    </cfRule>
  </conditionalFormatting>
  <conditionalFormatting sqref="S743:T744 V743:V744">
    <cfRule type="expression" dxfId="80" priority="848">
      <formula>(#REF!&lt;&gt;"")*(#REF!&lt;&gt;"")</formula>
    </cfRule>
  </conditionalFormatting>
  <conditionalFormatting sqref="T219 S220:T221 S441:T441 V441">
    <cfRule type="expression" dxfId="79" priority="860">
      <formula>(#REF!&lt;&gt;"")*(#REF!&lt;&gt;"")</formula>
    </cfRule>
  </conditionalFormatting>
  <conditionalFormatting sqref="U840">
    <cfRule type="expression" dxfId="78" priority="842">
      <formula>(#REF!&lt;&gt;"")*(#REF!&lt;&gt;"")</formula>
    </cfRule>
  </conditionalFormatting>
  <conditionalFormatting sqref="U858 U861:U862">
    <cfRule type="expression" dxfId="77" priority="843">
      <formula>(#REF!&lt;&gt;"")*(#REF!&lt;&gt;"")</formula>
    </cfRule>
  </conditionalFormatting>
  <conditionalFormatting sqref="U858:U862">
    <cfRule type="uniqueValues" dxfId="76" priority="851"/>
  </conditionalFormatting>
  <conditionalFormatting sqref="U1045:U1077">
    <cfRule type="expression" dxfId="75" priority="820">
      <formula>(#REF!&lt;&gt;"")*(#REF!&lt;&gt;"")</formula>
    </cfRule>
  </conditionalFormatting>
  <conditionalFormatting sqref="U1666:U1669">
    <cfRule type="expression" dxfId="74" priority="808">
      <formula>(#REF!&lt;&gt;"")*(#REF!&lt;&gt;"")</formula>
    </cfRule>
  </conditionalFormatting>
  <conditionalFormatting sqref="U1994:U1996">
    <cfRule type="uniqueValues" dxfId="73" priority="803"/>
  </conditionalFormatting>
  <conditionalFormatting sqref="U1995">
    <cfRule type="expression" dxfId="72" priority="799">
      <formula>(#REF!&lt;&gt;"")*(#REF!&lt;&gt;"")</formula>
    </cfRule>
  </conditionalFormatting>
  <conditionalFormatting sqref="U2013:U2015">
    <cfRule type="expression" dxfId="71" priority="802">
      <formula>(#REF!&lt;&gt;"")*(#REF!&lt;&gt;"")</formula>
    </cfRule>
  </conditionalFormatting>
  <conditionalFormatting sqref="U2029">
    <cfRule type="expression" dxfId="70" priority="792">
      <formula>(#REF!&lt;&gt;"")*(#REF!&lt;&gt;"")</formula>
    </cfRule>
  </conditionalFormatting>
  <conditionalFormatting sqref="U2030:U2038">
    <cfRule type="expression" dxfId="69" priority="772">
      <formula>(#REF!&lt;&gt;"")*(#REF!&lt;&gt;"")</formula>
    </cfRule>
  </conditionalFormatting>
  <conditionalFormatting sqref="U2816:V2816">
    <cfRule type="expression" dxfId="68" priority="225">
      <formula>($A2816&lt;&gt;"")*(#REF!&lt;&gt;"")</formula>
    </cfRule>
  </conditionalFormatting>
  <conditionalFormatting sqref="V817 AF1667:AF1670">
    <cfRule type="expression" dxfId="67" priority="853">
      <formula>(#REF!&lt;&gt;"")*(#REF!&lt;&gt;"")</formula>
    </cfRule>
  </conditionalFormatting>
  <conditionalFormatting sqref="V832:V841">
    <cfRule type="expression" dxfId="66" priority="835">
      <formula>(#REF!&lt;&gt;"")*(#REF!&lt;&gt;"")</formula>
    </cfRule>
  </conditionalFormatting>
  <conditionalFormatting sqref="V853">
    <cfRule type="expression" dxfId="65" priority="717">
      <formula>(#REF!&lt;&gt;"")*(#REF!&lt;&gt;"")</formula>
    </cfRule>
  </conditionalFormatting>
  <conditionalFormatting sqref="V879">
    <cfRule type="expression" dxfId="64" priority="712">
      <formula>(#REF!&lt;&gt;"")*(#REF!&lt;&gt;"")</formula>
    </cfRule>
  </conditionalFormatting>
  <conditionalFormatting sqref="V1643:V1647">
    <cfRule type="expression" dxfId="63" priority="406">
      <formula>(#REF!&lt;&gt;"")*(#REF!&lt;&gt;"")</formula>
    </cfRule>
  </conditionalFormatting>
  <conditionalFormatting sqref="V2066:V2067">
    <cfRule type="expression" dxfId="62" priority="795">
      <formula>(#REF!&lt;&gt;"")*(#REF!&lt;&gt;"")</formula>
    </cfRule>
  </conditionalFormatting>
  <conditionalFormatting sqref="W2017:X2017">
    <cfRule type="expression" dxfId="61" priority="804">
      <formula>(#REF!&lt;&gt;"")*(#REF!&lt;&gt;"")</formula>
    </cfRule>
  </conditionalFormatting>
  <conditionalFormatting sqref="AA2816">
    <cfRule type="expression" dxfId="60" priority="226">
      <formula>($A2816&lt;&gt;"")*(#REF!&lt;&gt;"")</formula>
    </cfRule>
  </conditionalFormatting>
  <conditionalFormatting sqref="AA1030170">
    <cfRule type="expression" dxfId="59" priority="2109">
      <formula>(#REF!&lt;&gt;"")*(AC$1&lt;&gt;"")</formula>
    </cfRule>
  </conditionalFormatting>
  <conditionalFormatting sqref="AA1030171">
    <cfRule type="expression" dxfId="58" priority="2108">
      <formula>(#REF!&lt;&gt;"")*(#REF!&lt;&gt;"")</formula>
    </cfRule>
  </conditionalFormatting>
  <conditionalFormatting sqref="AA1030173:AA1030176">
    <cfRule type="expression" dxfId="57" priority="2107">
      <formula>(#REF!&lt;&gt;"")*(#REF!&lt;&gt;"")</formula>
    </cfRule>
  </conditionalFormatting>
  <conditionalFormatting sqref="AA2810:AF2811 AA2827:AF2827">
    <cfRule type="expression" dxfId="56" priority="232">
      <formula>(#REF!&lt;&gt;"")*(#REF!&lt;&gt;"")</formula>
    </cfRule>
  </conditionalFormatting>
  <conditionalFormatting sqref="AA2815:AF2815">
    <cfRule type="expression" dxfId="55" priority="231">
      <formula>(#REF!&lt;&gt;"")*(#REF!&lt;&gt;"")</formula>
    </cfRule>
  </conditionalFormatting>
  <conditionalFormatting sqref="AB2822">
    <cfRule type="expression" dxfId="54" priority="213">
      <formula>($A2822&lt;&gt;"")*(#REF!&lt;&gt;"")</formula>
    </cfRule>
  </conditionalFormatting>
  <conditionalFormatting sqref="AB2826">
    <cfRule type="expression" dxfId="53" priority="214">
      <formula>(#REF!&lt;&gt;"")*(#REF!&lt;&gt;"")</formula>
    </cfRule>
  </conditionalFormatting>
  <conditionalFormatting sqref="AB2835">
    <cfRule type="expression" dxfId="52" priority="212">
      <formula>($A2835&lt;&gt;"")*(#REF!&lt;&gt;"")</formula>
    </cfRule>
  </conditionalFormatting>
  <conditionalFormatting sqref="AB2837">
    <cfRule type="expression" dxfId="51" priority="211">
      <formula>($A2837&lt;&gt;"")*(#REF!&lt;&gt;"")</formula>
    </cfRule>
  </conditionalFormatting>
  <conditionalFormatting sqref="AB2841">
    <cfRule type="expression" dxfId="50" priority="210">
      <formula>($A2841&lt;&gt;"")*(#REF!&lt;&gt;"")</formula>
    </cfRule>
  </conditionalFormatting>
  <conditionalFormatting sqref="AB2874:AB2875">
    <cfRule type="expression" dxfId="49" priority="208">
      <formula>($A2874&lt;&gt;"")*(#REF!&lt;&gt;"")</formula>
    </cfRule>
  </conditionalFormatting>
  <conditionalFormatting sqref="AB2877:AB2880">
    <cfRule type="expression" dxfId="48" priority="206">
      <formula>($A2877&lt;&gt;"")*(#REF!&lt;&gt;"")</formula>
    </cfRule>
  </conditionalFormatting>
  <conditionalFormatting sqref="AB2887 AB2891 AB2893">
    <cfRule type="expression" dxfId="47" priority="205">
      <formula>($A2887&lt;&gt;"")*(#REF!&lt;&gt;"")</formula>
    </cfRule>
  </conditionalFormatting>
  <conditionalFormatting sqref="AB2910">
    <cfRule type="expression" dxfId="46" priority="204">
      <formula>(#REF!&lt;&gt;"")*(#REF!&lt;&gt;"")</formula>
    </cfRule>
  </conditionalFormatting>
  <conditionalFormatting sqref="AB2918">
    <cfRule type="expression" dxfId="45" priority="198">
      <formula>(#REF!&lt;&gt;"")*(#REF!&lt;&gt;"")</formula>
    </cfRule>
  </conditionalFormatting>
  <conditionalFormatting sqref="AB2816:AF2816">
    <cfRule type="expression" dxfId="44" priority="224">
      <formula>(#REF!&lt;&gt;"")*(#REF!&lt;&gt;"")</formula>
    </cfRule>
  </conditionalFormatting>
  <conditionalFormatting sqref="AC2890">
    <cfRule type="expression" dxfId="43" priority="220">
      <formula>(#REF!&lt;&gt;"")*(#REF!&lt;&gt;"")</formula>
    </cfRule>
  </conditionalFormatting>
  <conditionalFormatting sqref="AC2894:AD2895">
    <cfRule type="expression" dxfId="42" priority="203">
      <formula>(#REF!&lt;&gt;"")*(#REF!&lt;&gt;"")</formula>
    </cfRule>
  </conditionalFormatting>
  <conditionalFormatting sqref="AC2917:AD2917">
    <cfRule type="expression" dxfId="41" priority="200">
      <formula>(#REF!&lt;&gt;"")*(#REF!&lt;&gt;"")</formula>
    </cfRule>
  </conditionalFormatting>
  <conditionalFormatting sqref="AC2887:AE2887">
    <cfRule type="expression" dxfId="40" priority="222">
      <formula>(#REF!&lt;&gt;"")*(#REF!&lt;&gt;"")</formula>
    </cfRule>
  </conditionalFormatting>
  <conditionalFormatting sqref="AC2891:AE2891 AC2892:AD2892 AC2893:AE2893">
    <cfRule type="expression" dxfId="39" priority="223">
      <formula>(#REF!&lt;&gt;"")*(#REF!&lt;&gt;"")</formula>
    </cfRule>
  </conditionalFormatting>
  <conditionalFormatting sqref="AD2892:AD2895">
    <cfRule type="expression" dxfId="38" priority="202">
      <formula>(#REF!&lt;&gt;"")*(#REF!&lt;&gt;"")</formula>
    </cfRule>
  </conditionalFormatting>
  <conditionalFormatting sqref="AD2917">
    <cfRule type="expression" dxfId="37" priority="199">
      <formula>(#REF!&lt;&gt;"")*(#REF!&lt;&gt;"")</formula>
    </cfRule>
  </conditionalFormatting>
  <conditionalFormatting sqref="AD2891:AE2891">
    <cfRule type="expression" dxfId="36" priority="218">
      <formula>(#REF!&lt;&gt;"")*(#REF!&lt;&gt;"")</formula>
    </cfRule>
  </conditionalFormatting>
  <conditionalFormatting sqref="AE2826">
    <cfRule type="expression" dxfId="35" priority="201">
      <formula>(#REF!&lt;&gt;"")*(#REF!&lt;&gt;"")</formula>
    </cfRule>
  </conditionalFormatting>
  <conditionalFormatting sqref="AE2890">
    <cfRule type="expression" dxfId="34" priority="219">
      <formula>(#REF!&lt;&gt;"")*(#REF!&lt;&gt;"")</formula>
    </cfRule>
    <cfRule type="expression" dxfId="33" priority="221">
      <formula>(#REF!&lt;&gt;"")*(#REF!&lt;&gt;"")</formula>
    </cfRule>
  </conditionalFormatting>
  <conditionalFormatting sqref="AF1212:AF1235">
    <cfRule type="expression" dxfId="32" priority="152">
      <formula>(#REF!&lt;&gt;"")*(#REF!&lt;&gt;"")</formula>
    </cfRule>
  </conditionalFormatting>
  <conditionalFormatting sqref="AF1239 AF1248:AF1252 AF1256">
    <cfRule type="expression" dxfId="31" priority="818">
      <formula>(#REF!&lt;&gt;"")*(#REF!&lt;&gt;"")</formula>
    </cfRule>
  </conditionalFormatting>
  <conditionalFormatting sqref="AF1657">
    <cfRule type="expression" dxfId="30" priority="805">
      <formula>(#REF!&lt;&gt;"")*(#REF!&lt;&gt;"")</formula>
    </cfRule>
  </conditionalFormatting>
  <conditionalFormatting sqref="AF1834:AF1835">
    <cfRule type="expression" dxfId="29" priority="544">
      <formula>($A1834&lt;&gt;"")*(#REF!&lt;&gt;"")</formula>
    </cfRule>
  </conditionalFormatting>
  <conditionalFormatting sqref="AF2230:AF2235">
    <cfRule type="uniqueValues" dxfId="28" priority="766"/>
  </conditionalFormatting>
  <conditionalFormatting sqref="AF2801:AF2803 AA2812:AF2813 U2813 AA2814 AC2814:AF2814 S2816 AF2822:AF2825">
    <cfRule type="expression" dxfId="27" priority="229">
      <formula>($A2801&lt;&gt;"")*(#REF!&lt;&gt;"")</formula>
    </cfRule>
  </conditionalFormatting>
  <conditionalFormatting sqref="AF2079:AG2079">
    <cfRule type="expression" dxfId="26" priority="767">
      <formula>(#REF!&lt;&gt;"")*(#REF!&lt;&gt;"")</formula>
    </cfRule>
  </conditionalFormatting>
  <conditionalFormatting sqref="AF2078:AH2078">
    <cfRule type="expression" dxfId="25" priority="768">
      <formula>(#REF!&lt;&gt;"")*(#REF!&lt;&gt;"")</formula>
    </cfRule>
  </conditionalFormatting>
  <conditionalFormatting sqref="AG138">
    <cfRule type="expression" dxfId="24" priority="858">
      <formula>(#REF!&lt;&gt;"")*(#REF!&lt;&gt;"")</formula>
    </cfRule>
  </conditionalFormatting>
  <conditionalFormatting sqref="AG2005:AG2007">
    <cfRule type="expression" dxfId="23" priority="765">
      <formula>(#REF!&lt;&gt;"")*(#REF!&lt;&gt;"")</formula>
    </cfRule>
  </conditionalFormatting>
  <conditionalFormatting sqref="AG2009:AG2011">
    <cfRule type="expression" dxfId="22" priority="753">
      <formula>(#REF!&lt;&gt;"")*(#REF!&lt;&gt;"")</formula>
    </cfRule>
  </conditionalFormatting>
  <conditionalFormatting sqref="AG2013 AG2016 AG2040:AG2041 AG2043:AG2046 AG2076">
    <cfRule type="expression" dxfId="21" priority="769">
      <formula>(#REF!&lt;&gt;"")*(#REF!&lt;&gt;"")</formula>
    </cfRule>
  </conditionalFormatting>
  <conditionalFormatting sqref="AG2029:AG2038">
    <cfRule type="expression" dxfId="20" priority="752">
      <formula>(#REF!&lt;&gt;"")*(#REF!&lt;&gt;"")</formula>
    </cfRule>
  </conditionalFormatting>
  <conditionalFormatting sqref="AG2068:AH2070">
    <cfRule type="expression" dxfId="19" priority="413">
      <formula>(#REF!&lt;&gt;"")*(#REF!&lt;&gt;"")</formula>
    </cfRule>
  </conditionalFormatting>
  <conditionalFormatting sqref="AG141:AM144">
    <cfRule type="expression" dxfId="18" priority="854">
      <formula>(#REF!&lt;&gt;"")*(#REF!&lt;&gt;"")</formula>
    </cfRule>
  </conditionalFormatting>
  <conditionalFormatting sqref="AH138:AJ138">
    <cfRule type="expression" dxfId="17" priority="857">
      <formula>(#REF!&lt;&gt;"")*(AG$1&lt;&gt;"")</formula>
    </cfRule>
  </conditionalFormatting>
  <conditionalFormatting sqref="AK138:AL138">
    <cfRule type="expression" dxfId="16" priority="855">
      <formula>(#REF!&lt;&gt;"")*(#REF!&lt;&gt;"")</formula>
    </cfRule>
  </conditionalFormatting>
  <conditionalFormatting sqref="AM138">
    <cfRule type="expression" dxfId="15" priority="856">
      <formula>(#REF!&lt;&gt;"")*(AJ$1&lt;&gt;"")</formula>
    </cfRule>
  </conditionalFormatting>
  <conditionalFormatting sqref="AO2101">
    <cfRule type="uniqueValues" dxfId="14" priority="387"/>
  </conditionalFormatting>
  <conditionalFormatting sqref="AO2102">
    <cfRule type="uniqueValues" dxfId="13" priority="751"/>
  </conditionalFormatting>
  <conditionalFormatting sqref="AO2118 AO2100 AO2103:AO2113">
    <cfRule type="uniqueValues" dxfId="12" priority="770"/>
  </conditionalFormatting>
  <conditionalFormatting sqref="AO2119">
    <cfRule type="uniqueValues" dxfId="11" priority="149"/>
  </conditionalFormatting>
  <conditionalFormatting sqref="AO2120">
    <cfRule type="uniqueValues" dxfId="10" priority="148"/>
  </conditionalFormatting>
  <dataValidations count="1">
    <dataValidation type="list" allowBlank="1" showInputMessage="1" showErrorMessage="1" sqref="AN2920:AN2938 AN2:AN2918" xr:uid="{6DC6EF1F-AA4A-4429-8FC4-7DD3E143CA6D}">
      <formula1>"SYS结算,运营商结算,中值结算,保底结算,包端口"</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E5073-A41C-41E1-A5ED-F2289DD105E3}">
  <dimension ref="A1:AE18"/>
  <sheetViews>
    <sheetView workbookViewId="0">
      <selection activeCell="J2525" sqref="J2525"/>
    </sheetView>
  </sheetViews>
  <sheetFormatPr baseColWidth="10" defaultColWidth="8.83203125" defaultRowHeight="15"/>
  <cols>
    <col min="1" max="1" width="21.33203125" bestFit="1" customWidth="1"/>
    <col min="6" max="6" width="37.5" customWidth="1"/>
    <col min="9" max="9" width="20.83203125" customWidth="1"/>
    <col min="14" max="14" width="11.6640625" customWidth="1"/>
    <col min="16" max="16" width="8.6640625" bestFit="1" customWidth="1"/>
    <col min="17" max="18" width="12.33203125" bestFit="1" customWidth="1"/>
    <col min="19" max="19" width="8.6640625" bestFit="1" customWidth="1"/>
    <col min="24" max="25" width="11" bestFit="1" customWidth="1"/>
  </cols>
  <sheetData>
    <row r="1" spans="1:31" ht="16">
      <c r="A1" s="1" t="s">
        <v>4642</v>
      </c>
      <c r="B1" s="1" t="s">
        <v>0</v>
      </c>
      <c r="C1" s="1" t="s">
        <v>1</v>
      </c>
      <c r="D1" s="1" t="s">
        <v>2</v>
      </c>
      <c r="E1" s="1" t="s">
        <v>3</v>
      </c>
      <c r="F1" s="1" t="s">
        <v>4632</v>
      </c>
      <c r="G1" s="1" t="s">
        <v>5</v>
      </c>
      <c r="H1" s="1" t="s">
        <v>4633</v>
      </c>
      <c r="I1" s="2" t="s">
        <v>7</v>
      </c>
      <c r="J1" s="3" t="s">
        <v>4634</v>
      </c>
      <c r="K1" s="3" t="s">
        <v>9</v>
      </c>
      <c r="L1" s="3" t="s">
        <v>10</v>
      </c>
      <c r="M1" s="3" t="s">
        <v>11</v>
      </c>
      <c r="N1" s="4" t="s">
        <v>12</v>
      </c>
      <c r="O1" s="3" t="s">
        <v>13</v>
      </c>
      <c r="P1" s="5" t="s">
        <v>14</v>
      </c>
      <c r="Q1" s="6" t="s">
        <v>15</v>
      </c>
      <c r="R1" s="5" t="s">
        <v>4635</v>
      </c>
      <c r="S1" s="7" t="s">
        <v>17</v>
      </c>
      <c r="T1" s="8" t="s">
        <v>4636</v>
      </c>
      <c r="U1" s="9" t="s">
        <v>4637</v>
      </c>
      <c r="V1" s="11" t="s">
        <v>22</v>
      </c>
      <c r="W1" s="12" t="s">
        <v>4638</v>
      </c>
      <c r="X1" s="4" t="s">
        <v>24</v>
      </c>
      <c r="Y1" s="4" t="s">
        <v>25</v>
      </c>
      <c r="Z1" s="13" t="s">
        <v>26</v>
      </c>
      <c r="AA1" s="14" t="s">
        <v>4639</v>
      </c>
      <c r="AB1" s="14" t="s">
        <v>28</v>
      </c>
      <c r="AC1" s="14" t="s">
        <v>4640</v>
      </c>
      <c r="AD1" s="15" t="s">
        <v>30</v>
      </c>
      <c r="AE1" s="16" t="s">
        <v>4641</v>
      </c>
    </row>
    <row r="2" spans="1:31" ht="16">
      <c r="A2" s="56" t="s">
        <v>4643</v>
      </c>
      <c r="B2" s="56" t="s">
        <v>45</v>
      </c>
      <c r="C2" s="21" t="s">
        <v>46</v>
      </c>
      <c r="D2" s="57" t="s">
        <v>814</v>
      </c>
      <c r="E2" s="22" t="s">
        <v>48</v>
      </c>
      <c r="F2" s="58" t="s">
        <v>2923</v>
      </c>
      <c r="G2" s="56" t="s">
        <v>2924</v>
      </c>
      <c r="H2" s="26" t="s">
        <v>77</v>
      </c>
      <c r="I2" s="299" t="s">
        <v>2925</v>
      </c>
      <c r="J2" s="26" t="s">
        <v>479</v>
      </c>
      <c r="K2" s="56" t="s">
        <v>2926</v>
      </c>
      <c r="L2" s="59" t="s">
        <v>2924</v>
      </c>
      <c r="M2" s="48" t="s">
        <v>2927</v>
      </c>
      <c r="N2" s="49">
        <v>45017</v>
      </c>
      <c r="O2" s="49" t="s">
        <v>90</v>
      </c>
      <c r="P2" s="60">
        <v>4300</v>
      </c>
      <c r="Q2" s="61">
        <v>1</v>
      </c>
      <c r="R2" s="51">
        <f t="shared" ref="R2:R3" si="0">ROUND(P2*Q2,2)</f>
        <v>4300</v>
      </c>
      <c r="S2" s="31">
        <v>202310</v>
      </c>
      <c r="T2" s="62" t="s">
        <v>4631</v>
      </c>
      <c r="U2" s="58"/>
      <c r="V2" s="63"/>
      <c r="W2" s="63"/>
      <c r="X2" s="36"/>
      <c r="Y2" s="36"/>
      <c r="Z2" s="36"/>
      <c r="AA2" s="36"/>
      <c r="AB2" s="36"/>
      <c r="AC2" s="36"/>
      <c r="AD2" s="36"/>
      <c r="AE2" s="40" t="s">
        <v>484</v>
      </c>
    </row>
    <row r="3" spans="1:31" ht="16">
      <c r="A3" s="347" t="s">
        <v>4645</v>
      </c>
      <c r="B3" s="20" t="s">
        <v>57</v>
      </c>
      <c r="C3" s="22" t="s">
        <v>83</v>
      </c>
      <c r="D3" s="22" t="s">
        <v>58</v>
      </c>
      <c r="E3" s="22" t="s">
        <v>85</v>
      </c>
      <c r="F3" s="23" t="s">
        <v>286</v>
      </c>
      <c r="G3" s="20" t="s">
        <v>287</v>
      </c>
      <c r="H3" s="300" t="s">
        <v>297</v>
      </c>
      <c r="I3" s="45" t="s">
        <v>326</v>
      </c>
      <c r="J3" s="26" t="s">
        <v>298</v>
      </c>
      <c r="K3" s="46" t="s">
        <v>327</v>
      </c>
      <c r="L3" s="47"/>
      <c r="M3" s="48" t="s">
        <v>289</v>
      </c>
      <c r="N3" s="49"/>
      <c r="O3" s="47"/>
      <c r="P3" s="50">
        <v>1984</v>
      </c>
      <c r="Q3" s="51">
        <v>0</v>
      </c>
      <c r="R3" s="51">
        <f t="shared" si="0"/>
        <v>0</v>
      </c>
      <c r="S3" s="31">
        <v>202310</v>
      </c>
      <c r="T3" s="32" t="s">
        <v>4644</v>
      </c>
      <c r="U3" s="32"/>
      <c r="V3" s="42"/>
      <c r="W3" s="42"/>
      <c r="X3" s="36">
        <v>45066</v>
      </c>
      <c r="Y3" s="36">
        <v>45431</v>
      </c>
      <c r="Z3" s="346"/>
      <c r="AA3" s="346"/>
      <c r="AB3" s="346"/>
      <c r="AC3" s="346"/>
      <c r="AD3" s="346"/>
      <c r="AE3" s="346"/>
    </row>
    <row r="4" spans="1:31" ht="16">
      <c r="A4" s="347" t="s">
        <v>4647</v>
      </c>
      <c r="B4" s="65" t="s">
        <v>57</v>
      </c>
      <c r="C4" s="21" t="s">
        <v>46</v>
      </c>
      <c r="D4" s="21" t="s">
        <v>188</v>
      </c>
      <c r="E4" s="22" t="s">
        <v>59</v>
      </c>
      <c r="F4" s="66" t="s">
        <v>335</v>
      </c>
      <c r="G4" s="65" t="s">
        <v>336</v>
      </c>
      <c r="H4" s="26" t="s">
        <v>77</v>
      </c>
      <c r="I4" s="45" t="s">
        <v>4547</v>
      </c>
      <c r="J4" s="102" t="s">
        <v>78</v>
      </c>
      <c r="K4" s="101" t="s">
        <v>1456</v>
      </c>
      <c r="L4" s="115"/>
      <c r="M4" s="48" t="s">
        <v>364</v>
      </c>
      <c r="N4" s="49">
        <v>45203</v>
      </c>
      <c r="O4" s="116" t="s">
        <v>177</v>
      </c>
      <c r="P4" s="68">
        <v>4169</v>
      </c>
      <c r="Q4" s="68">
        <v>-99</v>
      </c>
      <c r="R4" s="301">
        <f>ROUND(P4*Q4*27/31,2)+0.01</f>
        <v>-359475.38</v>
      </c>
      <c r="S4" s="31">
        <v>202310</v>
      </c>
      <c r="T4" s="117" t="s">
        <v>4646</v>
      </c>
      <c r="U4" s="118"/>
      <c r="V4" s="67"/>
      <c r="W4" s="67"/>
      <c r="X4" s="36"/>
      <c r="Y4" s="36"/>
      <c r="Z4" s="36"/>
      <c r="AA4" s="36"/>
      <c r="AB4" s="36"/>
      <c r="AC4" s="36"/>
      <c r="AD4" s="36"/>
      <c r="AE4" s="53" t="s">
        <v>56</v>
      </c>
    </row>
    <row r="5" spans="1:31" ht="16">
      <c r="A5" s="347" t="s">
        <v>4647</v>
      </c>
      <c r="B5" s="65" t="s">
        <v>57</v>
      </c>
      <c r="C5" s="21" t="s">
        <v>46</v>
      </c>
      <c r="D5" s="21" t="s">
        <v>188</v>
      </c>
      <c r="E5" s="22" t="s">
        <v>59</v>
      </c>
      <c r="F5" s="66" t="s">
        <v>335</v>
      </c>
      <c r="G5" s="65" t="s">
        <v>336</v>
      </c>
      <c r="H5" s="26" t="s">
        <v>77</v>
      </c>
      <c r="I5" s="45" t="s">
        <v>4547</v>
      </c>
      <c r="J5" s="102" t="s">
        <v>78</v>
      </c>
      <c r="K5" s="101" t="s">
        <v>1456</v>
      </c>
      <c r="L5" s="115"/>
      <c r="M5" s="48" t="s">
        <v>364</v>
      </c>
      <c r="N5" s="49">
        <v>45212</v>
      </c>
      <c r="O5" s="116" t="s">
        <v>177</v>
      </c>
      <c r="P5" s="68">
        <v>4169</v>
      </c>
      <c r="Q5" s="68">
        <v>-14</v>
      </c>
      <c r="R5" s="301">
        <f>ROUND(P5*Q5*18/31,2)+0.01</f>
        <v>-33889.93</v>
      </c>
      <c r="S5" s="31">
        <v>202310</v>
      </c>
      <c r="T5" s="117" t="s">
        <v>4648</v>
      </c>
      <c r="U5" s="118"/>
      <c r="V5" s="67"/>
      <c r="W5" s="67"/>
      <c r="X5" s="36"/>
      <c r="Y5" s="36"/>
      <c r="Z5" s="36"/>
      <c r="AA5" s="36"/>
      <c r="AB5" s="36"/>
      <c r="AC5" s="36"/>
      <c r="AD5" s="36"/>
      <c r="AE5" s="53" t="s">
        <v>56</v>
      </c>
    </row>
    <row r="6" spans="1:31" ht="16">
      <c r="A6" s="347" t="s">
        <v>4659</v>
      </c>
      <c r="B6" s="317" t="s">
        <v>57</v>
      </c>
      <c r="C6" s="303" t="s">
        <v>46</v>
      </c>
      <c r="D6" s="303" t="s">
        <v>188</v>
      </c>
      <c r="E6" s="304" t="s">
        <v>59</v>
      </c>
      <c r="F6" s="318" t="s">
        <v>372</v>
      </c>
      <c r="G6" s="317" t="s">
        <v>373</v>
      </c>
      <c r="H6" s="300" t="s">
        <v>77</v>
      </c>
      <c r="I6" s="319" t="s">
        <v>3659</v>
      </c>
      <c r="J6" s="300" t="s">
        <v>78</v>
      </c>
      <c r="K6" s="320" t="s">
        <v>3660</v>
      </c>
      <c r="L6" s="306"/>
      <c r="M6" s="308" t="s">
        <v>376</v>
      </c>
      <c r="N6" s="309">
        <v>45230</v>
      </c>
      <c r="O6" s="306" t="s">
        <v>182</v>
      </c>
      <c r="P6" s="321">
        <v>4048</v>
      </c>
      <c r="Q6" s="321">
        <v>3</v>
      </c>
      <c r="R6" s="301">
        <f>ROUND(P6*Q6*1/31,2)</f>
        <v>391.74</v>
      </c>
      <c r="S6" s="311">
        <v>202310</v>
      </c>
      <c r="T6" s="322" t="s">
        <v>4658</v>
      </c>
      <c r="U6" s="316"/>
      <c r="V6" s="323"/>
      <c r="W6" s="316"/>
      <c r="X6" s="314"/>
      <c r="Y6" s="314"/>
      <c r="Z6" s="324"/>
      <c r="AA6" s="325"/>
      <c r="AB6" s="325"/>
      <c r="AC6" s="325"/>
      <c r="AD6" s="315"/>
      <c r="AE6" s="326" t="s">
        <v>56</v>
      </c>
    </row>
    <row r="7" spans="1:31" ht="16">
      <c r="A7" s="347" t="s">
        <v>4659</v>
      </c>
      <c r="B7" s="303" t="s">
        <v>260</v>
      </c>
      <c r="C7" s="303" t="s">
        <v>46</v>
      </c>
      <c r="D7" s="303" t="s">
        <v>188</v>
      </c>
      <c r="E7" s="303" t="s">
        <v>48</v>
      </c>
      <c r="F7" s="327" t="s">
        <v>919</v>
      </c>
      <c r="G7" s="303" t="s">
        <v>920</v>
      </c>
      <c r="H7" s="328" t="s">
        <v>77</v>
      </c>
      <c r="I7" s="299" t="s">
        <v>1114</v>
      </c>
      <c r="J7" s="329" t="s">
        <v>78</v>
      </c>
      <c r="K7" s="317" t="s">
        <v>1115</v>
      </c>
      <c r="L7" s="330"/>
      <c r="M7" s="308" t="s">
        <v>923</v>
      </c>
      <c r="N7" s="331">
        <v>45229</v>
      </c>
      <c r="O7" s="332" t="s">
        <v>182</v>
      </c>
      <c r="P7" s="333">
        <v>8595</v>
      </c>
      <c r="Q7" s="333">
        <v>1</v>
      </c>
      <c r="R7" s="301">
        <f>ROUND(P7*Q7*2/31,2)</f>
        <v>554.52</v>
      </c>
      <c r="S7" s="311">
        <v>202310</v>
      </c>
      <c r="T7" s="334" t="s">
        <v>1119</v>
      </c>
      <c r="U7" s="336"/>
      <c r="V7" s="336"/>
      <c r="W7" s="336"/>
      <c r="X7" s="314">
        <v>44844</v>
      </c>
      <c r="Y7" s="314">
        <v>47036</v>
      </c>
      <c r="Z7" s="314"/>
      <c r="AA7" s="314"/>
      <c r="AB7" s="314"/>
      <c r="AC7" s="314"/>
      <c r="AD7" s="314"/>
      <c r="AE7" s="326" t="s">
        <v>56</v>
      </c>
    </row>
    <row r="8" spans="1:31" ht="16">
      <c r="A8" s="347" t="s">
        <v>4659</v>
      </c>
      <c r="B8" s="303" t="s">
        <v>260</v>
      </c>
      <c r="C8" s="303" t="s">
        <v>46</v>
      </c>
      <c r="D8" s="303" t="s">
        <v>188</v>
      </c>
      <c r="E8" s="303" t="s">
        <v>48</v>
      </c>
      <c r="F8" s="327" t="s">
        <v>1636</v>
      </c>
      <c r="G8" s="303" t="s">
        <v>920</v>
      </c>
      <c r="H8" s="328" t="s">
        <v>77</v>
      </c>
      <c r="I8" s="299" t="s">
        <v>1637</v>
      </c>
      <c r="J8" s="329" t="s">
        <v>78</v>
      </c>
      <c r="K8" s="317" t="s">
        <v>4661</v>
      </c>
      <c r="L8" s="330"/>
      <c r="M8" s="308" t="s">
        <v>923</v>
      </c>
      <c r="N8" s="337">
        <v>45229</v>
      </c>
      <c r="O8" s="338" t="s">
        <v>182</v>
      </c>
      <c r="P8" s="339">
        <v>8186</v>
      </c>
      <c r="Q8" s="339">
        <v>1</v>
      </c>
      <c r="R8" s="301">
        <f>ROUND(P8*Q8*2/31,2)</f>
        <v>528.13</v>
      </c>
      <c r="S8" s="311">
        <v>202310</v>
      </c>
      <c r="T8" s="340" t="s">
        <v>4660</v>
      </c>
      <c r="U8" s="341"/>
      <c r="V8" s="336"/>
      <c r="W8" s="336"/>
      <c r="X8" s="314"/>
      <c r="Y8" s="314"/>
      <c r="Z8" s="314"/>
      <c r="AA8" s="314"/>
      <c r="AB8" s="314"/>
      <c r="AC8" s="314"/>
      <c r="AD8" s="314"/>
      <c r="AE8" s="326" t="s">
        <v>56</v>
      </c>
    </row>
    <row r="9" spans="1:31" ht="16">
      <c r="A9" s="347" t="s">
        <v>4659</v>
      </c>
      <c r="B9" s="317" t="s">
        <v>57</v>
      </c>
      <c r="C9" s="304" t="s">
        <v>46</v>
      </c>
      <c r="D9" s="303" t="s">
        <v>188</v>
      </c>
      <c r="E9" s="304" t="s">
        <v>59</v>
      </c>
      <c r="F9" s="318" t="s">
        <v>3004</v>
      </c>
      <c r="G9" s="317" t="s">
        <v>3005</v>
      </c>
      <c r="H9" s="300" t="s">
        <v>77</v>
      </c>
      <c r="I9" s="319" t="s">
        <v>3006</v>
      </c>
      <c r="J9" s="300" t="s">
        <v>78</v>
      </c>
      <c r="K9" s="320" t="s">
        <v>3007</v>
      </c>
      <c r="L9" s="306"/>
      <c r="M9" s="308" t="s">
        <v>3008</v>
      </c>
      <c r="N9" s="309">
        <v>45226</v>
      </c>
      <c r="O9" s="306" t="s">
        <v>182</v>
      </c>
      <c r="P9" s="321">
        <v>3520</v>
      </c>
      <c r="Q9" s="321">
        <v>1</v>
      </c>
      <c r="R9" s="301">
        <f>ROUND(P9*Q9*5/31,2)</f>
        <v>567.74</v>
      </c>
      <c r="S9" s="311">
        <v>202310</v>
      </c>
      <c r="T9" s="322" t="s">
        <v>4662</v>
      </c>
      <c r="U9" s="335"/>
      <c r="V9" s="336"/>
      <c r="W9" s="336"/>
      <c r="X9" s="314">
        <v>44423</v>
      </c>
      <c r="Y9" s="314">
        <v>46279</v>
      </c>
      <c r="Z9" s="314"/>
      <c r="AA9" s="314"/>
      <c r="AB9" s="314"/>
      <c r="AC9" s="314"/>
      <c r="AD9" s="314"/>
      <c r="AE9" s="326" t="s">
        <v>56</v>
      </c>
    </row>
    <row r="10" spans="1:31" ht="16">
      <c r="A10" s="347" t="s">
        <v>4659</v>
      </c>
      <c r="B10" s="302" t="s">
        <v>258</v>
      </c>
      <c r="C10" s="303" t="s">
        <v>46</v>
      </c>
      <c r="D10" s="304" t="s">
        <v>188</v>
      </c>
      <c r="E10" s="304" t="s">
        <v>48</v>
      </c>
      <c r="F10" s="305" t="s">
        <v>431</v>
      </c>
      <c r="G10" s="302" t="s">
        <v>432</v>
      </c>
      <c r="H10" s="306" t="s">
        <v>165</v>
      </c>
      <c r="I10" s="299" t="s">
        <v>632</v>
      </c>
      <c r="J10" s="307" t="s">
        <v>491</v>
      </c>
      <c r="K10" s="306" t="s">
        <v>626</v>
      </c>
      <c r="L10" s="300" t="s">
        <v>627</v>
      </c>
      <c r="M10" s="308" t="s">
        <v>628</v>
      </c>
      <c r="N10" s="309">
        <v>45226</v>
      </c>
      <c r="O10" s="309"/>
      <c r="P10" s="310">
        <v>35</v>
      </c>
      <c r="Q10" s="301">
        <v>64</v>
      </c>
      <c r="R10" s="301">
        <f>ROUND(P10*Q10*5/31,2)</f>
        <v>361.29</v>
      </c>
      <c r="S10" s="311">
        <v>202310</v>
      </c>
      <c r="T10" s="312" t="s">
        <v>4663</v>
      </c>
      <c r="U10" s="312"/>
      <c r="V10" s="313"/>
      <c r="W10" s="313"/>
      <c r="X10" s="314"/>
      <c r="Y10" s="314"/>
      <c r="Z10" s="314"/>
      <c r="AA10" s="314"/>
      <c r="AB10" s="314"/>
      <c r="AC10" s="314"/>
      <c r="AD10" s="314"/>
      <c r="AE10" s="315" t="s">
        <v>484</v>
      </c>
    </row>
    <row r="11" spans="1:31" ht="16">
      <c r="A11" s="347" t="s">
        <v>4668</v>
      </c>
      <c r="B11" s="65" t="s">
        <v>57</v>
      </c>
      <c r="C11" s="22" t="s">
        <v>46</v>
      </c>
      <c r="D11" s="21" t="s">
        <v>188</v>
      </c>
      <c r="E11" s="22" t="s">
        <v>59</v>
      </c>
      <c r="F11" s="65" t="s">
        <v>4664</v>
      </c>
      <c r="G11" s="65" t="s">
        <v>3688</v>
      </c>
      <c r="H11" s="26" t="s">
        <v>77</v>
      </c>
      <c r="I11" s="24" t="s">
        <v>3689</v>
      </c>
      <c r="J11" s="102" t="s">
        <v>366</v>
      </c>
      <c r="K11" s="46" t="s">
        <v>3690</v>
      </c>
      <c r="L11" s="47"/>
      <c r="M11" s="48" t="s">
        <v>4665</v>
      </c>
      <c r="N11" s="49"/>
      <c r="O11" s="47"/>
      <c r="P11" s="61">
        <v>0.72599999999999998</v>
      </c>
      <c r="Q11" s="61">
        <f>R11/P11</f>
        <v>826446.28099173552</v>
      </c>
      <c r="R11" s="342">
        <v>600000</v>
      </c>
      <c r="S11" s="31">
        <v>202310</v>
      </c>
      <c r="T11" s="335" t="s">
        <v>4666</v>
      </c>
      <c r="U11" s="33"/>
      <c r="V11" s="343"/>
      <c r="W11" s="343"/>
      <c r="X11" s="344">
        <v>45114</v>
      </c>
      <c r="Y11" s="344">
        <v>46209</v>
      </c>
      <c r="Z11" s="344"/>
      <c r="AA11" s="344"/>
      <c r="AB11" s="344"/>
      <c r="AC11" s="344"/>
      <c r="AD11" s="344"/>
      <c r="AE11" s="345" t="s">
        <v>56</v>
      </c>
    </row>
    <row r="12" spans="1:31" ht="16">
      <c r="A12" s="347" t="s">
        <v>4669</v>
      </c>
      <c r="B12" s="65" t="s">
        <v>57</v>
      </c>
      <c r="C12" s="22" t="s">
        <v>46</v>
      </c>
      <c r="D12" s="21" t="s">
        <v>188</v>
      </c>
      <c r="E12" s="22" t="s">
        <v>59</v>
      </c>
      <c r="F12" s="65" t="s">
        <v>4664</v>
      </c>
      <c r="G12" s="65" t="s">
        <v>3688</v>
      </c>
      <c r="H12" s="26" t="s">
        <v>77</v>
      </c>
      <c r="I12" s="24" t="s">
        <v>3689</v>
      </c>
      <c r="J12" s="102" t="s">
        <v>366</v>
      </c>
      <c r="K12" s="46" t="s">
        <v>4667</v>
      </c>
      <c r="L12" s="47"/>
      <c r="M12" s="48" t="s">
        <v>4665</v>
      </c>
      <c r="N12" s="49"/>
      <c r="O12" s="47"/>
      <c r="P12" s="61">
        <v>0.72599999999999998</v>
      </c>
      <c r="Q12" s="61">
        <f>R12/P12</f>
        <v>137741.04683195593</v>
      </c>
      <c r="R12" s="30">
        <v>100000</v>
      </c>
      <c r="S12" s="31">
        <v>202310</v>
      </c>
      <c r="T12" s="335" t="s">
        <v>4670</v>
      </c>
      <c r="U12" s="33"/>
      <c r="V12" s="343"/>
      <c r="W12" s="343"/>
      <c r="X12" s="344">
        <v>45114</v>
      </c>
      <c r="Y12" s="344">
        <v>46209</v>
      </c>
      <c r="Z12" s="344"/>
      <c r="AA12" s="344"/>
      <c r="AB12" s="344"/>
      <c r="AC12" s="344"/>
      <c r="AD12" s="344"/>
      <c r="AE12" s="345" t="s">
        <v>56</v>
      </c>
    </row>
    <row r="13" spans="1:31" ht="16">
      <c r="A13" s="347" t="s">
        <v>4669</v>
      </c>
      <c r="B13" s="21" t="s">
        <v>57</v>
      </c>
      <c r="C13" s="21" t="s">
        <v>46</v>
      </c>
      <c r="D13" s="21" t="s">
        <v>188</v>
      </c>
      <c r="E13" s="21" t="s">
        <v>59</v>
      </c>
      <c r="F13" s="21" t="s">
        <v>3004</v>
      </c>
      <c r="G13" s="21" t="s">
        <v>3005</v>
      </c>
      <c r="H13" s="101" t="s">
        <v>77</v>
      </c>
      <c r="I13" s="26" t="s">
        <v>3006</v>
      </c>
      <c r="J13" s="102" t="s">
        <v>366</v>
      </c>
      <c r="K13" s="46" t="s">
        <v>3007</v>
      </c>
      <c r="L13" s="104"/>
      <c r="M13" s="48" t="s">
        <v>3008</v>
      </c>
      <c r="N13" s="27"/>
      <c r="O13" s="105"/>
      <c r="P13" s="106">
        <v>0.68</v>
      </c>
      <c r="Q13" s="106">
        <f>R13/0.68</f>
        <v>8088235.2941176463</v>
      </c>
      <c r="R13" s="51">
        <v>5500000</v>
      </c>
      <c r="S13" s="31">
        <v>202310</v>
      </c>
      <c r="T13" s="336" t="s">
        <v>4628</v>
      </c>
      <c r="U13" s="67"/>
      <c r="V13" s="343"/>
      <c r="W13" s="343"/>
      <c r="X13" s="344">
        <v>44423</v>
      </c>
      <c r="Y13" s="344">
        <v>46279</v>
      </c>
      <c r="Z13" s="344"/>
      <c r="AA13" s="344"/>
      <c r="AB13" s="344"/>
      <c r="AC13" s="344"/>
      <c r="AD13" s="344"/>
      <c r="AE13" s="345" t="s">
        <v>56</v>
      </c>
    </row>
    <row r="14" spans="1:31" ht="16">
      <c r="A14" s="347" t="s">
        <v>4669</v>
      </c>
      <c r="B14" s="21" t="s">
        <v>57</v>
      </c>
      <c r="C14" s="21" t="s">
        <v>46</v>
      </c>
      <c r="D14" s="21" t="s">
        <v>188</v>
      </c>
      <c r="E14" s="21" t="s">
        <v>59</v>
      </c>
      <c r="F14" s="21" t="s">
        <v>3004</v>
      </c>
      <c r="G14" s="21" t="s">
        <v>3005</v>
      </c>
      <c r="H14" s="101" t="s">
        <v>77</v>
      </c>
      <c r="I14" s="24" t="s">
        <v>3134</v>
      </c>
      <c r="J14" s="102" t="s">
        <v>366</v>
      </c>
      <c r="K14" s="65" t="s">
        <v>3135</v>
      </c>
      <c r="L14" s="104"/>
      <c r="M14" s="48" t="s">
        <v>3008</v>
      </c>
      <c r="N14" s="27"/>
      <c r="O14" s="105"/>
      <c r="P14" s="106">
        <v>0.68</v>
      </c>
      <c r="Q14" s="106">
        <f>R14/0.68</f>
        <v>6617647.0588235287</v>
      </c>
      <c r="R14" s="51">
        <v>4500000</v>
      </c>
      <c r="S14" s="31">
        <v>202310</v>
      </c>
      <c r="T14" s="335" t="s">
        <v>4629</v>
      </c>
      <c r="U14" s="67"/>
      <c r="V14" s="343"/>
      <c r="W14" s="343"/>
      <c r="X14" s="344">
        <v>44774</v>
      </c>
      <c r="Y14" s="344">
        <v>46660</v>
      </c>
      <c r="Z14" s="344"/>
      <c r="AA14" s="344"/>
      <c r="AB14" s="344"/>
      <c r="AC14" s="344"/>
      <c r="AD14" s="344"/>
      <c r="AE14" s="345" t="s">
        <v>56</v>
      </c>
    </row>
    <row r="17" spans="1:31" ht="16">
      <c r="A17" s="347" t="s">
        <v>4673</v>
      </c>
      <c r="B17" s="65" t="s">
        <v>57</v>
      </c>
      <c r="C17" s="22" t="s">
        <v>46</v>
      </c>
      <c r="D17" s="21" t="s">
        <v>188</v>
      </c>
      <c r="E17" s="22" t="s">
        <v>59</v>
      </c>
      <c r="F17" s="66" t="s">
        <v>4664</v>
      </c>
      <c r="G17" s="65" t="s">
        <v>3688</v>
      </c>
      <c r="H17" s="26" t="s">
        <v>77</v>
      </c>
      <c r="I17" s="45" t="s">
        <v>3689</v>
      </c>
      <c r="J17" s="102" t="s">
        <v>366</v>
      </c>
      <c r="K17" s="46" t="s">
        <v>3690</v>
      </c>
      <c r="L17" s="47"/>
      <c r="M17" s="48" t="s">
        <v>4665</v>
      </c>
      <c r="N17" s="49"/>
      <c r="O17" s="47"/>
      <c r="P17" s="61">
        <v>0.72599999999999998</v>
      </c>
      <c r="Q17" s="61">
        <f>R17/P17</f>
        <v>1377410.4683195592</v>
      </c>
      <c r="R17" s="342">
        <v>1000000</v>
      </c>
      <c r="S17" s="31">
        <v>202310</v>
      </c>
      <c r="T17" s="335" t="s">
        <v>4671</v>
      </c>
      <c r="U17" s="33"/>
      <c r="V17" s="67"/>
      <c r="W17" s="67"/>
      <c r="X17" s="36">
        <v>45114</v>
      </c>
      <c r="Y17" s="36">
        <v>46209</v>
      </c>
      <c r="Z17" s="36"/>
      <c r="AA17" s="36"/>
      <c r="AB17" s="36"/>
      <c r="AC17" s="36"/>
      <c r="AD17" s="36"/>
      <c r="AE17" s="53" t="s">
        <v>56</v>
      </c>
    </row>
    <row r="18" spans="1:31" ht="16">
      <c r="A18" s="346" t="s">
        <v>4674</v>
      </c>
      <c r="B18" s="65" t="s">
        <v>57</v>
      </c>
      <c r="C18" s="22" t="s">
        <v>46</v>
      </c>
      <c r="D18" s="21" t="s">
        <v>188</v>
      </c>
      <c r="E18" s="22" t="s">
        <v>59</v>
      </c>
      <c r="F18" s="66" t="s">
        <v>4664</v>
      </c>
      <c r="G18" s="65" t="s">
        <v>3688</v>
      </c>
      <c r="H18" s="26" t="s">
        <v>77</v>
      </c>
      <c r="I18" s="45" t="s">
        <v>3689</v>
      </c>
      <c r="J18" s="102" t="s">
        <v>366</v>
      </c>
      <c r="K18" s="46" t="s">
        <v>4667</v>
      </c>
      <c r="L18" s="47"/>
      <c r="M18" s="48" t="s">
        <v>4665</v>
      </c>
      <c r="N18" s="49"/>
      <c r="O18" s="47"/>
      <c r="P18" s="61">
        <v>0.72599999999999998</v>
      </c>
      <c r="Q18" s="61">
        <f>R18/P18</f>
        <v>137741.04683195593</v>
      </c>
      <c r="R18" s="30">
        <v>100000</v>
      </c>
      <c r="S18" s="31">
        <v>202310</v>
      </c>
      <c r="T18" s="33" t="s">
        <v>4672</v>
      </c>
      <c r="U18" s="33"/>
      <c r="V18" s="67"/>
      <c r="W18" s="67"/>
      <c r="X18" s="36">
        <v>45114</v>
      </c>
      <c r="Y18" s="36">
        <v>46209</v>
      </c>
      <c r="Z18" s="36"/>
      <c r="AA18" s="36"/>
      <c r="AB18" s="36"/>
      <c r="AC18" s="36"/>
      <c r="AD18" s="36"/>
      <c r="AE18" s="53" t="s">
        <v>56</v>
      </c>
    </row>
  </sheetData>
  <phoneticPr fontId="3" type="noConversion"/>
  <conditionalFormatting sqref="I7">
    <cfRule type="expression" dxfId="9" priority="20">
      <formula>(#REF!&lt;&gt;"")*(I$1&lt;&gt;"")</formula>
    </cfRule>
  </conditionalFormatting>
  <conditionalFormatting sqref="J9">
    <cfRule type="expression" dxfId="8" priority="18">
      <formula>(#REF!&lt;&gt;"")*(J$1&lt;&gt;"")</formula>
    </cfRule>
  </conditionalFormatting>
  <conditionalFormatting sqref="J11:J14">
    <cfRule type="expression" dxfId="7" priority="8">
      <formula>(#REF!&lt;&gt;"")*(J$1&lt;&gt;"")</formula>
    </cfRule>
  </conditionalFormatting>
  <conditionalFormatting sqref="J17:J18">
    <cfRule type="expression" dxfId="6" priority="1">
      <formula>(#REF!&lt;&gt;"")*(J$1&lt;&gt;"")</formula>
    </cfRule>
  </conditionalFormatting>
  <conditionalFormatting sqref="M7">
    <cfRule type="expression" dxfId="5" priority="19">
      <formula>(#REF!&lt;&gt;"")*(#REF!&lt;&gt;"")</formula>
    </cfRule>
  </conditionalFormatting>
  <conditionalFormatting sqref="M9">
    <cfRule type="expression" dxfId="4" priority="17">
      <formula>(#REF!&lt;&gt;"")*(#REF!&lt;&gt;"")</formula>
    </cfRule>
  </conditionalFormatting>
  <conditionalFormatting sqref="M11:M14">
    <cfRule type="expression" dxfId="3" priority="7">
      <formula>(#REF!&lt;&gt;"")*(#REF!&lt;&gt;"")</formula>
    </cfRule>
  </conditionalFormatting>
  <conditionalFormatting sqref="M17:M18">
    <cfRule type="expression" dxfId="2" priority="2">
      <formula>(#REF!&lt;&gt;"")*(#REF!&lt;&gt;"")</formula>
    </cfRule>
  </conditionalFormatting>
  <conditionalFormatting sqref="Q2">
    <cfRule type="expression" dxfId="1" priority="22">
      <formula>(#REF!&lt;&gt;"")*(#REF!&lt;&gt;"")</formula>
    </cfRule>
  </conditionalFormatting>
  <conditionalFormatting sqref="Q3">
    <cfRule type="expression" dxfId="0" priority="21">
      <formula>(#REF!&lt;&gt;"")*(#REF!&lt;&gt;"")</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C766B-C02B-4AAE-BEB0-632176D95941}">
  <dimension ref="A1:AJ68"/>
  <sheetViews>
    <sheetView workbookViewId="0">
      <selection activeCell="E18" sqref="E18"/>
    </sheetView>
  </sheetViews>
  <sheetFormatPr baseColWidth="10" defaultColWidth="8.6640625" defaultRowHeight="15"/>
  <cols>
    <col min="1" max="1" width="19.1640625" style="363" bestFit="1" customWidth="1"/>
    <col min="2" max="2" width="6.5" style="363" bestFit="1" customWidth="1"/>
    <col min="3" max="3" width="7.83203125" style="363" bestFit="1" customWidth="1"/>
    <col min="4" max="4" width="12.33203125" style="363" bestFit="1" customWidth="1"/>
    <col min="5" max="5" width="13.33203125" style="363" bestFit="1" customWidth="1"/>
    <col min="6" max="6" width="5.1640625" style="363" bestFit="1" customWidth="1"/>
    <col min="7" max="7" width="10.6640625" style="363" bestFit="1" customWidth="1"/>
    <col min="8" max="8" width="5.1640625" style="363" bestFit="1" customWidth="1"/>
    <col min="9" max="9" width="10.6640625" style="363" bestFit="1" customWidth="1"/>
    <col min="10" max="10" width="6.5" style="363" bestFit="1" customWidth="1"/>
    <col min="11" max="11" width="39.33203125" style="363" bestFit="1" customWidth="1"/>
    <col min="12" max="12" width="10.5" style="363" bestFit="1" customWidth="1"/>
    <col min="13" max="13" width="68.83203125" style="363" bestFit="1" customWidth="1"/>
    <col min="14" max="14" width="255" style="363" bestFit="1" customWidth="1"/>
    <col min="15" max="16" width="12.33203125" style="363" bestFit="1" customWidth="1"/>
    <col min="17" max="17" width="5.1640625" style="363" bestFit="1" customWidth="1"/>
    <col min="18" max="18" width="6.5" style="363" bestFit="1" customWidth="1"/>
    <col min="19" max="19" width="8" style="363" bestFit="1" customWidth="1"/>
    <col min="20" max="20" width="6.5" style="363" bestFit="1" customWidth="1"/>
    <col min="21" max="21" width="13.1640625" style="363" bestFit="1" customWidth="1"/>
    <col min="22" max="23" width="6.5" style="363" bestFit="1" customWidth="1"/>
    <col min="24" max="24" width="27" style="363" bestFit="1" customWidth="1"/>
    <col min="25" max="25" width="50" style="363" bestFit="1" customWidth="1"/>
    <col min="26" max="27" width="24.33203125" style="363" bestFit="1" customWidth="1"/>
    <col min="28" max="29" width="6.5" style="363" bestFit="1" customWidth="1"/>
    <col min="30" max="30" width="7.83203125" style="363" bestFit="1" customWidth="1"/>
    <col min="31" max="31" width="6.5" style="363" bestFit="1" customWidth="1"/>
    <col min="32" max="32" width="16.1640625" style="363" bestFit="1" customWidth="1"/>
    <col min="33" max="33" width="26.83203125" style="363" bestFit="1" customWidth="1"/>
    <col min="34" max="34" width="6.33203125" style="363" bestFit="1" customWidth="1"/>
    <col min="35" max="35" width="6.5" style="363" bestFit="1" customWidth="1"/>
    <col min="36" max="36" width="5.1640625" style="363" bestFit="1" customWidth="1"/>
    <col min="37" max="16384" width="8.6640625" style="363"/>
  </cols>
  <sheetData>
    <row r="1" spans="1:36">
      <c r="A1" s="362" t="s">
        <v>9188</v>
      </c>
      <c r="B1" s="362" t="s">
        <v>9189</v>
      </c>
      <c r="C1" s="362" t="s">
        <v>9190</v>
      </c>
      <c r="D1" s="362" t="s">
        <v>9191</v>
      </c>
      <c r="E1" s="362" t="s">
        <v>9192</v>
      </c>
      <c r="F1" s="362" t="s">
        <v>9193</v>
      </c>
      <c r="G1" s="362" t="s">
        <v>9194</v>
      </c>
      <c r="H1" s="362" t="s">
        <v>9195</v>
      </c>
      <c r="I1" s="362" t="s">
        <v>9196</v>
      </c>
      <c r="J1" s="362" t="s">
        <v>9197</v>
      </c>
      <c r="K1" s="362" t="s">
        <v>9198</v>
      </c>
      <c r="L1" s="362" t="s">
        <v>9199</v>
      </c>
      <c r="M1" s="362" t="s">
        <v>9200</v>
      </c>
      <c r="N1" s="362" t="s">
        <v>9201</v>
      </c>
      <c r="O1" s="362" t="s">
        <v>9202</v>
      </c>
      <c r="P1" s="362" t="s">
        <v>25</v>
      </c>
      <c r="Q1" s="362" t="s">
        <v>9203</v>
      </c>
      <c r="R1" s="362" t="s">
        <v>9204</v>
      </c>
      <c r="S1" s="362" t="s">
        <v>9205</v>
      </c>
      <c r="T1" s="362" t="s">
        <v>9206</v>
      </c>
      <c r="U1" s="362" t="s">
        <v>9207</v>
      </c>
      <c r="V1" s="362" t="s">
        <v>9208</v>
      </c>
      <c r="W1" s="362" t="s">
        <v>9209</v>
      </c>
      <c r="X1" s="362" t="s">
        <v>9210</v>
      </c>
      <c r="Y1" s="362" t="s">
        <v>9211</v>
      </c>
      <c r="Z1" s="362" t="s">
        <v>9212</v>
      </c>
      <c r="AA1" s="362" t="s">
        <v>9212</v>
      </c>
      <c r="AB1" s="362" t="s">
        <v>9190</v>
      </c>
      <c r="AC1" s="362" t="s">
        <v>9213</v>
      </c>
      <c r="AD1" s="362" t="s">
        <v>9214</v>
      </c>
      <c r="AE1" s="362" t="s">
        <v>9215</v>
      </c>
      <c r="AF1" s="362" t="s">
        <v>9216</v>
      </c>
      <c r="AG1" s="362" t="s">
        <v>9213</v>
      </c>
      <c r="AH1" s="362" t="s">
        <v>9217</v>
      </c>
      <c r="AI1" s="362" t="s">
        <v>9218</v>
      </c>
      <c r="AJ1" s="362" t="s">
        <v>9219</v>
      </c>
    </row>
    <row r="2" spans="1:36">
      <c r="A2" s="363" t="s">
        <v>5901</v>
      </c>
      <c r="B2" s="363" t="s">
        <v>9220</v>
      </c>
      <c r="C2" s="363" t="s">
        <v>9221</v>
      </c>
      <c r="D2" s="363" t="s">
        <v>9222</v>
      </c>
      <c r="E2" s="363" t="s">
        <v>9223</v>
      </c>
      <c r="F2" s="363" t="s">
        <v>9224</v>
      </c>
      <c r="G2" s="363" t="s">
        <v>9225</v>
      </c>
      <c r="H2" s="363" t="s">
        <v>71</v>
      </c>
      <c r="I2" s="363" t="s">
        <v>9226</v>
      </c>
      <c r="J2" s="363" t="s">
        <v>3740</v>
      </c>
      <c r="K2" s="363" t="s">
        <v>9227</v>
      </c>
      <c r="L2" s="363" t="s">
        <v>9228</v>
      </c>
      <c r="M2" s="363" t="s">
        <v>9229</v>
      </c>
      <c r="N2" s="363" t="s">
        <v>9230</v>
      </c>
      <c r="O2" s="363" t="s">
        <v>9231</v>
      </c>
      <c r="P2" s="363" t="s">
        <v>9232</v>
      </c>
      <c r="Q2" s="363" t="s">
        <v>1359</v>
      </c>
      <c r="R2" s="363" t="s">
        <v>9233</v>
      </c>
      <c r="S2" s="363" t="s">
        <v>1359</v>
      </c>
      <c r="T2" s="363" t="s">
        <v>1359</v>
      </c>
      <c r="U2" s="363" t="s">
        <v>9234</v>
      </c>
      <c r="V2" s="363" t="s">
        <v>9235</v>
      </c>
      <c r="W2" s="363" t="s">
        <v>3754</v>
      </c>
      <c r="X2" s="363" t="s">
        <v>1359</v>
      </c>
      <c r="Y2" s="363" t="s">
        <v>9236</v>
      </c>
      <c r="Z2" s="363" t="s">
        <v>9237</v>
      </c>
      <c r="AA2" s="363" t="s">
        <v>9237</v>
      </c>
      <c r="AB2" s="363" t="s">
        <v>3754</v>
      </c>
      <c r="AC2" s="363" t="s">
        <v>1359</v>
      </c>
      <c r="AD2" s="363" t="s">
        <v>9238</v>
      </c>
      <c r="AE2" s="363" t="s">
        <v>3754</v>
      </c>
      <c r="AF2" s="363" t="s">
        <v>3754</v>
      </c>
      <c r="AG2" s="363" t="s">
        <v>1359</v>
      </c>
      <c r="AH2" s="363" t="s">
        <v>9239</v>
      </c>
      <c r="AI2" s="363" t="s">
        <v>1359</v>
      </c>
      <c r="AJ2" s="363" t="s">
        <v>1359</v>
      </c>
    </row>
    <row r="3" spans="1:36">
      <c r="A3" s="363" t="s">
        <v>2946</v>
      </c>
      <c r="B3" s="363" t="s">
        <v>9220</v>
      </c>
      <c r="C3" s="363" t="s">
        <v>9221</v>
      </c>
      <c r="D3" s="363" t="s">
        <v>9240</v>
      </c>
      <c r="E3" s="363" t="s">
        <v>9223</v>
      </c>
      <c r="F3" s="363" t="s">
        <v>3728</v>
      </c>
      <c r="G3" s="363" t="s">
        <v>9225</v>
      </c>
      <c r="H3" s="363" t="s">
        <v>48</v>
      </c>
      <c r="I3" s="363" t="s">
        <v>9226</v>
      </c>
      <c r="J3" s="363" t="s">
        <v>3740</v>
      </c>
      <c r="K3" s="363" t="s">
        <v>9227</v>
      </c>
      <c r="L3" s="363" t="s">
        <v>9228</v>
      </c>
      <c r="M3" s="363" t="s">
        <v>9241</v>
      </c>
      <c r="N3" s="363" t="s">
        <v>9242</v>
      </c>
      <c r="O3" s="363" t="s">
        <v>9231</v>
      </c>
      <c r="P3" s="363" t="s">
        <v>9232</v>
      </c>
      <c r="Q3" s="363" t="s">
        <v>1359</v>
      </c>
      <c r="R3" s="363" t="s">
        <v>9233</v>
      </c>
      <c r="S3" s="363" t="s">
        <v>1359</v>
      </c>
      <c r="T3" s="363" t="s">
        <v>1359</v>
      </c>
      <c r="U3" s="363" t="s">
        <v>9243</v>
      </c>
      <c r="V3" s="363" t="s">
        <v>9235</v>
      </c>
      <c r="W3" s="363" t="s">
        <v>3754</v>
      </c>
      <c r="X3" s="363" t="s">
        <v>1359</v>
      </c>
      <c r="Y3" s="363" t="s">
        <v>9244</v>
      </c>
      <c r="Z3" s="363" t="s">
        <v>9237</v>
      </c>
      <c r="AA3" s="363" t="s">
        <v>9237</v>
      </c>
      <c r="AB3" s="363" t="s">
        <v>3754</v>
      </c>
      <c r="AC3" s="363" t="s">
        <v>1359</v>
      </c>
      <c r="AD3" s="363" t="s">
        <v>9238</v>
      </c>
      <c r="AE3" s="363" t="s">
        <v>3754</v>
      </c>
      <c r="AF3" s="363" t="s">
        <v>3754</v>
      </c>
      <c r="AG3" s="363" t="s">
        <v>1359</v>
      </c>
      <c r="AH3" s="363" t="s">
        <v>9239</v>
      </c>
      <c r="AI3" s="363" t="s">
        <v>1359</v>
      </c>
      <c r="AJ3" s="363" t="s">
        <v>1359</v>
      </c>
    </row>
    <row r="4" spans="1:36">
      <c r="A4" s="363" t="s">
        <v>4542</v>
      </c>
      <c r="B4" s="363" t="s">
        <v>9220</v>
      </c>
      <c r="C4" s="363" t="s">
        <v>9221</v>
      </c>
      <c r="D4" s="363" t="s">
        <v>9245</v>
      </c>
      <c r="E4" s="363" t="s">
        <v>9223</v>
      </c>
      <c r="F4" s="363" t="s">
        <v>3728</v>
      </c>
      <c r="G4" s="363" t="s">
        <v>9225</v>
      </c>
      <c r="H4" s="363" t="s">
        <v>8478</v>
      </c>
      <c r="I4" s="363" t="s">
        <v>9226</v>
      </c>
      <c r="J4" s="363" t="s">
        <v>3740</v>
      </c>
      <c r="K4" s="363" t="s">
        <v>9227</v>
      </c>
      <c r="L4" s="363" t="s">
        <v>9228</v>
      </c>
      <c r="M4" s="363" t="s">
        <v>9246</v>
      </c>
      <c r="N4" s="363" t="s">
        <v>9247</v>
      </c>
      <c r="O4" s="363" t="s">
        <v>9248</v>
      </c>
      <c r="P4" s="363" t="s">
        <v>9249</v>
      </c>
      <c r="Q4" s="363" t="s">
        <v>1359</v>
      </c>
      <c r="R4" s="363" t="s">
        <v>9233</v>
      </c>
      <c r="S4" s="363" t="s">
        <v>1359</v>
      </c>
      <c r="T4" s="363" t="s">
        <v>1359</v>
      </c>
      <c r="U4" s="363" t="s">
        <v>9250</v>
      </c>
      <c r="V4" s="363" t="s">
        <v>9235</v>
      </c>
      <c r="W4" s="363" t="s">
        <v>3754</v>
      </c>
      <c r="X4" s="363" t="s">
        <v>1359</v>
      </c>
      <c r="Y4" s="363" t="s">
        <v>1359</v>
      </c>
      <c r="Z4" s="363" t="s">
        <v>9237</v>
      </c>
      <c r="AA4" s="363" t="s">
        <v>9237</v>
      </c>
      <c r="AB4" s="363" t="s">
        <v>3754</v>
      </c>
      <c r="AC4" s="363" t="s">
        <v>1359</v>
      </c>
      <c r="AD4" s="363" t="s">
        <v>9251</v>
      </c>
      <c r="AE4" s="363" t="s">
        <v>3754</v>
      </c>
      <c r="AF4" s="363" t="s">
        <v>3754</v>
      </c>
      <c r="AG4" s="363" t="s">
        <v>1359</v>
      </c>
      <c r="AH4" s="363" t="s">
        <v>9239</v>
      </c>
      <c r="AI4" s="363" t="s">
        <v>1359</v>
      </c>
      <c r="AJ4" s="363" t="s">
        <v>1359</v>
      </c>
    </row>
    <row r="5" spans="1:36">
      <c r="A5" s="363" t="s">
        <v>4812</v>
      </c>
      <c r="B5" s="363" t="s">
        <v>9220</v>
      </c>
      <c r="C5" s="363" t="s">
        <v>9221</v>
      </c>
      <c r="D5" s="363" t="s">
        <v>9252</v>
      </c>
      <c r="E5" s="363" t="s">
        <v>9223</v>
      </c>
      <c r="F5" s="363" t="s">
        <v>9253</v>
      </c>
      <c r="G5" s="363" t="s">
        <v>9225</v>
      </c>
      <c r="H5" s="363" t="s">
        <v>888</v>
      </c>
      <c r="I5" s="363" t="s">
        <v>9226</v>
      </c>
      <c r="J5" s="363" t="s">
        <v>3740</v>
      </c>
      <c r="K5" s="363" t="s">
        <v>9227</v>
      </c>
      <c r="L5" s="363" t="s">
        <v>9228</v>
      </c>
      <c r="M5" s="363" t="s">
        <v>9254</v>
      </c>
      <c r="N5" s="363" t="s">
        <v>9255</v>
      </c>
      <c r="O5" s="363" t="s">
        <v>9231</v>
      </c>
      <c r="P5" s="363" t="s">
        <v>9232</v>
      </c>
      <c r="Q5" s="363" t="s">
        <v>1359</v>
      </c>
      <c r="R5" s="363" t="s">
        <v>9233</v>
      </c>
      <c r="S5" s="363" t="s">
        <v>1359</v>
      </c>
      <c r="T5" s="363" t="s">
        <v>1359</v>
      </c>
      <c r="U5" s="363" t="s">
        <v>9256</v>
      </c>
      <c r="V5" s="363" t="s">
        <v>9235</v>
      </c>
      <c r="W5" s="363" t="s">
        <v>3754</v>
      </c>
      <c r="X5" s="363" t="s">
        <v>1359</v>
      </c>
      <c r="Y5" s="363" t="s">
        <v>1359</v>
      </c>
      <c r="Z5" s="363" t="s">
        <v>9237</v>
      </c>
      <c r="AA5" s="363" t="s">
        <v>9237</v>
      </c>
      <c r="AB5" s="363" t="s">
        <v>3754</v>
      </c>
      <c r="AC5" s="363" t="s">
        <v>1359</v>
      </c>
      <c r="AD5" s="363" t="s">
        <v>9251</v>
      </c>
      <c r="AE5" s="363" t="s">
        <v>3754</v>
      </c>
      <c r="AF5" s="363" t="s">
        <v>3754</v>
      </c>
      <c r="AG5" s="363" t="s">
        <v>1359</v>
      </c>
      <c r="AH5" s="363" t="s">
        <v>9239</v>
      </c>
      <c r="AI5" s="363" t="s">
        <v>1359</v>
      </c>
      <c r="AJ5" s="363" t="s">
        <v>1359</v>
      </c>
    </row>
    <row r="6" spans="1:36">
      <c r="A6" s="363" t="s">
        <v>8849</v>
      </c>
      <c r="B6" s="363" t="s">
        <v>9220</v>
      </c>
      <c r="C6" s="363" t="s">
        <v>9221</v>
      </c>
      <c r="D6" s="363" t="s">
        <v>9257</v>
      </c>
      <c r="E6" s="363" t="s">
        <v>9223</v>
      </c>
      <c r="F6" s="363" t="s">
        <v>9258</v>
      </c>
      <c r="G6" s="363" t="s">
        <v>9225</v>
      </c>
      <c r="H6" s="363" t="s">
        <v>7115</v>
      </c>
      <c r="I6" s="363" t="s">
        <v>9226</v>
      </c>
      <c r="J6" s="363" t="s">
        <v>3740</v>
      </c>
      <c r="K6" s="363" t="s">
        <v>9227</v>
      </c>
      <c r="L6" s="363" t="s">
        <v>9228</v>
      </c>
      <c r="M6" s="363" t="s">
        <v>9259</v>
      </c>
      <c r="N6" s="363" t="s">
        <v>9260</v>
      </c>
      <c r="O6" s="363" t="s">
        <v>9261</v>
      </c>
      <c r="P6" s="363" t="s">
        <v>9262</v>
      </c>
      <c r="Q6" s="363" t="s">
        <v>1359</v>
      </c>
      <c r="R6" s="363" t="s">
        <v>9233</v>
      </c>
      <c r="S6" s="363" t="s">
        <v>1359</v>
      </c>
      <c r="T6" s="363" t="s">
        <v>1359</v>
      </c>
      <c r="U6" s="363" t="s">
        <v>9263</v>
      </c>
      <c r="V6" s="363" t="s">
        <v>9235</v>
      </c>
      <c r="W6" s="363" t="s">
        <v>3754</v>
      </c>
      <c r="X6" s="363" t="s">
        <v>1359</v>
      </c>
      <c r="Y6" s="363" t="s">
        <v>1359</v>
      </c>
      <c r="Z6" s="363" t="s">
        <v>9237</v>
      </c>
      <c r="AA6" s="363" t="s">
        <v>9237</v>
      </c>
      <c r="AB6" s="363" t="s">
        <v>3754</v>
      </c>
      <c r="AC6" s="363" t="s">
        <v>1359</v>
      </c>
      <c r="AD6" s="363" t="s">
        <v>9251</v>
      </c>
      <c r="AE6" s="363" t="s">
        <v>3754</v>
      </c>
      <c r="AF6" s="363" t="s">
        <v>3754</v>
      </c>
      <c r="AG6" s="363" t="s">
        <v>1359</v>
      </c>
      <c r="AH6" s="363" t="s">
        <v>9239</v>
      </c>
      <c r="AI6" s="363" t="s">
        <v>1359</v>
      </c>
      <c r="AJ6" s="363" t="s">
        <v>1359</v>
      </c>
    </row>
    <row r="7" spans="1:36">
      <c r="A7" s="363" t="s">
        <v>9264</v>
      </c>
      <c r="B7" s="363" t="s">
        <v>9220</v>
      </c>
      <c r="C7" s="363" t="s">
        <v>9221</v>
      </c>
      <c r="D7" s="363" t="s">
        <v>9257</v>
      </c>
      <c r="E7" s="363" t="s">
        <v>9223</v>
      </c>
      <c r="F7" s="363" t="s">
        <v>9258</v>
      </c>
      <c r="G7" s="363" t="s">
        <v>9225</v>
      </c>
      <c r="H7" s="363" t="s">
        <v>7115</v>
      </c>
      <c r="I7" s="363" t="s">
        <v>9226</v>
      </c>
      <c r="J7" s="363" t="s">
        <v>3740</v>
      </c>
      <c r="K7" s="363" t="s">
        <v>9227</v>
      </c>
      <c r="L7" s="363" t="s">
        <v>9228</v>
      </c>
      <c r="M7" s="363" t="s">
        <v>9265</v>
      </c>
      <c r="N7" s="363" t="s">
        <v>9266</v>
      </c>
      <c r="O7" s="363" t="s">
        <v>9261</v>
      </c>
      <c r="P7" s="363" t="s">
        <v>9262</v>
      </c>
      <c r="Q7" s="363" t="s">
        <v>1359</v>
      </c>
      <c r="R7" s="363" t="s">
        <v>9233</v>
      </c>
      <c r="S7" s="363" t="s">
        <v>1359</v>
      </c>
      <c r="T7" s="363" t="s">
        <v>1359</v>
      </c>
      <c r="U7" s="363" t="s">
        <v>9267</v>
      </c>
      <c r="V7" s="363" t="s">
        <v>9235</v>
      </c>
      <c r="W7" s="363" t="s">
        <v>3740</v>
      </c>
      <c r="X7" s="363" t="s">
        <v>9268</v>
      </c>
      <c r="Y7" s="363" t="s">
        <v>9269</v>
      </c>
      <c r="Z7" s="363" t="s">
        <v>9237</v>
      </c>
      <c r="AA7" s="363" t="s">
        <v>9237</v>
      </c>
      <c r="AB7" s="363" t="s">
        <v>3754</v>
      </c>
      <c r="AC7" s="363" t="s">
        <v>1359</v>
      </c>
      <c r="AD7" s="363" t="s">
        <v>9251</v>
      </c>
      <c r="AE7" s="363" t="s">
        <v>3754</v>
      </c>
      <c r="AF7" s="363" t="s">
        <v>3754</v>
      </c>
      <c r="AG7" s="363" t="s">
        <v>1359</v>
      </c>
      <c r="AH7" s="363" t="s">
        <v>9239</v>
      </c>
      <c r="AI7" s="363" t="s">
        <v>1359</v>
      </c>
      <c r="AJ7" s="363" t="s">
        <v>1359</v>
      </c>
    </row>
    <row r="8" spans="1:36">
      <c r="A8" s="363" t="s">
        <v>9270</v>
      </c>
      <c r="B8" s="363" t="s">
        <v>9220</v>
      </c>
      <c r="C8" s="363" t="s">
        <v>9221</v>
      </c>
      <c r="D8" s="363" t="s">
        <v>9257</v>
      </c>
      <c r="E8" s="363" t="s">
        <v>9223</v>
      </c>
      <c r="F8" s="363" t="s">
        <v>9258</v>
      </c>
      <c r="G8" s="363" t="s">
        <v>9225</v>
      </c>
      <c r="H8" s="363" t="s">
        <v>7115</v>
      </c>
      <c r="I8" s="363" t="s">
        <v>9226</v>
      </c>
      <c r="J8" s="363" t="s">
        <v>3740</v>
      </c>
      <c r="K8" s="363" t="s">
        <v>9227</v>
      </c>
      <c r="L8" s="363" t="s">
        <v>9228</v>
      </c>
      <c r="M8" s="363" t="s">
        <v>9271</v>
      </c>
      <c r="N8" s="363" t="s">
        <v>9272</v>
      </c>
      <c r="O8" s="363" t="s">
        <v>9261</v>
      </c>
      <c r="P8" s="363" t="s">
        <v>9262</v>
      </c>
      <c r="Q8" s="363" t="s">
        <v>1359</v>
      </c>
      <c r="R8" s="363" t="s">
        <v>9233</v>
      </c>
      <c r="S8" s="363" t="s">
        <v>1359</v>
      </c>
      <c r="T8" s="363" t="s">
        <v>1359</v>
      </c>
      <c r="U8" s="363" t="s">
        <v>9273</v>
      </c>
      <c r="V8" s="363" t="s">
        <v>9235</v>
      </c>
      <c r="W8" s="363" t="s">
        <v>3740</v>
      </c>
      <c r="X8" s="363" t="s">
        <v>9274</v>
      </c>
      <c r="Y8" s="363" t="s">
        <v>9275</v>
      </c>
      <c r="Z8" s="363" t="s">
        <v>9237</v>
      </c>
      <c r="AA8" s="363" t="s">
        <v>9237</v>
      </c>
      <c r="AB8" s="363" t="s">
        <v>3754</v>
      </c>
      <c r="AC8" s="363" t="s">
        <v>1359</v>
      </c>
      <c r="AD8" s="363" t="s">
        <v>9251</v>
      </c>
      <c r="AE8" s="363" t="s">
        <v>3754</v>
      </c>
      <c r="AF8" s="363" t="s">
        <v>3754</v>
      </c>
      <c r="AG8" s="363" t="s">
        <v>1359</v>
      </c>
      <c r="AH8" s="363" t="s">
        <v>9239</v>
      </c>
      <c r="AI8" s="363" t="s">
        <v>1359</v>
      </c>
      <c r="AJ8" s="363" t="s">
        <v>1359</v>
      </c>
    </row>
    <row r="9" spans="1:36">
      <c r="A9" s="363" t="s">
        <v>9276</v>
      </c>
      <c r="B9" s="363" t="s">
        <v>9277</v>
      </c>
      <c r="C9" s="363" t="s">
        <v>9221</v>
      </c>
      <c r="D9" s="363" t="s">
        <v>9257</v>
      </c>
      <c r="E9" s="363" t="s">
        <v>9223</v>
      </c>
      <c r="F9" s="363" t="s">
        <v>9224</v>
      </c>
      <c r="G9" s="363" t="s">
        <v>9225</v>
      </c>
      <c r="H9" s="363" t="s">
        <v>71</v>
      </c>
      <c r="I9" s="363" t="s">
        <v>9226</v>
      </c>
      <c r="J9" s="363" t="s">
        <v>3740</v>
      </c>
      <c r="K9" s="363" t="s">
        <v>9227</v>
      </c>
      <c r="L9" s="363" t="s">
        <v>9228</v>
      </c>
      <c r="M9" s="363" t="s">
        <v>9229</v>
      </c>
      <c r="N9" s="363" t="s">
        <v>9230</v>
      </c>
      <c r="O9" s="363" t="s">
        <v>9231</v>
      </c>
      <c r="P9" s="363" t="s">
        <v>9232</v>
      </c>
      <c r="Q9" s="363" t="s">
        <v>1359</v>
      </c>
      <c r="R9" s="363" t="s">
        <v>9233</v>
      </c>
      <c r="S9" s="363" t="s">
        <v>1359</v>
      </c>
      <c r="T9" s="363" t="s">
        <v>1359</v>
      </c>
      <c r="U9" s="363" t="s">
        <v>9234</v>
      </c>
      <c r="V9" s="363" t="s">
        <v>9235</v>
      </c>
      <c r="W9" s="363" t="s">
        <v>3754</v>
      </c>
      <c r="X9" s="363" t="s">
        <v>1359</v>
      </c>
      <c r="Y9" s="363" t="s">
        <v>9236</v>
      </c>
      <c r="Z9" s="363" t="s">
        <v>9237</v>
      </c>
      <c r="AA9" s="363" t="s">
        <v>9237</v>
      </c>
      <c r="AB9" s="363" t="s">
        <v>3754</v>
      </c>
      <c r="AC9" s="363" t="s">
        <v>1359</v>
      </c>
      <c r="AD9" s="363" t="s">
        <v>9238</v>
      </c>
      <c r="AE9" s="363" t="s">
        <v>3754</v>
      </c>
      <c r="AF9" s="363" t="s">
        <v>3754</v>
      </c>
      <c r="AG9" s="363" t="s">
        <v>1359</v>
      </c>
      <c r="AH9" s="363" t="s">
        <v>9239</v>
      </c>
      <c r="AI9" s="363" t="s">
        <v>1359</v>
      </c>
      <c r="AJ9" s="363" t="s">
        <v>1359</v>
      </c>
    </row>
    <row r="10" spans="1:36">
      <c r="A10" s="363" t="s">
        <v>7854</v>
      </c>
      <c r="B10" s="363" t="s">
        <v>9220</v>
      </c>
      <c r="C10" s="363" t="s">
        <v>9221</v>
      </c>
      <c r="D10" s="363" t="s">
        <v>9257</v>
      </c>
      <c r="E10" s="363" t="s">
        <v>9223</v>
      </c>
      <c r="F10" s="363" t="s">
        <v>9258</v>
      </c>
      <c r="G10" s="363" t="s">
        <v>9225</v>
      </c>
      <c r="H10" s="363" t="s">
        <v>7115</v>
      </c>
      <c r="I10" s="363" t="s">
        <v>9226</v>
      </c>
      <c r="J10" s="363" t="s">
        <v>3740</v>
      </c>
      <c r="K10" s="363" t="s">
        <v>9227</v>
      </c>
      <c r="L10" s="363" t="s">
        <v>9228</v>
      </c>
      <c r="M10" s="363" t="s">
        <v>9278</v>
      </c>
      <c r="N10" s="363" t="s">
        <v>9279</v>
      </c>
      <c r="O10" s="363" t="s">
        <v>9231</v>
      </c>
      <c r="P10" s="363" t="s">
        <v>9280</v>
      </c>
      <c r="Q10" s="363" t="s">
        <v>1359</v>
      </c>
      <c r="R10" s="363" t="s">
        <v>9233</v>
      </c>
      <c r="S10" s="363" t="s">
        <v>1359</v>
      </c>
      <c r="T10" s="363" t="s">
        <v>1359</v>
      </c>
      <c r="U10" s="363" t="s">
        <v>9281</v>
      </c>
      <c r="V10" s="363" t="s">
        <v>9235</v>
      </c>
      <c r="W10" s="363" t="s">
        <v>3754</v>
      </c>
      <c r="X10" s="363" t="s">
        <v>1359</v>
      </c>
      <c r="Y10" s="363" t="s">
        <v>9282</v>
      </c>
      <c r="Z10" s="363" t="s">
        <v>9237</v>
      </c>
      <c r="AA10" s="363" t="s">
        <v>9237</v>
      </c>
      <c r="AB10" s="363" t="s">
        <v>3754</v>
      </c>
      <c r="AC10" s="363" t="s">
        <v>1359</v>
      </c>
      <c r="AD10" s="363" t="s">
        <v>9238</v>
      </c>
      <c r="AE10" s="363" t="s">
        <v>3754</v>
      </c>
      <c r="AF10" s="363" t="s">
        <v>3754</v>
      </c>
      <c r="AG10" s="363" t="s">
        <v>1359</v>
      </c>
      <c r="AH10" s="363" t="s">
        <v>9239</v>
      </c>
      <c r="AI10" s="363" t="s">
        <v>1359</v>
      </c>
      <c r="AJ10" s="363" t="s">
        <v>1359</v>
      </c>
    </row>
    <row r="11" spans="1:36">
      <c r="A11" s="363" t="s">
        <v>5671</v>
      </c>
      <c r="B11" s="363" t="s">
        <v>9220</v>
      </c>
      <c r="C11" s="363" t="s">
        <v>9221</v>
      </c>
      <c r="D11" s="363" t="s">
        <v>9257</v>
      </c>
      <c r="E11" s="363" t="s">
        <v>9223</v>
      </c>
      <c r="F11" s="363" t="s">
        <v>9224</v>
      </c>
      <c r="G11" s="363" t="s">
        <v>9225</v>
      </c>
      <c r="H11" s="363" t="s">
        <v>71</v>
      </c>
      <c r="I11" s="363" t="s">
        <v>9226</v>
      </c>
      <c r="J11" s="363" t="s">
        <v>3740</v>
      </c>
      <c r="K11" s="363" t="s">
        <v>9227</v>
      </c>
      <c r="L11" s="363" t="s">
        <v>9228</v>
      </c>
      <c r="M11" s="363" t="s">
        <v>9283</v>
      </c>
      <c r="N11" s="363" t="s">
        <v>9284</v>
      </c>
      <c r="O11" s="363" t="s">
        <v>9285</v>
      </c>
      <c r="P11" s="363" t="s">
        <v>9286</v>
      </c>
      <c r="Q11" s="363" t="s">
        <v>1359</v>
      </c>
      <c r="R11" s="363" t="s">
        <v>9233</v>
      </c>
      <c r="S11" s="363" t="s">
        <v>1359</v>
      </c>
      <c r="T11" s="363" t="s">
        <v>1359</v>
      </c>
      <c r="U11" s="363" t="s">
        <v>9287</v>
      </c>
      <c r="V11" s="363" t="s">
        <v>9235</v>
      </c>
      <c r="W11" s="363" t="s">
        <v>3740</v>
      </c>
      <c r="X11" s="363" t="s">
        <v>9288</v>
      </c>
      <c r="Y11" s="363" t="s">
        <v>5664</v>
      </c>
      <c r="Z11" s="363" t="s">
        <v>9237</v>
      </c>
      <c r="AA11" s="363" t="s">
        <v>9237</v>
      </c>
      <c r="AB11" s="363" t="s">
        <v>3754</v>
      </c>
      <c r="AC11" s="363" t="s">
        <v>1359</v>
      </c>
      <c r="AD11" s="363" t="s">
        <v>9251</v>
      </c>
      <c r="AE11" s="363" t="s">
        <v>3754</v>
      </c>
      <c r="AF11" s="363" t="s">
        <v>3754</v>
      </c>
      <c r="AG11" s="363" t="s">
        <v>1359</v>
      </c>
      <c r="AH11" s="363" t="s">
        <v>9239</v>
      </c>
      <c r="AI11" s="363" t="s">
        <v>1359</v>
      </c>
      <c r="AJ11" s="363" t="s">
        <v>1359</v>
      </c>
    </row>
    <row r="12" spans="1:36">
      <c r="A12" s="363" t="s">
        <v>8336</v>
      </c>
      <c r="B12" s="363" t="s">
        <v>9220</v>
      </c>
      <c r="C12" s="363" t="s">
        <v>9221</v>
      </c>
      <c r="D12" s="363" t="s">
        <v>9257</v>
      </c>
      <c r="E12" s="363" t="s">
        <v>9223</v>
      </c>
      <c r="F12" s="363" t="s">
        <v>9258</v>
      </c>
      <c r="G12" s="363" t="s">
        <v>9225</v>
      </c>
      <c r="H12" s="363" t="s">
        <v>7115</v>
      </c>
      <c r="I12" s="363" t="s">
        <v>9226</v>
      </c>
      <c r="J12" s="363" t="s">
        <v>3740</v>
      </c>
      <c r="K12" s="363" t="s">
        <v>9227</v>
      </c>
      <c r="L12" s="363" t="s">
        <v>9228</v>
      </c>
      <c r="M12" s="363" t="s">
        <v>9289</v>
      </c>
      <c r="N12" s="363" t="s">
        <v>9290</v>
      </c>
      <c r="O12" s="363" t="s">
        <v>9261</v>
      </c>
      <c r="P12" s="363" t="s">
        <v>9262</v>
      </c>
      <c r="Q12" s="363" t="s">
        <v>1359</v>
      </c>
      <c r="R12" s="363" t="s">
        <v>9233</v>
      </c>
      <c r="S12" s="363" t="s">
        <v>1359</v>
      </c>
      <c r="T12" s="363" t="s">
        <v>1359</v>
      </c>
      <c r="U12" s="363" t="s">
        <v>9291</v>
      </c>
      <c r="V12" s="363" t="s">
        <v>9235</v>
      </c>
      <c r="W12" s="363" t="s">
        <v>3754</v>
      </c>
      <c r="X12" s="363" t="s">
        <v>1359</v>
      </c>
      <c r="Y12" s="363" t="s">
        <v>9292</v>
      </c>
      <c r="Z12" s="363" t="s">
        <v>9237</v>
      </c>
      <c r="AA12" s="363" t="s">
        <v>9237</v>
      </c>
      <c r="AB12" s="363" t="s">
        <v>3754</v>
      </c>
      <c r="AC12" s="363" t="s">
        <v>1359</v>
      </c>
      <c r="AD12" s="363" t="s">
        <v>9238</v>
      </c>
      <c r="AE12" s="363" t="s">
        <v>3754</v>
      </c>
      <c r="AF12" s="363" t="s">
        <v>3754</v>
      </c>
      <c r="AG12" s="363" t="s">
        <v>1359</v>
      </c>
      <c r="AH12" s="363" t="s">
        <v>9239</v>
      </c>
      <c r="AI12" s="363" t="s">
        <v>1359</v>
      </c>
      <c r="AJ12" s="363" t="s">
        <v>1359</v>
      </c>
    </row>
    <row r="13" spans="1:36">
      <c r="A13" s="363" t="s">
        <v>7766</v>
      </c>
      <c r="B13" s="363" t="s">
        <v>9220</v>
      </c>
      <c r="C13" s="363" t="s">
        <v>9221</v>
      </c>
      <c r="D13" s="363" t="s">
        <v>9257</v>
      </c>
      <c r="E13" s="363" t="s">
        <v>9223</v>
      </c>
      <c r="F13" s="363" t="s">
        <v>9258</v>
      </c>
      <c r="G13" s="363" t="s">
        <v>9225</v>
      </c>
      <c r="H13" s="363" t="s">
        <v>7115</v>
      </c>
      <c r="I13" s="363" t="s">
        <v>9226</v>
      </c>
      <c r="J13" s="363" t="s">
        <v>3740</v>
      </c>
      <c r="K13" s="363" t="s">
        <v>9227</v>
      </c>
      <c r="L13" s="363" t="s">
        <v>9228</v>
      </c>
      <c r="M13" s="363" t="s">
        <v>9293</v>
      </c>
      <c r="N13" s="363" t="s">
        <v>9294</v>
      </c>
      <c r="O13" s="363" t="s">
        <v>9295</v>
      </c>
      <c r="P13" s="363" t="s">
        <v>9296</v>
      </c>
      <c r="Q13" s="363" t="s">
        <v>1359</v>
      </c>
      <c r="R13" s="363" t="s">
        <v>9233</v>
      </c>
      <c r="S13" s="363" t="s">
        <v>1359</v>
      </c>
      <c r="T13" s="363" t="s">
        <v>1359</v>
      </c>
      <c r="U13" s="363" t="s">
        <v>9297</v>
      </c>
      <c r="V13" s="363" t="s">
        <v>9235</v>
      </c>
      <c r="W13" s="363" t="s">
        <v>3754</v>
      </c>
      <c r="X13" s="363" t="s">
        <v>1359</v>
      </c>
      <c r="Y13" s="363" t="s">
        <v>9298</v>
      </c>
      <c r="Z13" s="363" t="s">
        <v>9237</v>
      </c>
      <c r="AA13" s="363" t="s">
        <v>9237</v>
      </c>
      <c r="AB13" s="363" t="s">
        <v>3754</v>
      </c>
      <c r="AC13" s="363" t="s">
        <v>1359</v>
      </c>
      <c r="AD13" s="363" t="s">
        <v>9238</v>
      </c>
      <c r="AE13" s="363" t="s">
        <v>3754</v>
      </c>
      <c r="AF13" s="363" t="s">
        <v>3754</v>
      </c>
      <c r="AG13" s="363" t="s">
        <v>1359</v>
      </c>
      <c r="AH13" s="363" t="s">
        <v>9239</v>
      </c>
      <c r="AI13" s="363" t="s">
        <v>1359</v>
      </c>
      <c r="AJ13" s="363" t="s">
        <v>1359</v>
      </c>
    </row>
    <row r="14" spans="1:36">
      <c r="A14" s="363" t="s">
        <v>9299</v>
      </c>
      <c r="B14" s="363" t="s">
        <v>9220</v>
      </c>
      <c r="C14" s="363" t="s">
        <v>9300</v>
      </c>
      <c r="D14" s="363" t="s">
        <v>9301</v>
      </c>
      <c r="E14" s="363" t="s">
        <v>9223</v>
      </c>
      <c r="F14" s="363" t="s">
        <v>9302</v>
      </c>
      <c r="G14" s="363" t="s">
        <v>9226</v>
      </c>
      <c r="H14" s="363" t="s">
        <v>9302</v>
      </c>
      <c r="I14" s="363" t="s">
        <v>9226</v>
      </c>
      <c r="J14" s="363" t="s">
        <v>3754</v>
      </c>
      <c r="K14" s="363" t="s">
        <v>9227</v>
      </c>
      <c r="L14" s="363" t="s">
        <v>9228</v>
      </c>
      <c r="M14" s="363" t="s">
        <v>9303</v>
      </c>
      <c r="N14" s="363" t="s">
        <v>9304</v>
      </c>
      <c r="O14" s="363" t="s">
        <v>9295</v>
      </c>
      <c r="P14" s="363" t="s">
        <v>9296</v>
      </c>
      <c r="Q14" s="363" t="s">
        <v>1359</v>
      </c>
      <c r="R14" s="363" t="s">
        <v>9233</v>
      </c>
      <c r="S14" s="363" t="s">
        <v>1359</v>
      </c>
      <c r="T14" s="363" t="s">
        <v>1359</v>
      </c>
      <c r="U14" s="363" t="s">
        <v>9305</v>
      </c>
      <c r="V14" s="363" t="s">
        <v>9235</v>
      </c>
      <c r="W14" s="363" t="s">
        <v>3754</v>
      </c>
      <c r="X14" s="363" t="s">
        <v>1359</v>
      </c>
      <c r="Y14" s="363" t="s">
        <v>1359</v>
      </c>
      <c r="Z14" s="363" t="s">
        <v>9306</v>
      </c>
      <c r="AA14" s="363" t="s">
        <v>9306</v>
      </c>
      <c r="AB14" s="363" t="s">
        <v>3740</v>
      </c>
      <c r="AC14" s="363" t="s">
        <v>1359</v>
      </c>
      <c r="AD14" s="363" t="s">
        <v>9251</v>
      </c>
      <c r="AE14" s="363" t="s">
        <v>3754</v>
      </c>
      <c r="AF14" s="363" t="s">
        <v>3754</v>
      </c>
      <c r="AG14" s="363" t="s">
        <v>9307</v>
      </c>
      <c r="AH14" s="363" t="s">
        <v>9239</v>
      </c>
      <c r="AI14" s="363" t="s">
        <v>1359</v>
      </c>
      <c r="AJ14" s="363" t="s">
        <v>1359</v>
      </c>
    </row>
    <row r="15" spans="1:36">
      <c r="A15" s="363" t="s">
        <v>5955</v>
      </c>
      <c r="B15" s="363" t="s">
        <v>9220</v>
      </c>
      <c r="C15" s="363" t="s">
        <v>9221</v>
      </c>
      <c r="D15" s="363" t="s">
        <v>9301</v>
      </c>
      <c r="E15" s="363" t="s">
        <v>9223</v>
      </c>
      <c r="F15" s="363" t="s">
        <v>9224</v>
      </c>
      <c r="G15" s="363" t="s">
        <v>9225</v>
      </c>
      <c r="H15" s="363" t="s">
        <v>71</v>
      </c>
      <c r="I15" s="363" t="s">
        <v>9226</v>
      </c>
      <c r="J15" s="363" t="s">
        <v>3740</v>
      </c>
      <c r="K15" s="363" t="s">
        <v>9227</v>
      </c>
      <c r="L15" s="363" t="s">
        <v>9228</v>
      </c>
      <c r="M15" s="363" t="s">
        <v>9308</v>
      </c>
      <c r="N15" s="363" t="s">
        <v>9309</v>
      </c>
      <c r="O15" s="363" t="s">
        <v>9231</v>
      </c>
      <c r="P15" s="363" t="s">
        <v>9232</v>
      </c>
      <c r="Q15" s="363" t="s">
        <v>1359</v>
      </c>
      <c r="R15" s="363" t="s">
        <v>9233</v>
      </c>
      <c r="S15" s="363" t="s">
        <v>1359</v>
      </c>
      <c r="T15" s="363" t="s">
        <v>1359</v>
      </c>
      <c r="U15" s="363" t="s">
        <v>9310</v>
      </c>
      <c r="V15" s="363" t="s">
        <v>9235</v>
      </c>
      <c r="W15" s="363" t="s">
        <v>3754</v>
      </c>
      <c r="X15" s="363" t="s">
        <v>1359</v>
      </c>
      <c r="Y15" s="363" t="s">
        <v>9244</v>
      </c>
      <c r="Z15" s="363" t="s">
        <v>9237</v>
      </c>
      <c r="AA15" s="363" t="s">
        <v>9237</v>
      </c>
      <c r="AB15" s="363" t="s">
        <v>3754</v>
      </c>
      <c r="AC15" s="363" t="s">
        <v>1359</v>
      </c>
      <c r="AD15" s="363" t="s">
        <v>9238</v>
      </c>
      <c r="AE15" s="363" t="s">
        <v>3754</v>
      </c>
      <c r="AF15" s="363" t="s">
        <v>3754</v>
      </c>
      <c r="AG15" s="363" t="s">
        <v>1359</v>
      </c>
      <c r="AH15" s="363" t="s">
        <v>9239</v>
      </c>
      <c r="AI15" s="363" t="s">
        <v>1359</v>
      </c>
      <c r="AJ15" s="363" t="s">
        <v>1359</v>
      </c>
    </row>
    <row r="16" spans="1:36">
      <c r="A16" s="363" t="s">
        <v>6030</v>
      </c>
      <c r="B16" s="363" t="s">
        <v>9220</v>
      </c>
      <c r="C16" s="363" t="s">
        <v>9221</v>
      </c>
      <c r="D16" s="363" t="s">
        <v>9301</v>
      </c>
      <c r="E16" s="363" t="s">
        <v>9223</v>
      </c>
      <c r="F16" s="363" t="s">
        <v>9224</v>
      </c>
      <c r="G16" s="363" t="s">
        <v>9225</v>
      </c>
      <c r="H16" s="363" t="s">
        <v>71</v>
      </c>
      <c r="I16" s="363" t="s">
        <v>9226</v>
      </c>
      <c r="J16" s="363" t="s">
        <v>3740</v>
      </c>
      <c r="K16" s="363" t="s">
        <v>9227</v>
      </c>
      <c r="L16" s="363" t="s">
        <v>9228</v>
      </c>
      <c r="M16" s="363" t="s">
        <v>9311</v>
      </c>
      <c r="N16" s="363" t="s">
        <v>9312</v>
      </c>
      <c r="O16" s="363" t="s">
        <v>9295</v>
      </c>
      <c r="P16" s="363" t="s">
        <v>9232</v>
      </c>
      <c r="Q16" s="363" t="s">
        <v>1359</v>
      </c>
      <c r="R16" s="363" t="s">
        <v>9233</v>
      </c>
      <c r="S16" s="363" t="s">
        <v>1359</v>
      </c>
      <c r="T16" s="363" t="s">
        <v>1359</v>
      </c>
      <c r="U16" s="363" t="s">
        <v>9313</v>
      </c>
      <c r="V16" s="363" t="s">
        <v>9235</v>
      </c>
      <c r="W16" s="363" t="s">
        <v>3754</v>
      </c>
      <c r="X16" s="363" t="s">
        <v>1359</v>
      </c>
      <c r="Y16" s="363" t="s">
        <v>9244</v>
      </c>
      <c r="Z16" s="363" t="s">
        <v>9306</v>
      </c>
      <c r="AA16" s="363" t="s">
        <v>9306</v>
      </c>
      <c r="AB16" s="363" t="s">
        <v>3754</v>
      </c>
      <c r="AC16" s="363" t="s">
        <v>1359</v>
      </c>
      <c r="AD16" s="363" t="s">
        <v>9238</v>
      </c>
      <c r="AE16" s="363" t="s">
        <v>3754</v>
      </c>
      <c r="AF16" s="363" t="s">
        <v>3754</v>
      </c>
      <c r="AG16" s="363" t="s">
        <v>1359</v>
      </c>
      <c r="AH16" s="363" t="s">
        <v>9239</v>
      </c>
      <c r="AI16" s="363" t="s">
        <v>1359</v>
      </c>
      <c r="AJ16" s="363" t="s">
        <v>1359</v>
      </c>
    </row>
    <row r="17" spans="1:36">
      <c r="A17" s="363" t="s">
        <v>5949</v>
      </c>
      <c r="B17" s="363" t="s">
        <v>9220</v>
      </c>
      <c r="C17" s="363" t="s">
        <v>9221</v>
      </c>
      <c r="D17" s="363" t="s">
        <v>9301</v>
      </c>
      <c r="E17" s="363" t="s">
        <v>9223</v>
      </c>
      <c r="F17" s="363" t="s">
        <v>9224</v>
      </c>
      <c r="G17" s="363" t="s">
        <v>9225</v>
      </c>
      <c r="H17" s="363" t="s">
        <v>71</v>
      </c>
      <c r="I17" s="363" t="s">
        <v>9226</v>
      </c>
      <c r="J17" s="363" t="s">
        <v>3740</v>
      </c>
      <c r="K17" s="363" t="s">
        <v>9227</v>
      </c>
      <c r="L17" s="363" t="s">
        <v>9228</v>
      </c>
      <c r="M17" s="363" t="s">
        <v>9314</v>
      </c>
      <c r="N17" s="363" t="s">
        <v>9315</v>
      </c>
      <c r="O17" s="363" t="s">
        <v>9231</v>
      </c>
      <c r="P17" s="363" t="s">
        <v>9232</v>
      </c>
      <c r="Q17" s="363" t="s">
        <v>1359</v>
      </c>
      <c r="R17" s="363" t="s">
        <v>9233</v>
      </c>
      <c r="S17" s="363" t="s">
        <v>1359</v>
      </c>
      <c r="T17" s="363" t="s">
        <v>1359</v>
      </c>
      <c r="U17" s="363" t="s">
        <v>9310</v>
      </c>
      <c r="V17" s="363" t="s">
        <v>9235</v>
      </c>
      <c r="W17" s="363" t="s">
        <v>3754</v>
      </c>
      <c r="X17" s="363" t="s">
        <v>1359</v>
      </c>
      <c r="Y17" s="363" t="s">
        <v>9244</v>
      </c>
      <c r="Z17" s="363" t="s">
        <v>9237</v>
      </c>
      <c r="AA17" s="363" t="s">
        <v>9237</v>
      </c>
      <c r="AB17" s="363" t="s">
        <v>3754</v>
      </c>
      <c r="AC17" s="363" t="s">
        <v>1359</v>
      </c>
      <c r="AD17" s="363" t="s">
        <v>9238</v>
      </c>
      <c r="AE17" s="363" t="s">
        <v>3754</v>
      </c>
      <c r="AF17" s="363" t="s">
        <v>3754</v>
      </c>
      <c r="AG17" s="363" t="s">
        <v>1359</v>
      </c>
      <c r="AH17" s="363" t="s">
        <v>9239</v>
      </c>
      <c r="AI17" s="363" t="s">
        <v>1359</v>
      </c>
      <c r="AJ17" s="363" t="s">
        <v>1359</v>
      </c>
    </row>
    <row r="18" spans="1:36">
      <c r="A18" s="363" t="s">
        <v>9316</v>
      </c>
      <c r="B18" s="363" t="s">
        <v>9220</v>
      </c>
      <c r="C18" s="363" t="s">
        <v>9300</v>
      </c>
      <c r="D18" s="363" t="s">
        <v>9317</v>
      </c>
      <c r="E18" s="363" t="s">
        <v>9223</v>
      </c>
      <c r="F18" s="363" t="s">
        <v>9302</v>
      </c>
      <c r="G18" s="363" t="s">
        <v>9226</v>
      </c>
      <c r="H18" s="363" t="s">
        <v>9302</v>
      </c>
      <c r="I18" s="363" t="s">
        <v>9226</v>
      </c>
      <c r="J18" s="363" t="s">
        <v>3754</v>
      </c>
      <c r="K18" s="363" t="s">
        <v>9227</v>
      </c>
      <c r="L18" s="363" t="s">
        <v>9228</v>
      </c>
      <c r="M18" s="363" t="s">
        <v>9318</v>
      </c>
      <c r="N18" s="363" t="s">
        <v>9319</v>
      </c>
      <c r="O18" s="363" t="s">
        <v>9285</v>
      </c>
      <c r="P18" s="363" t="s">
        <v>9280</v>
      </c>
      <c r="Q18" s="363" t="s">
        <v>1359</v>
      </c>
      <c r="R18" s="363" t="s">
        <v>9233</v>
      </c>
      <c r="S18" s="363" t="s">
        <v>1359</v>
      </c>
      <c r="T18" s="363" t="s">
        <v>1359</v>
      </c>
      <c r="U18" s="363" t="s">
        <v>9305</v>
      </c>
      <c r="V18" s="363" t="s">
        <v>9235</v>
      </c>
      <c r="W18" s="363" t="s">
        <v>3754</v>
      </c>
      <c r="X18" s="363" t="s">
        <v>1359</v>
      </c>
      <c r="Y18" s="363" t="s">
        <v>1359</v>
      </c>
      <c r="Z18" s="363" t="s">
        <v>9306</v>
      </c>
      <c r="AA18" s="363" t="s">
        <v>9306</v>
      </c>
      <c r="AB18" s="363" t="s">
        <v>3740</v>
      </c>
      <c r="AC18" s="363" t="s">
        <v>1359</v>
      </c>
      <c r="AD18" s="363" t="s">
        <v>9251</v>
      </c>
      <c r="AE18" s="363" t="s">
        <v>3754</v>
      </c>
      <c r="AF18" s="363" t="s">
        <v>3754</v>
      </c>
      <c r="AG18" s="363" t="s">
        <v>9307</v>
      </c>
      <c r="AH18" s="363" t="s">
        <v>9239</v>
      </c>
      <c r="AI18" s="363" t="s">
        <v>1359</v>
      </c>
      <c r="AJ18" s="363" t="s">
        <v>1359</v>
      </c>
    </row>
    <row r="19" spans="1:36">
      <c r="A19" s="363" t="s">
        <v>5780</v>
      </c>
      <c r="B19" s="363" t="s">
        <v>9220</v>
      </c>
      <c r="C19" s="363" t="s">
        <v>9221</v>
      </c>
      <c r="D19" s="363" t="s">
        <v>9320</v>
      </c>
      <c r="E19" s="363" t="s">
        <v>9223</v>
      </c>
      <c r="F19" s="363" t="s">
        <v>9224</v>
      </c>
      <c r="G19" s="363" t="s">
        <v>9225</v>
      </c>
      <c r="H19" s="363" t="s">
        <v>71</v>
      </c>
      <c r="I19" s="363" t="s">
        <v>9226</v>
      </c>
      <c r="J19" s="363" t="s">
        <v>3740</v>
      </c>
      <c r="K19" s="363" t="s">
        <v>9227</v>
      </c>
      <c r="L19" s="363" t="s">
        <v>9228</v>
      </c>
      <c r="M19" s="363" t="s">
        <v>9321</v>
      </c>
      <c r="N19" s="363" t="s">
        <v>9322</v>
      </c>
      <c r="O19" s="363" t="s">
        <v>9323</v>
      </c>
      <c r="P19" s="363" t="s">
        <v>9324</v>
      </c>
      <c r="Q19" s="363" t="s">
        <v>1359</v>
      </c>
      <c r="R19" s="363" t="s">
        <v>9233</v>
      </c>
      <c r="S19" s="363" t="s">
        <v>1359</v>
      </c>
      <c r="T19" s="363" t="s">
        <v>1359</v>
      </c>
      <c r="U19" s="363" t="s">
        <v>9325</v>
      </c>
      <c r="V19" s="363" t="s">
        <v>9235</v>
      </c>
      <c r="W19" s="363" t="s">
        <v>3740</v>
      </c>
      <c r="X19" s="363" t="s">
        <v>9326</v>
      </c>
      <c r="Y19" s="363" t="s">
        <v>5763</v>
      </c>
      <c r="Z19" s="363" t="s">
        <v>9237</v>
      </c>
      <c r="AA19" s="363" t="s">
        <v>9237</v>
      </c>
      <c r="AB19" s="363" t="s">
        <v>3754</v>
      </c>
      <c r="AC19" s="363" t="s">
        <v>1359</v>
      </c>
      <c r="AD19" s="363" t="s">
        <v>9251</v>
      </c>
      <c r="AE19" s="363" t="s">
        <v>3754</v>
      </c>
      <c r="AF19" s="363" t="s">
        <v>3754</v>
      </c>
      <c r="AG19" s="363" t="s">
        <v>1359</v>
      </c>
      <c r="AH19" s="363" t="s">
        <v>9239</v>
      </c>
      <c r="AI19" s="363" t="s">
        <v>1359</v>
      </c>
      <c r="AJ19" s="363" t="s">
        <v>1359</v>
      </c>
    </row>
    <row r="20" spans="1:36">
      <c r="A20" s="363" t="s">
        <v>5864</v>
      </c>
      <c r="B20" s="363" t="s">
        <v>9220</v>
      </c>
      <c r="C20" s="363" t="s">
        <v>9221</v>
      </c>
      <c r="D20" s="363" t="s">
        <v>9320</v>
      </c>
      <c r="E20" s="363" t="s">
        <v>9223</v>
      </c>
      <c r="F20" s="363" t="s">
        <v>9224</v>
      </c>
      <c r="G20" s="363" t="s">
        <v>9225</v>
      </c>
      <c r="H20" s="363" t="s">
        <v>71</v>
      </c>
      <c r="I20" s="363" t="s">
        <v>9226</v>
      </c>
      <c r="J20" s="363" t="s">
        <v>3740</v>
      </c>
      <c r="K20" s="363" t="s">
        <v>9227</v>
      </c>
      <c r="L20" s="363" t="s">
        <v>9228</v>
      </c>
      <c r="M20" s="363" t="s">
        <v>9327</v>
      </c>
      <c r="N20" s="363" t="s">
        <v>9328</v>
      </c>
      <c r="O20" s="363" t="s">
        <v>9231</v>
      </c>
      <c r="P20" s="363" t="s">
        <v>9232</v>
      </c>
      <c r="Q20" s="363" t="s">
        <v>1359</v>
      </c>
      <c r="R20" s="363" t="s">
        <v>9233</v>
      </c>
      <c r="S20" s="363" t="s">
        <v>1359</v>
      </c>
      <c r="T20" s="363" t="s">
        <v>1359</v>
      </c>
      <c r="U20" s="363" t="s">
        <v>9329</v>
      </c>
      <c r="V20" s="363" t="s">
        <v>9235</v>
      </c>
      <c r="W20" s="363" t="s">
        <v>3754</v>
      </c>
      <c r="X20" s="363" t="s">
        <v>1359</v>
      </c>
      <c r="Y20" s="363" t="s">
        <v>9330</v>
      </c>
      <c r="Z20" s="363" t="s">
        <v>9237</v>
      </c>
      <c r="AA20" s="363" t="s">
        <v>9237</v>
      </c>
      <c r="AB20" s="363" t="s">
        <v>3754</v>
      </c>
      <c r="AC20" s="363" t="s">
        <v>1359</v>
      </c>
      <c r="AD20" s="363" t="s">
        <v>9238</v>
      </c>
      <c r="AE20" s="363" t="s">
        <v>3754</v>
      </c>
      <c r="AF20" s="363" t="s">
        <v>3754</v>
      </c>
      <c r="AG20" s="363" t="s">
        <v>1359</v>
      </c>
      <c r="AH20" s="363" t="s">
        <v>9239</v>
      </c>
      <c r="AI20" s="363" t="s">
        <v>1359</v>
      </c>
      <c r="AJ20" s="363" t="s">
        <v>1359</v>
      </c>
    </row>
    <row r="21" spans="1:36">
      <c r="A21" s="363" t="s">
        <v>6043</v>
      </c>
      <c r="B21" s="363" t="s">
        <v>9220</v>
      </c>
      <c r="C21" s="363" t="s">
        <v>9221</v>
      </c>
      <c r="D21" s="363" t="s">
        <v>9331</v>
      </c>
      <c r="E21" s="363" t="s">
        <v>9223</v>
      </c>
      <c r="F21" s="363" t="s">
        <v>9224</v>
      </c>
      <c r="G21" s="363" t="s">
        <v>9225</v>
      </c>
      <c r="H21" s="363" t="s">
        <v>71</v>
      </c>
      <c r="I21" s="363" t="s">
        <v>9226</v>
      </c>
      <c r="J21" s="363" t="s">
        <v>3740</v>
      </c>
      <c r="K21" s="363" t="s">
        <v>9227</v>
      </c>
      <c r="L21" s="363" t="s">
        <v>9228</v>
      </c>
      <c r="M21" s="363" t="s">
        <v>9332</v>
      </c>
      <c r="N21" s="363" t="s">
        <v>9333</v>
      </c>
      <c r="O21" s="363" t="s">
        <v>9231</v>
      </c>
      <c r="P21" s="363" t="s">
        <v>9232</v>
      </c>
      <c r="Q21" s="363" t="s">
        <v>1359</v>
      </c>
      <c r="R21" s="363" t="s">
        <v>9233</v>
      </c>
      <c r="S21" s="363" t="s">
        <v>1359</v>
      </c>
      <c r="T21" s="363" t="s">
        <v>1359</v>
      </c>
      <c r="U21" s="363" t="s">
        <v>9334</v>
      </c>
      <c r="V21" s="363" t="s">
        <v>9235</v>
      </c>
      <c r="W21" s="363" t="s">
        <v>3754</v>
      </c>
      <c r="X21" s="363" t="s">
        <v>1359</v>
      </c>
      <c r="Y21" s="363" t="s">
        <v>9335</v>
      </c>
      <c r="Z21" s="363" t="s">
        <v>9237</v>
      </c>
      <c r="AA21" s="363" t="s">
        <v>9237</v>
      </c>
      <c r="AB21" s="363" t="s">
        <v>3754</v>
      </c>
      <c r="AC21" s="363" t="s">
        <v>1359</v>
      </c>
      <c r="AD21" s="363" t="s">
        <v>9238</v>
      </c>
      <c r="AE21" s="363" t="s">
        <v>3754</v>
      </c>
      <c r="AF21" s="363" t="s">
        <v>3754</v>
      </c>
      <c r="AG21" s="363" t="s">
        <v>1359</v>
      </c>
      <c r="AH21" s="363" t="s">
        <v>9239</v>
      </c>
      <c r="AI21" s="363" t="s">
        <v>1359</v>
      </c>
      <c r="AJ21" s="363" t="s">
        <v>1359</v>
      </c>
    </row>
    <row r="22" spans="1:36">
      <c r="A22" s="363" t="s">
        <v>6002</v>
      </c>
      <c r="B22" s="363" t="s">
        <v>9220</v>
      </c>
      <c r="C22" s="363" t="s">
        <v>9221</v>
      </c>
      <c r="D22" s="363" t="s">
        <v>9331</v>
      </c>
      <c r="E22" s="363" t="s">
        <v>9223</v>
      </c>
      <c r="F22" s="363" t="s">
        <v>9224</v>
      </c>
      <c r="G22" s="363" t="s">
        <v>9225</v>
      </c>
      <c r="H22" s="363" t="s">
        <v>71</v>
      </c>
      <c r="I22" s="363" t="s">
        <v>9226</v>
      </c>
      <c r="J22" s="363" t="s">
        <v>3740</v>
      </c>
      <c r="K22" s="363" t="s">
        <v>9227</v>
      </c>
      <c r="L22" s="363" t="s">
        <v>9228</v>
      </c>
      <c r="M22" s="363" t="s">
        <v>9336</v>
      </c>
      <c r="N22" s="363" t="s">
        <v>9337</v>
      </c>
      <c r="O22" s="363" t="s">
        <v>9231</v>
      </c>
      <c r="P22" s="363" t="s">
        <v>9232</v>
      </c>
      <c r="Q22" s="363" t="s">
        <v>1359</v>
      </c>
      <c r="R22" s="363" t="s">
        <v>9233</v>
      </c>
      <c r="S22" s="363" t="s">
        <v>1359</v>
      </c>
      <c r="T22" s="363" t="s">
        <v>1359</v>
      </c>
      <c r="U22" s="363" t="s">
        <v>9338</v>
      </c>
      <c r="V22" s="363" t="s">
        <v>9235</v>
      </c>
      <c r="W22" s="363" t="s">
        <v>3754</v>
      </c>
      <c r="X22" s="363" t="s">
        <v>1359</v>
      </c>
      <c r="Y22" s="363" t="s">
        <v>9339</v>
      </c>
      <c r="Z22" s="363" t="s">
        <v>9237</v>
      </c>
      <c r="AA22" s="363" t="s">
        <v>9237</v>
      </c>
      <c r="AB22" s="363" t="s">
        <v>3754</v>
      </c>
      <c r="AC22" s="363" t="s">
        <v>1359</v>
      </c>
      <c r="AD22" s="363" t="s">
        <v>9238</v>
      </c>
      <c r="AE22" s="363" t="s">
        <v>3754</v>
      </c>
      <c r="AF22" s="363" t="s">
        <v>3754</v>
      </c>
      <c r="AG22" s="363" t="s">
        <v>1359</v>
      </c>
      <c r="AH22" s="363" t="s">
        <v>9239</v>
      </c>
      <c r="AI22" s="363" t="s">
        <v>1359</v>
      </c>
      <c r="AJ22" s="363" t="s">
        <v>1359</v>
      </c>
    </row>
    <row r="23" spans="1:36">
      <c r="A23" s="363" t="s">
        <v>6256</v>
      </c>
      <c r="B23" s="363" t="s">
        <v>9220</v>
      </c>
      <c r="C23" s="363" t="s">
        <v>9221</v>
      </c>
      <c r="D23" s="363" t="s">
        <v>9331</v>
      </c>
      <c r="E23" s="363" t="s">
        <v>9223</v>
      </c>
      <c r="F23" s="363" t="s">
        <v>9224</v>
      </c>
      <c r="G23" s="363" t="s">
        <v>9225</v>
      </c>
      <c r="H23" s="363" t="s">
        <v>71</v>
      </c>
      <c r="I23" s="363" t="s">
        <v>9226</v>
      </c>
      <c r="J23" s="363" t="s">
        <v>3740</v>
      </c>
      <c r="K23" s="363" t="s">
        <v>9227</v>
      </c>
      <c r="L23" s="363" t="s">
        <v>9228</v>
      </c>
      <c r="M23" s="363" t="s">
        <v>9340</v>
      </c>
      <c r="N23" s="363" t="s">
        <v>9341</v>
      </c>
      <c r="O23" s="363" t="s">
        <v>9231</v>
      </c>
      <c r="P23" s="363" t="s">
        <v>9232</v>
      </c>
      <c r="Q23" s="363" t="s">
        <v>1359</v>
      </c>
      <c r="R23" s="363" t="s">
        <v>9233</v>
      </c>
      <c r="S23" s="363" t="s">
        <v>1359</v>
      </c>
      <c r="T23" s="363" t="s">
        <v>1359</v>
      </c>
      <c r="U23" s="363" t="s">
        <v>9342</v>
      </c>
      <c r="V23" s="363" t="s">
        <v>9235</v>
      </c>
      <c r="W23" s="363" t="s">
        <v>3754</v>
      </c>
      <c r="X23" s="363" t="s">
        <v>1359</v>
      </c>
      <c r="Y23" s="363" t="s">
        <v>9343</v>
      </c>
      <c r="Z23" s="363" t="s">
        <v>9237</v>
      </c>
      <c r="AA23" s="363" t="s">
        <v>9237</v>
      </c>
      <c r="AB23" s="363" t="s">
        <v>3754</v>
      </c>
      <c r="AC23" s="363" t="s">
        <v>1359</v>
      </c>
      <c r="AD23" s="363" t="s">
        <v>9238</v>
      </c>
      <c r="AE23" s="363" t="s">
        <v>3754</v>
      </c>
      <c r="AF23" s="363" t="s">
        <v>3754</v>
      </c>
      <c r="AG23" s="363" t="s">
        <v>1359</v>
      </c>
      <c r="AH23" s="363" t="s">
        <v>9239</v>
      </c>
      <c r="AI23" s="363" t="s">
        <v>1359</v>
      </c>
      <c r="AJ23" s="363" t="s">
        <v>1359</v>
      </c>
    </row>
    <row r="24" spans="1:36">
      <c r="A24" s="363" t="s">
        <v>6272</v>
      </c>
      <c r="B24" s="363" t="s">
        <v>9220</v>
      </c>
      <c r="C24" s="363" t="s">
        <v>9221</v>
      </c>
      <c r="D24" s="363" t="s">
        <v>9331</v>
      </c>
      <c r="E24" s="363" t="s">
        <v>9223</v>
      </c>
      <c r="F24" s="363" t="s">
        <v>9224</v>
      </c>
      <c r="G24" s="363" t="s">
        <v>9225</v>
      </c>
      <c r="H24" s="363" t="s">
        <v>71</v>
      </c>
      <c r="I24" s="363" t="s">
        <v>9226</v>
      </c>
      <c r="J24" s="363" t="s">
        <v>3740</v>
      </c>
      <c r="K24" s="363" t="s">
        <v>9227</v>
      </c>
      <c r="L24" s="363" t="s">
        <v>9228</v>
      </c>
      <c r="M24" s="363" t="s">
        <v>9344</v>
      </c>
      <c r="N24" s="363" t="s">
        <v>9345</v>
      </c>
      <c r="O24" s="363" t="s">
        <v>9231</v>
      </c>
      <c r="P24" s="363" t="s">
        <v>9232</v>
      </c>
      <c r="Q24" s="363" t="s">
        <v>1359</v>
      </c>
      <c r="R24" s="363" t="s">
        <v>9233</v>
      </c>
      <c r="S24" s="363" t="s">
        <v>1359</v>
      </c>
      <c r="T24" s="363" t="s">
        <v>1359</v>
      </c>
      <c r="U24" s="363" t="s">
        <v>9346</v>
      </c>
      <c r="V24" s="363" t="s">
        <v>9235</v>
      </c>
      <c r="W24" s="363" t="s">
        <v>3754</v>
      </c>
      <c r="X24" s="363" t="s">
        <v>1359</v>
      </c>
      <c r="Y24" s="363" t="s">
        <v>9347</v>
      </c>
      <c r="Z24" s="363" t="s">
        <v>9237</v>
      </c>
      <c r="AA24" s="363" t="s">
        <v>9237</v>
      </c>
      <c r="AB24" s="363" t="s">
        <v>3754</v>
      </c>
      <c r="AC24" s="363" t="s">
        <v>1359</v>
      </c>
      <c r="AD24" s="363" t="s">
        <v>9238</v>
      </c>
      <c r="AE24" s="363" t="s">
        <v>3754</v>
      </c>
      <c r="AF24" s="363" t="s">
        <v>3754</v>
      </c>
      <c r="AG24" s="363" t="s">
        <v>1359</v>
      </c>
      <c r="AH24" s="363" t="s">
        <v>9239</v>
      </c>
      <c r="AI24" s="363" t="s">
        <v>1359</v>
      </c>
      <c r="AJ24" s="363" t="s">
        <v>1359</v>
      </c>
    </row>
    <row r="25" spans="1:36">
      <c r="A25" s="363" t="s">
        <v>8348</v>
      </c>
      <c r="B25" s="363" t="s">
        <v>9220</v>
      </c>
      <c r="C25" s="363" t="s">
        <v>9221</v>
      </c>
      <c r="D25" s="363" t="s">
        <v>9331</v>
      </c>
      <c r="E25" s="363" t="s">
        <v>9223</v>
      </c>
      <c r="F25" s="363" t="s">
        <v>9258</v>
      </c>
      <c r="G25" s="363" t="s">
        <v>9225</v>
      </c>
      <c r="H25" s="363" t="s">
        <v>7155</v>
      </c>
      <c r="I25" s="363" t="s">
        <v>9226</v>
      </c>
      <c r="J25" s="363" t="s">
        <v>3740</v>
      </c>
      <c r="K25" s="363" t="s">
        <v>9227</v>
      </c>
      <c r="L25" s="363" t="s">
        <v>9228</v>
      </c>
      <c r="M25" s="363" t="s">
        <v>9289</v>
      </c>
      <c r="N25" s="363" t="s">
        <v>9348</v>
      </c>
      <c r="O25" s="363" t="s">
        <v>9248</v>
      </c>
      <c r="P25" s="363" t="s">
        <v>9349</v>
      </c>
      <c r="Q25" s="363" t="s">
        <v>1359</v>
      </c>
      <c r="R25" s="363" t="s">
        <v>9233</v>
      </c>
      <c r="S25" s="363" t="s">
        <v>1359</v>
      </c>
      <c r="T25" s="363" t="s">
        <v>1359</v>
      </c>
      <c r="U25" s="363" t="s">
        <v>9350</v>
      </c>
      <c r="V25" s="363" t="s">
        <v>9235</v>
      </c>
      <c r="W25" s="363" t="s">
        <v>3754</v>
      </c>
      <c r="X25" s="363" t="s">
        <v>1359</v>
      </c>
      <c r="Y25" s="363" t="s">
        <v>9292</v>
      </c>
      <c r="Z25" s="363" t="s">
        <v>9237</v>
      </c>
      <c r="AA25" s="363" t="s">
        <v>9237</v>
      </c>
      <c r="AB25" s="363" t="s">
        <v>3754</v>
      </c>
      <c r="AC25" s="363" t="s">
        <v>1359</v>
      </c>
      <c r="AD25" s="363" t="s">
        <v>9238</v>
      </c>
      <c r="AE25" s="363" t="s">
        <v>3754</v>
      </c>
      <c r="AF25" s="363" t="s">
        <v>3754</v>
      </c>
      <c r="AG25" s="363" t="s">
        <v>1359</v>
      </c>
      <c r="AH25" s="363" t="s">
        <v>9239</v>
      </c>
      <c r="AI25" s="363" t="s">
        <v>1359</v>
      </c>
      <c r="AJ25" s="363" t="s">
        <v>1359</v>
      </c>
    </row>
    <row r="26" spans="1:36">
      <c r="A26" s="363" t="s">
        <v>8351</v>
      </c>
      <c r="B26" s="363" t="s">
        <v>9220</v>
      </c>
      <c r="C26" s="363" t="s">
        <v>9221</v>
      </c>
      <c r="D26" s="363" t="s">
        <v>9331</v>
      </c>
      <c r="E26" s="363" t="s">
        <v>9223</v>
      </c>
      <c r="F26" s="363" t="s">
        <v>9258</v>
      </c>
      <c r="G26" s="363" t="s">
        <v>9225</v>
      </c>
      <c r="H26" s="363" t="s">
        <v>7155</v>
      </c>
      <c r="I26" s="363" t="s">
        <v>9226</v>
      </c>
      <c r="J26" s="363" t="s">
        <v>3740</v>
      </c>
      <c r="K26" s="363" t="s">
        <v>9227</v>
      </c>
      <c r="L26" s="363" t="s">
        <v>9228</v>
      </c>
      <c r="M26" s="363" t="s">
        <v>9289</v>
      </c>
      <c r="N26" s="363" t="s">
        <v>9351</v>
      </c>
      <c r="O26" s="363" t="s">
        <v>9248</v>
      </c>
      <c r="P26" s="363" t="s">
        <v>9349</v>
      </c>
      <c r="Q26" s="363" t="s">
        <v>1359</v>
      </c>
      <c r="R26" s="363" t="s">
        <v>9233</v>
      </c>
      <c r="S26" s="363" t="s">
        <v>1359</v>
      </c>
      <c r="T26" s="363" t="s">
        <v>1359</v>
      </c>
      <c r="U26" s="363" t="s">
        <v>9350</v>
      </c>
      <c r="V26" s="363" t="s">
        <v>9235</v>
      </c>
      <c r="W26" s="363" t="s">
        <v>3754</v>
      </c>
      <c r="X26" s="363" t="s">
        <v>1359</v>
      </c>
      <c r="Y26" s="363" t="s">
        <v>9292</v>
      </c>
      <c r="Z26" s="363" t="s">
        <v>9237</v>
      </c>
      <c r="AA26" s="363" t="s">
        <v>9237</v>
      </c>
      <c r="AB26" s="363" t="s">
        <v>3754</v>
      </c>
      <c r="AC26" s="363" t="s">
        <v>1359</v>
      </c>
      <c r="AD26" s="363" t="s">
        <v>9238</v>
      </c>
      <c r="AE26" s="363" t="s">
        <v>3754</v>
      </c>
      <c r="AF26" s="363" t="s">
        <v>3754</v>
      </c>
      <c r="AG26" s="363" t="s">
        <v>1359</v>
      </c>
      <c r="AH26" s="363" t="s">
        <v>9239</v>
      </c>
      <c r="AI26" s="363" t="s">
        <v>1359</v>
      </c>
      <c r="AJ26" s="363" t="s">
        <v>1359</v>
      </c>
    </row>
    <row r="27" spans="1:36">
      <c r="A27" s="363" t="s">
        <v>8074</v>
      </c>
      <c r="B27" s="363" t="s">
        <v>9352</v>
      </c>
      <c r="C27" s="363" t="s">
        <v>9221</v>
      </c>
      <c r="D27" s="363" t="s">
        <v>9331</v>
      </c>
      <c r="E27" s="363" t="s">
        <v>9223</v>
      </c>
      <c r="F27" s="363" t="s">
        <v>9258</v>
      </c>
      <c r="G27" s="363" t="s">
        <v>9225</v>
      </c>
      <c r="H27" s="363" t="s">
        <v>4593</v>
      </c>
      <c r="I27" s="363" t="s">
        <v>9226</v>
      </c>
      <c r="J27" s="363" t="s">
        <v>3740</v>
      </c>
      <c r="K27" s="363" t="s">
        <v>9227</v>
      </c>
      <c r="L27" s="363" t="s">
        <v>9228</v>
      </c>
      <c r="M27" s="363" t="s">
        <v>9353</v>
      </c>
      <c r="N27" s="363" t="s">
        <v>9354</v>
      </c>
      <c r="O27" s="363" t="s">
        <v>9323</v>
      </c>
      <c r="P27" s="363" t="s">
        <v>9355</v>
      </c>
      <c r="Q27" s="363" t="s">
        <v>1359</v>
      </c>
      <c r="R27" s="363" t="s">
        <v>9233</v>
      </c>
      <c r="S27" s="363" t="s">
        <v>1359</v>
      </c>
      <c r="T27" s="363" t="s">
        <v>1359</v>
      </c>
      <c r="U27" s="363" t="s">
        <v>9356</v>
      </c>
      <c r="V27" s="363" t="s">
        <v>9235</v>
      </c>
      <c r="W27" s="363" t="s">
        <v>3754</v>
      </c>
      <c r="X27" s="363" t="s">
        <v>1359</v>
      </c>
      <c r="Y27" s="363" t="s">
        <v>9357</v>
      </c>
      <c r="Z27" s="363" t="s">
        <v>9237</v>
      </c>
      <c r="AA27" s="363" t="s">
        <v>9237</v>
      </c>
      <c r="AB27" s="363" t="s">
        <v>3754</v>
      </c>
      <c r="AC27" s="363" t="s">
        <v>1359</v>
      </c>
      <c r="AD27" s="363" t="s">
        <v>9238</v>
      </c>
      <c r="AE27" s="363" t="s">
        <v>3754</v>
      </c>
      <c r="AF27" s="363" t="s">
        <v>3754</v>
      </c>
      <c r="AG27" s="363" t="s">
        <v>1359</v>
      </c>
      <c r="AH27" s="363" t="s">
        <v>9239</v>
      </c>
      <c r="AI27" s="363" t="s">
        <v>1359</v>
      </c>
      <c r="AJ27" s="363" t="s">
        <v>1359</v>
      </c>
    </row>
    <row r="28" spans="1:36">
      <c r="A28" s="363" t="s">
        <v>8050</v>
      </c>
      <c r="B28" s="363" t="s">
        <v>9352</v>
      </c>
      <c r="C28" s="363" t="s">
        <v>9221</v>
      </c>
      <c r="D28" s="363" t="s">
        <v>9358</v>
      </c>
      <c r="E28" s="363" t="s">
        <v>9223</v>
      </c>
      <c r="F28" s="363" t="s">
        <v>9258</v>
      </c>
      <c r="G28" s="363" t="s">
        <v>9225</v>
      </c>
      <c r="H28" s="363" t="s">
        <v>4593</v>
      </c>
      <c r="I28" s="363" t="s">
        <v>9226</v>
      </c>
      <c r="J28" s="363" t="s">
        <v>3740</v>
      </c>
      <c r="K28" s="363" t="s">
        <v>9227</v>
      </c>
      <c r="L28" s="363" t="s">
        <v>9228</v>
      </c>
      <c r="M28" s="363" t="s">
        <v>9353</v>
      </c>
      <c r="N28" s="363" t="s">
        <v>9359</v>
      </c>
      <c r="O28" s="363" t="s">
        <v>9231</v>
      </c>
      <c r="P28" s="363" t="s">
        <v>9355</v>
      </c>
      <c r="Q28" s="363" t="s">
        <v>1359</v>
      </c>
      <c r="R28" s="363" t="s">
        <v>9233</v>
      </c>
      <c r="S28" s="363" t="s">
        <v>1359</v>
      </c>
      <c r="T28" s="363" t="s">
        <v>1359</v>
      </c>
      <c r="U28" s="363" t="s">
        <v>9360</v>
      </c>
      <c r="V28" s="363" t="s">
        <v>9235</v>
      </c>
      <c r="W28" s="363" t="s">
        <v>3754</v>
      </c>
      <c r="X28" s="363" t="s">
        <v>1359</v>
      </c>
      <c r="Y28" s="363" t="s">
        <v>9357</v>
      </c>
      <c r="Z28" s="363" t="s">
        <v>9237</v>
      </c>
      <c r="AA28" s="363" t="s">
        <v>9237</v>
      </c>
      <c r="AB28" s="363" t="s">
        <v>3754</v>
      </c>
      <c r="AC28" s="363" t="s">
        <v>1359</v>
      </c>
      <c r="AD28" s="363" t="s">
        <v>9238</v>
      </c>
      <c r="AE28" s="363" t="s">
        <v>3754</v>
      </c>
      <c r="AF28" s="363" t="s">
        <v>3754</v>
      </c>
      <c r="AG28" s="363" t="s">
        <v>1359</v>
      </c>
      <c r="AH28" s="363" t="s">
        <v>9239</v>
      </c>
      <c r="AI28" s="363" t="s">
        <v>1359</v>
      </c>
      <c r="AJ28" s="363" t="s">
        <v>1359</v>
      </c>
    </row>
    <row r="29" spans="1:36">
      <c r="A29" s="363" t="s">
        <v>9361</v>
      </c>
      <c r="B29" s="363" t="s">
        <v>9352</v>
      </c>
      <c r="C29" s="363" t="s">
        <v>9221</v>
      </c>
      <c r="D29" s="363" t="s">
        <v>9358</v>
      </c>
      <c r="E29" s="363" t="s">
        <v>9223</v>
      </c>
      <c r="F29" s="363" t="s">
        <v>9224</v>
      </c>
      <c r="G29" s="363" t="s">
        <v>9225</v>
      </c>
      <c r="H29" s="363" t="s">
        <v>71</v>
      </c>
      <c r="I29" s="363" t="s">
        <v>9226</v>
      </c>
      <c r="J29" s="363" t="s">
        <v>3740</v>
      </c>
      <c r="K29" s="363" t="s">
        <v>9227</v>
      </c>
      <c r="L29" s="363" t="s">
        <v>9228</v>
      </c>
      <c r="M29" s="363" t="s">
        <v>9362</v>
      </c>
      <c r="N29" s="363" t="s">
        <v>9363</v>
      </c>
      <c r="O29" s="363" t="s">
        <v>9364</v>
      </c>
      <c r="P29" s="363" t="s">
        <v>9365</v>
      </c>
      <c r="Q29" s="363" t="s">
        <v>1359</v>
      </c>
      <c r="R29" s="363" t="s">
        <v>9233</v>
      </c>
      <c r="S29" s="363" t="s">
        <v>1359</v>
      </c>
      <c r="T29" s="363" t="s">
        <v>1359</v>
      </c>
      <c r="U29" s="363" t="s">
        <v>9366</v>
      </c>
      <c r="V29" s="363" t="s">
        <v>9235</v>
      </c>
      <c r="W29" s="363" t="s">
        <v>3740</v>
      </c>
      <c r="X29" s="363" t="s">
        <v>9288</v>
      </c>
      <c r="Y29" s="363" t="s">
        <v>9367</v>
      </c>
      <c r="Z29" s="363" t="s">
        <v>9237</v>
      </c>
      <c r="AA29" s="363" t="s">
        <v>9237</v>
      </c>
      <c r="AB29" s="363" t="s">
        <v>3754</v>
      </c>
      <c r="AC29" s="363" t="s">
        <v>1359</v>
      </c>
      <c r="AD29" s="363" t="s">
        <v>9251</v>
      </c>
      <c r="AE29" s="363" t="s">
        <v>3754</v>
      </c>
      <c r="AF29" s="363" t="s">
        <v>3754</v>
      </c>
      <c r="AG29" s="363" t="s">
        <v>1359</v>
      </c>
      <c r="AH29" s="363" t="s">
        <v>9239</v>
      </c>
      <c r="AI29" s="363" t="s">
        <v>1359</v>
      </c>
      <c r="AJ29" s="363" t="s">
        <v>1359</v>
      </c>
    </row>
    <row r="30" spans="1:36">
      <c r="A30" s="363" t="s">
        <v>7581</v>
      </c>
      <c r="B30" s="363" t="s">
        <v>9220</v>
      </c>
      <c r="C30" s="363" t="s">
        <v>9221</v>
      </c>
      <c r="D30" s="363" t="s">
        <v>9368</v>
      </c>
      <c r="E30" s="363" t="s">
        <v>9223</v>
      </c>
      <c r="F30" s="363" t="s">
        <v>9258</v>
      </c>
      <c r="G30" s="363" t="s">
        <v>9225</v>
      </c>
      <c r="H30" s="363" t="s">
        <v>7155</v>
      </c>
      <c r="I30" s="363" t="s">
        <v>9226</v>
      </c>
      <c r="J30" s="363" t="s">
        <v>3740</v>
      </c>
      <c r="K30" s="363" t="s">
        <v>9227</v>
      </c>
      <c r="L30" s="363" t="s">
        <v>9228</v>
      </c>
      <c r="M30" s="363" t="s">
        <v>9369</v>
      </c>
      <c r="N30" s="363" t="s">
        <v>9370</v>
      </c>
      <c r="O30" s="363" t="s">
        <v>9231</v>
      </c>
      <c r="P30" s="363" t="s">
        <v>9280</v>
      </c>
      <c r="Q30" s="363" t="s">
        <v>1359</v>
      </c>
      <c r="R30" s="363" t="s">
        <v>9233</v>
      </c>
      <c r="S30" s="363" t="s">
        <v>1359</v>
      </c>
      <c r="T30" s="363" t="s">
        <v>1359</v>
      </c>
      <c r="U30" s="363" t="s">
        <v>9371</v>
      </c>
      <c r="V30" s="363" t="s">
        <v>9235</v>
      </c>
      <c r="W30" s="363" t="s">
        <v>3754</v>
      </c>
      <c r="X30" s="363" t="s">
        <v>1359</v>
      </c>
      <c r="Y30" s="363" t="s">
        <v>9372</v>
      </c>
      <c r="Z30" s="363" t="s">
        <v>9237</v>
      </c>
      <c r="AA30" s="363" t="s">
        <v>9237</v>
      </c>
      <c r="AB30" s="363" t="s">
        <v>3754</v>
      </c>
      <c r="AC30" s="363" t="s">
        <v>1359</v>
      </c>
      <c r="AD30" s="363" t="s">
        <v>9238</v>
      </c>
      <c r="AE30" s="363" t="s">
        <v>3754</v>
      </c>
      <c r="AF30" s="363" t="s">
        <v>3754</v>
      </c>
      <c r="AG30" s="363" t="s">
        <v>1359</v>
      </c>
      <c r="AH30" s="363" t="s">
        <v>9239</v>
      </c>
      <c r="AI30" s="363" t="s">
        <v>1359</v>
      </c>
      <c r="AJ30" s="363" t="s">
        <v>1359</v>
      </c>
    </row>
    <row r="31" spans="1:36">
      <c r="A31" s="363" t="s">
        <v>9373</v>
      </c>
      <c r="B31" s="363" t="s">
        <v>9220</v>
      </c>
      <c r="C31" s="363" t="s">
        <v>9221</v>
      </c>
      <c r="D31" s="363" t="s">
        <v>9368</v>
      </c>
      <c r="E31" s="363" t="s">
        <v>9223</v>
      </c>
      <c r="F31" s="363" t="s">
        <v>9253</v>
      </c>
      <c r="G31" s="363" t="s">
        <v>9225</v>
      </c>
      <c r="H31" s="363" t="s">
        <v>48</v>
      </c>
      <c r="I31" s="363" t="s">
        <v>9226</v>
      </c>
      <c r="J31" s="363" t="s">
        <v>3740</v>
      </c>
      <c r="K31" s="363" t="s">
        <v>9227</v>
      </c>
      <c r="L31" s="363" t="s">
        <v>9228</v>
      </c>
      <c r="M31" s="363" t="s">
        <v>9374</v>
      </c>
      <c r="N31" s="363" t="s">
        <v>9375</v>
      </c>
      <c r="O31" s="363" t="s">
        <v>9231</v>
      </c>
      <c r="P31" s="363" t="s">
        <v>9232</v>
      </c>
      <c r="Q31" s="363" t="s">
        <v>1359</v>
      </c>
      <c r="R31" s="363" t="s">
        <v>9376</v>
      </c>
      <c r="S31" s="363" t="s">
        <v>1359</v>
      </c>
      <c r="T31" s="363" t="s">
        <v>1359</v>
      </c>
      <c r="U31" s="363" t="s">
        <v>1359</v>
      </c>
      <c r="V31" s="363" t="s">
        <v>1359</v>
      </c>
      <c r="W31" s="363" t="s">
        <v>3740</v>
      </c>
      <c r="X31" s="363" t="s">
        <v>9326</v>
      </c>
      <c r="Y31" s="363" t="s">
        <v>9244</v>
      </c>
      <c r="Z31" s="363" t="s">
        <v>9306</v>
      </c>
      <c r="AA31" s="363" t="s">
        <v>9306</v>
      </c>
      <c r="AB31" s="363" t="s">
        <v>3754</v>
      </c>
      <c r="AC31" s="363" t="s">
        <v>1359</v>
      </c>
      <c r="AD31" s="363" t="s">
        <v>9251</v>
      </c>
      <c r="AE31" s="363" t="s">
        <v>3754</v>
      </c>
      <c r="AF31" s="363" t="s">
        <v>3754</v>
      </c>
      <c r="AG31" s="363" t="s">
        <v>1359</v>
      </c>
      <c r="AH31" s="363" t="s">
        <v>9239</v>
      </c>
      <c r="AI31" s="363" t="s">
        <v>1359</v>
      </c>
      <c r="AJ31" s="363" t="s">
        <v>1359</v>
      </c>
    </row>
    <row r="32" spans="1:36">
      <c r="A32" s="363" t="s">
        <v>4940</v>
      </c>
      <c r="B32" s="363" t="s">
        <v>9220</v>
      </c>
      <c r="C32" s="363" t="s">
        <v>9221</v>
      </c>
      <c r="D32" s="363" t="s">
        <v>9368</v>
      </c>
      <c r="E32" s="363" t="s">
        <v>9223</v>
      </c>
      <c r="F32" s="363" t="s">
        <v>9253</v>
      </c>
      <c r="G32" s="363" t="s">
        <v>9225</v>
      </c>
      <c r="H32" s="363" t="s">
        <v>888</v>
      </c>
      <c r="I32" s="363" t="s">
        <v>9226</v>
      </c>
      <c r="J32" s="363" t="s">
        <v>3740</v>
      </c>
      <c r="K32" s="363" t="s">
        <v>9227</v>
      </c>
      <c r="L32" s="363" t="s">
        <v>9228</v>
      </c>
      <c r="M32" s="363" t="s">
        <v>9377</v>
      </c>
      <c r="N32" s="363" t="s">
        <v>9378</v>
      </c>
      <c r="O32" s="363" t="s">
        <v>9323</v>
      </c>
      <c r="P32" s="363" t="s">
        <v>9324</v>
      </c>
      <c r="Q32" s="363" t="s">
        <v>1359</v>
      </c>
      <c r="R32" s="363" t="s">
        <v>9233</v>
      </c>
      <c r="S32" s="363" t="s">
        <v>1359</v>
      </c>
      <c r="T32" s="363" t="s">
        <v>1359</v>
      </c>
      <c r="U32" s="363" t="s">
        <v>9379</v>
      </c>
      <c r="V32" s="363" t="s">
        <v>9235</v>
      </c>
      <c r="W32" s="363" t="s">
        <v>3754</v>
      </c>
      <c r="X32" s="363" t="s">
        <v>1359</v>
      </c>
      <c r="Y32" s="363" t="s">
        <v>1359</v>
      </c>
      <c r="Z32" s="363" t="s">
        <v>9237</v>
      </c>
      <c r="AA32" s="363" t="s">
        <v>9237</v>
      </c>
      <c r="AB32" s="363" t="s">
        <v>3754</v>
      </c>
      <c r="AC32" s="363" t="s">
        <v>1359</v>
      </c>
      <c r="AD32" s="363" t="s">
        <v>9251</v>
      </c>
      <c r="AE32" s="363" t="s">
        <v>3754</v>
      </c>
      <c r="AF32" s="363" t="s">
        <v>3754</v>
      </c>
      <c r="AG32" s="363" t="s">
        <v>1359</v>
      </c>
      <c r="AH32" s="363" t="s">
        <v>9239</v>
      </c>
      <c r="AI32" s="363" t="s">
        <v>1359</v>
      </c>
      <c r="AJ32" s="363" t="s">
        <v>1359</v>
      </c>
    </row>
    <row r="33" spans="1:36">
      <c r="A33" s="363" t="s">
        <v>7920</v>
      </c>
      <c r="B33" s="363" t="s">
        <v>9220</v>
      </c>
      <c r="C33" s="363" t="s">
        <v>9221</v>
      </c>
      <c r="D33" s="363" t="s">
        <v>9368</v>
      </c>
      <c r="E33" s="363" t="s">
        <v>9223</v>
      </c>
      <c r="F33" s="363" t="s">
        <v>9258</v>
      </c>
      <c r="G33" s="363" t="s">
        <v>9225</v>
      </c>
      <c r="H33" s="363" t="s">
        <v>7155</v>
      </c>
      <c r="I33" s="363" t="s">
        <v>9226</v>
      </c>
      <c r="J33" s="363" t="s">
        <v>3740</v>
      </c>
      <c r="K33" s="363" t="s">
        <v>9227</v>
      </c>
      <c r="L33" s="363" t="s">
        <v>9228</v>
      </c>
      <c r="M33" s="363" t="s">
        <v>9380</v>
      </c>
      <c r="N33" s="363" t="s">
        <v>9381</v>
      </c>
      <c r="O33" s="363" t="s">
        <v>9231</v>
      </c>
      <c r="P33" s="363" t="s">
        <v>9232</v>
      </c>
      <c r="Q33" s="363" t="s">
        <v>1359</v>
      </c>
      <c r="R33" s="363" t="s">
        <v>9233</v>
      </c>
      <c r="S33" s="363" t="s">
        <v>1359</v>
      </c>
      <c r="T33" s="363" t="s">
        <v>1359</v>
      </c>
      <c r="U33" s="363" t="s">
        <v>9382</v>
      </c>
      <c r="V33" s="363" t="s">
        <v>9235</v>
      </c>
      <c r="W33" s="363" t="s">
        <v>3754</v>
      </c>
      <c r="X33" s="363" t="s">
        <v>1359</v>
      </c>
      <c r="Y33" s="363" t="s">
        <v>9383</v>
      </c>
      <c r="Z33" s="363" t="s">
        <v>9237</v>
      </c>
      <c r="AA33" s="363" t="s">
        <v>9237</v>
      </c>
      <c r="AB33" s="363" t="s">
        <v>3754</v>
      </c>
      <c r="AC33" s="363" t="s">
        <v>1359</v>
      </c>
      <c r="AD33" s="363" t="s">
        <v>9238</v>
      </c>
      <c r="AE33" s="363" t="s">
        <v>3754</v>
      </c>
      <c r="AF33" s="363" t="s">
        <v>3754</v>
      </c>
      <c r="AG33" s="363" t="s">
        <v>1359</v>
      </c>
      <c r="AH33" s="363" t="s">
        <v>9239</v>
      </c>
      <c r="AI33" s="363" t="s">
        <v>1359</v>
      </c>
      <c r="AJ33" s="363" t="s">
        <v>1359</v>
      </c>
    </row>
    <row r="34" spans="1:36">
      <c r="A34" s="363" t="s">
        <v>5963</v>
      </c>
      <c r="B34" s="363" t="s">
        <v>9220</v>
      </c>
      <c r="C34" s="363" t="s">
        <v>9221</v>
      </c>
      <c r="D34" s="363" t="s">
        <v>9368</v>
      </c>
      <c r="E34" s="363" t="s">
        <v>9223</v>
      </c>
      <c r="F34" s="363" t="s">
        <v>9224</v>
      </c>
      <c r="G34" s="363" t="s">
        <v>9225</v>
      </c>
      <c r="H34" s="363" t="s">
        <v>71</v>
      </c>
      <c r="I34" s="363" t="s">
        <v>9226</v>
      </c>
      <c r="J34" s="363" t="s">
        <v>3740</v>
      </c>
      <c r="K34" s="363" t="s">
        <v>9227</v>
      </c>
      <c r="L34" s="363" t="s">
        <v>9228</v>
      </c>
      <c r="M34" s="363" t="s">
        <v>9384</v>
      </c>
      <c r="N34" s="363" t="s">
        <v>9385</v>
      </c>
      <c r="O34" s="363" t="s">
        <v>9231</v>
      </c>
      <c r="P34" s="363" t="s">
        <v>9232</v>
      </c>
      <c r="Q34" s="363" t="s">
        <v>1359</v>
      </c>
      <c r="R34" s="363" t="s">
        <v>9233</v>
      </c>
      <c r="S34" s="363" t="s">
        <v>1359</v>
      </c>
      <c r="T34" s="363" t="s">
        <v>1359</v>
      </c>
      <c r="U34" s="363" t="s">
        <v>9386</v>
      </c>
      <c r="V34" s="363" t="s">
        <v>9235</v>
      </c>
      <c r="W34" s="363" t="s">
        <v>3754</v>
      </c>
      <c r="X34" s="363" t="s">
        <v>1359</v>
      </c>
      <c r="Y34" s="363" t="s">
        <v>9387</v>
      </c>
      <c r="Z34" s="363" t="s">
        <v>9237</v>
      </c>
      <c r="AA34" s="363" t="s">
        <v>9237</v>
      </c>
      <c r="AB34" s="363" t="s">
        <v>3754</v>
      </c>
      <c r="AC34" s="363" t="s">
        <v>1359</v>
      </c>
      <c r="AD34" s="363" t="s">
        <v>9238</v>
      </c>
      <c r="AE34" s="363" t="s">
        <v>3754</v>
      </c>
      <c r="AF34" s="363" t="s">
        <v>3754</v>
      </c>
      <c r="AG34" s="363" t="s">
        <v>1359</v>
      </c>
      <c r="AH34" s="363" t="s">
        <v>9239</v>
      </c>
      <c r="AI34" s="363" t="s">
        <v>1359</v>
      </c>
      <c r="AJ34" s="363" t="s">
        <v>1359</v>
      </c>
    </row>
    <row r="35" spans="1:36">
      <c r="A35" s="363" t="s">
        <v>6076</v>
      </c>
      <c r="B35" s="363" t="s">
        <v>9220</v>
      </c>
      <c r="C35" s="363" t="s">
        <v>9221</v>
      </c>
      <c r="D35" s="363" t="s">
        <v>9388</v>
      </c>
      <c r="E35" s="363" t="s">
        <v>9223</v>
      </c>
      <c r="F35" s="363" t="s">
        <v>9224</v>
      </c>
      <c r="G35" s="363" t="s">
        <v>9225</v>
      </c>
      <c r="H35" s="363" t="s">
        <v>71</v>
      </c>
      <c r="I35" s="363" t="s">
        <v>9226</v>
      </c>
      <c r="J35" s="363" t="s">
        <v>3740</v>
      </c>
      <c r="K35" s="363" t="s">
        <v>9227</v>
      </c>
      <c r="L35" s="363" t="s">
        <v>9228</v>
      </c>
      <c r="M35" s="363" t="s">
        <v>9389</v>
      </c>
      <c r="N35" s="363" t="s">
        <v>9390</v>
      </c>
      <c r="O35" s="363" t="s">
        <v>9295</v>
      </c>
      <c r="P35" s="363" t="s">
        <v>9296</v>
      </c>
      <c r="Q35" s="363" t="s">
        <v>1359</v>
      </c>
      <c r="R35" s="363" t="s">
        <v>9233</v>
      </c>
      <c r="S35" s="363" t="s">
        <v>1359</v>
      </c>
      <c r="T35" s="363" t="s">
        <v>1359</v>
      </c>
      <c r="U35" s="363" t="s">
        <v>9391</v>
      </c>
      <c r="V35" s="363" t="s">
        <v>9235</v>
      </c>
      <c r="W35" s="363" t="s">
        <v>3740</v>
      </c>
      <c r="X35" s="363" t="s">
        <v>9392</v>
      </c>
      <c r="Y35" s="363" t="s">
        <v>9393</v>
      </c>
      <c r="Z35" s="363" t="s">
        <v>9237</v>
      </c>
      <c r="AA35" s="363" t="s">
        <v>9237</v>
      </c>
      <c r="AB35" s="363" t="s">
        <v>3754</v>
      </c>
      <c r="AC35" s="363" t="s">
        <v>1359</v>
      </c>
      <c r="AD35" s="363" t="s">
        <v>9251</v>
      </c>
      <c r="AE35" s="363" t="s">
        <v>3754</v>
      </c>
      <c r="AF35" s="363" t="s">
        <v>3754</v>
      </c>
      <c r="AG35" s="363" t="s">
        <v>1359</v>
      </c>
      <c r="AH35" s="363" t="s">
        <v>9239</v>
      </c>
      <c r="AI35" s="363" t="s">
        <v>1359</v>
      </c>
      <c r="AJ35" s="363" t="s">
        <v>1359</v>
      </c>
    </row>
    <row r="36" spans="1:36">
      <c r="A36" s="363" t="s">
        <v>9394</v>
      </c>
      <c r="B36" s="363" t="s">
        <v>9220</v>
      </c>
      <c r="C36" s="363" t="s">
        <v>9300</v>
      </c>
      <c r="D36" s="363" t="s">
        <v>9395</v>
      </c>
      <c r="E36" s="363" t="s">
        <v>9223</v>
      </c>
      <c r="F36" s="363" t="s">
        <v>9258</v>
      </c>
      <c r="G36" s="363" t="s">
        <v>9225</v>
      </c>
      <c r="H36" s="363" t="s">
        <v>7115</v>
      </c>
      <c r="I36" s="363" t="s">
        <v>9226</v>
      </c>
      <c r="J36" s="363" t="s">
        <v>3740</v>
      </c>
      <c r="K36" s="363" t="s">
        <v>9227</v>
      </c>
      <c r="L36" s="363" t="s">
        <v>9228</v>
      </c>
      <c r="M36" s="363" t="s">
        <v>9396</v>
      </c>
      <c r="N36" s="363" t="s">
        <v>9397</v>
      </c>
      <c r="O36" s="363" t="s">
        <v>9248</v>
      </c>
      <c r="P36" s="363" t="s">
        <v>9349</v>
      </c>
      <c r="Q36" s="363" t="s">
        <v>1359</v>
      </c>
      <c r="R36" s="363" t="s">
        <v>9376</v>
      </c>
      <c r="S36" s="363" t="s">
        <v>1359</v>
      </c>
      <c r="T36" s="363" t="s">
        <v>1359</v>
      </c>
      <c r="U36" s="363" t="s">
        <v>1359</v>
      </c>
      <c r="V36" s="363" t="s">
        <v>1359</v>
      </c>
      <c r="W36" s="363" t="s">
        <v>3754</v>
      </c>
      <c r="X36" s="363" t="s">
        <v>1359</v>
      </c>
      <c r="Y36" s="363" t="s">
        <v>1359</v>
      </c>
      <c r="Z36" s="363" t="s">
        <v>9237</v>
      </c>
      <c r="AA36" s="363" t="s">
        <v>9237</v>
      </c>
      <c r="AB36" s="363" t="s">
        <v>3740</v>
      </c>
      <c r="AC36" s="363" t="s">
        <v>1359</v>
      </c>
      <c r="AD36" s="363" t="s">
        <v>9251</v>
      </c>
      <c r="AE36" s="363" t="s">
        <v>3754</v>
      </c>
      <c r="AF36" s="363" t="s">
        <v>3754</v>
      </c>
      <c r="AG36" s="363" t="s">
        <v>9398</v>
      </c>
      <c r="AH36" s="363" t="s">
        <v>9239</v>
      </c>
      <c r="AI36" s="363" t="s">
        <v>1359</v>
      </c>
      <c r="AJ36" s="363" t="s">
        <v>1359</v>
      </c>
    </row>
    <row r="37" spans="1:36">
      <c r="A37" s="363" t="s">
        <v>9399</v>
      </c>
      <c r="B37" s="363" t="s">
        <v>9220</v>
      </c>
      <c r="C37" s="363" t="s">
        <v>9300</v>
      </c>
      <c r="D37" s="363" t="s">
        <v>9395</v>
      </c>
      <c r="E37" s="363" t="s">
        <v>9223</v>
      </c>
      <c r="F37" s="363" t="s">
        <v>9258</v>
      </c>
      <c r="G37" s="363" t="s">
        <v>9225</v>
      </c>
      <c r="H37" s="363" t="s">
        <v>7155</v>
      </c>
      <c r="I37" s="363" t="s">
        <v>9226</v>
      </c>
      <c r="J37" s="363" t="s">
        <v>3740</v>
      </c>
      <c r="K37" s="363" t="s">
        <v>9227</v>
      </c>
      <c r="L37" s="363" t="s">
        <v>9228</v>
      </c>
      <c r="M37" s="363" t="s">
        <v>9400</v>
      </c>
      <c r="N37" s="363" t="s">
        <v>9397</v>
      </c>
      <c r="O37" s="363" t="s">
        <v>9248</v>
      </c>
      <c r="P37" s="363" t="s">
        <v>9349</v>
      </c>
      <c r="Q37" s="363" t="s">
        <v>1359</v>
      </c>
      <c r="R37" s="363" t="s">
        <v>9376</v>
      </c>
      <c r="S37" s="363" t="s">
        <v>1359</v>
      </c>
      <c r="T37" s="363" t="s">
        <v>1359</v>
      </c>
      <c r="U37" s="363" t="s">
        <v>1359</v>
      </c>
      <c r="V37" s="363" t="s">
        <v>1359</v>
      </c>
      <c r="W37" s="363" t="s">
        <v>3754</v>
      </c>
      <c r="X37" s="363" t="s">
        <v>1359</v>
      </c>
      <c r="Y37" s="363" t="s">
        <v>1359</v>
      </c>
      <c r="Z37" s="363" t="s">
        <v>9237</v>
      </c>
      <c r="AA37" s="363" t="s">
        <v>9237</v>
      </c>
      <c r="AB37" s="363" t="s">
        <v>3740</v>
      </c>
      <c r="AC37" s="363" t="s">
        <v>1359</v>
      </c>
      <c r="AD37" s="363" t="s">
        <v>9251</v>
      </c>
      <c r="AE37" s="363" t="s">
        <v>3754</v>
      </c>
      <c r="AF37" s="363" t="s">
        <v>3754</v>
      </c>
      <c r="AG37" s="363" t="s">
        <v>9398</v>
      </c>
      <c r="AH37" s="363" t="s">
        <v>9239</v>
      </c>
      <c r="AI37" s="363" t="s">
        <v>1359</v>
      </c>
      <c r="AJ37" s="363" t="s">
        <v>1359</v>
      </c>
    </row>
    <row r="38" spans="1:36">
      <c r="A38" s="363" t="s">
        <v>9401</v>
      </c>
      <c r="B38" s="363" t="s">
        <v>9220</v>
      </c>
      <c r="C38" s="363" t="s">
        <v>9300</v>
      </c>
      <c r="D38" s="363" t="s">
        <v>9395</v>
      </c>
      <c r="E38" s="363" t="s">
        <v>9223</v>
      </c>
      <c r="F38" s="363" t="s">
        <v>9258</v>
      </c>
      <c r="G38" s="363" t="s">
        <v>9225</v>
      </c>
      <c r="H38" s="363" t="s">
        <v>7155</v>
      </c>
      <c r="I38" s="363" t="s">
        <v>9226</v>
      </c>
      <c r="J38" s="363" t="s">
        <v>3740</v>
      </c>
      <c r="K38" s="363" t="s">
        <v>9227</v>
      </c>
      <c r="L38" s="363" t="s">
        <v>9228</v>
      </c>
      <c r="M38" s="363" t="s">
        <v>9402</v>
      </c>
      <c r="N38" s="363" t="s">
        <v>9397</v>
      </c>
      <c r="O38" s="363" t="s">
        <v>9295</v>
      </c>
      <c r="P38" s="363" t="s">
        <v>9296</v>
      </c>
      <c r="Q38" s="363" t="s">
        <v>1359</v>
      </c>
      <c r="R38" s="363" t="s">
        <v>9376</v>
      </c>
      <c r="S38" s="363" t="s">
        <v>1359</v>
      </c>
      <c r="T38" s="363" t="s">
        <v>1359</v>
      </c>
      <c r="U38" s="363" t="s">
        <v>1359</v>
      </c>
      <c r="V38" s="363" t="s">
        <v>1359</v>
      </c>
      <c r="W38" s="363" t="s">
        <v>3754</v>
      </c>
      <c r="X38" s="363" t="s">
        <v>1359</v>
      </c>
      <c r="Y38" s="363" t="s">
        <v>1359</v>
      </c>
      <c r="Z38" s="363" t="s">
        <v>9237</v>
      </c>
      <c r="AA38" s="363" t="s">
        <v>9237</v>
      </c>
      <c r="AB38" s="363" t="s">
        <v>3740</v>
      </c>
      <c r="AC38" s="363" t="s">
        <v>1359</v>
      </c>
      <c r="AD38" s="363" t="s">
        <v>9251</v>
      </c>
      <c r="AE38" s="363" t="s">
        <v>3754</v>
      </c>
      <c r="AF38" s="363" t="s">
        <v>3754</v>
      </c>
      <c r="AG38" s="363" t="s">
        <v>9398</v>
      </c>
      <c r="AH38" s="363" t="s">
        <v>9239</v>
      </c>
      <c r="AI38" s="363" t="s">
        <v>1359</v>
      </c>
      <c r="AJ38" s="363" t="s">
        <v>1359</v>
      </c>
    </row>
    <row r="39" spans="1:36">
      <c r="A39" s="363" t="s">
        <v>8473</v>
      </c>
      <c r="B39" s="363" t="s">
        <v>9220</v>
      </c>
      <c r="C39" s="363" t="s">
        <v>9221</v>
      </c>
      <c r="D39" s="363" t="s">
        <v>9395</v>
      </c>
      <c r="E39" s="363" t="s">
        <v>9223</v>
      </c>
      <c r="F39" s="363" t="s">
        <v>9258</v>
      </c>
      <c r="G39" s="363" t="s">
        <v>9225</v>
      </c>
      <c r="H39" s="363" t="s">
        <v>7155</v>
      </c>
      <c r="I39" s="363" t="s">
        <v>9226</v>
      </c>
      <c r="J39" s="363" t="s">
        <v>3740</v>
      </c>
      <c r="K39" s="363" t="s">
        <v>9227</v>
      </c>
      <c r="L39" s="363" t="s">
        <v>9228</v>
      </c>
      <c r="M39" s="363" t="s">
        <v>9403</v>
      </c>
      <c r="N39" s="363" t="s">
        <v>9404</v>
      </c>
      <c r="O39" s="363" t="s">
        <v>9405</v>
      </c>
      <c r="P39" s="363" t="s">
        <v>9406</v>
      </c>
      <c r="Q39" s="363" t="s">
        <v>1359</v>
      </c>
      <c r="R39" s="363" t="s">
        <v>9233</v>
      </c>
      <c r="S39" s="363" t="s">
        <v>1359</v>
      </c>
      <c r="T39" s="363" t="s">
        <v>1359</v>
      </c>
      <c r="U39" s="363" t="s">
        <v>9407</v>
      </c>
      <c r="V39" s="363" t="s">
        <v>9235</v>
      </c>
      <c r="W39" s="363" t="s">
        <v>3754</v>
      </c>
      <c r="X39" s="363" t="s">
        <v>1359</v>
      </c>
      <c r="Y39" s="363" t="s">
        <v>9408</v>
      </c>
      <c r="Z39" s="363" t="s">
        <v>9237</v>
      </c>
      <c r="AA39" s="363" t="s">
        <v>9237</v>
      </c>
      <c r="AB39" s="363" t="s">
        <v>3754</v>
      </c>
      <c r="AC39" s="363" t="s">
        <v>1359</v>
      </c>
      <c r="AD39" s="363" t="s">
        <v>9238</v>
      </c>
      <c r="AE39" s="363" t="s">
        <v>3754</v>
      </c>
      <c r="AF39" s="363" t="s">
        <v>3754</v>
      </c>
      <c r="AG39" s="363" t="s">
        <v>1359</v>
      </c>
      <c r="AH39" s="363" t="s">
        <v>9239</v>
      </c>
      <c r="AI39" s="363" t="s">
        <v>1359</v>
      </c>
      <c r="AJ39" s="363" t="s">
        <v>1359</v>
      </c>
    </row>
    <row r="40" spans="1:36">
      <c r="A40" s="363" t="s">
        <v>326</v>
      </c>
      <c r="B40" s="363" t="s">
        <v>9220</v>
      </c>
      <c r="C40" s="363" t="s">
        <v>9221</v>
      </c>
      <c r="D40" s="363" t="s">
        <v>9409</v>
      </c>
      <c r="E40" s="363" t="s">
        <v>9223</v>
      </c>
      <c r="F40" s="363" t="s">
        <v>3728</v>
      </c>
      <c r="G40" s="363" t="s">
        <v>9225</v>
      </c>
      <c r="H40" s="363" t="s">
        <v>85</v>
      </c>
      <c r="I40" s="363" t="s">
        <v>9226</v>
      </c>
      <c r="J40" s="363" t="s">
        <v>3740</v>
      </c>
      <c r="K40" s="363" t="s">
        <v>9227</v>
      </c>
      <c r="L40" s="363" t="s">
        <v>9228</v>
      </c>
      <c r="M40" s="363" t="s">
        <v>9410</v>
      </c>
      <c r="N40" s="363" t="s">
        <v>9411</v>
      </c>
      <c r="O40" s="363" t="s">
        <v>9412</v>
      </c>
      <c r="P40" s="363" t="s">
        <v>9413</v>
      </c>
      <c r="Q40" s="363" t="s">
        <v>1359</v>
      </c>
      <c r="R40" s="363" t="s">
        <v>9233</v>
      </c>
      <c r="S40" s="363" t="s">
        <v>1359</v>
      </c>
      <c r="T40" s="363" t="s">
        <v>1359</v>
      </c>
      <c r="U40" s="363" t="s">
        <v>9414</v>
      </c>
      <c r="V40" s="363" t="s">
        <v>9235</v>
      </c>
      <c r="W40" s="363" t="s">
        <v>3754</v>
      </c>
      <c r="X40" s="363" t="s">
        <v>1359</v>
      </c>
      <c r="Y40" s="363" t="s">
        <v>1359</v>
      </c>
      <c r="Z40" s="363" t="s">
        <v>9415</v>
      </c>
      <c r="AA40" s="363" t="s">
        <v>9415</v>
      </c>
      <c r="AB40" s="363" t="s">
        <v>3754</v>
      </c>
      <c r="AC40" s="363" t="s">
        <v>1359</v>
      </c>
      <c r="AD40" s="363" t="s">
        <v>9251</v>
      </c>
      <c r="AE40" s="363" t="s">
        <v>3754</v>
      </c>
      <c r="AF40" s="363" t="s">
        <v>3754</v>
      </c>
      <c r="AG40" s="363" t="s">
        <v>1359</v>
      </c>
      <c r="AH40" s="363" t="s">
        <v>9239</v>
      </c>
      <c r="AI40" s="363" t="s">
        <v>1359</v>
      </c>
      <c r="AJ40" s="363" t="s">
        <v>1359</v>
      </c>
    </row>
    <row r="41" spans="1:36">
      <c r="A41" s="363" t="s">
        <v>9416</v>
      </c>
      <c r="B41" s="363" t="s">
        <v>9220</v>
      </c>
      <c r="C41" s="363" t="s">
        <v>9300</v>
      </c>
      <c r="D41" s="363" t="s">
        <v>9417</v>
      </c>
      <c r="E41" s="363" t="s">
        <v>9223</v>
      </c>
      <c r="F41" s="363" t="s">
        <v>9302</v>
      </c>
      <c r="G41" s="363" t="s">
        <v>9226</v>
      </c>
      <c r="H41" s="363" t="s">
        <v>9302</v>
      </c>
      <c r="I41" s="363" t="s">
        <v>9226</v>
      </c>
      <c r="J41" s="363" t="s">
        <v>3754</v>
      </c>
      <c r="K41" s="363" t="s">
        <v>9227</v>
      </c>
      <c r="L41" s="363" t="s">
        <v>9228</v>
      </c>
      <c r="M41" s="363" t="s">
        <v>9418</v>
      </c>
      <c r="N41" s="363" t="s">
        <v>9419</v>
      </c>
      <c r="O41" s="363" t="s">
        <v>9395</v>
      </c>
      <c r="P41" s="363" t="s">
        <v>9420</v>
      </c>
      <c r="Q41" s="363" t="s">
        <v>1359</v>
      </c>
      <c r="R41" s="363" t="s">
        <v>9233</v>
      </c>
      <c r="S41" s="363" t="s">
        <v>1359</v>
      </c>
      <c r="T41" s="363" t="s">
        <v>1359</v>
      </c>
      <c r="U41" s="363" t="s">
        <v>9305</v>
      </c>
      <c r="V41" s="363" t="s">
        <v>9235</v>
      </c>
      <c r="W41" s="363" t="s">
        <v>3754</v>
      </c>
      <c r="X41" s="363" t="s">
        <v>1359</v>
      </c>
      <c r="Y41" s="363" t="s">
        <v>1359</v>
      </c>
      <c r="Z41" s="363" t="s">
        <v>9306</v>
      </c>
      <c r="AA41" s="363" t="s">
        <v>9306</v>
      </c>
      <c r="AB41" s="363" t="s">
        <v>3740</v>
      </c>
      <c r="AC41" s="363" t="s">
        <v>1359</v>
      </c>
      <c r="AD41" s="363" t="s">
        <v>9251</v>
      </c>
      <c r="AE41" s="363" t="s">
        <v>3754</v>
      </c>
      <c r="AF41" s="363" t="s">
        <v>3754</v>
      </c>
      <c r="AG41" s="363" t="s">
        <v>9307</v>
      </c>
      <c r="AH41" s="363" t="s">
        <v>9239</v>
      </c>
      <c r="AI41" s="363" t="s">
        <v>1359</v>
      </c>
      <c r="AJ41" s="363" t="s">
        <v>1359</v>
      </c>
    </row>
    <row r="42" spans="1:36">
      <c r="A42" s="363" t="s">
        <v>6940</v>
      </c>
      <c r="B42" s="363" t="s">
        <v>9220</v>
      </c>
      <c r="C42" s="363" t="s">
        <v>9221</v>
      </c>
      <c r="D42" s="363" t="s">
        <v>9421</v>
      </c>
      <c r="E42" s="363" t="s">
        <v>9223</v>
      </c>
      <c r="F42" s="363" t="s">
        <v>9258</v>
      </c>
      <c r="G42" s="363" t="s">
        <v>9225</v>
      </c>
      <c r="H42" s="363" t="s">
        <v>6625</v>
      </c>
      <c r="I42" s="363" t="s">
        <v>9226</v>
      </c>
      <c r="J42" s="363" t="s">
        <v>3740</v>
      </c>
      <c r="K42" s="363" t="s">
        <v>9227</v>
      </c>
      <c r="L42" s="363" t="s">
        <v>9228</v>
      </c>
      <c r="M42" s="363" t="s">
        <v>9422</v>
      </c>
      <c r="N42" s="363" t="s">
        <v>9423</v>
      </c>
      <c r="O42" s="363" t="s">
        <v>9231</v>
      </c>
      <c r="P42" s="363" t="s">
        <v>9232</v>
      </c>
      <c r="Q42" s="363" t="s">
        <v>1359</v>
      </c>
      <c r="R42" s="363" t="s">
        <v>9233</v>
      </c>
      <c r="S42" s="363" t="s">
        <v>1359</v>
      </c>
      <c r="T42" s="363" t="s">
        <v>1359</v>
      </c>
      <c r="U42" s="363" t="s">
        <v>9424</v>
      </c>
      <c r="V42" s="363" t="s">
        <v>9235</v>
      </c>
      <c r="W42" s="363" t="s">
        <v>3754</v>
      </c>
      <c r="X42" s="363" t="s">
        <v>1359</v>
      </c>
      <c r="Y42" s="363" t="s">
        <v>9244</v>
      </c>
      <c r="Z42" s="363" t="s">
        <v>9237</v>
      </c>
      <c r="AA42" s="363" t="s">
        <v>9237</v>
      </c>
      <c r="AB42" s="363" t="s">
        <v>3754</v>
      </c>
      <c r="AC42" s="363" t="s">
        <v>1359</v>
      </c>
      <c r="AD42" s="363" t="s">
        <v>9238</v>
      </c>
      <c r="AE42" s="363" t="s">
        <v>3754</v>
      </c>
      <c r="AF42" s="363" t="s">
        <v>3754</v>
      </c>
      <c r="AG42" s="363" t="s">
        <v>1359</v>
      </c>
      <c r="AH42" s="363" t="s">
        <v>9239</v>
      </c>
      <c r="AI42" s="363" t="s">
        <v>1359</v>
      </c>
      <c r="AJ42" s="363" t="s">
        <v>1359</v>
      </c>
    </row>
    <row r="43" spans="1:36">
      <c r="A43" s="363" t="s">
        <v>5532</v>
      </c>
      <c r="B43" s="363" t="s">
        <v>9220</v>
      </c>
      <c r="C43" s="363" t="s">
        <v>9221</v>
      </c>
      <c r="D43" s="363" t="s">
        <v>9421</v>
      </c>
      <c r="E43" s="363" t="s">
        <v>9223</v>
      </c>
      <c r="F43" s="363" t="s">
        <v>9224</v>
      </c>
      <c r="G43" s="363" t="s">
        <v>9225</v>
      </c>
      <c r="H43" s="363" t="s">
        <v>71</v>
      </c>
      <c r="I43" s="363" t="s">
        <v>9226</v>
      </c>
      <c r="J43" s="363" t="s">
        <v>3740</v>
      </c>
      <c r="K43" s="363" t="s">
        <v>9227</v>
      </c>
      <c r="L43" s="363" t="s">
        <v>9228</v>
      </c>
      <c r="M43" s="363" t="s">
        <v>9425</v>
      </c>
      <c r="N43" s="363" t="s">
        <v>9426</v>
      </c>
      <c r="O43" s="363" t="s">
        <v>9427</v>
      </c>
      <c r="P43" s="363" t="s">
        <v>9249</v>
      </c>
      <c r="Q43" s="363" t="s">
        <v>1359</v>
      </c>
      <c r="R43" s="363" t="s">
        <v>9233</v>
      </c>
      <c r="S43" s="363" t="s">
        <v>1359</v>
      </c>
      <c r="T43" s="363" t="s">
        <v>1359</v>
      </c>
      <c r="U43" s="363" t="s">
        <v>9428</v>
      </c>
      <c r="V43" s="363" t="s">
        <v>9235</v>
      </c>
      <c r="W43" s="363" t="s">
        <v>3740</v>
      </c>
      <c r="X43" s="363" t="s">
        <v>9288</v>
      </c>
      <c r="Y43" s="363" t="s">
        <v>9429</v>
      </c>
      <c r="Z43" s="363" t="s">
        <v>9237</v>
      </c>
      <c r="AA43" s="363" t="s">
        <v>9237</v>
      </c>
      <c r="AB43" s="363" t="s">
        <v>3754</v>
      </c>
      <c r="AC43" s="363" t="s">
        <v>1359</v>
      </c>
      <c r="AD43" s="363" t="s">
        <v>9251</v>
      </c>
      <c r="AE43" s="363" t="s">
        <v>3754</v>
      </c>
      <c r="AF43" s="363" t="s">
        <v>3754</v>
      </c>
      <c r="AG43" s="363" t="s">
        <v>1359</v>
      </c>
      <c r="AH43" s="363" t="s">
        <v>9239</v>
      </c>
      <c r="AI43" s="363" t="s">
        <v>1359</v>
      </c>
      <c r="AJ43" s="363" t="s">
        <v>1359</v>
      </c>
    </row>
    <row r="44" spans="1:36">
      <c r="A44" s="363" t="s">
        <v>2967</v>
      </c>
      <c r="B44" s="363" t="s">
        <v>9220</v>
      </c>
      <c r="C44" s="363" t="s">
        <v>9221</v>
      </c>
      <c r="D44" s="363" t="s">
        <v>9430</v>
      </c>
      <c r="E44" s="363" t="s">
        <v>9223</v>
      </c>
      <c r="F44" s="363" t="s">
        <v>3728</v>
      </c>
      <c r="G44" s="363" t="s">
        <v>9225</v>
      </c>
      <c r="H44" s="363" t="s">
        <v>48</v>
      </c>
      <c r="I44" s="363" t="s">
        <v>9226</v>
      </c>
      <c r="J44" s="363" t="s">
        <v>3740</v>
      </c>
      <c r="K44" s="363" t="s">
        <v>9227</v>
      </c>
      <c r="L44" s="363" t="s">
        <v>9228</v>
      </c>
      <c r="M44" s="363" t="s">
        <v>9431</v>
      </c>
      <c r="N44" s="363" t="s">
        <v>9432</v>
      </c>
      <c r="O44" s="363" t="s">
        <v>9231</v>
      </c>
      <c r="P44" s="363" t="s">
        <v>9232</v>
      </c>
      <c r="Q44" s="363" t="s">
        <v>1359</v>
      </c>
      <c r="R44" s="363" t="s">
        <v>9233</v>
      </c>
      <c r="S44" s="363" t="s">
        <v>1359</v>
      </c>
      <c r="T44" s="363" t="s">
        <v>1359</v>
      </c>
      <c r="U44" s="363" t="s">
        <v>9433</v>
      </c>
      <c r="V44" s="363" t="s">
        <v>9235</v>
      </c>
      <c r="W44" s="363" t="s">
        <v>3754</v>
      </c>
      <c r="X44" s="363" t="s">
        <v>1359</v>
      </c>
      <c r="Y44" s="363" t="s">
        <v>9244</v>
      </c>
      <c r="Z44" s="363" t="s">
        <v>9237</v>
      </c>
      <c r="AA44" s="363" t="s">
        <v>9237</v>
      </c>
      <c r="AB44" s="363" t="s">
        <v>3754</v>
      </c>
      <c r="AC44" s="363" t="s">
        <v>1359</v>
      </c>
      <c r="AD44" s="363" t="s">
        <v>9238</v>
      </c>
      <c r="AE44" s="363" t="s">
        <v>3754</v>
      </c>
      <c r="AF44" s="363" t="s">
        <v>3754</v>
      </c>
      <c r="AG44" s="363" t="s">
        <v>1359</v>
      </c>
      <c r="AH44" s="363" t="s">
        <v>9239</v>
      </c>
      <c r="AI44" s="363" t="s">
        <v>1359</v>
      </c>
      <c r="AJ44" s="363" t="s">
        <v>1359</v>
      </c>
    </row>
    <row r="45" spans="1:36">
      <c r="A45" s="363" t="s">
        <v>9434</v>
      </c>
      <c r="B45" s="363" t="s">
        <v>9352</v>
      </c>
      <c r="C45" s="363" t="s">
        <v>9221</v>
      </c>
      <c r="D45" s="363" t="s">
        <v>9430</v>
      </c>
      <c r="E45" s="363" t="s">
        <v>9223</v>
      </c>
      <c r="F45" s="363" t="s">
        <v>3728</v>
      </c>
      <c r="G45" s="363" t="s">
        <v>9225</v>
      </c>
      <c r="H45" s="363" t="s">
        <v>48</v>
      </c>
      <c r="I45" s="363" t="s">
        <v>9226</v>
      </c>
      <c r="J45" s="363" t="s">
        <v>3740</v>
      </c>
      <c r="K45" s="363" t="s">
        <v>9227</v>
      </c>
      <c r="L45" s="363" t="s">
        <v>9228</v>
      </c>
      <c r="M45" s="363" t="s">
        <v>9435</v>
      </c>
      <c r="N45" s="363" t="s">
        <v>9436</v>
      </c>
      <c r="O45" s="363" t="s">
        <v>9405</v>
      </c>
      <c r="P45" s="363" t="s">
        <v>9437</v>
      </c>
      <c r="Q45" s="363" t="s">
        <v>1359</v>
      </c>
      <c r="R45" s="363" t="s">
        <v>9233</v>
      </c>
      <c r="S45" s="363" t="s">
        <v>1359</v>
      </c>
      <c r="T45" s="363" t="s">
        <v>1359</v>
      </c>
      <c r="U45" s="363" t="s">
        <v>9438</v>
      </c>
      <c r="V45" s="363" t="s">
        <v>9235</v>
      </c>
      <c r="W45" s="363" t="s">
        <v>3754</v>
      </c>
      <c r="X45" s="363" t="s">
        <v>1359</v>
      </c>
      <c r="Y45" s="363" t="s">
        <v>9439</v>
      </c>
      <c r="Z45" s="363" t="s">
        <v>9237</v>
      </c>
      <c r="AA45" s="363" t="s">
        <v>9237</v>
      </c>
      <c r="AB45" s="363" t="s">
        <v>3754</v>
      </c>
      <c r="AC45" s="363" t="s">
        <v>1359</v>
      </c>
      <c r="AD45" s="363" t="s">
        <v>9238</v>
      </c>
      <c r="AE45" s="363" t="s">
        <v>3754</v>
      </c>
      <c r="AF45" s="363" t="s">
        <v>3754</v>
      </c>
      <c r="AG45" s="363" t="s">
        <v>1359</v>
      </c>
      <c r="AH45" s="363" t="s">
        <v>9239</v>
      </c>
      <c r="AI45" s="363" t="s">
        <v>1359</v>
      </c>
      <c r="AJ45" s="363" t="s">
        <v>1359</v>
      </c>
    </row>
    <row r="46" spans="1:36">
      <c r="A46" s="363" t="s">
        <v>2925</v>
      </c>
      <c r="B46" s="363" t="s">
        <v>9220</v>
      </c>
      <c r="C46" s="363" t="s">
        <v>9221</v>
      </c>
      <c r="D46" s="363" t="s">
        <v>9430</v>
      </c>
      <c r="E46" s="363" t="s">
        <v>9223</v>
      </c>
      <c r="F46" s="363" t="s">
        <v>3728</v>
      </c>
      <c r="G46" s="363" t="s">
        <v>9225</v>
      </c>
      <c r="H46" s="363" t="s">
        <v>48</v>
      </c>
      <c r="I46" s="363" t="s">
        <v>9226</v>
      </c>
      <c r="J46" s="363" t="s">
        <v>3740</v>
      </c>
      <c r="K46" s="363" t="s">
        <v>9227</v>
      </c>
      <c r="L46" s="363" t="s">
        <v>9228</v>
      </c>
      <c r="M46" s="363" t="s">
        <v>9440</v>
      </c>
      <c r="N46" s="363" t="s">
        <v>9441</v>
      </c>
      <c r="O46" s="363" t="s">
        <v>9231</v>
      </c>
      <c r="P46" s="363" t="s">
        <v>9280</v>
      </c>
      <c r="Q46" s="363" t="s">
        <v>1359</v>
      </c>
      <c r="R46" s="363" t="s">
        <v>9233</v>
      </c>
      <c r="S46" s="363" t="s">
        <v>1359</v>
      </c>
      <c r="T46" s="363" t="s">
        <v>1359</v>
      </c>
      <c r="U46" s="363" t="s">
        <v>9442</v>
      </c>
      <c r="V46" s="363" t="s">
        <v>9235</v>
      </c>
      <c r="W46" s="363" t="s">
        <v>3754</v>
      </c>
      <c r="X46" s="363" t="s">
        <v>1359</v>
      </c>
      <c r="Y46" s="363" t="s">
        <v>9244</v>
      </c>
      <c r="Z46" s="363" t="s">
        <v>9237</v>
      </c>
      <c r="AA46" s="363" t="s">
        <v>9237</v>
      </c>
      <c r="AB46" s="363" t="s">
        <v>3754</v>
      </c>
      <c r="AC46" s="363" t="s">
        <v>1359</v>
      </c>
      <c r="AD46" s="363" t="s">
        <v>9238</v>
      </c>
      <c r="AE46" s="363" t="s">
        <v>3754</v>
      </c>
      <c r="AF46" s="363" t="s">
        <v>3754</v>
      </c>
      <c r="AG46" s="363" t="s">
        <v>1359</v>
      </c>
      <c r="AH46" s="363" t="s">
        <v>9239</v>
      </c>
      <c r="AI46" s="363" t="s">
        <v>1359</v>
      </c>
      <c r="AJ46" s="363" t="s">
        <v>1359</v>
      </c>
    </row>
    <row r="47" spans="1:36">
      <c r="A47" s="363" t="s">
        <v>2874</v>
      </c>
      <c r="B47" s="363" t="s">
        <v>9220</v>
      </c>
      <c r="C47" s="363" t="s">
        <v>9221</v>
      </c>
      <c r="D47" s="363" t="s">
        <v>9430</v>
      </c>
      <c r="E47" s="363" t="s">
        <v>9223</v>
      </c>
      <c r="F47" s="363" t="s">
        <v>3728</v>
      </c>
      <c r="G47" s="363" t="s">
        <v>9225</v>
      </c>
      <c r="H47" s="363" t="s">
        <v>48</v>
      </c>
      <c r="I47" s="363" t="s">
        <v>9226</v>
      </c>
      <c r="J47" s="363" t="s">
        <v>3740</v>
      </c>
      <c r="K47" s="363" t="s">
        <v>9227</v>
      </c>
      <c r="L47" s="363" t="s">
        <v>9228</v>
      </c>
      <c r="M47" s="363" t="s">
        <v>9443</v>
      </c>
      <c r="N47" s="363" t="s">
        <v>9444</v>
      </c>
      <c r="O47" s="363" t="s">
        <v>9231</v>
      </c>
      <c r="P47" s="363" t="s">
        <v>9232</v>
      </c>
      <c r="Q47" s="363" t="s">
        <v>1359</v>
      </c>
      <c r="R47" s="363" t="s">
        <v>9233</v>
      </c>
      <c r="S47" s="363" t="s">
        <v>1359</v>
      </c>
      <c r="T47" s="363" t="s">
        <v>1359</v>
      </c>
      <c r="U47" s="363" t="s">
        <v>9445</v>
      </c>
      <c r="V47" s="363" t="s">
        <v>9235</v>
      </c>
      <c r="W47" s="363" t="s">
        <v>3754</v>
      </c>
      <c r="X47" s="363" t="s">
        <v>1359</v>
      </c>
      <c r="Y47" s="363" t="s">
        <v>9244</v>
      </c>
      <c r="Z47" s="363" t="s">
        <v>9237</v>
      </c>
      <c r="AA47" s="363" t="s">
        <v>9237</v>
      </c>
      <c r="AB47" s="363" t="s">
        <v>3754</v>
      </c>
      <c r="AC47" s="363" t="s">
        <v>1359</v>
      </c>
      <c r="AD47" s="363" t="s">
        <v>9238</v>
      </c>
      <c r="AE47" s="363" t="s">
        <v>3754</v>
      </c>
      <c r="AF47" s="363" t="s">
        <v>3754</v>
      </c>
      <c r="AG47" s="363" t="s">
        <v>1359</v>
      </c>
      <c r="AH47" s="363" t="s">
        <v>9239</v>
      </c>
      <c r="AI47" s="363" t="s">
        <v>1359</v>
      </c>
      <c r="AJ47" s="363" t="s">
        <v>1359</v>
      </c>
    </row>
    <row r="48" spans="1:36">
      <c r="A48" s="363" t="s">
        <v>3542</v>
      </c>
      <c r="B48" s="363" t="s">
        <v>9220</v>
      </c>
      <c r="C48" s="363" t="s">
        <v>9221</v>
      </c>
      <c r="D48" s="363" t="s">
        <v>9430</v>
      </c>
      <c r="E48" s="363" t="s">
        <v>9223</v>
      </c>
      <c r="F48" s="363" t="s">
        <v>3728</v>
      </c>
      <c r="G48" s="363" t="s">
        <v>9225</v>
      </c>
      <c r="H48" s="363" t="s">
        <v>48</v>
      </c>
      <c r="I48" s="363" t="s">
        <v>9226</v>
      </c>
      <c r="J48" s="363" t="s">
        <v>3740</v>
      </c>
      <c r="K48" s="363" t="s">
        <v>9227</v>
      </c>
      <c r="L48" s="363" t="s">
        <v>9228</v>
      </c>
      <c r="M48" s="363" t="s">
        <v>9435</v>
      </c>
      <c r="N48" s="363" t="s">
        <v>9446</v>
      </c>
      <c r="O48" s="363" t="s">
        <v>9231</v>
      </c>
      <c r="P48" s="363" t="s">
        <v>9406</v>
      </c>
      <c r="Q48" s="363" t="s">
        <v>1359</v>
      </c>
      <c r="R48" s="363" t="s">
        <v>9233</v>
      </c>
      <c r="S48" s="363" t="s">
        <v>1359</v>
      </c>
      <c r="T48" s="363" t="s">
        <v>1359</v>
      </c>
      <c r="U48" s="363" t="s">
        <v>9447</v>
      </c>
      <c r="V48" s="363" t="s">
        <v>9235</v>
      </c>
      <c r="W48" s="363" t="s">
        <v>3754</v>
      </c>
      <c r="X48" s="363" t="s">
        <v>1359</v>
      </c>
      <c r="Y48" s="363" t="s">
        <v>9244</v>
      </c>
      <c r="Z48" s="363" t="s">
        <v>9237</v>
      </c>
      <c r="AA48" s="363" t="s">
        <v>9237</v>
      </c>
      <c r="AB48" s="363" t="s">
        <v>3754</v>
      </c>
      <c r="AC48" s="363" t="s">
        <v>1359</v>
      </c>
      <c r="AD48" s="363" t="s">
        <v>9238</v>
      </c>
      <c r="AE48" s="363" t="s">
        <v>3754</v>
      </c>
      <c r="AF48" s="363" t="s">
        <v>3754</v>
      </c>
      <c r="AG48" s="363" t="s">
        <v>1359</v>
      </c>
      <c r="AH48" s="363" t="s">
        <v>9239</v>
      </c>
      <c r="AI48" s="363" t="s">
        <v>1359</v>
      </c>
      <c r="AJ48" s="363" t="s">
        <v>1359</v>
      </c>
    </row>
    <row r="49" spans="1:36">
      <c r="A49" s="363" t="s">
        <v>9448</v>
      </c>
      <c r="B49" s="363" t="s">
        <v>9352</v>
      </c>
      <c r="C49" s="363" t="s">
        <v>9221</v>
      </c>
      <c r="D49" s="363" t="s">
        <v>9430</v>
      </c>
      <c r="E49" s="363" t="s">
        <v>9223</v>
      </c>
      <c r="F49" s="363" t="s">
        <v>3728</v>
      </c>
      <c r="G49" s="363" t="s">
        <v>9225</v>
      </c>
      <c r="H49" s="363" t="s">
        <v>48</v>
      </c>
      <c r="I49" s="363" t="s">
        <v>9226</v>
      </c>
      <c r="J49" s="363" t="s">
        <v>3740</v>
      </c>
      <c r="K49" s="363" t="s">
        <v>9227</v>
      </c>
      <c r="L49" s="363" t="s">
        <v>9228</v>
      </c>
      <c r="M49" s="363" t="s">
        <v>9440</v>
      </c>
      <c r="N49" s="363" t="s">
        <v>9449</v>
      </c>
      <c r="O49" s="363" t="s">
        <v>9285</v>
      </c>
      <c r="P49" s="363" t="s">
        <v>9437</v>
      </c>
      <c r="Q49" s="363" t="s">
        <v>1359</v>
      </c>
      <c r="R49" s="363" t="s">
        <v>9233</v>
      </c>
      <c r="S49" s="363" t="s">
        <v>1359</v>
      </c>
      <c r="T49" s="363" t="s">
        <v>1359</v>
      </c>
      <c r="U49" s="363" t="s">
        <v>9450</v>
      </c>
      <c r="V49" s="363" t="s">
        <v>9235</v>
      </c>
      <c r="W49" s="363" t="s">
        <v>3754</v>
      </c>
      <c r="X49" s="363" t="s">
        <v>1359</v>
      </c>
      <c r="Y49" s="363" t="s">
        <v>9439</v>
      </c>
      <c r="Z49" s="363" t="s">
        <v>9237</v>
      </c>
      <c r="AA49" s="363" t="s">
        <v>9237</v>
      </c>
      <c r="AB49" s="363" t="s">
        <v>3754</v>
      </c>
      <c r="AC49" s="363" t="s">
        <v>1359</v>
      </c>
      <c r="AD49" s="363" t="s">
        <v>9238</v>
      </c>
      <c r="AE49" s="363" t="s">
        <v>3754</v>
      </c>
      <c r="AF49" s="363" t="s">
        <v>3754</v>
      </c>
      <c r="AG49" s="363" t="s">
        <v>1359</v>
      </c>
      <c r="AH49" s="363" t="s">
        <v>9239</v>
      </c>
      <c r="AI49" s="363" t="s">
        <v>1359</v>
      </c>
      <c r="AJ49" s="363" t="s">
        <v>1359</v>
      </c>
    </row>
    <row r="50" spans="1:36">
      <c r="A50" s="363" t="s">
        <v>9451</v>
      </c>
      <c r="B50" s="363" t="s">
        <v>9220</v>
      </c>
      <c r="C50" s="363" t="s">
        <v>9300</v>
      </c>
      <c r="D50" s="363" t="s">
        <v>9452</v>
      </c>
      <c r="E50" s="363" t="s">
        <v>9223</v>
      </c>
      <c r="F50" s="363" t="s">
        <v>9302</v>
      </c>
      <c r="G50" s="363" t="s">
        <v>9226</v>
      </c>
      <c r="H50" s="363" t="s">
        <v>9302</v>
      </c>
      <c r="I50" s="363" t="s">
        <v>9226</v>
      </c>
      <c r="J50" s="363" t="s">
        <v>3754</v>
      </c>
      <c r="K50" s="363" t="s">
        <v>9227</v>
      </c>
      <c r="L50" s="363" t="s">
        <v>9228</v>
      </c>
      <c r="M50" s="363" t="s">
        <v>9453</v>
      </c>
      <c r="N50" s="363" t="s">
        <v>9454</v>
      </c>
      <c r="O50" s="363" t="s">
        <v>9417</v>
      </c>
      <c r="P50" s="363" t="s">
        <v>9455</v>
      </c>
      <c r="Q50" s="363" t="s">
        <v>1359</v>
      </c>
      <c r="R50" s="363" t="s">
        <v>9233</v>
      </c>
      <c r="S50" s="363" t="s">
        <v>1359</v>
      </c>
      <c r="T50" s="363" t="s">
        <v>1359</v>
      </c>
      <c r="U50" s="363" t="s">
        <v>9305</v>
      </c>
      <c r="V50" s="363" t="s">
        <v>9235</v>
      </c>
      <c r="W50" s="363" t="s">
        <v>3754</v>
      </c>
      <c r="X50" s="363" t="s">
        <v>1359</v>
      </c>
      <c r="Y50" s="363" t="s">
        <v>1359</v>
      </c>
      <c r="Z50" s="363" t="s">
        <v>9306</v>
      </c>
      <c r="AA50" s="363" t="s">
        <v>9306</v>
      </c>
      <c r="AB50" s="363" t="s">
        <v>3740</v>
      </c>
      <c r="AC50" s="363" t="s">
        <v>1359</v>
      </c>
      <c r="AD50" s="363" t="s">
        <v>9251</v>
      </c>
      <c r="AE50" s="363" t="s">
        <v>3754</v>
      </c>
      <c r="AF50" s="363" t="s">
        <v>3754</v>
      </c>
      <c r="AG50" s="363" t="s">
        <v>9307</v>
      </c>
      <c r="AH50" s="363" t="s">
        <v>9239</v>
      </c>
      <c r="AI50" s="363" t="s">
        <v>1359</v>
      </c>
      <c r="AJ50" s="363" t="s">
        <v>1359</v>
      </c>
    </row>
    <row r="51" spans="1:36">
      <c r="A51" s="363" t="s">
        <v>9456</v>
      </c>
      <c r="B51" s="363" t="s">
        <v>9220</v>
      </c>
      <c r="C51" s="363" t="s">
        <v>9221</v>
      </c>
      <c r="D51" s="363" t="s">
        <v>9452</v>
      </c>
      <c r="E51" s="363" t="s">
        <v>9223</v>
      </c>
      <c r="F51" s="363" t="s">
        <v>9302</v>
      </c>
      <c r="G51" s="363" t="s">
        <v>9226</v>
      </c>
      <c r="H51" s="363" t="s">
        <v>9302</v>
      </c>
      <c r="I51" s="363" t="s">
        <v>9226</v>
      </c>
      <c r="J51" s="363" t="s">
        <v>3754</v>
      </c>
      <c r="K51" s="363" t="s">
        <v>9457</v>
      </c>
      <c r="L51" s="363" t="s">
        <v>9228</v>
      </c>
      <c r="M51" s="363" t="s">
        <v>9458</v>
      </c>
      <c r="N51" s="363" t="s">
        <v>9459</v>
      </c>
      <c r="O51" s="363" t="s">
        <v>9452</v>
      </c>
      <c r="P51" s="363" t="s">
        <v>9460</v>
      </c>
      <c r="Q51" s="363" t="s">
        <v>1359</v>
      </c>
      <c r="R51" s="363" t="s">
        <v>9233</v>
      </c>
      <c r="S51" s="363" t="s">
        <v>1359</v>
      </c>
      <c r="T51" s="363" t="s">
        <v>1359</v>
      </c>
      <c r="U51" s="363" t="s">
        <v>9461</v>
      </c>
      <c r="V51" s="363" t="s">
        <v>9235</v>
      </c>
      <c r="W51" s="363" t="s">
        <v>3754</v>
      </c>
      <c r="X51" s="363" t="s">
        <v>1359</v>
      </c>
      <c r="Y51" s="363" t="s">
        <v>1359</v>
      </c>
      <c r="Z51" s="363" t="s">
        <v>9306</v>
      </c>
      <c r="AA51" s="363" t="s">
        <v>9306</v>
      </c>
      <c r="AB51" s="363" t="s">
        <v>3754</v>
      </c>
      <c r="AC51" s="363" t="s">
        <v>1359</v>
      </c>
      <c r="AD51" s="363" t="s">
        <v>9251</v>
      </c>
      <c r="AE51" s="363" t="s">
        <v>3754</v>
      </c>
      <c r="AF51" s="363" t="s">
        <v>3754</v>
      </c>
      <c r="AG51" s="363" t="s">
        <v>1359</v>
      </c>
      <c r="AH51" s="363" t="s">
        <v>9239</v>
      </c>
      <c r="AI51" s="363" t="s">
        <v>1359</v>
      </c>
      <c r="AJ51" s="363" t="s">
        <v>1359</v>
      </c>
    </row>
    <row r="52" spans="1:36">
      <c r="A52" s="363" t="s">
        <v>9462</v>
      </c>
      <c r="B52" s="363" t="s">
        <v>9220</v>
      </c>
      <c r="C52" s="363" t="s">
        <v>9221</v>
      </c>
      <c r="D52" s="363" t="s">
        <v>9463</v>
      </c>
      <c r="E52" s="363" t="s">
        <v>9223</v>
      </c>
      <c r="F52" s="363" t="s">
        <v>9302</v>
      </c>
      <c r="G52" s="363" t="s">
        <v>9226</v>
      </c>
      <c r="H52" s="363" t="s">
        <v>9302</v>
      </c>
      <c r="I52" s="363" t="s">
        <v>9226</v>
      </c>
      <c r="J52" s="363" t="s">
        <v>3754</v>
      </c>
      <c r="K52" s="363" t="s">
        <v>9464</v>
      </c>
      <c r="L52" s="363" t="s">
        <v>9228</v>
      </c>
      <c r="M52" s="363" t="s">
        <v>9458</v>
      </c>
      <c r="N52" s="363" t="s">
        <v>9465</v>
      </c>
      <c r="O52" s="363" t="s">
        <v>9261</v>
      </c>
      <c r="P52" s="363" t="s">
        <v>9262</v>
      </c>
      <c r="Q52" s="363" t="s">
        <v>1359</v>
      </c>
      <c r="R52" s="363" t="s">
        <v>9233</v>
      </c>
      <c r="S52" s="363" t="s">
        <v>1359</v>
      </c>
      <c r="T52" s="363" t="s">
        <v>1359</v>
      </c>
      <c r="U52" s="363" t="s">
        <v>9466</v>
      </c>
      <c r="V52" s="363" t="s">
        <v>9235</v>
      </c>
      <c r="W52" s="363" t="s">
        <v>3740</v>
      </c>
      <c r="X52" s="363" t="s">
        <v>9392</v>
      </c>
      <c r="Y52" s="363" t="s">
        <v>9467</v>
      </c>
      <c r="Z52" s="363" t="s">
        <v>9306</v>
      </c>
      <c r="AA52" s="363" t="s">
        <v>9306</v>
      </c>
      <c r="AB52" s="363" t="s">
        <v>3754</v>
      </c>
      <c r="AC52" s="363" t="s">
        <v>1359</v>
      </c>
      <c r="AD52" s="363" t="s">
        <v>9251</v>
      </c>
      <c r="AE52" s="363" t="s">
        <v>3754</v>
      </c>
      <c r="AF52" s="363" t="s">
        <v>3754</v>
      </c>
      <c r="AG52" s="363" t="s">
        <v>1359</v>
      </c>
      <c r="AH52" s="363" t="s">
        <v>9468</v>
      </c>
      <c r="AI52" s="363" t="s">
        <v>1359</v>
      </c>
      <c r="AJ52" s="363" t="s">
        <v>1359</v>
      </c>
    </row>
    <row r="53" spans="1:36">
      <c r="A53" s="363" t="s">
        <v>3955</v>
      </c>
      <c r="B53" s="363" t="s">
        <v>9220</v>
      </c>
      <c r="C53" s="363" t="s">
        <v>9221</v>
      </c>
      <c r="D53" s="363" t="s">
        <v>9463</v>
      </c>
      <c r="E53" s="363" t="s">
        <v>9223</v>
      </c>
      <c r="F53" s="363" t="s">
        <v>3728</v>
      </c>
      <c r="G53" s="363" t="s">
        <v>9225</v>
      </c>
      <c r="H53" s="363" t="s">
        <v>8478</v>
      </c>
      <c r="I53" s="363" t="s">
        <v>9226</v>
      </c>
      <c r="J53" s="363" t="s">
        <v>3740</v>
      </c>
      <c r="K53" s="363" t="s">
        <v>9227</v>
      </c>
      <c r="L53" s="363" t="s">
        <v>9228</v>
      </c>
      <c r="M53" s="363" t="s">
        <v>9469</v>
      </c>
      <c r="N53" s="363" t="s">
        <v>9470</v>
      </c>
      <c r="O53" s="363" t="s">
        <v>9285</v>
      </c>
      <c r="P53" s="363" t="s">
        <v>9280</v>
      </c>
      <c r="Q53" s="363" t="s">
        <v>1359</v>
      </c>
      <c r="R53" s="363" t="s">
        <v>9233</v>
      </c>
      <c r="S53" s="363" t="s">
        <v>1359</v>
      </c>
      <c r="T53" s="363" t="s">
        <v>1359</v>
      </c>
      <c r="U53" s="363" t="s">
        <v>9471</v>
      </c>
      <c r="V53" s="363" t="s">
        <v>9235</v>
      </c>
      <c r="W53" s="363" t="s">
        <v>3754</v>
      </c>
      <c r="X53" s="363" t="s">
        <v>1359</v>
      </c>
      <c r="Y53" s="363" t="s">
        <v>1359</v>
      </c>
      <c r="Z53" s="363" t="s">
        <v>9237</v>
      </c>
      <c r="AA53" s="363" t="s">
        <v>9237</v>
      </c>
      <c r="AB53" s="363" t="s">
        <v>3754</v>
      </c>
      <c r="AC53" s="363" t="s">
        <v>1359</v>
      </c>
      <c r="AD53" s="363" t="s">
        <v>9251</v>
      </c>
      <c r="AE53" s="363" t="s">
        <v>3754</v>
      </c>
      <c r="AF53" s="363" t="s">
        <v>3754</v>
      </c>
      <c r="AG53" s="363" t="s">
        <v>1359</v>
      </c>
      <c r="AH53" s="363" t="s">
        <v>9239</v>
      </c>
      <c r="AI53" s="363" t="s">
        <v>1359</v>
      </c>
      <c r="AJ53" s="363" t="s">
        <v>1359</v>
      </c>
    </row>
    <row r="54" spans="1:36">
      <c r="A54" s="363" t="s">
        <v>2164</v>
      </c>
      <c r="B54" s="363" t="s">
        <v>9220</v>
      </c>
      <c r="C54" s="363" t="s">
        <v>9221</v>
      </c>
      <c r="D54" s="363" t="s">
        <v>9463</v>
      </c>
      <c r="E54" s="363" t="s">
        <v>9223</v>
      </c>
      <c r="F54" s="363" t="s">
        <v>3728</v>
      </c>
      <c r="G54" s="363" t="s">
        <v>9225</v>
      </c>
      <c r="H54" s="363" t="s">
        <v>48</v>
      </c>
      <c r="I54" s="363" t="s">
        <v>9226</v>
      </c>
      <c r="J54" s="363" t="s">
        <v>3740</v>
      </c>
      <c r="K54" s="363" t="s">
        <v>9227</v>
      </c>
      <c r="L54" s="363" t="s">
        <v>9228</v>
      </c>
      <c r="M54" s="363" t="s">
        <v>9472</v>
      </c>
      <c r="N54" s="363" t="s">
        <v>9473</v>
      </c>
      <c r="O54" s="363" t="s">
        <v>9474</v>
      </c>
      <c r="P54" s="363" t="s">
        <v>9475</v>
      </c>
      <c r="Q54" s="363" t="s">
        <v>1359</v>
      </c>
      <c r="R54" s="363" t="s">
        <v>9233</v>
      </c>
      <c r="S54" s="363" t="s">
        <v>1359</v>
      </c>
      <c r="T54" s="363" t="s">
        <v>1359</v>
      </c>
      <c r="U54" s="363" t="s">
        <v>9476</v>
      </c>
      <c r="V54" s="363" t="s">
        <v>9235</v>
      </c>
      <c r="W54" s="363" t="s">
        <v>3754</v>
      </c>
      <c r="X54" s="363" t="s">
        <v>1359</v>
      </c>
      <c r="Y54" s="363" t="s">
        <v>9477</v>
      </c>
      <c r="Z54" s="363" t="s">
        <v>9237</v>
      </c>
      <c r="AA54" s="363" t="s">
        <v>9237</v>
      </c>
      <c r="AB54" s="363" t="s">
        <v>3754</v>
      </c>
      <c r="AC54" s="363" t="s">
        <v>1359</v>
      </c>
      <c r="AD54" s="363" t="s">
        <v>9238</v>
      </c>
      <c r="AE54" s="363" t="s">
        <v>3754</v>
      </c>
      <c r="AF54" s="363" t="s">
        <v>3754</v>
      </c>
      <c r="AG54" s="363" t="s">
        <v>1359</v>
      </c>
      <c r="AH54" s="363" t="s">
        <v>9239</v>
      </c>
      <c r="AI54" s="363" t="s">
        <v>1359</v>
      </c>
      <c r="AJ54" s="363" t="s">
        <v>1359</v>
      </c>
    </row>
    <row r="55" spans="1:36">
      <c r="A55" s="363" t="s">
        <v>9478</v>
      </c>
      <c r="B55" s="363" t="s">
        <v>9220</v>
      </c>
      <c r="C55" s="363" t="s">
        <v>9221</v>
      </c>
      <c r="D55" s="363" t="s">
        <v>9463</v>
      </c>
      <c r="E55" s="363" t="s">
        <v>9223</v>
      </c>
      <c r="F55" s="363" t="s">
        <v>9302</v>
      </c>
      <c r="G55" s="363" t="s">
        <v>9226</v>
      </c>
      <c r="H55" s="363" t="s">
        <v>9302</v>
      </c>
      <c r="I55" s="363" t="s">
        <v>9226</v>
      </c>
      <c r="J55" s="363" t="s">
        <v>3754</v>
      </c>
      <c r="K55" s="363" t="s">
        <v>9457</v>
      </c>
      <c r="L55" s="363" t="s">
        <v>9228</v>
      </c>
      <c r="M55" s="363" t="s">
        <v>9458</v>
      </c>
      <c r="N55" s="363" t="s">
        <v>9479</v>
      </c>
      <c r="O55" s="363" t="s">
        <v>9261</v>
      </c>
      <c r="P55" s="363" t="s">
        <v>9480</v>
      </c>
      <c r="Q55" s="363" t="s">
        <v>1359</v>
      </c>
      <c r="R55" s="363" t="s">
        <v>9233</v>
      </c>
      <c r="S55" s="363" t="s">
        <v>1359</v>
      </c>
      <c r="T55" s="363" t="s">
        <v>1359</v>
      </c>
      <c r="U55" s="363" t="s">
        <v>9481</v>
      </c>
      <c r="V55" s="363" t="s">
        <v>9235</v>
      </c>
      <c r="W55" s="363" t="s">
        <v>3740</v>
      </c>
      <c r="X55" s="363" t="s">
        <v>9392</v>
      </c>
      <c r="Y55" s="363" t="s">
        <v>9482</v>
      </c>
      <c r="Z55" s="363" t="s">
        <v>9306</v>
      </c>
      <c r="AA55" s="363" t="s">
        <v>9306</v>
      </c>
      <c r="AB55" s="363" t="s">
        <v>3754</v>
      </c>
      <c r="AC55" s="363" t="s">
        <v>1359</v>
      </c>
      <c r="AD55" s="363" t="s">
        <v>9251</v>
      </c>
      <c r="AE55" s="363" t="s">
        <v>3754</v>
      </c>
      <c r="AF55" s="363" t="s">
        <v>3754</v>
      </c>
      <c r="AG55" s="363" t="s">
        <v>1359</v>
      </c>
      <c r="AH55" s="363" t="s">
        <v>9239</v>
      </c>
      <c r="AI55" s="363" t="s">
        <v>1359</v>
      </c>
      <c r="AJ55" s="363" t="s">
        <v>1359</v>
      </c>
    </row>
    <row r="56" spans="1:36">
      <c r="A56" s="363" t="s">
        <v>9483</v>
      </c>
      <c r="B56" s="363" t="s">
        <v>9220</v>
      </c>
      <c r="C56" s="363" t="s">
        <v>9300</v>
      </c>
      <c r="D56" s="363" t="s">
        <v>9484</v>
      </c>
      <c r="E56" s="363" t="s">
        <v>9223</v>
      </c>
      <c r="F56" s="363" t="s">
        <v>9302</v>
      </c>
      <c r="G56" s="363" t="s">
        <v>9226</v>
      </c>
      <c r="H56" s="363" t="s">
        <v>9302</v>
      </c>
      <c r="I56" s="363" t="s">
        <v>9226</v>
      </c>
      <c r="J56" s="363" t="s">
        <v>3754</v>
      </c>
      <c r="K56" s="363" t="s">
        <v>9227</v>
      </c>
      <c r="L56" s="363" t="s">
        <v>9228</v>
      </c>
      <c r="M56" s="363" t="s">
        <v>9485</v>
      </c>
      <c r="N56" s="363" t="s">
        <v>9486</v>
      </c>
      <c r="O56" s="363" t="s">
        <v>9452</v>
      </c>
      <c r="P56" s="363" t="s">
        <v>9487</v>
      </c>
      <c r="Q56" s="363" t="s">
        <v>1359</v>
      </c>
      <c r="R56" s="363" t="s">
        <v>9233</v>
      </c>
      <c r="S56" s="363" t="s">
        <v>1359</v>
      </c>
      <c r="T56" s="363" t="s">
        <v>1359</v>
      </c>
      <c r="U56" s="363" t="s">
        <v>9305</v>
      </c>
      <c r="V56" s="363" t="s">
        <v>9235</v>
      </c>
      <c r="W56" s="363" t="s">
        <v>3754</v>
      </c>
      <c r="X56" s="363" t="s">
        <v>1359</v>
      </c>
      <c r="Y56" s="363" t="s">
        <v>1359</v>
      </c>
      <c r="Z56" s="363" t="s">
        <v>9306</v>
      </c>
      <c r="AA56" s="363" t="s">
        <v>9306</v>
      </c>
      <c r="AB56" s="363" t="s">
        <v>3740</v>
      </c>
      <c r="AC56" s="363" t="s">
        <v>1359</v>
      </c>
      <c r="AD56" s="363" t="s">
        <v>9251</v>
      </c>
      <c r="AE56" s="363" t="s">
        <v>3754</v>
      </c>
      <c r="AF56" s="363" t="s">
        <v>3754</v>
      </c>
      <c r="AG56" s="363" t="s">
        <v>9307</v>
      </c>
      <c r="AH56" s="363" t="s">
        <v>9239</v>
      </c>
      <c r="AI56" s="363" t="s">
        <v>1359</v>
      </c>
      <c r="AJ56" s="363" t="s">
        <v>1359</v>
      </c>
    </row>
    <row r="57" spans="1:36">
      <c r="A57" s="363" t="s">
        <v>9488</v>
      </c>
      <c r="B57" s="363" t="s">
        <v>9220</v>
      </c>
      <c r="C57" s="363" t="s">
        <v>9221</v>
      </c>
      <c r="D57" s="363" t="s">
        <v>9484</v>
      </c>
      <c r="E57" s="363" t="s">
        <v>9223</v>
      </c>
      <c r="F57" s="363" t="s">
        <v>9302</v>
      </c>
      <c r="G57" s="363" t="s">
        <v>9226</v>
      </c>
      <c r="H57" s="363" t="s">
        <v>9302</v>
      </c>
      <c r="I57" s="363" t="s">
        <v>9226</v>
      </c>
      <c r="J57" s="363" t="s">
        <v>3754</v>
      </c>
      <c r="K57" s="363" t="s">
        <v>9464</v>
      </c>
      <c r="L57" s="363" t="s">
        <v>9228</v>
      </c>
      <c r="M57" s="363" t="s">
        <v>9458</v>
      </c>
      <c r="N57" s="363" t="s">
        <v>9489</v>
      </c>
      <c r="O57" s="363" t="s">
        <v>9261</v>
      </c>
      <c r="P57" s="363" t="s">
        <v>9480</v>
      </c>
      <c r="Q57" s="363" t="s">
        <v>1359</v>
      </c>
      <c r="R57" s="363" t="s">
        <v>9233</v>
      </c>
      <c r="S57" s="363" t="s">
        <v>1359</v>
      </c>
      <c r="T57" s="363" t="s">
        <v>1359</v>
      </c>
      <c r="U57" s="363" t="s">
        <v>9490</v>
      </c>
      <c r="V57" s="363" t="s">
        <v>9235</v>
      </c>
      <c r="W57" s="363" t="s">
        <v>3740</v>
      </c>
      <c r="X57" s="363" t="s">
        <v>9392</v>
      </c>
      <c r="Y57" s="363" t="s">
        <v>9491</v>
      </c>
      <c r="Z57" s="363" t="s">
        <v>9306</v>
      </c>
      <c r="AA57" s="363" t="s">
        <v>9306</v>
      </c>
      <c r="AB57" s="363" t="s">
        <v>3754</v>
      </c>
      <c r="AC57" s="363" t="s">
        <v>1359</v>
      </c>
      <c r="AD57" s="363" t="s">
        <v>9251</v>
      </c>
      <c r="AE57" s="363" t="s">
        <v>3754</v>
      </c>
      <c r="AF57" s="363" t="s">
        <v>3754</v>
      </c>
      <c r="AG57" s="363" t="s">
        <v>1359</v>
      </c>
      <c r="AH57" s="363" t="s">
        <v>9468</v>
      </c>
      <c r="AI57" s="363" t="s">
        <v>1359</v>
      </c>
      <c r="AJ57" s="363" t="s">
        <v>1359</v>
      </c>
    </row>
    <row r="58" spans="1:36">
      <c r="A58" s="363" t="s">
        <v>9492</v>
      </c>
      <c r="B58" s="363" t="s">
        <v>9220</v>
      </c>
      <c r="C58" s="363" t="s">
        <v>9221</v>
      </c>
      <c r="D58" s="363" t="s">
        <v>9484</v>
      </c>
      <c r="E58" s="363" t="s">
        <v>9223</v>
      </c>
      <c r="F58" s="363" t="s">
        <v>9302</v>
      </c>
      <c r="G58" s="363" t="s">
        <v>9226</v>
      </c>
      <c r="H58" s="363" t="s">
        <v>9302</v>
      </c>
      <c r="I58" s="363" t="s">
        <v>9226</v>
      </c>
      <c r="J58" s="363" t="s">
        <v>3754</v>
      </c>
      <c r="K58" s="363" t="s">
        <v>9464</v>
      </c>
      <c r="L58" s="363" t="s">
        <v>9228</v>
      </c>
      <c r="M58" s="363" t="s">
        <v>9458</v>
      </c>
      <c r="N58" s="363" t="s">
        <v>9493</v>
      </c>
      <c r="O58" s="363" t="s">
        <v>9452</v>
      </c>
      <c r="P58" s="363" t="s">
        <v>9460</v>
      </c>
      <c r="Q58" s="363" t="s">
        <v>1359</v>
      </c>
      <c r="R58" s="363" t="s">
        <v>9233</v>
      </c>
      <c r="S58" s="363" t="s">
        <v>1359</v>
      </c>
      <c r="T58" s="363" t="s">
        <v>1359</v>
      </c>
      <c r="U58" s="363" t="s">
        <v>9494</v>
      </c>
      <c r="V58" s="363" t="s">
        <v>9235</v>
      </c>
      <c r="W58" s="363" t="s">
        <v>3754</v>
      </c>
      <c r="X58" s="363" t="s">
        <v>1359</v>
      </c>
      <c r="Y58" s="363" t="s">
        <v>1359</v>
      </c>
      <c r="Z58" s="363" t="s">
        <v>9306</v>
      </c>
      <c r="AA58" s="363" t="s">
        <v>9306</v>
      </c>
      <c r="AB58" s="363" t="s">
        <v>3754</v>
      </c>
      <c r="AC58" s="363" t="s">
        <v>1359</v>
      </c>
      <c r="AD58" s="363" t="s">
        <v>9251</v>
      </c>
      <c r="AE58" s="363" t="s">
        <v>3754</v>
      </c>
      <c r="AF58" s="363" t="s">
        <v>3754</v>
      </c>
      <c r="AG58" s="363" t="s">
        <v>1359</v>
      </c>
      <c r="AH58" s="363" t="s">
        <v>9468</v>
      </c>
      <c r="AI58" s="363" t="s">
        <v>1359</v>
      </c>
      <c r="AJ58" s="363" t="s">
        <v>1359</v>
      </c>
    </row>
    <row r="59" spans="1:36">
      <c r="A59" s="363" t="s">
        <v>9495</v>
      </c>
      <c r="B59" s="363" t="s">
        <v>9220</v>
      </c>
      <c r="C59" s="363" t="s">
        <v>9300</v>
      </c>
      <c r="D59" s="363" t="s">
        <v>9496</v>
      </c>
      <c r="E59" s="363" t="s">
        <v>9223</v>
      </c>
      <c r="F59" s="363" t="s">
        <v>9302</v>
      </c>
      <c r="G59" s="363" t="s">
        <v>9226</v>
      </c>
      <c r="H59" s="363" t="s">
        <v>9302</v>
      </c>
      <c r="I59" s="363" t="s">
        <v>9226</v>
      </c>
      <c r="J59" s="363" t="s">
        <v>3754</v>
      </c>
      <c r="K59" s="363" t="s">
        <v>9497</v>
      </c>
      <c r="L59" s="363" t="s">
        <v>9228</v>
      </c>
      <c r="M59" s="363" t="s">
        <v>9498</v>
      </c>
      <c r="N59" s="363" t="s">
        <v>9499</v>
      </c>
      <c r="O59" s="363" t="s">
        <v>9500</v>
      </c>
      <c r="P59" s="363" t="s">
        <v>9501</v>
      </c>
      <c r="Q59" s="363" t="s">
        <v>1359</v>
      </c>
      <c r="R59" s="363" t="s">
        <v>9233</v>
      </c>
      <c r="S59" s="363" t="s">
        <v>1359</v>
      </c>
      <c r="T59" s="363" t="s">
        <v>1359</v>
      </c>
      <c r="U59" s="363" t="s">
        <v>9502</v>
      </c>
      <c r="V59" s="363" t="s">
        <v>9235</v>
      </c>
      <c r="W59" s="363" t="s">
        <v>3754</v>
      </c>
      <c r="X59" s="363" t="s">
        <v>1359</v>
      </c>
      <c r="Y59" s="363" t="s">
        <v>1359</v>
      </c>
      <c r="Z59" s="363" t="s">
        <v>9306</v>
      </c>
      <c r="AA59" s="363" t="s">
        <v>9306</v>
      </c>
      <c r="AB59" s="363" t="s">
        <v>3740</v>
      </c>
      <c r="AC59" s="363" t="s">
        <v>1359</v>
      </c>
      <c r="AD59" s="363" t="s">
        <v>9251</v>
      </c>
      <c r="AE59" s="363" t="s">
        <v>3754</v>
      </c>
      <c r="AF59" s="363" t="s">
        <v>3754</v>
      </c>
      <c r="AG59" s="363" t="s">
        <v>9503</v>
      </c>
      <c r="AH59" s="363" t="s">
        <v>9468</v>
      </c>
      <c r="AI59" s="363" t="s">
        <v>1359</v>
      </c>
      <c r="AJ59" s="363" t="s">
        <v>1359</v>
      </c>
    </row>
    <row r="60" spans="1:36">
      <c r="A60" s="363" t="s">
        <v>9504</v>
      </c>
      <c r="B60" s="363" t="s">
        <v>9220</v>
      </c>
      <c r="C60" s="363" t="s">
        <v>9221</v>
      </c>
      <c r="D60" s="363" t="s">
        <v>9505</v>
      </c>
      <c r="E60" s="363" t="s">
        <v>9223</v>
      </c>
      <c r="F60" s="363" t="s">
        <v>9258</v>
      </c>
      <c r="G60" s="363" t="s">
        <v>9225</v>
      </c>
      <c r="H60" s="363" t="s">
        <v>6625</v>
      </c>
      <c r="I60" s="363" t="s">
        <v>9226</v>
      </c>
      <c r="J60" s="363" t="s">
        <v>3740</v>
      </c>
      <c r="K60" s="363" t="s">
        <v>9227</v>
      </c>
      <c r="L60" s="363" t="s">
        <v>9228</v>
      </c>
      <c r="M60" s="363" t="s">
        <v>9506</v>
      </c>
      <c r="N60" s="363" t="s">
        <v>9507</v>
      </c>
      <c r="O60" s="363" t="s">
        <v>9231</v>
      </c>
      <c r="P60" s="363" t="s">
        <v>9232</v>
      </c>
      <c r="Q60" s="363" t="s">
        <v>1359</v>
      </c>
      <c r="R60" s="363" t="s">
        <v>9233</v>
      </c>
      <c r="S60" s="363" t="s">
        <v>1359</v>
      </c>
      <c r="T60" s="363" t="s">
        <v>1359</v>
      </c>
      <c r="U60" s="363" t="s">
        <v>9508</v>
      </c>
      <c r="V60" s="363" t="s">
        <v>9235</v>
      </c>
      <c r="W60" s="363" t="s">
        <v>3740</v>
      </c>
      <c r="X60" s="363" t="s">
        <v>9509</v>
      </c>
      <c r="Y60" s="363" t="s">
        <v>9510</v>
      </c>
      <c r="Z60" s="363" t="s">
        <v>9511</v>
      </c>
      <c r="AA60" s="363" t="s">
        <v>9511</v>
      </c>
      <c r="AB60" s="363" t="s">
        <v>3754</v>
      </c>
      <c r="AC60" s="363" t="s">
        <v>1359</v>
      </c>
      <c r="AD60" s="363" t="s">
        <v>9251</v>
      </c>
      <c r="AE60" s="363" t="s">
        <v>3754</v>
      </c>
      <c r="AF60" s="363" t="s">
        <v>3754</v>
      </c>
      <c r="AG60" s="363" t="s">
        <v>1359</v>
      </c>
      <c r="AH60" s="363" t="s">
        <v>9239</v>
      </c>
      <c r="AI60" s="363" t="s">
        <v>1359</v>
      </c>
      <c r="AJ60" s="363" t="s">
        <v>1359</v>
      </c>
    </row>
    <row r="61" spans="1:36">
      <c r="A61" s="363" t="s">
        <v>9512</v>
      </c>
      <c r="B61" s="363" t="s">
        <v>9220</v>
      </c>
      <c r="C61" s="363" t="s">
        <v>9221</v>
      </c>
      <c r="D61" s="363" t="s">
        <v>9513</v>
      </c>
      <c r="E61" s="363" t="s">
        <v>9223</v>
      </c>
      <c r="F61" s="363" t="s">
        <v>9514</v>
      </c>
      <c r="G61" s="363" t="s">
        <v>9225</v>
      </c>
      <c r="H61" s="363" t="s">
        <v>9515</v>
      </c>
      <c r="I61" s="363" t="s">
        <v>9226</v>
      </c>
      <c r="J61" s="363" t="s">
        <v>3740</v>
      </c>
      <c r="K61" s="363" t="s">
        <v>9516</v>
      </c>
      <c r="L61" s="363" t="s">
        <v>9228</v>
      </c>
      <c r="M61" s="363" t="s">
        <v>9517</v>
      </c>
      <c r="N61" s="363" t="s">
        <v>9518</v>
      </c>
      <c r="O61" s="363" t="s">
        <v>9519</v>
      </c>
      <c r="P61" s="363" t="s">
        <v>9262</v>
      </c>
      <c r="Q61" s="363" t="s">
        <v>1359</v>
      </c>
      <c r="R61" s="363" t="s">
        <v>9233</v>
      </c>
      <c r="S61" s="363" t="s">
        <v>1359</v>
      </c>
      <c r="T61" s="363" t="s">
        <v>1359</v>
      </c>
      <c r="U61" s="363" t="s">
        <v>9520</v>
      </c>
      <c r="V61" s="363" t="s">
        <v>9521</v>
      </c>
      <c r="W61" s="363" t="s">
        <v>3754</v>
      </c>
      <c r="X61" s="363" t="s">
        <v>1359</v>
      </c>
      <c r="Y61" s="363" t="s">
        <v>1359</v>
      </c>
      <c r="Z61" s="363" t="s">
        <v>9306</v>
      </c>
      <c r="AA61" s="363" t="s">
        <v>9306</v>
      </c>
      <c r="AB61" s="363" t="s">
        <v>3754</v>
      </c>
      <c r="AC61" s="363" t="s">
        <v>1359</v>
      </c>
      <c r="AD61" s="363" t="s">
        <v>9251</v>
      </c>
      <c r="AE61" s="363" t="s">
        <v>3754</v>
      </c>
      <c r="AF61" s="363" t="s">
        <v>3740</v>
      </c>
      <c r="AG61" s="363" t="s">
        <v>1359</v>
      </c>
      <c r="AH61" s="363" t="s">
        <v>9522</v>
      </c>
      <c r="AI61" s="363" t="s">
        <v>1359</v>
      </c>
      <c r="AJ61" s="363" t="s">
        <v>1359</v>
      </c>
    </row>
    <row r="62" spans="1:36">
      <c r="A62" s="363" t="s">
        <v>9523</v>
      </c>
      <c r="B62" s="363" t="s">
        <v>9220</v>
      </c>
      <c r="C62" s="363" t="s">
        <v>9221</v>
      </c>
      <c r="D62" s="363" t="s">
        <v>9524</v>
      </c>
      <c r="E62" s="363" t="s">
        <v>9223</v>
      </c>
      <c r="F62" s="363" t="s">
        <v>9302</v>
      </c>
      <c r="G62" s="363" t="s">
        <v>9226</v>
      </c>
      <c r="H62" s="363" t="s">
        <v>9302</v>
      </c>
      <c r="I62" s="363" t="s">
        <v>9226</v>
      </c>
      <c r="J62" s="363" t="s">
        <v>3754</v>
      </c>
      <c r="K62" s="363" t="s">
        <v>9227</v>
      </c>
      <c r="L62" s="363" t="s">
        <v>9228</v>
      </c>
      <c r="M62" s="363" t="s">
        <v>9525</v>
      </c>
      <c r="N62" s="363" t="s">
        <v>9526</v>
      </c>
      <c r="O62" s="363" t="s">
        <v>9427</v>
      </c>
      <c r="P62" s="363" t="s">
        <v>9527</v>
      </c>
      <c r="Q62" s="363" t="s">
        <v>1359</v>
      </c>
      <c r="R62" s="363" t="s">
        <v>9233</v>
      </c>
      <c r="S62" s="363" t="s">
        <v>1359</v>
      </c>
      <c r="T62" s="363" t="s">
        <v>1359</v>
      </c>
      <c r="U62" s="363" t="s">
        <v>9305</v>
      </c>
      <c r="V62" s="363" t="s">
        <v>9235</v>
      </c>
      <c r="W62" s="363" t="s">
        <v>3754</v>
      </c>
      <c r="X62" s="363" t="s">
        <v>1359</v>
      </c>
      <c r="Y62" s="363" t="s">
        <v>1359</v>
      </c>
      <c r="Z62" s="363" t="s">
        <v>9306</v>
      </c>
      <c r="AA62" s="363" t="s">
        <v>9306</v>
      </c>
      <c r="AB62" s="363" t="s">
        <v>3754</v>
      </c>
      <c r="AC62" s="363" t="s">
        <v>1359</v>
      </c>
      <c r="AD62" s="363" t="s">
        <v>9251</v>
      </c>
      <c r="AE62" s="363" t="s">
        <v>3754</v>
      </c>
      <c r="AF62" s="363" t="s">
        <v>3754</v>
      </c>
      <c r="AG62" s="363" t="s">
        <v>1359</v>
      </c>
      <c r="AH62" s="363" t="s">
        <v>9239</v>
      </c>
      <c r="AI62" s="363" t="s">
        <v>1359</v>
      </c>
      <c r="AJ62" s="363" t="s">
        <v>1359</v>
      </c>
    </row>
    <row r="63" spans="1:36">
      <c r="A63" s="363" t="s">
        <v>8438</v>
      </c>
      <c r="B63" s="363" t="s">
        <v>9220</v>
      </c>
      <c r="C63" s="363" t="s">
        <v>9221</v>
      </c>
      <c r="D63" s="363" t="s">
        <v>9528</v>
      </c>
      <c r="E63" s="363" t="s">
        <v>9223</v>
      </c>
      <c r="F63" s="363" t="s">
        <v>9258</v>
      </c>
      <c r="G63" s="363" t="s">
        <v>9225</v>
      </c>
      <c r="H63" s="363" t="s">
        <v>7115</v>
      </c>
      <c r="I63" s="363" t="s">
        <v>9226</v>
      </c>
      <c r="J63" s="363" t="s">
        <v>3740</v>
      </c>
      <c r="K63" s="363" t="s">
        <v>9227</v>
      </c>
      <c r="L63" s="363" t="s">
        <v>9228</v>
      </c>
      <c r="M63" s="363" t="s">
        <v>9529</v>
      </c>
      <c r="N63" s="363" t="s">
        <v>9530</v>
      </c>
      <c r="O63" s="363" t="s">
        <v>9285</v>
      </c>
      <c r="P63" s="363" t="s">
        <v>9280</v>
      </c>
      <c r="Q63" s="363" t="s">
        <v>1359</v>
      </c>
      <c r="R63" s="363" t="s">
        <v>9233</v>
      </c>
      <c r="S63" s="363" t="s">
        <v>1359</v>
      </c>
      <c r="T63" s="363" t="s">
        <v>1359</v>
      </c>
      <c r="U63" s="363" t="s">
        <v>9531</v>
      </c>
      <c r="V63" s="363" t="s">
        <v>9235</v>
      </c>
      <c r="W63" s="363" t="s">
        <v>3754</v>
      </c>
      <c r="X63" s="363" t="s">
        <v>1359</v>
      </c>
      <c r="Y63" s="363" t="s">
        <v>9532</v>
      </c>
      <c r="Z63" s="363" t="s">
        <v>9237</v>
      </c>
      <c r="AA63" s="363" t="s">
        <v>9237</v>
      </c>
      <c r="AB63" s="363" t="s">
        <v>3754</v>
      </c>
      <c r="AC63" s="363" t="s">
        <v>1359</v>
      </c>
      <c r="AD63" s="363" t="s">
        <v>9238</v>
      </c>
      <c r="AE63" s="363" t="s">
        <v>3754</v>
      </c>
      <c r="AF63" s="363" t="s">
        <v>3754</v>
      </c>
      <c r="AG63" s="363" t="s">
        <v>1359</v>
      </c>
      <c r="AH63" s="363" t="s">
        <v>9239</v>
      </c>
      <c r="AI63" s="363" t="s">
        <v>1359</v>
      </c>
      <c r="AJ63" s="363" t="s">
        <v>1359</v>
      </c>
    </row>
    <row r="64" spans="1:36">
      <c r="A64" s="363" t="s">
        <v>9533</v>
      </c>
      <c r="B64" s="363" t="s">
        <v>9220</v>
      </c>
      <c r="C64" s="363" t="s">
        <v>9221</v>
      </c>
      <c r="D64" s="363" t="s">
        <v>9534</v>
      </c>
      <c r="E64" s="363" t="s">
        <v>9223</v>
      </c>
      <c r="F64" s="363" t="s">
        <v>9302</v>
      </c>
      <c r="G64" s="363" t="s">
        <v>9226</v>
      </c>
      <c r="H64" s="363" t="s">
        <v>9302</v>
      </c>
      <c r="I64" s="363" t="s">
        <v>9226</v>
      </c>
      <c r="J64" s="363" t="s">
        <v>3754</v>
      </c>
      <c r="K64" s="363" t="s">
        <v>9227</v>
      </c>
      <c r="L64" s="363" t="s">
        <v>9228</v>
      </c>
      <c r="M64" s="363" t="s">
        <v>9535</v>
      </c>
      <c r="N64" s="363" t="s">
        <v>9536</v>
      </c>
      <c r="O64" s="363" t="s">
        <v>9537</v>
      </c>
      <c r="P64" s="363" t="s">
        <v>9538</v>
      </c>
      <c r="Q64" s="363" t="s">
        <v>1359</v>
      </c>
      <c r="R64" s="363" t="s">
        <v>9233</v>
      </c>
      <c r="S64" s="363" t="s">
        <v>1359</v>
      </c>
      <c r="T64" s="363" t="s">
        <v>1359</v>
      </c>
      <c r="U64" s="363" t="s">
        <v>9305</v>
      </c>
      <c r="V64" s="363" t="s">
        <v>9235</v>
      </c>
      <c r="W64" s="363" t="s">
        <v>3740</v>
      </c>
      <c r="X64" s="363" t="s">
        <v>9539</v>
      </c>
      <c r="Y64" s="363" t="s">
        <v>9540</v>
      </c>
      <c r="Z64" s="363" t="s">
        <v>9306</v>
      </c>
      <c r="AA64" s="363" t="s">
        <v>9306</v>
      </c>
      <c r="AB64" s="363" t="s">
        <v>3754</v>
      </c>
      <c r="AC64" s="363" t="s">
        <v>1359</v>
      </c>
      <c r="AD64" s="363" t="s">
        <v>9251</v>
      </c>
      <c r="AE64" s="363" t="s">
        <v>3754</v>
      </c>
      <c r="AF64" s="363" t="s">
        <v>3754</v>
      </c>
      <c r="AG64" s="363" t="s">
        <v>1359</v>
      </c>
      <c r="AH64" s="363" t="s">
        <v>9239</v>
      </c>
      <c r="AI64" s="363" t="s">
        <v>1359</v>
      </c>
      <c r="AJ64" s="363" t="s">
        <v>1359</v>
      </c>
    </row>
    <row r="65" spans="1:36">
      <c r="A65" s="363" t="s">
        <v>4755</v>
      </c>
      <c r="B65" s="363" t="s">
        <v>9220</v>
      </c>
      <c r="C65" s="363" t="s">
        <v>9221</v>
      </c>
      <c r="D65" s="363" t="s">
        <v>9541</v>
      </c>
      <c r="E65" s="363" t="s">
        <v>9223</v>
      </c>
      <c r="F65" s="363" t="s">
        <v>9253</v>
      </c>
      <c r="G65" s="363" t="s">
        <v>9225</v>
      </c>
      <c r="H65" s="363" t="s">
        <v>888</v>
      </c>
      <c r="I65" s="363" t="s">
        <v>9226</v>
      </c>
      <c r="J65" s="363" t="s">
        <v>3740</v>
      </c>
      <c r="K65" s="363" t="s">
        <v>9227</v>
      </c>
      <c r="L65" s="363" t="s">
        <v>9228</v>
      </c>
      <c r="M65" s="363" t="s">
        <v>9542</v>
      </c>
      <c r="N65" s="363" t="s">
        <v>9543</v>
      </c>
      <c r="O65" s="363" t="s">
        <v>9285</v>
      </c>
      <c r="P65" s="363" t="s">
        <v>9280</v>
      </c>
      <c r="Q65" s="363" t="s">
        <v>1359</v>
      </c>
      <c r="R65" s="363" t="s">
        <v>9233</v>
      </c>
      <c r="S65" s="363" t="s">
        <v>1359</v>
      </c>
      <c r="T65" s="363" t="s">
        <v>1359</v>
      </c>
      <c r="U65" s="363" t="s">
        <v>9544</v>
      </c>
      <c r="V65" s="363" t="s">
        <v>9235</v>
      </c>
      <c r="W65" s="363" t="s">
        <v>3754</v>
      </c>
      <c r="X65" s="363" t="s">
        <v>1359</v>
      </c>
      <c r="Y65" s="363" t="s">
        <v>1359</v>
      </c>
      <c r="Z65" s="363" t="s">
        <v>9237</v>
      </c>
      <c r="AA65" s="363" t="s">
        <v>9237</v>
      </c>
      <c r="AB65" s="363" t="s">
        <v>3754</v>
      </c>
      <c r="AC65" s="363" t="s">
        <v>1359</v>
      </c>
      <c r="AD65" s="363" t="s">
        <v>9251</v>
      </c>
      <c r="AE65" s="363" t="s">
        <v>3754</v>
      </c>
      <c r="AF65" s="363" t="s">
        <v>3754</v>
      </c>
      <c r="AG65" s="363" t="s">
        <v>1359</v>
      </c>
      <c r="AH65" s="363" t="s">
        <v>9239</v>
      </c>
      <c r="AI65" s="363" t="s">
        <v>1359</v>
      </c>
      <c r="AJ65" s="363" t="s">
        <v>1359</v>
      </c>
    </row>
    <row r="66" spans="1:36">
      <c r="A66" s="363" t="s">
        <v>4874</v>
      </c>
      <c r="B66" s="363" t="s">
        <v>9220</v>
      </c>
      <c r="C66" s="363" t="s">
        <v>9221</v>
      </c>
      <c r="D66" s="363" t="s">
        <v>9541</v>
      </c>
      <c r="E66" s="363" t="s">
        <v>9223</v>
      </c>
      <c r="F66" s="363" t="s">
        <v>9253</v>
      </c>
      <c r="G66" s="363" t="s">
        <v>9225</v>
      </c>
      <c r="H66" s="363" t="s">
        <v>888</v>
      </c>
      <c r="I66" s="363" t="s">
        <v>9226</v>
      </c>
      <c r="J66" s="363" t="s">
        <v>3740</v>
      </c>
      <c r="K66" s="363" t="s">
        <v>9227</v>
      </c>
      <c r="L66" s="363" t="s">
        <v>9228</v>
      </c>
      <c r="M66" s="363" t="s">
        <v>9545</v>
      </c>
      <c r="N66" s="363" t="s">
        <v>9546</v>
      </c>
      <c r="O66" s="363" t="s">
        <v>9285</v>
      </c>
      <c r="P66" s="363" t="s">
        <v>9280</v>
      </c>
      <c r="Q66" s="363" t="s">
        <v>1359</v>
      </c>
      <c r="R66" s="363" t="s">
        <v>9233</v>
      </c>
      <c r="S66" s="363" t="s">
        <v>1359</v>
      </c>
      <c r="T66" s="363" t="s">
        <v>1359</v>
      </c>
      <c r="U66" s="363" t="s">
        <v>9547</v>
      </c>
      <c r="V66" s="363" t="s">
        <v>9235</v>
      </c>
      <c r="W66" s="363" t="s">
        <v>3754</v>
      </c>
      <c r="X66" s="363" t="s">
        <v>1359</v>
      </c>
      <c r="Y66" s="363" t="s">
        <v>1359</v>
      </c>
      <c r="Z66" s="363" t="s">
        <v>9511</v>
      </c>
      <c r="AA66" s="363" t="s">
        <v>9511</v>
      </c>
      <c r="AB66" s="363" t="s">
        <v>3754</v>
      </c>
      <c r="AC66" s="363" t="s">
        <v>1359</v>
      </c>
      <c r="AD66" s="363" t="s">
        <v>9251</v>
      </c>
      <c r="AE66" s="363" t="s">
        <v>3754</v>
      </c>
      <c r="AF66" s="363" t="s">
        <v>3754</v>
      </c>
      <c r="AG66" s="363" t="s">
        <v>1359</v>
      </c>
      <c r="AH66" s="363" t="s">
        <v>9239</v>
      </c>
      <c r="AI66" s="363" t="s">
        <v>1359</v>
      </c>
      <c r="AJ66" s="363" t="s">
        <v>1359</v>
      </c>
    </row>
    <row r="67" spans="1:36">
      <c r="A67" s="363" t="s">
        <v>4732</v>
      </c>
      <c r="B67" s="363" t="s">
        <v>9220</v>
      </c>
      <c r="C67" s="363" t="s">
        <v>9221</v>
      </c>
      <c r="D67" s="363" t="s">
        <v>9541</v>
      </c>
      <c r="E67" s="363" t="s">
        <v>9223</v>
      </c>
      <c r="F67" s="363" t="s">
        <v>9253</v>
      </c>
      <c r="G67" s="363" t="s">
        <v>9225</v>
      </c>
      <c r="H67" s="363" t="s">
        <v>888</v>
      </c>
      <c r="I67" s="363" t="s">
        <v>9226</v>
      </c>
      <c r="J67" s="363" t="s">
        <v>3740</v>
      </c>
      <c r="K67" s="363" t="s">
        <v>9227</v>
      </c>
      <c r="L67" s="363" t="s">
        <v>9228</v>
      </c>
      <c r="M67" s="363" t="s">
        <v>9542</v>
      </c>
      <c r="N67" s="363" t="s">
        <v>9548</v>
      </c>
      <c r="O67" s="363" t="s">
        <v>9285</v>
      </c>
      <c r="P67" s="363" t="s">
        <v>9280</v>
      </c>
      <c r="Q67" s="363" t="s">
        <v>1359</v>
      </c>
      <c r="R67" s="363" t="s">
        <v>9233</v>
      </c>
      <c r="S67" s="363" t="s">
        <v>1359</v>
      </c>
      <c r="T67" s="363" t="s">
        <v>1359</v>
      </c>
      <c r="U67" s="363" t="s">
        <v>9549</v>
      </c>
      <c r="V67" s="363" t="s">
        <v>9235</v>
      </c>
      <c r="W67" s="363" t="s">
        <v>3754</v>
      </c>
      <c r="X67" s="363" t="s">
        <v>1359</v>
      </c>
      <c r="Y67" s="363" t="s">
        <v>1359</v>
      </c>
      <c r="Z67" s="363" t="s">
        <v>9237</v>
      </c>
      <c r="AA67" s="363" t="s">
        <v>9237</v>
      </c>
      <c r="AB67" s="363" t="s">
        <v>3754</v>
      </c>
      <c r="AC67" s="363" t="s">
        <v>1359</v>
      </c>
      <c r="AD67" s="363" t="s">
        <v>9251</v>
      </c>
      <c r="AE67" s="363" t="s">
        <v>3754</v>
      </c>
      <c r="AF67" s="363" t="s">
        <v>3754</v>
      </c>
      <c r="AG67" s="363" t="s">
        <v>1359</v>
      </c>
      <c r="AH67" s="363" t="s">
        <v>9239</v>
      </c>
      <c r="AI67" s="363" t="s">
        <v>1359</v>
      </c>
      <c r="AJ67" s="363" t="s">
        <v>1359</v>
      </c>
    </row>
    <row r="68" spans="1:36">
      <c r="A68" s="363" t="s">
        <v>331</v>
      </c>
      <c r="B68" s="363" t="s">
        <v>9220</v>
      </c>
      <c r="C68" s="363" t="s">
        <v>9221</v>
      </c>
      <c r="D68" s="363" t="s">
        <v>9550</v>
      </c>
      <c r="E68" s="363" t="s">
        <v>9223</v>
      </c>
      <c r="F68" s="363" t="s">
        <v>3728</v>
      </c>
      <c r="G68" s="363" t="s">
        <v>9225</v>
      </c>
      <c r="H68" s="363" t="s">
        <v>85</v>
      </c>
      <c r="I68" s="363" t="s">
        <v>9226</v>
      </c>
      <c r="J68" s="363" t="s">
        <v>3740</v>
      </c>
      <c r="K68" s="363" t="s">
        <v>9227</v>
      </c>
      <c r="L68" s="363" t="s">
        <v>9228</v>
      </c>
      <c r="M68" s="363" t="s">
        <v>9410</v>
      </c>
      <c r="N68" s="363" t="s">
        <v>9551</v>
      </c>
      <c r="O68" s="363" t="s">
        <v>9405</v>
      </c>
      <c r="P68" s="363" t="s">
        <v>9406</v>
      </c>
      <c r="Q68" s="363" t="s">
        <v>1359</v>
      </c>
      <c r="R68" s="363" t="s">
        <v>9233</v>
      </c>
      <c r="S68" s="363" t="s">
        <v>1359</v>
      </c>
      <c r="T68" s="363" t="s">
        <v>1359</v>
      </c>
      <c r="U68" s="363" t="s">
        <v>9552</v>
      </c>
      <c r="V68" s="363" t="s">
        <v>9235</v>
      </c>
      <c r="W68" s="363" t="s">
        <v>3754</v>
      </c>
      <c r="X68" s="363" t="s">
        <v>1359</v>
      </c>
      <c r="Y68" s="363" t="s">
        <v>1359</v>
      </c>
      <c r="Z68" s="363" t="s">
        <v>9415</v>
      </c>
      <c r="AA68" s="363" t="s">
        <v>9415</v>
      </c>
      <c r="AB68" s="363" t="s">
        <v>3754</v>
      </c>
      <c r="AC68" s="363" t="s">
        <v>1359</v>
      </c>
      <c r="AD68" s="363" t="s">
        <v>9251</v>
      </c>
      <c r="AE68" s="363" t="s">
        <v>3754</v>
      </c>
      <c r="AF68" s="363" t="s">
        <v>3754</v>
      </c>
      <c r="AG68" s="363" t="s">
        <v>1359</v>
      </c>
      <c r="AH68" s="363" t="s">
        <v>9239</v>
      </c>
      <c r="AI68" s="363" t="s">
        <v>1359</v>
      </c>
      <c r="AJ68" s="363" t="s">
        <v>1359</v>
      </c>
    </row>
  </sheetData>
  <autoFilter ref="A1:AJ1" xr:uid="{7EC554F9-4C7E-4626-BFE8-C1A90DBEA46C}"/>
  <phoneticPr fontId="3"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FC947-66FD-40A7-94F4-5D9404F13C87}">
  <dimension ref="G6:L16"/>
  <sheetViews>
    <sheetView workbookViewId="0">
      <selection activeCell="P19" sqref="P18:P19"/>
    </sheetView>
  </sheetViews>
  <sheetFormatPr baseColWidth="10" defaultColWidth="8.83203125" defaultRowHeight="15"/>
  <cols>
    <col min="7" max="7" width="12.6640625" bestFit="1" customWidth="1"/>
    <col min="12" max="12" width="12.6640625" bestFit="1" customWidth="1"/>
  </cols>
  <sheetData>
    <row r="6" spans="7:12">
      <c r="G6" s="365"/>
    </row>
    <row r="12" spans="7:12">
      <c r="L12" s="365">
        <v>362414506.79000002</v>
      </c>
    </row>
    <row r="13" spans="7:12">
      <c r="G13" s="365"/>
      <c r="L13" s="365"/>
    </row>
    <row r="14" spans="7:12">
      <c r="L14" s="365"/>
    </row>
    <row r="15" spans="7:12">
      <c r="G15" s="367"/>
      <c r="L15" s="365">
        <v>362414506.79000002</v>
      </c>
    </row>
    <row r="16" spans="7:12">
      <c r="L16" s="366">
        <f>L12-L15</f>
        <v>0</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202310带宽</vt:lpstr>
      <vt:lpstr>202310</vt:lpstr>
      <vt:lpstr>更新</vt:lpstr>
      <vt:lpstr>合同高级查询数据-10月新返回合同</vt:lpstr>
      <vt:lpstr>线上线下核对</vt:lpstr>
    </vt:vector>
  </TitlesOfParts>
  <Company>BAIDU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Wu,Rui</dc:creator>
  <cp:lastModifiedBy>庄 较瘦</cp:lastModifiedBy>
  <dcterms:created xsi:type="dcterms:W3CDTF">2023-10-30T10:52:30Z</dcterms:created>
  <dcterms:modified xsi:type="dcterms:W3CDTF">2023-11-13T03:50:18Z</dcterms:modified>
</cp:coreProperties>
</file>